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MINedu\Exc_vysk_2022\Exc2023\"/>
    </mc:Choice>
  </mc:AlternateContent>
  <bookViews>
    <workbookView xWindow="-90" yWindow="-90" windowWidth="19380" windowHeight="10380" activeTab="9"/>
  </bookViews>
  <sheets>
    <sheet name="E1_alokácia" sheetId="33" r:id="rId1"/>
    <sheet name="E2_zamestnanci_2021" sheetId="2" r:id="rId2"/>
    <sheet name="E3_oblasti" sheetId="35" r:id="rId3"/>
    <sheet name="E4a_M1_prirodne" sheetId="27" r:id="rId4"/>
    <sheet name="E4b_M2_technicke" sheetId="28" r:id="rId5"/>
    <sheet name="E4c_M3_lekarske" sheetId="29" r:id="rId6"/>
    <sheet name="E4d_M4_polno_les_vet" sheetId="30" r:id="rId7"/>
    <sheet name="E4e_M5_spolocenske" sheetId="31" r:id="rId8"/>
    <sheet name="E4f_M6_humanitne" sheetId="32" r:id="rId9"/>
    <sheet name="E4g_M6_umenie" sheetId="34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80" i="31" l="1"/>
  <c r="M48" i="32" l="1"/>
  <c r="M47" i="32"/>
  <c r="M46" i="32"/>
  <c r="M39" i="32"/>
  <c r="M29" i="32"/>
  <c r="M13" i="32"/>
  <c r="M4" i="32"/>
  <c r="M3" i="32"/>
  <c r="AG6" i="32"/>
  <c r="AB48" i="32" s="1"/>
  <c r="R48" i="32" s="1"/>
  <c r="AK77" i="31"/>
  <c r="AK65" i="31"/>
  <c r="AK60" i="31"/>
  <c r="AK59" i="31"/>
  <c r="AK55" i="31"/>
  <c r="AK53" i="31"/>
  <c r="AK52" i="31"/>
  <c r="AK47" i="31"/>
  <c r="AK39" i="31"/>
  <c r="AK37" i="31"/>
  <c r="AK32" i="31"/>
  <c r="AK28" i="31"/>
  <c r="AK26" i="31"/>
  <c r="AK20" i="31"/>
  <c r="AK13" i="31"/>
  <c r="AK11" i="31"/>
  <c r="AK10" i="31"/>
  <c r="AK6" i="31"/>
  <c r="AK3" i="31"/>
  <c r="AR52" i="31"/>
  <c r="AL52" i="31" s="1"/>
  <c r="AR20" i="31"/>
  <c r="AL20" i="31" s="1"/>
  <c r="AW5" i="31"/>
  <c r="AR60" i="31" s="1"/>
  <c r="AL60" i="31" s="1"/>
  <c r="AA13" i="30"/>
  <c r="AA6" i="30"/>
  <c r="AA5" i="30"/>
  <c r="AQ6" i="30"/>
  <c r="AI6" i="30" s="1"/>
  <c r="AF6" i="30" s="1"/>
  <c r="AF14" i="29"/>
  <c r="AF8" i="29"/>
  <c r="AF5" i="29"/>
  <c r="AF3" i="29"/>
  <c r="AV6" i="29"/>
  <c r="AL5" i="29" s="1"/>
  <c r="AG5" i="29" s="1"/>
  <c r="AF46" i="28"/>
  <c r="AF38" i="28"/>
  <c r="AF36" i="28"/>
  <c r="AF24" i="28"/>
  <c r="AF23" i="28"/>
  <c r="AF22" i="28"/>
  <c r="AF21" i="28"/>
  <c r="AF20" i="28"/>
  <c r="AF18" i="28"/>
  <c r="AF10" i="28"/>
  <c r="AF3" i="28"/>
  <c r="AS5" i="28"/>
  <c r="AN36" i="28" s="1"/>
  <c r="AL36" i="28" s="1"/>
  <c r="AG31" i="27"/>
  <c r="AG27" i="27"/>
  <c r="AG22" i="27"/>
  <c r="AG21" i="27"/>
  <c r="AG11" i="27"/>
  <c r="AG4" i="27"/>
  <c r="AG3" i="27"/>
  <c r="AT5" i="27"/>
  <c r="AK27" i="27" s="1"/>
  <c r="AJ27" i="27" s="1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131" i="2" s="1"/>
  <c r="U12" i="33"/>
  <c r="U11" i="33"/>
  <c r="U10" i="33"/>
  <c r="U9" i="33"/>
  <c r="U8" i="33"/>
  <c r="U7" i="33"/>
  <c r="U6" i="33"/>
  <c r="R12" i="33"/>
  <c r="R11" i="33"/>
  <c r="R10" i="33"/>
  <c r="R9" i="33"/>
  <c r="R8" i="33"/>
  <c r="R7" i="33"/>
  <c r="R6" i="33"/>
  <c r="N11" i="33"/>
  <c r="N8" i="33"/>
  <c r="N7" i="33"/>
  <c r="J12" i="33"/>
  <c r="N10" i="33" s="1"/>
  <c r="D16" i="33"/>
  <c r="D12" i="33"/>
  <c r="H11" i="33" s="1"/>
  <c r="E12" i="33"/>
  <c r="K12" i="33"/>
  <c r="H8" i="34"/>
  <c r="G23" i="34"/>
  <c r="G24" i="34" s="1"/>
  <c r="H19" i="34" s="1"/>
  <c r="G25" i="34"/>
  <c r="H20" i="34" s="1"/>
  <c r="D23" i="34"/>
  <c r="D11" i="34"/>
  <c r="C23" i="34"/>
  <c r="C11" i="34"/>
  <c r="C12" i="34"/>
  <c r="F21" i="34"/>
  <c r="F20" i="34"/>
  <c r="F19" i="34"/>
  <c r="F18" i="34"/>
  <c r="F17" i="34"/>
  <c r="F10" i="34"/>
  <c r="F9" i="34"/>
  <c r="F8" i="34"/>
  <c r="F7" i="34"/>
  <c r="F6" i="34"/>
  <c r="F5" i="34"/>
  <c r="F4" i="34"/>
  <c r="C22" i="34"/>
  <c r="C10" i="34"/>
  <c r="AB3" i="32" l="1"/>
  <c r="R3" i="32" s="1"/>
  <c r="AB13" i="32"/>
  <c r="R13" i="32" s="1"/>
  <c r="AB39" i="32"/>
  <c r="R39" i="32" s="1"/>
  <c r="AB46" i="32"/>
  <c r="R46" i="32" s="1"/>
  <c r="AB29" i="32"/>
  <c r="R29" i="32" s="1"/>
  <c r="AB4" i="32"/>
  <c r="R4" i="32" s="1"/>
  <c r="AB47" i="32"/>
  <c r="R47" i="32" s="1"/>
  <c r="AR53" i="31"/>
  <c r="AL53" i="31" s="1"/>
  <c r="AR55" i="31"/>
  <c r="AL55" i="31" s="1"/>
  <c r="AR6" i="31"/>
  <c r="AL6" i="31" s="1"/>
  <c r="AR65" i="31"/>
  <c r="AL65" i="31" s="1"/>
  <c r="AR13" i="31"/>
  <c r="AL13" i="31" s="1"/>
  <c r="AR26" i="31"/>
  <c r="AL26" i="31" s="1"/>
  <c r="AR37" i="31"/>
  <c r="AL37" i="31" s="1"/>
  <c r="AR10" i="31"/>
  <c r="AL10" i="31" s="1"/>
  <c r="AR39" i="31"/>
  <c r="AL39" i="31" s="1"/>
  <c r="AR11" i="31"/>
  <c r="AL11" i="31" s="1"/>
  <c r="AR47" i="31"/>
  <c r="AL47" i="31" s="1"/>
  <c r="AR28" i="31"/>
  <c r="AL28" i="31" s="1"/>
  <c r="AR59" i="31"/>
  <c r="AL59" i="31" s="1"/>
  <c r="AR3" i="31"/>
  <c r="AL3" i="31" s="1"/>
  <c r="AL77" i="31" s="1"/>
  <c r="AW9" i="31" s="1"/>
  <c r="AR32" i="31"/>
  <c r="AL32" i="31" s="1"/>
  <c r="AI5" i="30"/>
  <c r="AF5" i="30" s="1"/>
  <c r="AF13" i="30" s="1"/>
  <c r="AO9" i="30" s="1"/>
  <c r="AL8" i="29"/>
  <c r="AG8" i="29" s="1"/>
  <c r="AL3" i="29"/>
  <c r="AG3" i="29" s="1"/>
  <c r="AG14" i="29" s="1"/>
  <c r="AS6" i="29" s="1"/>
  <c r="AN21" i="28"/>
  <c r="AL21" i="28" s="1"/>
  <c r="AN22" i="28"/>
  <c r="AL22" i="28" s="1"/>
  <c r="AN23" i="28"/>
  <c r="AL23" i="28" s="1"/>
  <c r="AN10" i="28"/>
  <c r="AL10" i="28" s="1"/>
  <c r="AN38" i="28"/>
  <c r="AL38" i="28" s="1"/>
  <c r="AN18" i="28"/>
  <c r="AL18" i="28" s="1"/>
  <c r="AN20" i="28"/>
  <c r="AL20" i="28" s="1"/>
  <c r="AN24" i="28"/>
  <c r="AL24" i="28" s="1"/>
  <c r="AN3" i="28"/>
  <c r="AL3" i="28" s="1"/>
  <c r="AK11" i="27"/>
  <c r="AJ11" i="27" s="1"/>
  <c r="AK4" i="27"/>
  <c r="AJ4" i="27" s="1"/>
  <c r="AK21" i="27"/>
  <c r="AJ21" i="27" s="1"/>
  <c r="AK3" i="27"/>
  <c r="AJ3" i="27" s="1"/>
  <c r="AK22" i="27"/>
  <c r="AJ22" i="27" s="1"/>
  <c r="N6" i="33"/>
  <c r="N12" i="33" s="1"/>
  <c r="N9" i="33"/>
  <c r="H7" i="33"/>
  <c r="H8" i="33"/>
  <c r="H9" i="33"/>
  <c r="H10" i="33"/>
  <c r="H6" i="33"/>
  <c r="G6" i="34"/>
  <c r="F11" i="34"/>
  <c r="G7" i="34" s="1"/>
  <c r="F22" i="34"/>
  <c r="F23" i="34"/>
  <c r="R51" i="32" l="1"/>
  <c r="AE8" i="32" s="1"/>
  <c r="AL46" i="28"/>
  <c r="AR8" i="28" s="1"/>
  <c r="AJ31" i="27"/>
  <c r="AR8" i="27" s="1"/>
  <c r="H12" i="33"/>
  <c r="G21" i="34"/>
  <c r="G20" i="34"/>
  <c r="G19" i="34"/>
  <c r="G18" i="34"/>
  <c r="G9" i="34"/>
  <c r="G5" i="34"/>
  <c r="G4" i="34"/>
  <c r="G17" i="34"/>
  <c r="G8" i="34"/>
  <c r="BM30" i="27" l="1"/>
  <c r="BN30" i="27" s="1"/>
  <c r="BM29" i="27"/>
  <c r="BN29" i="27" s="1"/>
  <c r="BM28" i="27"/>
  <c r="BN28" i="27" s="1"/>
  <c r="BM27" i="27"/>
  <c r="BN27" i="27" s="1"/>
  <c r="BM26" i="27"/>
  <c r="BN26" i="27" s="1"/>
  <c r="BM24" i="27"/>
  <c r="BN24" i="27" s="1"/>
  <c r="BM23" i="27"/>
  <c r="BN23" i="27" s="1"/>
  <c r="BM22" i="27"/>
  <c r="BN22" i="27" s="1"/>
  <c r="BM21" i="27"/>
  <c r="BN21" i="27" s="1"/>
  <c r="BM19" i="27"/>
  <c r="BN19" i="27" s="1"/>
  <c r="BM18" i="27"/>
  <c r="BN18" i="27" s="1"/>
  <c r="BM16" i="27"/>
  <c r="BN16" i="27" s="1"/>
  <c r="BM14" i="27"/>
  <c r="BN14" i="27" s="1"/>
  <c r="BM13" i="27"/>
  <c r="BN13" i="27" s="1"/>
  <c r="BM12" i="27"/>
  <c r="BN12" i="27" s="1"/>
  <c r="BM11" i="27"/>
  <c r="BN11" i="27" s="1"/>
  <c r="BM10" i="27"/>
  <c r="BN10" i="27" s="1"/>
  <c r="BM9" i="27"/>
  <c r="BN9" i="27" s="1"/>
  <c r="BM8" i="27"/>
  <c r="BN8" i="27" s="1"/>
  <c r="BM7" i="27"/>
  <c r="BN7" i="27" s="1"/>
  <c r="BM6" i="27"/>
  <c r="BN6" i="27" s="1"/>
  <c r="BM5" i="27"/>
  <c r="BN5" i="27" s="1"/>
  <c r="BM4" i="27"/>
  <c r="BN4" i="27" s="1"/>
  <c r="BM3" i="27"/>
  <c r="BN3" i="27" s="1"/>
  <c r="BA30" i="27"/>
  <c r="BA29" i="27"/>
  <c r="BA28" i="27"/>
  <c r="BA27" i="27"/>
  <c r="BA26" i="27"/>
  <c r="BA24" i="27"/>
  <c r="BA23" i="27"/>
  <c r="BA22" i="27"/>
  <c r="BA21" i="27"/>
  <c r="BA19" i="27"/>
  <c r="BA18" i="27"/>
  <c r="BA16" i="27"/>
  <c r="BA14" i="27"/>
  <c r="BA13" i="27"/>
  <c r="BA12" i="27"/>
  <c r="BA11" i="27"/>
  <c r="BA10" i="27"/>
  <c r="BA9" i="27"/>
  <c r="BA8" i="27"/>
  <c r="BA7" i="27"/>
  <c r="BA6" i="27"/>
  <c r="BA5" i="27"/>
  <c r="BA4" i="27"/>
  <c r="BA3" i="27"/>
  <c r="BL31" i="27"/>
  <c r="AY31" i="27"/>
  <c r="Y31" i="27"/>
  <c r="BK45" i="28"/>
  <c r="BL45" i="28" s="1"/>
  <c r="BK44" i="28"/>
  <c r="BL44" i="28" s="1"/>
  <c r="BK43" i="28"/>
  <c r="BL43" i="28" s="1"/>
  <c r="BK42" i="28"/>
  <c r="BL42" i="28" s="1"/>
  <c r="BK41" i="28"/>
  <c r="BL41" i="28" s="1"/>
  <c r="BK39" i="28"/>
  <c r="BL39" i="28" s="1"/>
  <c r="BK38" i="28"/>
  <c r="BL38" i="28" s="1"/>
  <c r="BK37" i="28"/>
  <c r="BL37" i="28" s="1"/>
  <c r="BK36" i="28"/>
  <c r="BL36" i="28" s="1"/>
  <c r="BK35" i="28"/>
  <c r="BL35" i="28" s="1"/>
  <c r="BK34" i="28"/>
  <c r="BL34" i="28" s="1"/>
  <c r="BK33" i="28"/>
  <c r="BL33" i="28" s="1"/>
  <c r="BK32" i="28"/>
  <c r="BL32" i="28" s="1"/>
  <c r="BK30" i="28"/>
  <c r="BL30" i="28" s="1"/>
  <c r="BK29" i="28"/>
  <c r="BL29" i="28" s="1"/>
  <c r="BK28" i="28"/>
  <c r="BL28" i="28" s="1"/>
  <c r="BK27" i="28"/>
  <c r="BL27" i="28" s="1"/>
  <c r="BK26" i="28"/>
  <c r="BL26" i="28" s="1"/>
  <c r="BK25" i="28"/>
  <c r="BL25" i="28" s="1"/>
  <c r="BK24" i="28"/>
  <c r="BL24" i="28" s="1"/>
  <c r="BK23" i="28"/>
  <c r="BL23" i="28" s="1"/>
  <c r="BK22" i="28"/>
  <c r="BL22" i="28" s="1"/>
  <c r="BK21" i="28"/>
  <c r="BL21" i="28" s="1"/>
  <c r="BK20" i="28"/>
  <c r="BL20" i="28" s="1"/>
  <c r="BK19" i="28"/>
  <c r="BL19" i="28" s="1"/>
  <c r="BK18" i="28"/>
  <c r="BL18" i="28" s="1"/>
  <c r="BK16" i="28"/>
  <c r="BL16" i="28" s="1"/>
  <c r="BK15" i="28"/>
  <c r="BL15" i="28" s="1"/>
  <c r="BK14" i="28"/>
  <c r="BL14" i="28" s="1"/>
  <c r="BK13" i="28"/>
  <c r="BL13" i="28" s="1"/>
  <c r="BK12" i="28"/>
  <c r="BL12" i="28" s="1"/>
  <c r="BK11" i="28"/>
  <c r="BL11" i="28" s="1"/>
  <c r="BK10" i="28"/>
  <c r="BL10" i="28" s="1"/>
  <c r="BK9" i="28"/>
  <c r="BL9" i="28" s="1"/>
  <c r="BK8" i="28"/>
  <c r="BL8" i="28" s="1"/>
  <c r="BK7" i="28"/>
  <c r="BL7" i="28" s="1"/>
  <c r="BK6" i="28"/>
  <c r="BL6" i="28" s="1"/>
  <c r="BK5" i="28"/>
  <c r="BL5" i="28" s="1"/>
  <c r="BK4" i="28"/>
  <c r="BL4" i="28" s="1"/>
  <c r="BK3" i="28"/>
  <c r="BL3" i="28" s="1"/>
  <c r="AZ45" i="28"/>
  <c r="AZ44" i="28"/>
  <c r="AZ43" i="28"/>
  <c r="AZ42" i="28"/>
  <c r="AZ41" i="28"/>
  <c r="AZ39" i="28"/>
  <c r="AZ38" i="28"/>
  <c r="AZ37" i="28"/>
  <c r="AZ36" i="28"/>
  <c r="AZ35" i="28"/>
  <c r="AZ34" i="28"/>
  <c r="AZ33" i="28"/>
  <c r="AZ32" i="28"/>
  <c r="AZ30" i="28"/>
  <c r="AZ29" i="28"/>
  <c r="AZ28" i="28"/>
  <c r="AZ27" i="28"/>
  <c r="AZ26" i="28"/>
  <c r="AZ25" i="28"/>
  <c r="AZ24" i="28"/>
  <c r="AZ23" i="28"/>
  <c r="AZ22" i="28"/>
  <c r="AZ21" i="28"/>
  <c r="AZ20" i="28"/>
  <c r="AZ19" i="28"/>
  <c r="AZ18" i="28"/>
  <c r="AZ16" i="28"/>
  <c r="AZ15" i="28"/>
  <c r="AZ14" i="28"/>
  <c r="AZ13" i="28"/>
  <c r="AZ12" i="28"/>
  <c r="AZ11" i="28"/>
  <c r="AZ10" i="28"/>
  <c r="AZ9" i="28"/>
  <c r="AZ8" i="28"/>
  <c r="AZ7" i="28"/>
  <c r="AZ6" i="28"/>
  <c r="AZ5" i="28"/>
  <c r="AZ4" i="28"/>
  <c r="AZ3" i="28"/>
  <c r="BJ46" i="28"/>
  <c r="BQ7" i="28"/>
  <c r="Z46" i="28"/>
  <c r="AX46" i="28"/>
  <c r="BN13" i="29"/>
  <c r="BO13" i="29" s="1"/>
  <c r="BN12" i="29"/>
  <c r="BO12" i="29" s="1"/>
  <c r="BN11" i="29"/>
  <c r="BO11" i="29" s="1"/>
  <c r="BN10" i="29"/>
  <c r="BO10" i="29" s="1"/>
  <c r="BN9" i="29"/>
  <c r="BO9" i="29" s="1"/>
  <c r="BN8" i="29"/>
  <c r="BO8" i="29" s="1"/>
  <c r="BN7" i="29"/>
  <c r="BO7" i="29" s="1"/>
  <c r="BN6" i="29"/>
  <c r="BO6" i="29" s="1"/>
  <c r="BN5" i="29"/>
  <c r="BO5" i="29" s="1"/>
  <c r="BN4" i="29"/>
  <c r="BO4" i="29" s="1"/>
  <c r="BN3" i="29"/>
  <c r="BO3" i="29" s="1"/>
  <c r="BM14" i="29"/>
  <c r="BC13" i="29"/>
  <c r="BC12" i="29"/>
  <c r="BC11" i="29"/>
  <c r="BC10" i="29"/>
  <c r="BC9" i="29"/>
  <c r="BC8" i="29"/>
  <c r="BC7" i="29"/>
  <c r="BC6" i="29"/>
  <c r="BC5" i="29"/>
  <c r="BC4" i="29"/>
  <c r="BC3" i="29"/>
  <c r="V14" i="29"/>
  <c r="BA14" i="29"/>
  <c r="BI12" i="30"/>
  <c r="BJ12" i="30" s="1"/>
  <c r="BI11" i="30"/>
  <c r="BJ11" i="30" s="1"/>
  <c r="BI10" i="30"/>
  <c r="BJ10" i="30" s="1"/>
  <c r="BI7" i="30"/>
  <c r="BJ7" i="30" s="1"/>
  <c r="BI6" i="30"/>
  <c r="BJ6" i="30" s="1"/>
  <c r="BI5" i="30"/>
  <c r="BJ5" i="30" s="1"/>
  <c r="BI4" i="30"/>
  <c r="BJ4" i="30" s="1"/>
  <c r="BI3" i="30"/>
  <c r="BJ3" i="30" s="1"/>
  <c r="BH13" i="30"/>
  <c r="AX12" i="30"/>
  <c r="AX11" i="30"/>
  <c r="AX10" i="30"/>
  <c r="AX7" i="30"/>
  <c r="AX6" i="30"/>
  <c r="AX5" i="30"/>
  <c r="AX4" i="30"/>
  <c r="AX3" i="30"/>
  <c r="AV13" i="30"/>
  <c r="V13" i="30"/>
  <c r="BU33" i="32"/>
  <c r="BU14" i="32"/>
  <c r="BM49" i="32"/>
  <c r="BN49" i="32" s="1"/>
  <c r="BM48" i="32"/>
  <c r="BN48" i="32" s="1"/>
  <c r="BM47" i="32"/>
  <c r="BN47" i="32" s="1"/>
  <c r="BM46" i="32"/>
  <c r="BN46" i="32" s="1"/>
  <c r="BM45" i="32"/>
  <c r="BN45" i="32" s="1"/>
  <c r="BM43" i="32"/>
  <c r="BN43" i="32" s="1"/>
  <c r="BM39" i="32"/>
  <c r="BN39" i="32" s="1"/>
  <c r="BM38" i="32"/>
  <c r="BN38" i="32" s="1"/>
  <c r="BM37" i="32"/>
  <c r="BN37" i="32" s="1"/>
  <c r="BM36" i="32"/>
  <c r="BN36" i="32" s="1"/>
  <c r="BM35" i="32"/>
  <c r="BN35" i="32" s="1"/>
  <c r="BM34" i="32"/>
  <c r="BN34" i="32" s="1"/>
  <c r="BM32" i="32"/>
  <c r="BN32" i="32" s="1"/>
  <c r="BM31" i="32"/>
  <c r="BN31" i="32" s="1"/>
  <c r="BM29" i="32"/>
  <c r="BN29" i="32" s="1"/>
  <c r="BM28" i="32"/>
  <c r="BN28" i="32" s="1"/>
  <c r="BM27" i="32"/>
  <c r="BN27" i="32" s="1"/>
  <c r="BM26" i="32"/>
  <c r="BN26" i="32" s="1"/>
  <c r="BM23" i="32"/>
  <c r="BN23" i="32" s="1"/>
  <c r="BM22" i="32"/>
  <c r="BN22" i="32" s="1"/>
  <c r="BM19" i="32"/>
  <c r="BN19" i="32" s="1"/>
  <c r="BM18" i="32"/>
  <c r="BN18" i="32" s="1"/>
  <c r="BM17" i="32"/>
  <c r="BN17" i="32" s="1"/>
  <c r="BM13" i="32"/>
  <c r="BN13" i="32" s="1"/>
  <c r="BM11" i="32"/>
  <c r="BN11" i="32" s="1"/>
  <c r="BM10" i="32"/>
  <c r="BN10" i="32" s="1"/>
  <c r="BM8" i="32"/>
  <c r="BN8" i="32" s="1"/>
  <c r="BM5" i="32"/>
  <c r="BN5" i="32" s="1"/>
  <c r="BM4" i="32"/>
  <c r="BN4" i="32" s="1"/>
  <c r="BM3" i="32"/>
  <c r="BN3" i="32" s="1"/>
  <c r="BL50" i="32"/>
  <c r="BA17" i="29" l="1"/>
  <c r="BN32" i="27"/>
  <c r="BN31" i="27"/>
  <c r="BA31" i="27"/>
  <c r="BA32" i="27"/>
  <c r="AY33" i="27"/>
  <c r="BL33" i="27"/>
  <c r="BL47" i="28"/>
  <c r="BL46" i="28"/>
  <c r="AZ47" i="28"/>
  <c r="AX49" i="28"/>
  <c r="AZ46" i="28"/>
  <c r="BJ49" i="28"/>
  <c r="BO17" i="29"/>
  <c r="BO16" i="29"/>
  <c r="BM17" i="29"/>
  <c r="BC17" i="29"/>
  <c r="BC16" i="29"/>
  <c r="BJ14" i="30"/>
  <c r="AX14" i="30"/>
  <c r="BJ13" i="30"/>
  <c r="BH16" i="30"/>
  <c r="AX13" i="30"/>
  <c r="AV16" i="30"/>
  <c r="BN51" i="32"/>
  <c r="BN50" i="32"/>
  <c r="BA49" i="32"/>
  <c r="BA48" i="32"/>
  <c r="BA47" i="32"/>
  <c r="BA46" i="32"/>
  <c r="BA45" i="32"/>
  <c r="BA43" i="32"/>
  <c r="BA39" i="32"/>
  <c r="BA38" i="32"/>
  <c r="BA37" i="32"/>
  <c r="BA36" i="32"/>
  <c r="BA35" i="32"/>
  <c r="BA34" i="32"/>
  <c r="BA32" i="32"/>
  <c r="BA31" i="32"/>
  <c r="BA29" i="32"/>
  <c r="BA28" i="32"/>
  <c r="BA27" i="32"/>
  <c r="BA26" i="32"/>
  <c r="BA23" i="32"/>
  <c r="BA22" i="32"/>
  <c r="BA19" i="32"/>
  <c r="BA18" i="32"/>
  <c r="BA17" i="32"/>
  <c r="BA13" i="32"/>
  <c r="BA11" i="32"/>
  <c r="BA10" i="32"/>
  <c r="BA8" i="32"/>
  <c r="BA5" i="32"/>
  <c r="BA4" i="32"/>
  <c r="BA3" i="32"/>
  <c r="AY50" i="32"/>
  <c r="AU7" i="32"/>
  <c r="BO8" i="32" l="1"/>
  <c r="BK4" i="30"/>
  <c r="BP4" i="29"/>
  <c r="BM3" i="28"/>
  <c r="BO27" i="27"/>
  <c r="BO10" i="27"/>
  <c r="BO7" i="27"/>
  <c r="BO13" i="27"/>
  <c r="BO23" i="27"/>
  <c r="BO30" i="27"/>
  <c r="BO19" i="27"/>
  <c r="BO29" i="27"/>
  <c r="BO12" i="27"/>
  <c r="BO21" i="27"/>
  <c r="BO26" i="27"/>
  <c r="BO4" i="27"/>
  <c r="BO9" i="27"/>
  <c r="BO28" i="27"/>
  <c r="BO14" i="27"/>
  <c r="BO22" i="27"/>
  <c r="BO18" i="27"/>
  <c r="BO6" i="27"/>
  <c r="BO11" i="27"/>
  <c r="BO8" i="27"/>
  <c r="BO24" i="27"/>
  <c r="BO3" i="27"/>
  <c r="BO16" i="27"/>
  <c r="BO5" i="27"/>
  <c r="BB18" i="27"/>
  <c r="BP18" i="27" s="1"/>
  <c r="BB23" i="27"/>
  <c r="BB27" i="27"/>
  <c r="BP27" i="27" s="1"/>
  <c r="BB29" i="27"/>
  <c r="BB12" i="27"/>
  <c r="BB16" i="27"/>
  <c r="BB9" i="27"/>
  <c r="BP9" i="27" s="1"/>
  <c r="BB4" i="27"/>
  <c r="BP4" i="27" s="1"/>
  <c r="BB10" i="27"/>
  <c r="BP10" i="27" s="1"/>
  <c r="BB26" i="27"/>
  <c r="BB28" i="27"/>
  <c r="BB22" i="27"/>
  <c r="BB14" i="27"/>
  <c r="BB8" i="27"/>
  <c r="BB3" i="27"/>
  <c r="BP3" i="27" s="1"/>
  <c r="BB6" i="27"/>
  <c r="BB24" i="27"/>
  <c r="BB21" i="27"/>
  <c r="BP21" i="27" s="1"/>
  <c r="BB7" i="27"/>
  <c r="BP7" i="27" s="1"/>
  <c r="BB11" i="27"/>
  <c r="BB13" i="27"/>
  <c r="BP13" i="27" s="1"/>
  <c r="BB19" i="27"/>
  <c r="BP19" i="27" s="1"/>
  <c r="BB30" i="27"/>
  <c r="BP30" i="27" s="1"/>
  <c r="BB5" i="27"/>
  <c r="BM11" i="28"/>
  <c r="BM44" i="28"/>
  <c r="BM16" i="28"/>
  <c r="BM39" i="28"/>
  <c r="BM12" i="28"/>
  <c r="BM45" i="28"/>
  <c r="BM35" i="28"/>
  <c r="BM8" i="28"/>
  <c r="BM30" i="28"/>
  <c r="BM4" i="28"/>
  <c r="BM36" i="28"/>
  <c r="BM26" i="28"/>
  <c r="BM15" i="28"/>
  <c r="BM22" i="28"/>
  <c r="BM37" i="28"/>
  <c r="BM27" i="28"/>
  <c r="BM7" i="28"/>
  <c r="BM28" i="28"/>
  <c r="BA27" i="28"/>
  <c r="BM19" i="28"/>
  <c r="BM9" i="28"/>
  <c r="BM41" i="28"/>
  <c r="BM5" i="28"/>
  <c r="BM20" i="28"/>
  <c r="BM18" i="28"/>
  <c r="BM14" i="28"/>
  <c r="BM24" i="28"/>
  <c r="BM34" i="28"/>
  <c r="BM6" i="28"/>
  <c r="BM29" i="28"/>
  <c r="BM13" i="28"/>
  <c r="BM10" i="28"/>
  <c r="BM43" i="28"/>
  <c r="BM38" i="28"/>
  <c r="BM33" i="28"/>
  <c r="BM32" i="28"/>
  <c r="BM25" i="28"/>
  <c r="BM42" i="28"/>
  <c r="BM21" i="28"/>
  <c r="BM23" i="28"/>
  <c r="BA9" i="28"/>
  <c r="BA30" i="28"/>
  <c r="BN30" i="28" s="1"/>
  <c r="BA43" i="28"/>
  <c r="BN43" i="28" s="1"/>
  <c r="BA20" i="28"/>
  <c r="BN20" i="28" s="1"/>
  <c r="BA25" i="28"/>
  <c r="BN25" i="28" s="1"/>
  <c r="BA6" i="28"/>
  <c r="BA29" i="28"/>
  <c r="BA45" i="28"/>
  <c r="BA5" i="28"/>
  <c r="BA34" i="28"/>
  <c r="BA38" i="28"/>
  <c r="BN38" i="28" s="1"/>
  <c r="BA44" i="28"/>
  <c r="BN44" i="28" s="1"/>
  <c r="BA16" i="28"/>
  <c r="BA42" i="28"/>
  <c r="BN42" i="28" s="1"/>
  <c r="BA21" i="28"/>
  <c r="BN21" i="28" s="1"/>
  <c r="BA36" i="28"/>
  <c r="BN36" i="28" s="1"/>
  <c r="BA35" i="28"/>
  <c r="BA8" i="28"/>
  <c r="BA24" i="28"/>
  <c r="BN24" i="28" s="1"/>
  <c r="BA12" i="28"/>
  <c r="BA33" i="28"/>
  <c r="BA22" i="28"/>
  <c r="BN22" i="28" s="1"/>
  <c r="BA13" i="28"/>
  <c r="BN13" i="28" s="1"/>
  <c r="BA32" i="28"/>
  <c r="BA28" i="28"/>
  <c r="BA23" i="28"/>
  <c r="BA3" i="28"/>
  <c r="BN3" i="28" s="1"/>
  <c r="BA14" i="28"/>
  <c r="BN14" i="28" s="1"/>
  <c r="BA11" i="28"/>
  <c r="BN11" i="28" s="1"/>
  <c r="BA26" i="28"/>
  <c r="BA15" i="28"/>
  <c r="BA7" i="28"/>
  <c r="BN7" i="28" s="1"/>
  <c r="BA4" i="28"/>
  <c r="BA19" i="28"/>
  <c r="BA18" i="28"/>
  <c r="BN18" i="28" s="1"/>
  <c r="BA41" i="28"/>
  <c r="BA39" i="28"/>
  <c r="BA37" i="28"/>
  <c r="BA10" i="28"/>
  <c r="BP8" i="29"/>
  <c r="BP9" i="29"/>
  <c r="BP6" i="29"/>
  <c r="BP13" i="29"/>
  <c r="BP5" i="29"/>
  <c r="BP12" i="29"/>
  <c r="BP10" i="29"/>
  <c r="BP11" i="29"/>
  <c r="BP7" i="29"/>
  <c r="BP3" i="29"/>
  <c r="BD11" i="29"/>
  <c r="BD3" i="29"/>
  <c r="BD13" i="29"/>
  <c r="BQ13" i="29" s="1"/>
  <c r="BD4" i="29"/>
  <c r="BQ4" i="29" s="1"/>
  <c r="BD6" i="29"/>
  <c r="BD5" i="29"/>
  <c r="BQ5" i="29" s="1"/>
  <c r="BD12" i="29"/>
  <c r="BD10" i="29"/>
  <c r="BD9" i="29"/>
  <c r="BQ9" i="29" s="1"/>
  <c r="BD8" i="29"/>
  <c r="BQ8" i="29" s="1"/>
  <c r="BD7" i="29"/>
  <c r="BQ7" i="29" s="1"/>
  <c r="BK3" i="30"/>
  <c r="BK11" i="30"/>
  <c r="BK6" i="30"/>
  <c r="BK5" i="30"/>
  <c r="BK12" i="30"/>
  <c r="BK10" i="30"/>
  <c r="BK7" i="30"/>
  <c r="AY5" i="30"/>
  <c r="BL5" i="30" s="1"/>
  <c r="AY3" i="30"/>
  <c r="BL3" i="30" s="1"/>
  <c r="AY10" i="30"/>
  <c r="AY7" i="30"/>
  <c r="AY6" i="30"/>
  <c r="AY12" i="30"/>
  <c r="BL12" i="30" s="1"/>
  <c r="AY4" i="30"/>
  <c r="BL4" i="30" s="1"/>
  <c r="AY11" i="30"/>
  <c r="BL11" i="30" s="1"/>
  <c r="BO11" i="32"/>
  <c r="BO34" i="32"/>
  <c r="BO26" i="32"/>
  <c r="BO10" i="32"/>
  <c r="BO35" i="32"/>
  <c r="BO19" i="32"/>
  <c r="BO43" i="32"/>
  <c r="BO3" i="32"/>
  <c r="BO39" i="32"/>
  <c r="BO17" i="32"/>
  <c r="BO45" i="32"/>
  <c r="BO32" i="32"/>
  <c r="BO4" i="32"/>
  <c r="BO31" i="32"/>
  <c r="BO18" i="32"/>
  <c r="BO29" i="32"/>
  <c r="BO22" i="32"/>
  <c r="BO5" i="32"/>
  <c r="BO38" i="32"/>
  <c r="BO36" i="32"/>
  <c r="BO37" i="32"/>
  <c r="BO47" i="32"/>
  <c r="BO13" i="32"/>
  <c r="BO48" i="32"/>
  <c r="BO49" i="32"/>
  <c r="BO28" i="32"/>
  <c r="BO27" i="32"/>
  <c r="BO23" i="32"/>
  <c r="BO46" i="32"/>
  <c r="BA51" i="32"/>
  <c r="BA50" i="32"/>
  <c r="AP49" i="32"/>
  <c r="AP48" i="32"/>
  <c r="AP47" i="32"/>
  <c r="AP46" i="32"/>
  <c r="AP45" i="32"/>
  <c r="AP43" i="32"/>
  <c r="AP39" i="32"/>
  <c r="AP38" i="32"/>
  <c r="AP37" i="32"/>
  <c r="AP36" i="32"/>
  <c r="AP35" i="32"/>
  <c r="AP34" i="32"/>
  <c r="AP32" i="32"/>
  <c r="AP31" i="32"/>
  <c r="AP29" i="32"/>
  <c r="AP28" i="32"/>
  <c r="AP27" i="32"/>
  <c r="AP26" i="32"/>
  <c r="AP23" i="32"/>
  <c r="AP22" i="32"/>
  <c r="AP19" i="32"/>
  <c r="AP18" i="32"/>
  <c r="AP17" i="32"/>
  <c r="AP13" i="32"/>
  <c r="AP11" i="32"/>
  <c r="AP10" i="32"/>
  <c r="AP8" i="32"/>
  <c r="AP5" i="32"/>
  <c r="AP4" i="32"/>
  <c r="AP3" i="32"/>
  <c r="AL50" i="32"/>
  <c r="D50" i="32"/>
  <c r="CC76" i="31"/>
  <c r="CD76" i="31" s="1"/>
  <c r="CC75" i="31"/>
  <c r="CD75" i="31" s="1"/>
  <c r="CC74" i="31"/>
  <c r="CD74" i="31" s="1"/>
  <c r="CC73" i="31"/>
  <c r="CD73" i="31" s="1"/>
  <c r="CC72" i="31"/>
  <c r="CD72" i="31" s="1"/>
  <c r="CC71" i="31"/>
  <c r="CD71" i="31" s="1"/>
  <c r="CC70" i="31"/>
  <c r="CD70" i="31" s="1"/>
  <c r="CC69" i="31"/>
  <c r="CD69" i="31" s="1"/>
  <c r="CC68" i="31"/>
  <c r="CD68" i="31" s="1"/>
  <c r="CC67" i="31"/>
  <c r="CD67" i="31" s="1"/>
  <c r="CC66" i="31"/>
  <c r="CD66" i="31" s="1"/>
  <c r="CC65" i="31"/>
  <c r="CD65" i="31" s="1"/>
  <c r="CC64" i="31"/>
  <c r="CD64" i="31" s="1"/>
  <c r="CC63" i="31"/>
  <c r="CD63" i="31" s="1"/>
  <c r="CC62" i="31"/>
  <c r="CD62" i="31" s="1"/>
  <c r="CC61" i="31"/>
  <c r="CD61" i="31" s="1"/>
  <c r="CC60" i="31"/>
  <c r="CD60" i="31" s="1"/>
  <c r="CC59" i="31"/>
  <c r="CD59" i="31" s="1"/>
  <c r="CC58" i="31"/>
  <c r="CD58" i="31" s="1"/>
  <c r="CC57" i="31"/>
  <c r="CD57" i="31" s="1"/>
  <c r="CC56" i="31"/>
  <c r="CD56" i="31" s="1"/>
  <c r="CC55" i="31"/>
  <c r="CD55" i="31" s="1"/>
  <c r="CC54" i="31"/>
  <c r="CD54" i="31" s="1"/>
  <c r="CC53" i="31"/>
  <c r="CD53" i="31" s="1"/>
  <c r="CC52" i="31"/>
  <c r="CD52" i="31" s="1"/>
  <c r="CC51" i="31"/>
  <c r="CD51" i="31" s="1"/>
  <c r="CC50" i="31"/>
  <c r="CD50" i="31" s="1"/>
  <c r="CC49" i="31"/>
  <c r="CD49" i="31" s="1"/>
  <c r="CC48" i="31"/>
  <c r="CD48" i="31" s="1"/>
  <c r="CC47" i="31"/>
  <c r="CD47" i="31" s="1"/>
  <c r="CC46" i="31"/>
  <c r="CD46" i="31" s="1"/>
  <c r="CC45" i="31"/>
  <c r="CD45" i="31" s="1"/>
  <c r="CC44" i="31"/>
  <c r="CD44" i="31" s="1"/>
  <c r="CC43" i="31"/>
  <c r="CD43" i="31" s="1"/>
  <c r="CC42" i="31"/>
  <c r="CD42" i="31" s="1"/>
  <c r="CC41" i="31"/>
  <c r="CD41" i="31" s="1"/>
  <c r="CC40" i="31"/>
  <c r="CD40" i="31" s="1"/>
  <c r="CC39" i="31"/>
  <c r="CD39" i="31" s="1"/>
  <c r="CC38" i="31"/>
  <c r="CD38" i="31" s="1"/>
  <c r="CC37" i="31"/>
  <c r="CD37" i="31" s="1"/>
  <c r="CC36" i="31"/>
  <c r="CD36" i="31" s="1"/>
  <c r="CC35" i="31"/>
  <c r="CD35" i="31" s="1"/>
  <c r="CC34" i="31"/>
  <c r="CD34" i="31" s="1"/>
  <c r="CC33" i="31"/>
  <c r="CD33" i="31" s="1"/>
  <c r="CC32" i="31"/>
  <c r="CD32" i="31" s="1"/>
  <c r="CC31" i="31"/>
  <c r="CD31" i="31" s="1"/>
  <c r="CC30" i="31"/>
  <c r="CD30" i="31" s="1"/>
  <c r="CC28" i="31"/>
  <c r="CD28" i="31" s="1"/>
  <c r="CC26" i="31"/>
  <c r="CD26" i="31" s="1"/>
  <c r="CC25" i="31"/>
  <c r="CD25" i="31" s="1"/>
  <c r="CC24" i="31"/>
  <c r="CD24" i="31" s="1"/>
  <c r="CC23" i="31"/>
  <c r="CD23" i="31" s="1"/>
  <c r="CC22" i="31"/>
  <c r="CD22" i="31" s="1"/>
  <c r="CC21" i="31"/>
  <c r="CD21" i="31" s="1"/>
  <c r="CC20" i="31"/>
  <c r="CD20" i="31" s="1"/>
  <c r="CC19" i="31"/>
  <c r="CD19" i="31" s="1"/>
  <c r="CC18" i="31"/>
  <c r="CD18" i="31" s="1"/>
  <c r="CC17" i="31"/>
  <c r="CD17" i="31" s="1"/>
  <c r="CC15" i="31"/>
  <c r="CD15" i="31" s="1"/>
  <c r="CC13" i="31"/>
  <c r="CD13" i="31" s="1"/>
  <c r="CC12" i="31"/>
  <c r="CD12" i="31" s="1"/>
  <c r="CC11" i="31"/>
  <c r="CD11" i="31" s="1"/>
  <c r="CC10" i="31"/>
  <c r="CD10" i="31" s="1"/>
  <c r="CC9" i="31"/>
  <c r="CD9" i="31" s="1"/>
  <c r="CC8" i="31"/>
  <c r="CD8" i="31" s="1"/>
  <c r="CC7" i="31"/>
  <c r="CD7" i="31" s="1"/>
  <c r="CC6" i="31"/>
  <c r="CD6" i="31" s="1"/>
  <c r="CC5" i="31"/>
  <c r="CD5" i="31" s="1"/>
  <c r="CC4" i="31"/>
  <c r="CD4" i="31" s="1"/>
  <c r="CC3" i="31"/>
  <c r="CD3" i="31" s="1"/>
  <c r="CB77" i="31"/>
  <c r="BN29" i="28" l="1"/>
  <c r="BN41" i="28"/>
  <c r="BN45" i="28"/>
  <c r="BP28" i="27"/>
  <c r="BP14" i="27"/>
  <c r="BP23" i="27"/>
  <c r="BP24" i="27"/>
  <c r="BP12" i="27"/>
  <c r="BP22" i="27"/>
  <c r="BP29" i="27"/>
  <c r="BP5" i="27"/>
  <c r="BP8" i="27"/>
  <c r="BP16" i="27"/>
  <c r="BP11" i="27"/>
  <c r="BP26" i="27"/>
  <c r="BP6" i="27"/>
  <c r="BN15" i="28"/>
  <c r="BN37" i="28"/>
  <c r="BN6" i="28"/>
  <c r="BN12" i="28"/>
  <c r="BN27" i="28"/>
  <c r="BN4" i="28"/>
  <c r="BN28" i="28"/>
  <c r="BN32" i="28"/>
  <c r="BN10" i="28"/>
  <c r="BN26" i="28"/>
  <c r="BN39" i="28"/>
  <c r="BN33" i="28"/>
  <c r="BN16" i="28"/>
  <c r="BN19" i="28"/>
  <c r="BN23" i="28"/>
  <c r="BN8" i="28"/>
  <c r="BN34" i="28"/>
  <c r="BN35" i="28"/>
  <c r="BN5" i="28"/>
  <c r="BN9" i="28"/>
  <c r="BQ6" i="29"/>
  <c r="BQ3" i="29"/>
  <c r="BQ11" i="29"/>
  <c r="BQ10" i="29"/>
  <c r="BQ12" i="29"/>
  <c r="BL6" i="30"/>
  <c r="BL7" i="30"/>
  <c r="BL10" i="30"/>
  <c r="AY53" i="32"/>
  <c r="BL52" i="32"/>
  <c r="BB8" i="32"/>
  <c r="BB31" i="32"/>
  <c r="BB35" i="32"/>
  <c r="BB27" i="32"/>
  <c r="BB28" i="32"/>
  <c r="BB11" i="32"/>
  <c r="BB43" i="32"/>
  <c r="BB47" i="32"/>
  <c r="BB18" i="32"/>
  <c r="BB48" i="32"/>
  <c r="BB10" i="32"/>
  <c r="BB46" i="32"/>
  <c r="BB22" i="32"/>
  <c r="BB5" i="32"/>
  <c r="BB4" i="32"/>
  <c r="BB45" i="32"/>
  <c r="BB34" i="32"/>
  <c r="BB32" i="32"/>
  <c r="BB36" i="32"/>
  <c r="BB26" i="32"/>
  <c r="BB19" i="32"/>
  <c r="BB23" i="32"/>
  <c r="BB3" i="32"/>
  <c r="BB39" i="32"/>
  <c r="BB49" i="32"/>
  <c r="BB29" i="32"/>
  <c r="BB38" i="32"/>
  <c r="BB37" i="32"/>
  <c r="BB17" i="32"/>
  <c r="BB13" i="32"/>
  <c r="AP50" i="32"/>
  <c r="AP51" i="32"/>
  <c r="AL53" i="32"/>
  <c r="AM48" i="32" s="1"/>
  <c r="AO48" i="32" s="1"/>
  <c r="CD77" i="31"/>
  <c r="CD78" i="31"/>
  <c r="BQ76" i="31"/>
  <c r="BQ75" i="31"/>
  <c r="BQ74" i="31"/>
  <c r="BQ73" i="31"/>
  <c r="BQ72" i="31"/>
  <c r="BQ71" i="31"/>
  <c r="BQ70" i="31"/>
  <c r="BQ69" i="31"/>
  <c r="BQ68" i="31"/>
  <c r="BQ67" i="31"/>
  <c r="BQ66" i="31"/>
  <c r="BQ65" i="31"/>
  <c r="BQ64" i="31"/>
  <c r="BQ63" i="31"/>
  <c r="BQ62" i="31"/>
  <c r="BQ61" i="31"/>
  <c r="BQ60" i="31"/>
  <c r="BQ59" i="31"/>
  <c r="BQ58" i="31"/>
  <c r="BQ57" i="31"/>
  <c r="BQ56" i="31"/>
  <c r="BQ55" i="31"/>
  <c r="BQ54" i="31"/>
  <c r="BQ53" i="31"/>
  <c r="BQ52" i="31"/>
  <c r="BQ51" i="31"/>
  <c r="BQ50" i="31"/>
  <c r="BQ49" i="31"/>
  <c r="BQ48" i="31"/>
  <c r="BQ47" i="31"/>
  <c r="BQ46" i="31"/>
  <c r="BQ45" i="31"/>
  <c r="BQ44" i="31"/>
  <c r="BQ43" i="31"/>
  <c r="BQ42" i="31"/>
  <c r="BQ41" i="31"/>
  <c r="BQ40" i="31"/>
  <c r="BQ39" i="31"/>
  <c r="BQ38" i="31"/>
  <c r="BQ37" i="31"/>
  <c r="BQ36" i="31"/>
  <c r="BQ35" i="31"/>
  <c r="BQ34" i="31"/>
  <c r="BQ33" i="31"/>
  <c r="BQ32" i="31"/>
  <c r="BQ31" i="31"/>
  <c r="BQ30" i="31"/>
  <c r="BQ28" i="31"/>
  <c r="BQ26" i="31"/>
  <c r="BQ25" i="31"/>
  <c r="BQ24" i="31"/>
  <c r="BQ23" i="31"/>
  <c r="BQ22" i="31"/>
  <c r="BQ21" i="31"/>
  <c r="BQ20" i="31"/>
  <c r="BQ19" i="31"/>
  <c r="BQ18" i="31"/>
  <c r="BQ17" i="31"/>
  <c r="BQ15" i="31"/>
  <c r="BQ13" i="31"/>
  <c r="BQ12" i="31"/>
  <c r="BQ11" i="31"/>
  <c r="BQ10" i="31"/>
  <c r="BQ9" i="31"/>
  <c r="BQ8" i="31"/>
  <c r="BQ7" i="31"/>
  <c r="BQ6" i="31"/>
  <c r="BQ5" i="31"/>
  <c r="BQ4" i="31"/>
  <c r="BQ3" i="31"/>
  <c r="BO77" i="31"/>
  <c r="AR37" i="32" l="1"/>
  <c r="BC37" i="32" s="1"/>
  <c r="BU37" i="32" s="1"/>
  <c r="AM5" i="32"/>
  <c r="AO5" i="32" s="1"/>
  <c r="AR13" i="32"/>
  <c r="BC13" i="32" s="1"/>
  <c r="BU13" i="32" s="1"/>
  <c r="AM47" i="32"/>
  <c r="AO47" i="32" s="1"/>
  <c r="AM26" i="32"/>
  <c r="AO26" i="32" s="1"/>
  <c r="AR27" i="32"/>
  <c r="BC27" i="32" s="1"/>
  <c r="BU27" i="32" s="1"/>
  <c r="AM11" i="32"/>
  <c r="AO11" i="32" s="1"/>
  <c r="AR18" i="32"/>
  <c r="BC18" i="32" s="1"/>
  <c r="AR3" i="32"/>
  <c r="BC3" i="32" s="1"/>
  <c r="BU3" i="32" s="1"/>
  <c r="AM19" i="32"/>
  <c r="AO19" i="32" s="1"/>
  <c r="AM3" i="32"/>
  <c r="AO3" i="32" s="1"/>
  <c r="AR28" i="32"/>
  <c r="BC28" i="32" s="1"/>
  <c r="BU28" i="32" s="1"/>
  <c r="AR43" i="32"/>
  <c r="BC43" i="32" s="1"/>
  <c r="BU43" i="32" s="1"/>
  <c r="AM27" i="32"/>
  <c r="AO27" i="32" s="1"/>
  <c r="AM39" i="32"/>
  <c r="AO39" i="32" s="1"/>
  <c r="AM32" i="32"/>
  <c r="AO32" i="32" s="1"/>
  <c r="AM18" i="32"/>
  <c r="AO18" i="32" s="1"/>
  <c r="AR38" i="32"/>
  <c r="BC38" i="32" s="1"/>
  <c r="BU38" i="32" s="1"/>
  <c r="AM22" i="32"/>
  <c r="AO22" i="32" s="1"/>
  <c r="AM37" i="32"/>
  <c r="AO37" i="32" s="1"/>
  <c r="AR48" i="32"/>
  <c r="BC48" i="32" s="1"/>
  <c r="BU48" i="32" s="1"/>
  <c r="AR36" i="32"/>
  <c r="BC36" i="32" s="1"/>
  <c r="BU36" i="32" s="1"/>
  <c r="AR26" i="32"/>
  <c r="BC26" i="32" s="1"/>
  <c r="BU26" i="32" s="1"/>
  <c r="AR10" i="32"/>
  <c r="BC10" i="32" s="1"/>
  <c r="BU10" i="32" s="1"/>
  <c r="AR47" i="32"/>
  <c r="BC47" i="32" s="1"/>
  <c r="BU47" i="32" s="1"/>
  <c r="AR35" i="32"/>
  <c r="BC35" i="32" s="1"/>
  <c r="BU35" i="32" s="1"/>
  <c r="AR23" i="32"/>
  <c r="BC23" i="32" s="1"/>
  <c r="BU23" i="32" s="1"/>
  <c r="AR8" i="32"/>
  <c r="BC8" i="32" s="1"/>
  <c r="BU8" i="32" s="1"/>
  <c r="AR34" i="32"/>
  <c r="BC34" i="32" s="1"/>
  <c r="BU34" i="32" s="1"/>
  <c r="AR5" i="32"/>
  <c r="BC5" i="32" s="1"/>
  <c r="BU5" i="32" s="1"/>
  <c r="AR45" i="32"/>
  <c r="BC45" i="32" s="1"/>
  <c r="BU45" i="32" s="1"/>
  <c r="AR32" i="32"/>
  <c r="BC32" i="32" s="1"/>
  <c r="BU32" i="32" s="1"/>
  <c r="AR19" i="32"/>
  <c r="BC19" i="32" s="1"/>
  <c r="AR4" i="32"/>
  <c r="BC4" i="32" s="1"/>
  <c r="BU4" i="32" s="1"/>
  <c r="AR46" i="32"/>
  <c r="BC46" i="32" s="1"/>
  <c r="BU46" i="32" s="1"/>
  <c r="AR22" i="32"/>
  <c r="BC22" i="32" s="1"/>
  <c r="BU22" i="32" s="1"/>
  <c r="AM8" i="32"/>
  <c r="AO8" i="32" s="1"/>
  <c r="AM17" i="32"/>
  <c r="AO17" i="32" s="1"/>
  <c r="AR31" i="32"/>
  <c r="BC31" i="32" s="1"/>
  <c r="BU31" i="32" s="1"/>
  <c r="AR29" i="32"/>
  <c r="BC29" i="32" s="1"/>
  <c r="BU29" i="32" s="1"/>
  <c r="AR49" i="32"/>
  <c r="BC49" i="32" s="1"/>
  <c r="BU49" i="32" s="1"/>
  <c r="AM34" i="32"/>
  <c r="AO34" i="32" s="1"/>
  <c r="AM13" i="32"/>
  <c r="AO13" i="32" s="1"/>
  <c r="AR39" i="32"/>
  <c r="BC39" i="32" s="1"/>
  <c r="BU39" i="32" s="1"/>
  <c r="AM23" i="32"/>
  <c r="AO23" i="32" s="1"/>
  <c r="AM29" i="32"/>
  <c r="AO29" i="32" s="1"/>
  <c r="AR11" i="32"/>
  <c r="BC11" i="32" s="1"/>
  <c r="BU11" i="32" s="1"/>
  <c r="AR17" i="32"/>
  <c r="BC17" i="32" s="1"/>
  <c r="BU17" i="32" s="1"/>
  <c r="AM49" i="32"/>
  <c r="AO49" i="32" s="1"/>
  <c r="AM31" i="32"/>
  <c r="AO31" i="32" s="1"/>
  <c r="AM43" i="32"/>
  <c r="AO43" i="32" s="1"/>
  <c r="AM4" i="32"/>
  <c r="AO4" i="32" s="1"/>
  <c r="AM35" i="32"/>
  <c r="AO35" i="32" s="1"/>
  <c r="AM28" i="32"/>
  <c r="AO28" i="32" s="1"/>
  <c r="AM36" i="32"/>
  <c r="AO36" i="32" s="1"/>
  <c r="AM45" i="32"/>
  <c r="AO45" i="32" s="1"/>
  <c r="AM10" i="32"/>
  <c r="AO10" i="32" s="1"/>
  <c r="AM38" i="32"/>
  <c r="AO38" i="32" s="1"/>
  <c r="AM46" i="32"/>
  <c r="AO46" i="32" s="1"/>
  <c r="CE42" i="31"/>
  <c r="CE6" i="31"/>
  <c r="CE40" i="31"/>
  <c r="CE22" i="31"/>
  <c r="CE4" i="31"/>
  <c r="CE50" i="31"/>
  <c r="CE72" i="31"/>
  <c r="CE56" i="31"/>
  <c r="CE58" i="31"/>
  <c r="CE66" i="31"/>
  <c r="CE24" i="31"/>
  <c r="CE74" i="31"/>
  <c r="CE34" i="31"/>
  <c r="CE15" i="31"/>
  <c r="CE53" i="31"/>
  <c r="CE36" i="31"/>
  <c r="CE62" i="31"/>
  <c r="CE45" i="31"/>
  <c r="CE26" i="31"/>
  <c r="CE46" i="31"/>
  <c r="CE38" i="31"/>
  <c r="CE18" i="31"/>
  <c r="CE21" i="31"/>
  <c r="CE13" i="31"/>
  <c r="CE30" i="31"/>
  <c r="CE71" i="31"/>
  <c r="CE28" i="31"/>
  <c r="CE76" i="31"/>
  <c r="CE31" i="31"/>
  <c r="CE73" i="31"/>
  <c r="CE5" i="31"/>
  <c r="CE35" i="31"/>
  <c r="CE55" i="31"/>
  <c r="CE37" i="31"/>
  <c r="CE10" i="31"/>
  <c r="CE39" i="31"/>
  <c r="CE19" i="31"/>
  <c r="CE68" i="31"/>
  <c r="CE59" i="31"/>
  <c r="CE65" i="31"/>
  <c r="CE54" i="31"/>
  <c r="CE61" i="31"/>
  <c r="CE63" i="31"/>
  <c r="CE48" i="31"/>
  <c r="CE43" i="31"/>
  <c r="CE33" i="31"/>
  <c r="CE23" i="31"/>
  <c r="CE9" i="31"/>
  <c r="CE3" i="31"/>
  <c r="CE8" i="31"/>
  <c r="CE60" i="31"/>
  <c r="CE25" i="31"/>
  <c r="CE57" i="31"/>
  <c r="CE20" i="31"/>
  <c r="CE51" i="31"/>
  <c r="CE7" i="31"/>
  <c r="CE44" i="31"/>
  <c r="CE41" i="31"/>
  <c r="CE47" i="31"/>
  <c r="CE32" i="31"/>
  <c r="CE17" i="31"/>
  <c r="CE70" i="31"/>
  <c r="CE11" i="31"/>
  <c r="CE75" i="31"/>
  <c r="CE69" i="31"/>
  <c r="CE67" i="31"/>
  <c r="CE52" i="31"/>
  <c r="CE12" i="31"/>
  <c r="CE49" i="31"/>
  <c r="CE64" i="31"/>
  <c r="BQ77" i="31"/>
  <c r="BQ78" i="31"/>
  <c r="BH76" i="31"/>
  <c r="BH75" i="31"/>
  <c r="BH74" i="31"/>
  <c r="BH73" i="31"/>
  <c r="BH72" i="31"/>
  <c r="BH71" i="31"/>
  <c r="BH70" i="31"/>
  <c r="BH69" i="31"/>
  <c r="BH68" i="31"/>
  <c r="BH67" i="31"/>
  <c r="BH66" i="31"/>
  <c r="BH65" i="31"/>
  <c r="BH64" i="31"/>
  <c r="BH63" i="31"/>
  <c r="BH62" i="31"/>
  <c r="BH61" i="31"/>
  <c r="BH60" i="31"/>
  <c r="BH59" i="31"/>
  <c r="BH58" i="31"/>
  <c r="BH57" i="31"/>
  <c r="BH56" i="31"/>
  <c r="BH55" i="31"/>
  <c r="BH54" i="31"/>
  <c r="BH53" i="31"/>
  <c r="BH52" i="31"/>
  <c r="BH51" i="31"/>
  <c r="BH50" i="31"/>
  <c r="BH49" i="31"/>
  <c r="BH48" i="31"/>
  <c r="BH47" i="31"/>
  <c r="BH46" i="31"/>
  <c r="BH45" i="31"/>
  <c r="BH44" i="31"/>
  <c r="BH43" i="31"/>
  <c r="BH42" i="31"/>
  <c r="BH41" i="31"/>
  <c r="BH40" i="31"/>
  <c r="BH39" i="31"/>
  <c r="BH38" i="31"/>
  <c r="BH37" i="31"/>
  <c r="BH36" i="31"/>
  <c r="BH35" i="31"/>
  <c r="BH34" i="31"/>
  <c r="BH33" i="31"/>
  <c r="BH32" i="31"/>
  <c r="BH31" i="31"/>
  <c r="BH30" i="31"/>
  <c r="BH28" i="31"/>
  <c r="BH26" i="31"/>
  <c r="BH25" i="31"/>
  <c r="BH24" i="31"/>
  <c r="BH23" i="31"/>
  <c r="BH22" i="31"/>
  <c r="BH21" i="31"/>
  <c r="BH20" i="31"/>
  <c r="BH19" i="31"/>
  <c r="BH18" i="31"/>
  <c r="BH17" i="31"/>
  <c r="BH15" i="31"/>
  <c r="BH13" i="31"/>
  <c r="BH12" i="31"/>
  <c r="BH11" i="31"/>
  <c r="BH10" i="31"/>
  <c r="BH9" i="31"/>
  <c r="BH8" i="31"/>
  <c r="BH7" i="31"/>
  <c r="BH6" i="31"/>
  <c r="BH5" i="31"/>
  <c r="BH4" i="31"/>
  <c r="BH3" i="31"/>
  <c r="BB77" i="31"/>
  <c r="AB77" i="31"/>
  <c r="C29" i="31"/>
  <c r="P29" i="31" s="1"/>
  <c r="AQ29" i="31"/>
  <c r="AZ29" i="31"/>
  <c r="BD29" i="31"/>
  <c r="BI29" i="31"/>
  <c r="BU29" i="31"/>
  <c r="CH29" i="31"/>
  <c r="CI29" i="31"/>
  <c r="AO51" i="32" l="1"/>
  <c r="AO50" i="32"/>
  <c r="AQ34" i="32" s="1"/>
  <c r="BR4" i="31"/>
  <c r="BR40" i="31"/>
  <c r="BR9" i="31"/>
  <c r="BR41" i="31"/>
  <c r="BR5" i="31"/>
  <c r="BR55" i="31"/>
  <c r="BR21" i="31"/>
  <c r="BR58" i="31"/>
  <c r="BR76" i="31"/>
  <c r="BR24" i="31"/>
  <c r="BR70" i="31"/>
  <c r="BR69" i="31"/>
  <c r="BR62" i="31"/>
  <c r="BR52" i="31"/>
  <c r="BR53" i="31"/>
  <c r="BR45" i="31"/>
  <c r="BR10" i="31"/>
  <c r="BR19" i="31"/>
  <c r="BR61" i="31"/>
  <c r="BR73" i="31"/>
  <c r="BR72" i="31"/>
  <c r="BR43" i="31"/>
  <c r="BR17" i="31"/>
  <c r="BR74" i="31"/>
  <c r="BR57" i="31"/>
  <c r="BR56" i="31"/>
  <c r="BR71" i="31"/>
  <c r="BR38" i="31"/>
  <c r="BR66" i="31"/>
  <c r="BR49" i="31"/>
  <c r="BR48" i="31"/>
  <c r="BR63" i="31"/>
  <c r="BR6" i="31"/>
  <c r="BR20" i="31"/>
  <c r="BR30" i="31"/>
  <c r="BR3" i="31"/>
  <c r="BR25" i="31"/>
  <c r="BR50" i="31"/>
  <c r="BR8" i="31"/>
  <c r="BR33" i="31"/>
  <c r="BR37" i="31"/>
  <c r="BR32" i="31"/>
  <c r="BR28" i="31"/>
  <c r="BR47" i="31"/>
  <c r="BR68" i="31"/>
  <c r="BR26" i="31"/>
  <c r="BR42" i="31"/>
  <c r="BR75" i="31"/>
  <c r="BR23" i="31"/>
  <c r="BR44" i="31"/>
  <c r="BR22" i="31"/>
  <c r="BR60" i="31"/>
  <c r="BR39" i="31"/>
  <c r="BR36" i="31"/>
  <c r="BR59" i="31"/>
  <c r="BO78" i="31"/>
  <c r="CB78" i="31"/>
  <c r="BR34" i="31"/>
  <c r="BR35" i="31"/>
  <c r="BR13" i="31"/>
  <c r="BR67" i="31"/>
  <c r="BR12" i="31"/>
  <c r="BR18" i="31"/>
  <c r="BR31" i="31"/>
  <c r="BR51" i="31"/>
  <c r="BR15" i="31"/>
  <c r="BR65" i="31"/>
  <c r="BR46" i="31"/>
  <c r="BR64" i="31"/>
  <c r="BR54" i="31"/>
  <c r="BR7" i="31"/>
  <c r="BR11" i="31"/>
  <c r="BH78" i="31"/>
  <c r="BH77" i="31"/>
  <c r="BB78" i="31"/>
  <c r="BE11" i="31" s="1"/>
  <c r="BG11" i="31" s="1"/>
  <c r="M29" i="31"/>
  <c r="R29" i="31" s="1"/>
  <c r="V29" i="31"/>
  <c r="AJ29" i="31"/>
  <c r="BR49" i="32"/>
  <c r="BR48" i="32"/>
  <c r="BR47" i="32"/>
  <c r="BR46" i="32"/>
  <c r="BR45" i="32"/>
  <c r="BR43" i="32"/>
  <c r="BR39" i="32"/>
  <c r="BR38" i="32"/>
  <c r="BR37" i="32"/>
  <c r="BR36" i="32"/>
  <c r="BR35" i="32"/>
  <c r="BR34" i="32"/>
  <c r="BR33" i="32"/>
  <c r="BR32" i="32"/>
  <c r="BR31" i="32"/>
  <c r="BR29" i="32"/>
  <c r="BR28" i="32"/>
  <c r="BR27" i="32"/>
  <c r="BR26" i="32"/>
  <c r="BR23" i="32"/>
  <c r="BR22" i="32"/>
  <c r="BR17" i="32"/>
  <c r="BR14" i="32"/>
  <c r="BR13" i="32"/>
  <c r="BR11" i="32"/>
  <c r="BR10" i="32"/>
  <c r="BR8" i="32"/>
  <c r="BR5" i="32"/>
  <c r="BR4" i="32"/>
  <c r="BR3" i="32"/>
  <c r="AU49" i="32"/>
  <c r="AU48" i="32"/>
  <c r="AU47" i="32"/>
  <c r="AU46" i="32"/>
  <c r="AU45" i="32"/>
  <c r="AU43" i="32"/>
  <c r="AU39" i="32"/>
  <c r="AU38" i="32"/>
  <c r="AU37" i="32"/>
  <c r="AU36" i="32"/>
  <c r="AU35" i="32"/>
  <c r="AU34" i="32"/>
  <c r="AU33" i="32"/>
  <c r="AU32" i="32"/>
  <c r="AU31" i="32"/>
  <c r="AU29" i="32"/>
  <c r="AU28" i="32"/>
  <c r="AU27" i="32"/>
  <c r="AU26" i="32"/>
  <c r="AU23" i="32"/>
  <c r="AU22" i="32"/>
  <c r="AU17" i="32"/>
  <c r="AU14" i="32"/>
  <c r="AU13" i="32"/>
  <c r="AU11" i="32"/>
  <c r="AU10" i="32"/>
  <c r="AU8" i="32"/>
  <c r="AU5" i="32"/>
  <c r="AU4" i="32"/>
  <c r="AU3" i="32"/>
  <c r="CI76" i="31"/>
  <c r="CI75" i="31"/>
  <c r="CI74" i="31"/>
  <c r="CI73" i="31"/>
  <c r="CI72" i="31"/>
  <c r="CI71" i="31"/>
  <c r="CI69" i="31"/>
  <c r="CI68" i="31"/>
  <c r="CI67" i="31"/>
  <c r="CI66" i="31"/>
  <c r="CI65" i="31"/>
  <c r="CI64" i="31"/>
  <c r="CI63" i="31"/>
  <c r="CI62" i="31"/>
  <c r="CI61" i="31"/>
  <c r="CI60" i="31"/>
  <c r="CI59" i="31"/>
  <c r="CI58" i="31"/>
  <c r="CI57" i="31"/>
  <c r="CI56" i="31"/>
  <c r="CI55" i="31"/>
  <c r="CI54" i="31"/>
  <c r="CI53" i="31"/>
  <c r="CI52" i="31"/>
  <c r="CI51" i="31"/>
  <c r="CI50" i="31"/>
  <c r="CI49" i="31"/>
  <c r="CI48" i="31"/>
  <c r="CI47" i="31"/>
  <c r="CI46" i="31"/>
  <c r="CI45" i="31"/>
  <c r="CI44" i="31"/>
  <c r="CI43" i="31"/>
  <c r="CI42" i="31"/>
  <c r="CI41" i="31"/>
  <c r="CI40" i="31"/>
  <c r="CI39" i="31"/>
  <c r="CI38" i="31"/>
  <c r="CI37" i="31"/>
  <c r="CI36" i="31"/>
  <c r="CI35" i="31"/>
  <c r="CI34" i="31"/>
  <c r="CI32" i="31"/>
  <c r="CI31" i="31"/>
  <c r="CI28" i="31"/>
  <c r="CI26" i="31"/>
  <c r="CI25" i="31"/>
  <c r="CI24" i="31"/>
  <c r="CI23" i="31"/>
  <c r="CI22" i="31"/>
  <c r="CI21" i="31"/>
  <c r="CI20" i="31"/>
  <c r="CI19" i="31"/>
  <c r="CI18" i="31"/>
  <c r="CI17" i="31"/>
  <c r="CI15" i="31"/>
  <c r="CI13" i="31"/>
  <c r="CI12" i="31"/>
  <c r="CI11" i="31"/>
  <c r="CI10" i="31"/>
  <c r="CI9" i="31"/>
  <c r="CI7" i="31"/>
  <c r="CI6" i="31"/>
  <c r="CI5" i="31"/>
  <c r="CI4" i="31"/>
  <c r="CI3" i="31"/>
  <c r="BI76" i="31"/>
  <c r="BI75" i="31"/>
  <c r="BI74" i="31"/>
  <c r="BI73" i="31"/>
  <c r="BI72" i="31"/>
  <c r="BI71" i="31"/>
  <c r="BI69" i="31"/>
  <c r="BI68" i="31"/>
  <c r="BI67" i="31"/>
  <c r="BI66" i="31"/>
  <c r="BI65" i="31"/>
  <c r="BI64" i="31"/>
  <c r="BI63" i="31"/>
  <c r="BI62" i="31"/>
  <c r="BI61" i="31"/>
  <c r="BI60" i="31"/>
  <c r="BI59" i="31"/>
  <c r="BI58" i="31"/>
  <c r="BI57" i="31"/>
  <c r="BI56" i="31"/>
  <c r="BI55" i="31"/>
  <c r="BI54" i="31"/>
  <c r="BI53" i="31"/>
  <c r="BI52" i="31"/>
  <c r="BI51" i="31"/>
  <c r="BI50" i="31"/>
  <c r="BI49" i="31"/>
  <c r="BI48" i="31"/>
  <c r="BI47" i="31"/>
  <c r="BI46" i="31"/>
  <c r="BI45" i="31"/>
  <c r="BI44" i="31"/>
  <c r="BI43" i="31"/>
  <c r="BI42" i="31"/>
  <c r="BI41" i="31"/>
  <c r="BI40" i="31"/>
  <c r="BI39" i="31"/>
  <c r="BI38" i="31"/>
  <c r="BI37" i="31"/>
  <c r="BI36" i="31"/>
  <c r="BI35" i="31"/>
  <c r="BI34" i="31"/>
  <c r="BI32" i="31"/>
  <c r="BI31" i="31"/>
  <c r="BI28" i="31"/>
  <c r="BI26" i="31"/>
  <c r="BI25" i="31"/>
  <c r="BI24" i="31"/>
  <c r="BI23" i="31"/>
  <c r="BI22" i="31"/>
  <c r="BI21" i="31"/>
  <c r="BI20" i="31"/>
  <c r="BI19" i="31"/>
  <c r="BI18" i="31"/>
  <c r="BI17" i="31"/>
  <c r="BI15" i="31"/>
  <c r="BI13" i="31"/>
  <c r="BI12" i="31"/>
  <c r="BI11" i="31"/>
  <c r="BI10" i="31"/>
  <c r="BI9" i="31"/>
  <c r="BI7" i="31"/>
  <c r="BI6" i="31"/>
  <c r="BI5" i="31"/>
  <c r="BI4" i="31"/>
  <c r="BI3" i="31"/>
  <c r="BB12" i="30"/>
  <c r="BB11" i="30"/>
  <c r="BB10" i="30"/>
  <c r="BB6" i="30"/>
  <c r="BB5" i="30"/>
  <c r="BB4" i="30"/>
  <c r="BO12" i="30"/>
  <c r="BO11" i="30"/>
  <c r="BO10" i="30"/>
  <c r="BO6" i="30"/>
  <c r="BO5" i="30"/>
  <c r="BO4" i="30"/>
  <c r="BT13" i="29"/>
  <c r="BT12" i="29"/>
  <c r="BT11" i="29"/>
  <c r="BT10" i="29"/>
  <c r="BT9" i="29"/>
  <c r="BT8" i="29"/>
  <c r="BT7" i="29"/>
  <c r="BT6" i="29"/>
  <c r="BT5" i="29"/>
  <c r="BT4" i="29"/>
  <c r="BT3" i="29"/>
  <c r="BT16" i="29" l="1"/>
  <c r="AQ17" i="32"/>
  <c r="AQ23" i="32"/>
  <c r="AQ31" i="32"/>
  <c r="AQ28" i="32"/>
  <c r="AQ4" i="32"/>
  <c r="AQ10" i="32"/>
  <c r="AQ22" i="32"/>
  <c r="AQ43" i="32"/>
  <c r="AQ29" i="32"/>
  <c r="AQ36" i="32"/>
  <c r="AQ38" i="32"/>
  <c r="AQ8" i="32"/>
  <c r="AQ19" i="32"/>
  <c r="AQ3" i="32"/>
  <c r="AQ26" i="32"/>
  <c r="AQ32" i="32"/>
  <c r="AQ5" i="32"/>
  <c r="AQ18" i="32"/>
  <c r="AQ39" i="32"/>
  <c r="AQ48" i="32"/>
  <c r="AQ11" i="32"/>
  <c r="AQ47" i="32"/>
  <c r="AQ27" i="32"/>
  <c r="AQ49" i="32"/>
  <c r="AQ37" i="32"/>
  <c r="AQ46" i="32"/>
  <c r="AQ45" i="32"/>
  <c r="AQ13" i="32"/>
  <c r="AQ35" i="32"/>
  <c r="BR52" i="32"/>
  <c r="BL11" i="31"/>
  <c r="BS11" i="31" s="1"/>
  <c r="CF11" i="31" s="1"/>
  <c r="BL21" i="31"/>
  <c r="BS21" i="31" s="1"/>
  <c r="CF21" i="31" s="1"/>
  <c r="BL8" i="31"/>
  <c r="BS8" i="31" s="1"/>
  <c r="CF8" i="31" s="1"/>
  <c r="BL4" i="31"/>
  <c r="BS4" i="31" s="1"/>
  <c r="CF4" i="31" s="1"/>
  <c r="BL13" i="31"/>
  <c r="BS13" i="31" s="1"/>
  <c r="CF13" i="31" s="1"/>
  <c r="BL23" i="31"/>
  <c r="BS23" i="31" s="1"/>
  <c r="CF23" i="31" s="1"/>
  <c r="BL35" i="31"/>
  <c r="BS35" i="31" s="1"/>
  <c r="CF35" i="31" s="1"/>
  <c r="BL43" i="31"/>
  <c r="BS43" i="31" s="1"/>
  <c r="CF43" i="31" s="1"/>
  <c r="BL6" i="31"/>
  <c r="BS6" i="31" s="1"/>
  <c r="CF6" i="31" s="1"/>
  <c r="BL9" i="31"/>
  <c r="BS9" i="31" s="1"/>
  <c r="CF9" i="31" s="1"/>
  <c r="BL19" i="31"/>
  <c r="BS19" i="31" s="1"/>
  <c r="CF19" i="31" s="1"/>
  <c r="BL28" i="31"/>
  <c r="BS28" i="31" s="1"/>
  <c r="CF28" i="31" s="1"/>
  <c r="BL39" i="31"/>
  <c r="BS39" i="31" s="1"/>
  <c r="CF39" i="31" s="1"/>
  <c r="BL47" i="31"/>
  <c r="BS47" i="31" s="1"/>
  <c r="CF47" i="31" s="1"/>
  <c r="BL55" i="31"/>
  <c r="BS55" i="31" s="1"/>
  <c r="CF55" i="31" s="1"/>
  <c r="BL63" i="31"/>
  <c r="BS63" i="31" s="1"/>
  <c r="CF63" i="31" s="1"/>
  <c r="BL72" i="31"/>
  <c r="BS72" i="31" s="1"/>
  <c r="CF72" i="31" s="1"/>
  <c r="BL7" i="31"/>
  <c r="BS7" i="31" s="1"/>
  <c r="CF7" i="31" s="1"/>
  <c r="BL10" i="31"/>
  <c r="BS10" i="31" s="1"/>
  <c r="CF10" i="31" s="1"/>
  <c r="BL20" i="31"/>
  <c r="BS20" i="31" s="1"/>
  <c r="CF20" i="31" s="1"/>
  <c r="BL31" i="31"/>
  <c r="BS31" i="31" s="1"/>
  <c r="CF31" i="31" s="1"/>
  <c r="BL40" i="31"/>
  <c r="BS40" i="31" s="1"/>
  <c r="CF40" i="31" s="1"/>
  <c r="BL48" i="31"/>
  <c r="BS48" i="31" s="1"/>
  <c r="CF48" i="31" s="1"/>
  <c r="BL56" i="31"/>
  <c r="BS56" i="31" s="1"/>
  <c r="CF56" i="31" s="1"/>
  <c r="BL64" i="31"/>
  <c r="BS64" i="31" s="1"/>
  <c r="CF64" i="31" s="1"/>
  <c r="BL73" i="31"/>
  <c r="BS73" i="31" s="1"/>
  <c r="CF73" i="31" s="1"/>
  <c r="BL3" i="31"/>
  <c r="BS3" i="31" s="1"/>
  <c r="CF3" i="31" s="1"/>
  <c r="BL12" i="31"/>
  <c r="BS12" i="31" s="1"/>
  <c r="CF12" i="31" s="1"/>
  <c r="BL22" i="31"/>
  <c r="BS22" i="31" s="1"/>
  <c r="CF22" i="31" s="1"/>
  <c r="BL51" i="31"/>
  <c r="BS51" i="31" s="1"/>
  <c r="CF51" i="31" s="1"/>
  <c r="BL59" i="31"/>
  <c r="BS59" i="31" s="1"/>
  <c r="CF59" i="31" s="1"/>
  <c r="BL67" i="31"/>
  <c r="BS67" i="31" s="1"/>
  <c r="CF67" i="31" s="1"/>
  <c r="BL76" i="31"/>
  <c r="BS76" i="31" s="1"/>
  <c r="CF76" i="31" s="1"/>
  <c r="BL5" i="31"/>
  <c r="BS5" i="31" s="1"/>
  <c r="CF5" i="31" s="1"/>
  <c r="BL15" i="31"/>
  <c r="BS15" i="31" s="1"/>
  <c r="CF15" i="31" s="1"/>
  <c r="BL24" i="31"/>
  <c r="BS24" i="31" s="1"/>
  <c r="CF24" i="31" s="1"/>
  <c r="BL36" i="31"/>
  <c r="BS36" i="31" s="1"/>
  <c r="CF36" i="31" s="1"/>
  <c r="BL44" i="31"/>
  <c r="BS44" i="31" s="1"/>
  <c r="CF44" i="31" s="1"/>
  <c r="BL52" i="31"/>
  <c r="BS52" i="31" s="1"/>
  <c r="CF52" i="31" s="1"/>
  <c r="BL60" i="31"/>
  <c r="BS60" i="31" s="1"/>
  <c r="CF60" i="31" s="1"/>
  <c r="BL68" i="31"/>
  <c r="BS68" i="31" s="1"/>
  <c r="CF68" i="31" s="1"/>
  <c r="BL70" i="31"/>
  <c r="BS70" i="31" s="1"/>
  <c r="CF70" i="31" s="1"/>
  <c r="BL30" i="31"/>
  <c r="BS30" i="31" s="1"/>
  <c r="CF30" i="31" s="1"/>
  <c r="BE24" i="31"/>
  <c r="BG24" i="31" s="1"/>
  <c r="BL32" i="31"/>
  <c r="BS32" i="31" s="1"/>
  <c r="CF32" i="31" s="1"/>
  <c r="BL41" i="31"/>
  <c r="BS41" i="31" s="1"/>
  <c r="CF41" i="31" s="1"/>
  <c r="BL49" i="31"/>
  <c r="BS49" i="31" s="1"/>
  <c r="CF49" i="31" s="1"/>
  <c r="BL57" i="31"/>
  <c r="BS57" i="31" s="1"/>
  <c r="CF57" i="31" s="1"/>
  <c r="BL65" i="31"/>
  <c r="BS65" i="31" s="1"/>
  <c r="CF65" i="31" s="1"/>
  <c r="BL74" i="31"/>
  <c r="BS74" i="31" s="1"/>
  <c r="CF74" i="31" s="1"/>
  <c r="BE44" i="31"/>
  <c r="BG44" i="31" s="1"/>
  <c r="BE53" i="31"/>
  <c r="BG53" i="31" s="1"/>
  <c r="BE7" i="31"/>
  <c r="BG7" i="31" s="1"/>
  <c r="BL34" i="31"/>
  <c r="BS34" i="31" s="1"/>
  <c r="CF34" i="31" s="1"/>
  <c r="BL42" i="31"/>
  <c r="BS42" i="31" s="1"/>
  <c r="CF42" i="31" s="1"/>
  <c r="BL50" i="31"/>
  <c r="BS50" i="31" s="1"/>
  <c r="CF50" i="31" s="1"/>
  <c r="BL58" i="31"/>
  <c r="BS58" i="31" s="1"/>
  <c r="CF58" i="31" s="1"/>
  <c r="BL66" i="31"/>
  <c r="BS66" i="31" s="1"/>
  <c r="CF66" i="31" s="1"/>
  <c r="BL75" i="31"/>
  <c r="BS75" i="31" s="1"/>
  <c r="CF75" i="31" s="1"/>
  <c r="BE17" i="31"/>
  <c r="BG17" i="31" s="1"/>
  <c r="BE38" i="31"/>
  <c r="BG38" i="31" s="1"/>
  <c r="BE23" i="31"/>
  <c r="BG23" i="31" s="1"/>
  <c r="BL17" i="31"/>
  <c r="BS17" i="31" s="1"/>
  <c r="CF17" i="31" s="1"/>
  <c r="BL25" i="31"/>
  <c r="BS25" i="31" s="1"/>
  <c r="CF25" i="31" s="1"/>
  <c r="BL37" i="31"/>
  <c r="BS37" i="31" s="1"/>
  <c r="CF37" i="31" s="1"/>
  <c r="BL45" i="31"/>
  <c r="BS45" i="31" s="1"/>
  <c r="CF45" i="31" s="1"/>
  <c r="BL53" i="31"/>
  <c r="BS53" i="31" s="1"/>
  <c r="CF53" i="31" s="1"/>
  <c r="BL61" i="31"/>
  <c r="BS61" i="31" s="1"/>
  <c r="CF61" i="31" s="1"/>
  <c r="BL69" i="31"/>
  <c r="BS69" i="31" s="1"/>
  <c r="CF69" i="31" s="1"/>
  <c r="BE36" i="31"/>
  <c r="BG36" i="31" s="1"/>
  <c r="BE32" i="31"/>
  <c r="BG32" i="31" s="1"/>
  <c r="BL18" i="31"/>
  <c r="BS18" i="31" s="1"/>
  <c r="CF18" i="31" s="1"/>
  <c r="BL26" i="31"/>
  <c r="BS26" i="31" s="1"/>
  <c r="CF26" i="31" s="1"/>
  <c r="BL38" i="31"/>
  <c r="BS38" i="31" s="1"/>
  <c r="CF38" i="31" s="1"/>
  <c r="BL46" i="31"/>
  <c r="BS46" i="31" s="1"/>
  <c r="CF46" i="31" s="1"/>
  <c r="BL54" i="31"/>
  <c r="BS54" i="31" s="1"/>
  <c r="CF54" i="31" s="1"/>
  <c r="BL62" i="31"/>
  <c r="BS62" i="31" s="1"/>
  <c r="CF62" i="31" s="1"/>
  <c r="BL71" i="31"/>
  <c r="BS71" i="31" s="1"/>
  <c r="CF71" i="31" s="1"/>
  <c r="BE28" i="31"/>
  <c r="BG28" i="31" s="1"/>
  <c r="BE67" i="31"/>
  <c r="BG67" i="31" s="1"/>
  <c r="BE33" i="31"/>
  <c r="BG33" i="31" s="1"/>
  <c r="BL33" i="31"/>
  <c r="BS33" i="31" s="1"/>
  <c r="CF33" i="31" s="1"/>
  <c r="BE25" i="31"/>
  <c r="BG25" i="31" s="1"/>
  <c r="BE47" i="31"/>
  <c r="BG47" i="31" s="1"/>
  <c r="BE45" i="31"/>
  <c r="BG45" i="31" s="1"/>
  <c r="BE74" i="31"/>
  <c r="BG74" i="31" s="1"/>
  <c r="BE9" i="31"/>
  <c r="BG9" i="31" s="1"/>
  <c r="BE37" i="31"/>
  <c r="BG37" i="31" s="1"/>
  <c r="BE72" i="31"/>
  <c r="BG72" i="31" s="1"/>
  <c r="BE5" i="31"/>
  <c r="BG5" i="31" s="1"/>
  <c r="BE43" i="31"/>
  <c r="BG43" i="31" s="1"/>
  <c r="BE64" i="31"/>
  <c r="BG64" i="31" s="1"/>
  <c r="BE65" i="31"/>
  <c r="BG65" i="31" s="1"/>
  <c r="BE12" i="31"/>
  <c r="BG12" i="31" s="1"/>
  <c r="BE35" i="31"/>
  <c r="BG35" i="31" s="1"/>
  <c r="BE50" i="31"/>
  <c r="BG50" i="31" s="1"/>
  <c r="BE56" i="31"/>
  <c r="BG56" i="31" s="1"/>
  <c r="BE68" i="31"/>
  <c r="BG68" i="31" s="1"/>
  <c r="BE57" i="31"/>
  <c r="BG57" i="31" s="1"/>
  <c r="BE71" i="31"/>
  <c r="BG71" i="31" s="1"/>
  <c r="BE3" i="31"/>
  <c r="BG3" i="31" s="1"/>
  <c r="BE70" i="31"/>
  <c r="BG70" i="31" s="1"/>
  <c r="BE39" i="31"/>
  <c r="BG39" i="31" s="1"/>
  <c r="BE13" i="31"/>
  <c r="BG13" i="31" s="1"/>
  <c r="BE31" i="31"/>
  <c r="BG31" i="31" s="1"/>
  <c r="BE51" i="31"/>
  <c r="BG51" i="31" s="1"/>
  <c r="BE4" i="31"/>
  <c r="BG4" i="31" s="1"/>
  <c r="BE22" i="31"/>
  <c r="BG22" i="31" s="1"/>
  <c r="BE58" i="31"/>
  <c r="BG58" i="31" s="1"/>
  <c r="BE76" i="31"/>
  <c r="BG76" i="31" s="1"/>
  <c r="BE19" i="31"/>
  <c r="BG19" i="31" s="1"/>
  <c r="BE10" i="31"/>
  <c r="BG10" i="31" s="1"/>
  <c r="BE26" i="31"/>
  <c r="BG26" i="31" s="1"/>
  <c r="BE42" i="31"/>
  <c r="BG42" i="31" s="1"/>
  <c r="BE48" i="31"/>
  <c r="BG48" i="31" s="1"/>
  <c r="BE60" i="31"/>
  <c r="BG60" i="31" s="1"/>
  <c r="BE49" i="31"/>
  <c r="BG49" i="31" s="1"/>
  <c r="BE63" i="31"/>
  <c r="BG63" i="31" s="1"/>
  <c r="BE69" i="31"/>
  <c r="BG69" i="31" s="1"/>
  <c r="BE62" i="31"/>
  <c r="BG62" i="31" s="1"/>
  <c r="BE59" i="31"/>
  <c r="BG59" i="31" s="1"/>
  <c r="BE6" i="31"/>
  <c r="BG6" i="31" s="1"/>
  <c r="BE15" i="31"/>
  <c r="BG15" i="31" s="1"/>
  <c r="BE66" i="31"/>
  <c r="BG66" i="31" s="1"/>
  <c r="BE73" i="31"/>
  <c r="BG73" i="31" s="1"/>
  <c r="BE20" i="31"/>
  <c r="BG20" i="31" s="1"/>
  <c r="BE18" i="31"/>
  <c r="BG18" i="31" s="1"/>
  <c r="BE34" i="31"/>
  <c r="BG34" i="31" s="1"/>
  <c r="BE40" i="31"/>
  <c r="BG40" i="31" s="1"/>
  <c r="BE52" i="31"/>
  <c r="BG52" i="31" s="1"/>
  <c r="BE41" i="31"/>
  <c r="BG41" i="31" s="1"/>
  <c r="BE55" i="31"/>
  <c r="BG55" i="31" s="1"/>
  <c r="BE61" i="31"/>
  <c r="BG61" i="31" s="1"/>
  <c r="BE54" i="31"/>
  <c r="BG54" i="31" s="1"/>
  <c r="BE46" i="31"/>
  <c r="BG46" i="31" s="1"/>
  <c r="BE30" i="31"/>
  <c r="BG30" i="31" s="1"/>
  <c r="BE21" i="31"/>
  <c r="BG21" i="31" s="1"/>
  <c r="BE75" i="31"/>
  <c r="BG75" i="31" s="1"/>
  <c r="BE8" i="31"/>
  <c r="BG8" i="31" s="1"/>
  <c r="BB14" i="30"/>
  <c r="BI79" i="31"/>
  <c r="BT15" i="29"/>
  <c r="BB15" i="30"/>
  <c r="BO15" i="30"/>
  <c r="CI79" i="31"/>
  <c r="BO14" i="30"/>
  <c r="CI78" i="31"/>
  <c r="BR51" i="32"/>
  <c r="AU51" i="32"/>
  <c r="AU52" i="32"/>
  <c r="BI78" i="31"/>
  <c r="BV12" i="29" l="1"/>
  <c r="BQ11" i="30"/>
  <c r="BD11" i="30"/>
  <c r="BD5" i="30"/>
  <c r="BQ10" i="30"/>
  <c r="BT28" i="32"/>
  <c r="AW8" i="32"/>
  <c r="BH8" i="32" s="1"/>
  <c r="AW43" i="32"/>
  <c r="BH43" i="32" s="1"/>
  <c r="AW34" i="32"/>
  <c r="BH34" i="32" s="1"/>
  <c r="AW22" i="32"/>
  <c r="BH22" i="32" s="1"/>
  <c r="AW48" i="32"/>
  <c r="BH48" i="32" s="1"/>
  <c r="BG77" i="31"/>
  <c r="BG78" i="31"/>
  <c r="BM29" i="31"/>
  <c r="BX29" i="31" s="1"/>
  <c r="CK29" i="31"/>
  <c r="CK60" i="31"/>
  <c r="CK58" i="31"/>
  <c r="CK59" i="31"/>
  <c r="CK42" i="31"/>
  <c r="CK22" i="31"/>
  <c r="CK12" i="31"/>
  <c r="BV10" i="29"/>
  <c r="BV9" i="29"/>
  <c r="BQ12" i="30"/>
  <c r="BV8" i="29"/>
  <c r="BV11" i="29"/>
  <c r="BV7" i="29"/>
  <c r="BD12" i="30"/>
  <c r="CK73" i="31"/>
  <c r="AW47" i="32"/>
  <c r="BH47" i="32" s="1"/>
  <c r="BQ6" i="30"/>
  <c r="CK56" i="31"/>
  <c r="BV3" i="29"/>
  <c r="BV13" i="29"/>
  <c r="BV4" i="29"/>
  <c r="BV6" i="29"/>
  <c r="BD4" i="30"/>
  <c r="AW38" i="32"/>
  <c r="BH38" i="32" s="1"/>
  <c r="BV5" i="29"/>
  <c r="BD6" i="30"/>
  <c r="BD10" i="30"/>
  <c r="BT45" i="32"/>
  <c r="BT33" i="32"/>
  <c r="BT22" i="32"/>
  <c r="BT5" i="32"/>
  <c r="BT39" i="32"/>
  <c r="BT31" i="32"/>
  <c r="BT14" i="32"/>
  <c r="BT3" i="32"/>
  <c r="BT46" i="32"/>
  <c r="BT34" i="32"/>
  <c r="BT23" i="32"/>
  <c r="CK3" i="31"/>
  <c r="CK44" i="31"/>
  <c r="CK31" i="31"/>
  <c r="CK57" i="31"/>
  <c r="BQ5" i="30"/>
  <c r="CK11" i="31"/>
  <c r="BT32" i="32"/>
  <c r="CK25" i="31"/>
  <c r="CK24" i="31"/>
  <c r="CK75" i="31"/>
  <c r="CK4" i="31"/>
  <c r="CK21" i="31"/>
  <c r="CK52" i="31"/>
  <c r="CK51" i="31"/>
  <c r="CK34" i="31"/>
  <c r="BT27" i="32"/>
  <c r="CK23" i="31"/>
  <c r="CK36" i="31"/>
  <c r="BT13" i="32"/>
  <c r="CK13" i="31"/>
  <c r="CK48" i="31"/>
  <c r="CK49" i="31"/>
  <c r="BT17" i="32"/>
  <c r="CK17" i="31"/>
  <c r="CK15" i="31"/>
  <c r="CK66" i="31"/>
  <c r="BQ4" i="30"/>
  <c r="BT36" i="32"/>
  <c r="BT8" i="32"/>
  <c r="BT11" i="32"/>
  <c r="BT38" i="32"/>
  <c r="CK74" i="31"/>
  <c r="BT29" i="32"/>
  <c r="CK64" i="31"/>
  <c r="AW39" i="32"/>
  <c r="BH39" i="32" s="1"/>
  <c r="AW11" i="32"/>
  <c r="BH11" i="32" s="1"/>
  <c r="BT49" i="32"/>
  <c r="CK41" i="31"/>
  <c r="BT48" i="32"/>
  <c r="BT35" i="32"/>
  <c r="BT4" i="32"/>
  <c r="CK6" i="31"/>
  <c r="CK76" i="31"/>
  <c r="CK5" i="31"/>
  <c r="CK69" i="31"/>
  <c r="CK61" i="31"/>
  <c r="CK53" i="31"/>
  <c r="CK45" i="31"/>
  <c r="CK37" i="31"/>
  <c r="CK26" i="31"/>
  <c r="CK18" i="31"/>
  <c r="CK7" i="31"/>
  <c r="CK62" i="31"/>
  <c r="CK19" i="31"/>
  <c r="CK38" i="31"/>
  <c r="CK20" i="31"/>
  <c r="CK28" i="31"/>
  <c r="CK72" i="31"/>
  <c r="CK63" i="31"/>
  <c r="CK55" i="31"/>
  <c r="CK47" i="31"/>
  <c r="CK39" i="31"/>
  <c r="CK10" i="31"/>
  <c r="CK71" i="31"/>
  <c r="CK46" i="31"/>
  <c r="CK54" i="31"/>
  <c r="CK9" i="31"/>
  <c r="CK40" i="31"/>
  <c r="CK43" i="31"/>
  <c r="CK65" i="31"/>
  <c r="BT43" i="32"/>
  <c r="CK35" i="31"/>
  <c r="AW33" i="32"/>
  <c r="BH33" i="32" s="1"/>
  <c r="AW26" i="32"/>
  <c r="BH26" i="32" s="1"/>
  <c r="AW3" i="32"/>
  <c r="BH3" i="32" s="1"/>
  <c r="BT37" i="32"/>
  <c r="CK32" i="31"/>
  <c r="BT10" i="32"/>
  <c r="BT26" i="32"/>
  <c r="CK68" i="31"/>
  <c r="CK67" i="31"/>
  <c r="CK50" i="31"/>
  <c r="BT47" i="32"/>
  <c r="AW23" i="32"/>
  <c r="BH23" i="32" s="1"/>
  <c r="AW27" i="32"/>
  <c r="BH27" i="32" s="1"/>
  <c r="AW36" i="32"/>
  <c r="BH36" i="32" s="1"/>
  <c r="AW29" i="32"/>
  <c r="BH29" i="32" s="1"/>
  <c r="AW17" i="32"/>
  <c r="BH17" i="32" s="1"/>
  <c r="AW45" i="32"/>
  <c r="BH45" i="32" s="1"/>
  <c r="AW35" i="32"/>
  <c r="BH35" i="32" s="1"/>
  <c r="AW28" i="32"/>
  <c r="BH28" i="32" s="1"/>
  <c r="AW14" i="32"/>
  <c r="BH14" i="32" s="1"/>
  <c r="AW5" i="32"/>
  <c r="BH5" i="32" s="1"/>
  <c r="AW46" i="32"/>
  <c r="BH46" i="32" s="1"/>
  <c r="AW7" i="32"/>
  <c r="BH7" i="32" s="1"/>
  <c r="AW37" i="32"/>
  <c r="BH37" i="32" s="1"/>
  <c r="AW13" i="32"/>
  <c r="BH13" i="32" s="1"/>
  <c r="AW32" i="32"/>
  <c r="BH32" i="32" s="1"/>
  <c r="AW49" i="32"/>
  <c r="BH49" i="32" s="1"/>
  <c r="AW31" i="32"/>
  <c r="BH31" i="32" s="1"/>
  <c r="AW4" i="32"/>
  <c r="BH4" i="32" s="1"/>
  <c r="AW10" i="32"/>
  <c r="BH10" i="32" s="1"/>
  <c r="J10" i="32" s="1"/>
  <c r="BM17" i="31"/>
  <c r="BX17" i="31" s="1"/>
  <c r="BM42" i="31"/>
  <c r="BX42" i="31" s="1"/>
  <c r="BM65" i="31"/>
  <c r="BX65" i="31" s="1"/>
  <c r="BM59" i="31"/>
  <c r="BX59" i="31" s="1"/>
  <c r="AD59" i="31" s="1"/>
  <c r="BM53" i="31"/>
  <c r="BX53" i="31" s="1"/>
  <c r="BM41" i="31"/>
  <c r="BX41" i="31" s="1"/>
  <c r="BM26" i="31"/>
  <c r="BX26" i="31" s="1"/>
  <c r="BM5" i="31"/>
  <c r="BX5" i="31" s="1"/>
  <c r="BM66" i="31"/>
  <c r="BX66" i="31" s="1"/>
  <c r="BM60" i="31"/>
  <c r="BX60" i="31" s="1"/>
  <c r="BM54" i="31"/>
  <c r="BX54" i="31" s="1"/>
  <c r="AD54" i="31" s="1"/>
  <c r="BM48" i="31"/>
  <c r="BX48" i="31" s="1"/>
  <c r="BM36" i="31"/>
  <c r="BX36" i="31" s="1"/>
  <c r="BM28" i="31"/>
  <c r="BX28" i="31" s="1"/>
  <c r="BM21" i="31"/>
  <c r="BX21" i="31" s="1"/>
  <c r="BM13" i="31"/>
  <c r="BX13" i="31" s="1"/>
  <c r="BM6" i="31"/>
  <c r="BX6" i="31" s="1"/>
  <c r="BM72" i="31"/>
  <c r="BX72" i="31" s="1"/>
  <c r="BM47" i="31"/>
  <c r="BX47" i="31" s="1"/>
  <c r="BM35" i="31"/>
  <c r="BX35" i="31" s="1"/>
  <c r="BM20" i="31"/>
  <c r="BX20" i="31" s="1"/>
  <c r="BM12" i="31"/>
  <c r="BX12" i="31" s="1"/>
  <c r="BM73" i="31"/>
  <c r="BX73" i="31" s="1"/>
  <c r="BM25" i="31"/>
  <c r="BX25" i="31" s="1"/>
  <c r="AD25" i="31" s="1"/>
  <c r="BM19" i="31"/>
  <c r="BX19" i="31" s="1"/>
  <c r="BM11" i="31"/>
  <c r="BX11" i="31" s="1"/>
  <c r="BM4" i="31"/>
  <c r="BX4" i="31" s="1"/>
  <c r="BM24" i="31"/>
  <c r="BX24" i="31" s="1"/>
  <c r="BM18" i="31"/>
  <c r="BX18" i="31" s="1"/>
  <c r="BM10" i="31"/>
  <c r="BX10" i="31" s="1"/>
  <c r="BM3" i="31"/>
  <c r="BX3" i="31" s="1"/>
  <c r="BM23" i="31"/>
  <c r="BX23" i="31" s="1"/>
  <c r="BM9" i="31"/>
  <c r="BX9" i="31" s="1"/>
  <c r="BM74" i="31"/>
  <c r="BX74" i="31" s="1"/>
  <c r="BM67" i="31"/>
  <c r="BX67" i="31" s="1"/>
  <c r="BM61" i="31"/>
  <c r="BX61" i="31" s="1"/>
  <c r="BM55" i="31"/>
  <c r="BX55" i="31" s="1"/>
  <c r="BM49" i="31"/>
  <c r="BX49" i="31" s="1"/>
  <c r="BM43" i="31"/>
  <c r="BX43" i="31" s="1"/>
  <c r="BM37" i="31"/>
  <c r="BX37" i="31" s="1"/>
  <c r="BM22" i="31"/>
  <c r="BX22" i="31" s="1"/>
  <c r="BM15" i="31"/>
  <c r="BX15" i="31" s="1"/>
  <c r="BM7" i="31"/>
  <c r="BX7" i="31" s="1"/>
  <c r="BM40" i="31"/>
  <c r="BX40" i="31" s="1"/>
  <c r="BM51" i="31"/>
  <c r="BX51" i="31" s="1"/>
  <c r="BM62" i="31"/>
  <c r="BX62" i="31" s="1"/>
  <c r="BM71" i="31"/>
  <c r="BX71" i="31" s="1"/>
  <c r="BM34" i="31"/>
  <c r="BX34" i="31" s="1"/>
  <c r="BM45" i="31"/>
  <c r="BX45" i="31" s="1"/>
  <c r="BM56" i="31"/>
  <c r="BX56" i="31" s="1"/>
  <c r="BM64" i="31"/>
  <c r="BX64" i="31" s="1"/>
  <c r="AD64" i="31" s="1"/>
  <c r="BM76" i="31"/>
  <c r="BX76" i="31" s="1"/>
  <c r="AD76" i="31" s="1"/>
  <c r="BM39" i="31"/>
  <c r="BX39" i="31" s="1"/>
  <c r="BM50" i="31"/>
  <c r="BX50" i="31" s="1"/>
  <c r="BM58" i="31"/>
  <c r="BX58" i="31" s="1"/>
  <c r="BM69" i="31"/>
  <c r="BX69" i="31" s="1"/>
  <c r="BM32" i="31"/>
  <c r="BX32" i="31" s="1"/>
  <c r="BM44" i="31"/>
  <c r="BX44" i="31" s="1"/>
  <c r="BM52" i="31"/>
  <c r="BX52" i="31" s="1"/>
  <c r="BM63" i="31"/>
  <c r="BX63" i="31" s="1"/>
  <c r="AD63" i="31" s="1"/>
  <c r="BM75" i="31"/>
  <c r="BX75" i="31" s="1"/>
  <c r="BM38" i="31"/>
  <c r="BX38" i="31" s="1"/>
  <c r="BM31" i="31"/>
  <c r="BX31" i="31" s="1"/>
  <c r="BM46" i="31"/>
  <c r="BX46" i="31" s="1"/>
  <c r="BM57" i="31"/>
  <c r="BX57" i="31" s="1"/>
  <c r="BM68" i="31"/>
  <c r="BX68" i="31" s="1"/>
  <c r="X4" i="30" l="1"/>
  <c r="X11" i="30"/>
  <c r="X12" i="30"/>
  <c r="X6" i="30"/>
  <c r="X5" i="30"/>
  <c r="X10" i="30"/>
  <c r="J28" i="32"/>
  <c r="J3" i="32"/>
  <c r="J48" i="32"/>
  <c r="J45" i="32"/>
  <c r="J43" i="32"/>
  <c r="J4" i="32"/>
  <c r="J8" i="32"/>
  <c r="J22" i="32"/>
  <c r="J29" i="32"/>
  <c r="J38" i="32"/>
  <c r="J47" i="32"/>
  <c r="J39" i="32"/>
  <c r="J34" i="32"/>
  <c r="J5" i="32"/>
  <c r="J27" i="32"/>
  <c r="J23" i="32"/>
  <c r="J49" i="32"/>
  <c r="J13" i="32"/>
  <c r="J17" i="32"/>
  <c r="J33" i="32"/>
  <c r="J7" i="32"/>
  <c r="J14" i="32"/>
  <c r="J32" i="32"/>
  <c r="AD58" i="31"/>
  <c r="AD31" i="31"/>
  <c r="AD21" i="31"/>
  <c r="BK8" i="31"/>
  <c r="BK18" i="31"/>
  <c r="BK7" i="31"/>
  <c r="BK26" i="31"/>
  <c r="BK36" i="31"/>
  <c r="BK70" i="31"/>
  <c r="BK56" i="31"/>
  <c r="BK69" i="31"/>
  <c r="BK71" i="31"/>
  <c r="BK41" i="31"/>
  <c r="BK42" i="31"/>
  <c r="BK51" i="31"/>
  <c r="BK68" i="31"/>
  <c r="BK73" i="31"/>
  <c r="BK4" i="31"/>
  <c r="BK5" i="31"/>
  <c r="BK37" i="31"/>
  <c r="BK32" i="31"/>
  <c r="BK39" i="31"/>
  <c r="BK24" i="31"/>
  <c r="BK48" i="31"/>
  <c r="BK55" i="31"/>
  <c r="BK34" i="31"/>
  <c r="BK44" i="31"/>
  <c r="BK11" i="31"/>
  <c r="BK72" i="31"/>
  <c r="BK10" i="31"/>
  <c r="BK12" i="31"/>
  <c r="BK49" i="31"/>
  <c r="BK50" i="31"/>
  <c r="BK59" i="31"/>
  <c r="BK61" i="31"/>
  <c r="BK47" i="31"/>
  <c r="BK62" i="31"/>
  <c r="BK40" i="31"/>
  <c r="BK66" i="31"/>
  <c r="BK63" i="31"/>
  <c r="BK3" i="31"/>
  <c r="BK17" i="31"/>
  <c r="BK30" i="31"/>
  <c r="BK19" i="31"/>
  <c r="BK6" i="31"/>
  <c r="BK46" i="31"/>
  <c r="BK28" i="31"/>
  <c r="BK13" i="31"/>
  <c r="BK35" i="31"/>
  <c r="BK43" i="31"/>
  <c r="BK52" i="31"/>
  <c r="BK53" i="31"/>
  <c r="BK31" i="31"/>
  <c r="BK23" i="31"/>
  <c r="BK38" i="31"/>
  <c r="BK22" i="31"/>
  <c r="BK57" i="31"/>
  <c r="BK58" i="31"/>
  <c r="BK67" i="31"/>
  <c r="BK60" i="31"/>
  <c r="BK15" i="31"/>
  <c r="BK65" i="31"/>
  <c r="BK75" i="31"/>
  <c r="BK20" i="31"/>
  <c r="BK74" i="31"/>
  <c r="BK64" i="31"/>
  <c r="BK9" i="31"/>
  <c r="BK76" i="31"/>
  <c r="BK21" i="31"/>
  <c r="BK25" i="31"/>
  <c r="BK54" i="31"/>
  <c r="BK45" i="31"/>
  <c r="BK33" i="31"/>
  <c r="AD29" i="31"/>
  <c r="AD18" i="31"/>
  <c r="AD57" i="31"/>
  <c r="AD40" i="31"/>
  <c r="AD73" i="31"/>
  <c r="AD38" i="31"/>
  <c r="AD7" i="31"/>
  <c r="AD52" i="31"/>
  <c r="AD34" i="31"/>
  <c r="AD23" i="31"/>
  <c r="AD50" i="31"/>
  <c r="AD49" i="31"/>
  <c r="AD12" i="31"/>
  <c r="AD41" i="31"/>
  <c r="AD39" i="31"/>
  <c r="AD72" i="31"/>
  <c r="AD60" i="31"/>
  <c r="AD53" i="31"/>
  <c r="AD19" i="31"/>
  <c r="AD13" i="31"/>
  <c r="AD26" i="31"/>
  <c r="AD5" i="31"/>
  <c r="AD55" i="31"/>
  <c r="AD36" i="31"/>
  <c r="AD56" i="31"/>
  <c r="AD67" i="31"/>
  <c r="AD4" i="31"/>
  <c r="AD46" i="31"/>
  <c r="AD6" i="31"/>
  <c r="AD66" i="31"/>
  <c r="AD51" i="31"/>
  <c r="AD65" i="31"/>
  <c r="AD42" i="31"/>
  <c r="AD69" i="31"/>
  <c r="AD9" i="31"/>
  <c r="AD17" i="31"/>
  <c r="AD62" i="31"/>
  <c r="AD43" i="31"/>
  <c r="AD3" i="31"/>
  <c r="AD37" i="31"/>
  <c r="AD75" i="31"/>
  <c r="AD20" i="31"/>
  <c r="AD61" i="31"/>
  <c r="AD24" i="31"/>
  <c r="AD35" i="31"/>
  <c r="AD48" i="31"/>
  <c r="AD44" i="31"/>
  <c r="AD15" i="31"/>
  <c r="AD47" i="31"/>
  <c r="AD71" i="31"/>
  <c r="AD10" i="31"/>
  <c r="AD28" i="31"/>
  <c r="AD68" i="31"/>
  <c r="AD32" i="31"/>
  <c r="AD45" i="31"/>
  <c r="AD22" i="31"/>
  <c r="AD74" i="31"/>
  <c r="AD11" i="31"/>
  <c r="J46" i="32"/>
  <c r="J36" i="32"/>
  <c r="J31" i="32"/>
  <c r="J35" i="32"/>
  <c r="J11" i="32"/>
  <c r="J26" i="32"/>
  <c r="J37" i="32"/>
  <c r="AQ2" i="30"/>
  <c r="AJ10" i="30" s="1"/>
  <c r="AI4" i="28"/>
  <c r="AG3" i="32" l="1"/>
  <c r="AC38" i="32" s="1"/>
  <c r="AW2" i="31"/>
  <c r="AJ5" i="30"/>
  <c r="BQ45" i="28"/>
  <c r="BQ44" i="28"/>
  <c r="BQ43" i="28"/>
  <c r="BQ42" i="28"/>
  <c r="BQ41" i="28"/>
  <c r="BQ40" i="28"/>
  <c r="BQ39" i="28"/>
  <c r="BQ38" i="28"/>
  <c r="BQ37" i="28"/>
  <c r="BQ36" i="28"/>
  <c r="BQ35" i="28"/>
  <c r="BQ34" i="28"/>
  <c r="BQ33" i="28"/>
  <c r="BQ32" i="28"/>
  <c r="BQ30" i="28"/>
  <c r="BQ29" i="28"/>
  <c r="BQ27" i="28"/>
  <c r="BQ26" i="28"/>
  <c r="BQ25" i="28"/>
  <c r="BQ24" i="28"/>
  <c r="BQ23" i="28"/>
  <c r="BQ22" i="28"/>
  <c r="BQ21" i="28"/>
  <c r="BQ20" i="28"/>
  <c r="BQ19" i="28"/>
  <c r="BQ18" i="28"/>
  <c r="BQ15" i="28"/>
  <c r="BQ14" i="28"/>
  <c r="BQ13" i="28"/>
  <c r="BQ12" i="28"/>
  <c r="BQ11" i="28"/>
  <c r="BQ10" i="28"/>
  <c r="BQ9" i="28"/>
  <c r="BQ8" i="28"/>
  <c r="BQ6" i="28"/>
  <c r="BQ5" i="28"/>
  <c r="BQ4" i="28"/>
  <c r="BQ3" i="28"/>
  <c r="BQ48" i="28" l="1"/>
  <c r="AC46" i="32"/>
  <c r="S46" i="32" s="1"/>
  <c r="AC36" i="32"/>
  <c r="S36" i="32" s="1"/>
  <c r="AC29" i="32"/>
  <c r="AC4" i="32"/>
  <c r="AC35" i="32"/>
  <c r="S35" i="32" s="1"/>
  <c r="AC3" i="32"/>
  <c r="AC37" i="32"/>
  <c r="AS76" i="31"/>
  <c r="AS29" i="31"/>
  <c r="AM29" i="31" s="1"/>
  <c r="AS26" i="31"/>
  <c r="AS45" i="31"/>
  <c r="AS53" i="31"/>
  <c r="AS13" i="31"/>
  <c r="AS6" i="31"/>
  <c r="AS11" i="31"/>
  <c r="AS32" i="31"/>
  <c r="AS20" i="31"/>
  <c r="AS10" i="31"/>
  <c r="AS65" i="31"/>
  <c r="AS28" i="31"/>
  <c r="AS37" i="31"/>
  <c r="AS52" i="31"/>
  <c r="AS59" i="31"/>
  <c r="AS60" i="31"/>
  <c r="BQ47" i="28"/>
  <c r="BS30" i="27"/>
  <c r="BS29" i="27"/>
  <c r="BS28" i="27"/>
  <c r="BS27" i="27"/>
  <c r="BS26" i="27"/>
  <c r="BS25" i="27"/>
  <c r="BS24" i="27"/>
  <c r="BS23" i="27"/>
  <c r="BS22" i="27"/>
  <c r="BS21" i="27"/>
  <c r="BS20" i="27"/>
  <c r="BS19" i="27"/>
  <c r="BS18" i="27"/>
  <c r="BS15" i="27"/>
  <c r="BS14" i="27"/>
  <c r="BS12" i="27"/>
  <c r="BS11" i="27"/>
  <c r="BS10" i="27"/>
  <c r="BS9" i="27"/>
  <c r="BS8" i="27"/>
  <c r="BS6" i="27"/>
  <c r="BS5" i="27"/>
  <c r="BS4" i="27"/>
  <c r="BS3" i="27"/>
  <c r="BE30" i="27"/>
  <c r="BE29" i="27"/>
  <c r="BE28" i="27"/>
  <c r="BE27" i="27"/>
  <c r="BE26" i="27"/>
  <c r="BE25" i="27"/>
  <c r="BE24" i="27"/>
  <c r="BE23" i="27"/>
  <c r="BE22" i="27"/>
  <c r="BE21" i="27"/>
  <c r="BE20" i="27"/>
  <c r="BE19" i="27"/>
  <c r="BE18" i="27"/>
  <c r="BE15" i="27"/>
  <c r="BE14" i="27"/>
  <c r="BE12" i="27"/>
  <c r="BE11" i="27"/>
  <c r="BE10" i="27"/>
  <c r="BE9" i="27"/>
  <c r="BE8" i="27"/>
  <c r="BE6" i="27"/>
  <c r="BE5" i="27"/>
  <c r="BE4" i="27"/>
  <c r="BE3" i="27"/>
  <c r="BS15" i="28" l="1"/>
  <c r="AB15" i="28" s="1"/>
  <c r="BS3" i="28"/>
  <c r="AB3" i="28" s="1"/>
  <c r="BS5" i="28"/>
  <c r="AB5" i="28" s="1"/>
  <c r="BS8" i="28"/>
  <c r="AB8" i="28" s="1"/>
  <c r="BS38" i="28"/>
  <c r="AB38" i="28" s="1"/>
  <c r="AS77" i="31"/>
  <c r="BS43" i="28"/>
  <c r="AB43" i="28" s="1"/>
  <c r="BS33" i="28"/>
  <c r="AB33" i="28" s="1"/>
  <c r="BS42" i="28"/>
  <c r="AB42" i="28" s="1"/>
  <c r="BS32" i="28"/>
  <c r="AB32" i="28" s="1"/>
  <c r="BS20" i="28"/>
  <c r="AB20" i="28" s="1"/>
  <c r="BS12" i="28"/>
  <c r="AB12" i="28" s="1"/>
  <c r="BS35" i="28"/>
  <c r="AB35" i="28" s="1"/>
  <c r="BS29" i="28"/>
  <c r="AB29" i="28" s="1"/>
  <c r="BS6" i="28"/>
  <c r="AB6" i="28" s="1"/>
  <c r="BS26" i="28"/>
  <c r="AB26" i="28" s="1"/>
  <c r="BS39" i="28"/>
  <c r="AB39" i="28" s="1"/>
  <c r="BS23" i="28"/>
  <c r="AB23" i="28" s="1"/>
  <c r="BS10" i="28"/>
  <c r="AB10" i="28" s="1"/>
  <c r="BS14" i="28"/>
  <c r="AB14" i="28" s="1"/>
  <c r="BS45" i="28"/>
  <c r="AB45" i="28" s="1"/>
  <c r="BS19" i="28"/>
  <c r="AB19" i="28" s="1"/>
  <c r="BS37" i="28"/>
  <c r="AB37" i="28" s="1"/>
  <c r="BS27" i="28"/>
  <c r="AB27" i="28" s="1"/>
  <c r="BS9" i="28"/>
  <c r="AB9" i="28" s="1"/>
  <c r="BS13" i="28"/>
  <c r="AB13" i="28" s="1"/>
  <c r="BS44" i="28"/>
  <c r="AB44" i="28" s="1"/>
  <c r="BS40" i="28"/>
  <c r="AB40" i="28" s="1"/>
  <c r="BS34" i="28"/>
  <c r="AB34" i="28" s="1"/>
  <c r="BS22" i="28"/>
  <c r="AB22" i="28" s="1"/>
  <c r="BS24" i="28"/>
  <c r="AB24" i="28" s="1"/>
  <c r="BS4" i="28"/>
  <c r="AB4" i="28" s="1"/>
  <c r="BS25" i="28"/>
  <c r="AB25" i="28" s="1"/>
  <c r="BS36" i="28"/>
  <c r="AB36" i="28" s="1"/>
  <c r="BS30" i="28"/>
  <c r="AB30" i="28" s="1"/>
  <c r="BS41" i="28"/>
  <c r="AB41" i="28" s="1"/>
  <c r="BS11" i="28"/>
  <c r="AB11" i="28" s="1"/>
  <c r="BS7" i="28"/>
  <c r="AB7" i="28" s="1"/>
  <c r="BS18" i="28"/>
  <c r="AB18" i="28" s="1"/>
  <c r="BS21" i="28"/>
  <c r="AB21" i="28" s="1"/>
  <c r="BS32" i="27"/>
  <c r="BS33" i="27"/>
  <c r="BE33" i="27"/>
  <c r="BE32" i="27"/>
  <c r="M7" i="33"/>
  <c r="G11" i="33"/>
  <c r="BJ50" i="32"/>
  <c r="BZ77" i="31"/>
  <c r="BF13" i="30"/>
  <c r="BK14" i="29"/>
  <c r="BH46" i="28"/>
  <c r="BJ31" i="27"/>
  <c r="AS2" i="28" l="1"/>
  <c r="AM3" i="28" s="1"/>
  <c r="G6" i="33"/>
  <c r="G7" i="33"/>
  <c r="Q7" i="33" s="1"/>
  <c r="G8" i="33"/>
  <c r="G9" i="33"/>
  <c r="G10" i="33"/>
  <c r="M8" i="33"/>
  <c r="Q8" i="33" s="1"/>
  <c r="M9" i="33"/>
  <c r="M10" i="33"/>
  <c r="M11" i="33"/>
  <c r="Q11" i="33" s="1"/>
  <c r="M6" i="33"/>
  <c r="BV27" i="27"/>
  <c r="BV21" i="27"/>
  <c r="BV12" i="27"/>
  <c r="BV5" i="27"/>
  <c r="BV26" i="27"/>
  <c r="BV20" i="27"/>
  <c r="BV11" i="27"/>
  <c r="BV4" i="27"/>
  <c r="BV24" i="27"/>
  <c r="BV8" i="27"/>
  <c r="BV25" i="27"/>
  <c r="BV18" i="27"/>
  <c r="BV28" i="27"/>
  <c r="BV19" i="27"/>
  <c r="BV9" i="27"/>
  <c r="BV22" i="27"/>
  <c r="BV10" i="27"/>
  <c r="BV29" i="27"/>
  <c r="BV14" i="27"/>
  <c r="BV3" i="27"/>
  <c r="BV23" i="27"/>
  <c r="BV6" i="27"/>
  <c r="BV30" i="27"/>
  <c r="BV15" i="27"/>
  <c r="BH8" i="27"/>
  <c r="BH28" i="27"/>
  <c r="BH27" i="27"/>
  <c r="BH22" i="27"/>
  <c r="BH18" i="27"/>
  <c r="BH12" i="27"/>
  <c r="BH9" i="27"/>
  <c r="BH25" i="27"/>
  <c r="BH24" i="27"/>
  <c r="AA24" i="27" s="1"/>
  <c r="BH21" i="27"/>
  <c r="BH30" i="27"/>
  <c r="BH15" i="27"/>
  <c r="BH3" i="27"/>
  <c r="BH26" i="27"/>
  <c r="BH20" i="27"/>
  <c r="BH11" i="27"/>
  <c r="BH4" i="27"/>
  <c r="BH29" i="27"/>
  <c r="BH14" i="27"/>
  <c r="AA14" i="27" s="1"/>
  <c r="BH19" i="27"/>
  <c r="AA19" i="27" s="1"/>
  <c r="BH5" i="27"/>
  <c r="BH23" i="27"/>
  <c r="BH6" i="27"/>
  <c r="BH10" i="27"/>
  <c r="AA28" i="27" l="1"/>
  <c r="AA6" i="27"/>
  <c r="AA15" i="27"/>
  <c r="AA30" i="27"/>
  <c r="AA22" i="27"/>
  <c r="G12" i="33"/>
  <c r="AA29" i="27"/>
  <c r="AA23" i="27"/>
  <c r="AA4" i="27"/>
  <c r="AA18" i="27"/>
  <c r="AA11" i="27"/>
  <c r="AA21" i="27"/>
  <c r="AA20" i="27"/>
  <c r="AA27" i="27"/>
  <c r="Q10" i="33"/>
  <c r="Q9" i="33"/>
  <c r="Q6" i="33"/>
  <c r="M12" i="33"/>
  <c r="AA5" i="27"/>
  <c r="AA26" i="27"/>
  <c r="AA25" i="27"/>
  <c r="AA3" i="27"/>
  <c r="AA9" i="27"/>
  <c r="AA8" i="27"/>
  <c r="AA10" i="27"/>
  <c r="AA12" i="27"/>
  <c r="BG13" i="29"/>
  <c r="BG12" i="29"/>
  <c r="BG11" i="29"/>
  <c r="BG10" i="29"/>
  <c r="BG9" i="29"/>
  <c r="BG8" i="29"/>
  <c r="BG7" i="29"/>
  <c r="BG6" i="29"/>
  <c r="BG5" i="29"/>
  <c r="BG4" i="29"/>
  <c r="BG3" i="29"/>
  <c r="BG16" i="29" l="1"/>
  <c r="BG17" i="29"/>
  <c r="Q12" i="33"/>
  <c r="AT2" i="27"/>
  <c r="C16" i="33"/>
  <c r="F14" i="33" s="1"/>
  <c r="BI9" i="29" l="1"/>
  <c r="X9" i="29" s="1"/>
  <c r="BI4" i="29"/>
  <c r="X4" i="29" s="1"/>
  <c r="BI13" i="29"/>
  <c r="X13" i="29" s="1"/>
  <c r="BI10" i="29"/>
  <c r="X10" i="29" s="1"/>
  <c r="BI8" i="29"/>
  <c r="BI7" i="29"/>
  <c r="BI11" i="29"/>
  <c r="U4" i="29"/>
  <c r="BI6" i="29"/>
  <c r="U9" i="29"/>
  <c r="BI5" i="29"/>
  <c r="BI3" i="29"/>
  <c r="BI12" i="29"/>
  <c r="F15" i="33"/>
  <c r="AL4" i="27"/>
  <c r="AL11" i="27"/>
  <c r="AL21" i="27"/>
  <c r="AL27" i="27"/>
  <c r="AL3" i="27"/>
  <c r="AI50" i="32"/>
  <c r="AJ49" i="32"/>
  <c r="AJ48" i="32"/>
  <c r="AJ47" i="32"/>
  <c r="AJ46" i="32"/>
  <c r="AJ45" i="32"/>
  <c r="AJ43" i="32"/>
  <c r="AJ39" i="32"/>
  <c r="AJ38" i="32"/>
  <c r="AJ37" i="32"/>
  <c r="AJ36" i="32"/>
  <c r="AJ35" i="32"/>
  <c r="AJ34" i="32"/>
  <c r="AJ33" i="32"/>
  <c r="AJ32" i="32"/>
  <c r="AJ31" i="32"/>
  <c r="AJ29" i="32"/>
  <c r="AJ28" i="32"/>
  <c r="AJ27" i="32"/>
  <c r="AJ26" i="32"/>
  <c r="AJ23" i="32"/>
  <c r="AJ22" i="32"/>
  <c r="AJ17" i="32"/>
  <c r="AJ14" i="32"/>
  <c r="AJ13" i="32"/>
  <c r="AJ11" i="32"/>
  <c r="AJ10" i="32"/>
  <c r="AJ8" i="32"/>
  <c r="AJ7" i="32"/>
  <c r="AJ5" i="32"/>
  <c r="AJ4" i="32"/>
  <c r="AJ3" i="32"/>
  <c r="AY77" i="31"/>
  <c r="AZ69" i="31"/>
  <c r="AZ68" i="31"/>
  <c r="AZ67" i="31"/>
  <c r="AZ66" i="31"/>
  <c r="AZ65" i="31"/>
  <c r="AZ64" i="31"/>
  <c r="AZ63" i="31"/>
  <c r="AZ62" i="31"/>
  <c r="AZ61" i="31"/>
  <c r="AZ60" i="31"/>
  <c r="AZ59" i="31"/>
  <c r="AZ58" i="31"/>
  <c r="AZ57" i="31"/>
  <c r="AZ56" i="31"/>
  <c r="AZ55" i="31"/>
  <c r="AZ54" i="31"/>
  <c r="AZ53" i="31"/>
  <c r="AZ52" i="31"/>
  <c r="AZ51" i="31"/>
  <c r="AZ50" i="31"/>
  <c r="AZ49" i="31"/>
  <c r="AZ48" i="31"/>
  <c r="AZ47" i="31"/>
  <c r="AZ46" i="31"/>
  <c r="AZ45" i="31"/>
  <c r="AZ44" i="31"/>
  <c r="AZ43" i="31"/>
  <c r="AZ42" i="31"/>
  <c r="AZ41" i="31"/>
  <c r="AZ40" i="31"/>
  <c r="AZ39" i="31"/>
  <c r="AZ38" i="31"/>
  <c r="AZ37" i="31"/>
  <c r="AZ36" i="31"/>
  <c r="AZ35" i="31"/>
  <c r="AZ34" i="31"/>
  <c r="AZ32" i="31"/>
  <c r="AZ31" i="31"/>
  <c r="AZ28" i="31"/>
  <c r="AZ26" i="31"/>
  <c r="AZ25" i="31"/>
  <c r="AZ24" i="31"/>
  <c r="AZ23" i="31"/>
  <c r="AZ22" i="31"/>
  <c r="AZ21" i="31"/>
  <c r="AZ20" i="31"/>
  <c r="AZ19" i="31"/>
  <c r="AZ18" i="31"/>
  <c r="AZ17" i="31"/>
  <c r="AZ15" i="31"/>
  <c r="AZ13" i="31"/>
  <c r="AZ12" i="31"/>
  <c r="AZ11" i="31"/>
  <c r="AZ10" i="31"/>
  <c r="AZ9" i="31"/>
  <c r="AZ7" i="31"/>
  <c r="AZ6" i="31"/>
  <c r="AZ5" i="31"/>
  <c r="AZ4" i="31"/>
  <c r="AZ3" i="31"/>
  <c r="AS13" i="30"/>
  <c r="AT12" i="30"/>
  <c r="AT11" i="30"/>
  <c r="AT10" i="30"/>
  <c r="AT6" i="30"/>
  <c r="AT5" i="30"/>
  <c r="AT4" i="30"/>
  <c r="AX14" i="29"/>
  <c r="AY13" i="29"/>
  <c r="AY12" i="29"/>
  <c r="AY11" i="29"/>
  <c r="AY10" i="29"/>
  <c r="AY9" i="29"/>
  <c r="AY8" i="29"/>
  <c r="AY7" i="29"/>
  <c r="AY6" i="29"/>
  <c r="AY5" i="29"/>
  <c r="AY4" i="29"/>
  <c r="AY3" i="29"/>
  <c r="U10" i="29" l="1"/>
  <c r="U13" i="29"/>
  <c r="X11" i="29"/>
  <c r="U11" i="29"/>
  <c r="X12" i="29"/>
  <c r="U12" i="29"/>
  <c r="X7" i="29"/>
  <c r="U7" i="29"/>
  <c r="X3" i="29"/>
  <c r="U3" i="29"/>
  <c r="X8" i="29"/>
  <c r="U8" i="29"/>
  <c r="X5" i="29"/>
  <c r="U5" i="29"/>
  <c r="U6" i="29"/>
  <c r="X6" i="29"/>
  <c r="AL31" i="27"/>
  <c r="BT45" i="28"/>
  <c r="BT44" i="28"/>
  <c r="BT43" i="28"/>
  <c r="BT42" i="28"/>
  <c r="BT41" i="28"/>
  <c r="BT40" i="28"/>
  <c r="BT39" i="28"/>
  <c r="BT38" i="28"/>
  <c r="BT37" i="28"/>
  <c r="BT36" i="28"/>
  <c r="BT35" i="28"/>
  <c r="BT34" i="28"/>
  <c r="BT33" i="28"/>
  <c r="BT32" i="28"/>
  <c r="BT31" i="28"/>
  <c r="BT30" i="28"/>
  <c r="BT29" i="28"/>
  <c r="BT27" i="28"/>
  <c r="BT26" i="28"/>
  <c r="BT25" i="28"/>
  <c r="BT24" i="28"/>
  <c r="BT23" i="28"/>
  <c r="BT22" i="28"/>
  <c r="BT21" i="28"/>
  <c r="BT20" i="28"/>
  <c r="BT19" i="28"/>
  <c r="BT18" i="28"/>
  <c r="BT17" i="28"/>
  <c r="BT15" i="28"/>
  <c r="BT14" i="28"/>
  <c r="BT13" i="28"/>
  <c r="BT12" i="28"/>
  <c r="BT11" i="28"/>
  <c r="BT10" i="28"/>
  <c r="BT9" i="28"/>
  <c r="BT8" i="28"/>
  <c r="BT7" i="28"/>
  <c r="BT6" i="28"/>
  <c r="BT5" i="28"/>
  <c r="BT4" i="28"/>
  <c r="BT3" i="28"/>
  <c r="AU46" i="28"/>
  <c r="AV45" i="28"/>
  <c r="AV44" i="28"/>
  <c r="AV43" i="28"/>
  <c r="AV42" i="28"/>
  <c r="AV41" i="28"/>
  <c r="AV40" i="28"/>
  <c r="AV39" i="28"/>
  <c r="AV38" i="28"/>
  <c r="AV37" i="28"/>
  <c r="AV36" i="28"/>
  <c r="AV35" i="28"/>
  <c r="AV34" i="28"/>
  <c r="AV33" i="28"/>
  <c r="AV32" i="28"/>
  <c r="AV30" i="28"/>
  <c r="AV29" i="28"/>
  <c r="AV27" i="28"/>
  <c r="AV26" i="28"/>
  <c r="AV25" i="28"/>
  <c r="AV24" i="28"/>
  <c r="AV23" i="28"/>
  <c r="AV22" i="28"/>
  <c r="AV21" i="28"/>
  <c r="AV20" i="28"/>
  <c r="AV19" i="28"/>
  <c r="AV18" i="28"/>
  <c r="AV15" i="28"/>
  <c r="AV14" i="28"/>
  <c r="AV13" i="28"/>
  <c r="AV12" i="28"/>
  <c r="AV11" i="28"/>
  <c r="AV10" i="28"/>
  <c r="AV9" i="28"/>
  <c r="AV8" i="28"/>
  <c r="AV7" i="28"/>
  <c r="AV6" i="28"/>
  <c r="AV5" i="28"/>
  <c r="AV4" i="28"/>
  <c r="AV3" i="28"/>
  <c r="AV31" i="27"/>
  <c r="AW30" i="27"/>
  <c r="AW29" i="27"/>
  <c r="AW28" i="27"/>
  <c r="AW27" i="27"/>
  <c r="AW26" i="27"/>
  <c r="AW25" i="27"/>
  <c r="AW24" i="27"/>
  <c r="AW23" i="27"/>
  <c r="AW22" i="27"/>
  <c r="AW21" i="27"/>
  <c r="AW20" i="27"/>
  <c r="AW19" i="27"/>
  <c r="AW18" i="27"/>
  <c r="AW15" i="27"/>
  <c r="AW14" i="27"/>
  <c r="AW12" i="27"/>
  <c r="AW11" i="27"/>
  <c r="AW10" i="27"/>
  <c r="AW9" i="27"/>
  <c r="AW8" i="27"/>
  <c r="AW6" i="27"/>
  <c r="AW5" i="27"/>
  <c r="AW4" i="27"/>
  <c r="AW3" i="27"/>
  <c r="AU2" i="29" l="1"/>
  <c r="AV2" i="29"/>
  <c r="AV46" i="28"/>
  <c r="BQ49" i="32"/>
  <c r="BQ48" i="32"/>
  <c r="BQ47" i="32"/>
  <c r="BQ46" i="32"/>
  <c r="BQ45" i="32"/>
  <c r="BQ43" i="32"/>
  <c r="BQ39" i="32"/>
  <c r="BQ38" i="32"/>
  <c r="BQ37" i="32"/>
  <c r="BQ36" i="32"/>
  <c r="BQ35" i="32"/>
  <c r="BQ34" i="32"/>
  <c r="BQ33" i="32"/>
  <c r="BQ32" i="32"/>
  <c r="BQ31" i="32"/>
  <c r="BQ29" i="32"/>
  <c r="BQ28" i="32"/>
  <c r="BQ27" i="32"/>
  <c r="BQ26" i="32"/>
  <c r="BQ23" i="32"/>
  <c r="BQ22" i="32"/>
  <c r="BQ17" i="32"/>
  <c r="BQ14" i="32"/>
  <c r="BQ13" i="32"/>
  <c r="BQ11" i="32"/>
  <c r="BQ10" i="32"/>
  <c r="BQ8" i="32"/>
  <c r="BQ7" i="32"/>
  <c r="BQ5" i="32"/>
  <c r="BQ4" i="32"/>
  <c r="BQ3" i="32"/>
  <c r="BI50" i="32"/>
  <c r="BE49" i="32"/>
  <c r="BE48" i="32"/>
  <c r="BE47" i="32"/>
  <c r="BE46" i="32"/>
  <c r="BE45" i="32"/>
  <c r="BE43" i="32"/>
  <c r="BE39" i="32"/>
  <c r="BE38" i="32"/>
  <c r="BE37" i="32"/>
  <c r="BE36" i="32"/>
  <c r="BE35" i="32"/>
  <c r="BE34" i="32"/>
  <c r="BE33" i="32"/>
  <c r="BE32" i="32"/>
  <c r="BE31" i="32"/>
  <c r="BE29" i="32"/>
  <c r="BE28" i="32"/>
  <c r="BE27" i="32"/>
  <c r="BE26" i="32"/>
  <c r="BE23" i="32"/>
  <c r="BE22" i="32"/>
  <c r="BE17" i="32"/>
  <c r="BE14" i="32"/>
  <c r="BE13" i="32"/>
  <c r="BE11" i="32"/>
  <c r="BE10" i="32"/>
  <c r="BE8" i="32"/>
  <c r="BE7" i="32"/>
  <c r="BE5" i="32"/>
  <c r="BE4" i="32"/>
  <c r="BE3" i="32"/>
  <c r="AX50" i="32"/>
  <c r="AT49" i="32"/>
  <c r="AT48" i="32"/>
  <c r="AT47" i="32"/>
  <c r="AT46" i="32"/>
  <c r="AT45" i="32"/>
  <c r="AT43" i="32"/>
  <c r="AT39" i="32"/>
  <c r="AT38" i="32"/>
  <c r="AT37" i="32"/>
  <c r="AT36" i="32"/>
  <c r="AT35" i="32"/>
  <c r="AT34" i="32"/>
  <c r="AT33" i="32"/>
  <c r="AT32" i="32"/>
  <c r="AT31" i="32"/>
  <c r="AT29" i="32"/>
  <c r="AT28" i="32"/>
  <c r="AT27" i="32"/>
  <c r="AT26" i="32"/>
  <c r="AT23" i="32"/>
  <c r="AT22" i="32"/>
  <c r="AT17" i="32"/>
  <c r="AT14" i="32"/>
  <c r="AT13" i="32"/>
  <c r="AT11" i="32"/>
  <c r="AT10" i="32"/>
  <c r="AT8" i="32"/>
  <c r="AT7" i="32"/>
  <c r="AT5" i="32"/>
  <c r="AT4" i="32"/>
  <c r="AT3" i="32"/>
  <c r="AH50" i="32"/>
  <c r="BN77" i="31"/>
  <c r="BU76" i="31"/>
  <c r="BU75" i="31"/>
  <c r="BU74" i="31"/>
  <c r="BU73" i="31"/>
  <c r="BU72" i="31"/>
  <c r="BU71" i="31"/>
  <c r="BU69" i="31"/>
  <c r="BU68" i="31"/>
  <c r="BU67" i="31"/>
  <c r="BU66" i="31"/>
  <c r="BU65" i="31"/>
  <c r="BU64" i="31"/>
  <c r="BU63" i="31"/>
  <c r="BU62" i="31"/>
  <c r="BU61" i="31"/>
  <c r="BU60" i="31"/>
  <c r="BU59" i="31"/>
  <c r="BU58" i="31"/>
  <c r="BU57" i="31"/>
  <c r="BU56" i="31"/>
  <c r="BU55" i="31"/>
  <c r="BU54" i="31"/>
  <c r="BU53" i="31"/>
  <c r="BU52" i="31"/>
  <c r="BU51" i="31"/>
  <c r="BU50" i="31"/>
  <c r="BU49" i="31"/>
  <c r="BU48" i="31"/>
  <c r="BU47" i="31"/>
  <c r="BU46" i="31"/>
  <c r="BU45" i="31"/>
  <c r="BU44" i="31"/>
  <c r="BU43" i="31"/>
  <c r="BU42" i="31"/>
  <c r="BU41" i="31"/>
  <c r="BU40" i="31"/>
  <c r="BU39" i="31"/>
  <c r="BU38" i="31"/>
  <c r="BU37" i="31"/>
  <c r="BU36" i="31"/>
  <c r="BU35" i="31"/>
  <c r="BU34" i="31"/>
  <c r="BU32" i="31"/>
  <c r="BU31" i="31"/>
  <c r="BU28" i="31"/>
  <c r="BU26" i="31"/>
  <c r="BU25" i="31"/>
  <c r="BU24" i="31"/>
  <c r="BU23" i="31"/>
  <c r="BU22" i="31"/>
  <c r="BU21" i="31"/>
  <c r="BU20" i="31"/>
  <c r="BU19" i="31"/>
  <c r="BU18" i="31"/>
  <c r="BU17" i="31"/>
  <c r="BU15" i="31"/>
  <c r="BU13" i="31"/>
  <c r="BU12" i="31"/>
  <c r="BU11" i="31"/>
  <c r="BU10" i="31"/>
  <c r="BU9" i="31"/>
  <c r="BU7" i="31"/>
  <c r="BU6" i="31"/>
  <c r="BU5" i="31"/>
  <c r="BU4" i="31"/>
  <c r="BU3" i="31"/>
  <c r="CH76" i="31"/>
  <c r="CH75" i="31"/>
  <c r="CH74" i="31"/>
  <c r="CH73" i="31"/>
  <c r="CH72" i="31"/>
  <c r="CH71" i="31"/>
  <c r="CH69" i="31"/>
  <c r="CH68" i="31"/>
  <c r="CH67" i="31"/>
  <c r="CH66" i="31"/>
  <c r="CH65" i="31"/>
  <c r="CH64" i="31"/>
  <c r="CH63" i="31"/>
  <c r="CH62" i="31"/>
  <c r="CH61" i="31"/>
  <c r="CH60" i="31"/>
  <c r="CH59" i="31"/>
  <c r="CH58" i="31"/>
  <c r="CH57" i="31"/>
  <c r="CH56" i="31"/>
  <c r="CH55" i="31"/>
  <c r="CH54" i="31"/>
  <c r="CH53" i="31"/>
  <c r="CH52" i="31"/>
  <c r="CH51" i="31"/>
  <c r="CH50" i="31"/>
  <c r="CH49" i="31"/>
  <c r="CH48" i="31"/>
  <c r="CH47" i="31"/>
  <c r="CH46" i="31"/>
  <c r="CH45" i="31"/>
  <c r="CH44" i="31"/>
  <c r="CH43" i="31"/>
  <c r="CH42" i="31"/>
  <c r="CH41" i="31"/>
  <c r="CH40" i="31"/>
  <c r="CH39" i="31"/>
  <c r="CH38" i="31"/>
  <c r="CH37" i="31"/>
  <c r="CH36" i="31"/>
  <c r="CH35" i="31"/>
  <c r="CH34" i="31"/>
  <c r="CH32" i="31"/>
  <c r="CH31" i="31"/>
  <c r="CH28" i="31"/>
  <c r="CH26" i="31"/>
  <c r="CH25" i="31"/>
  <c r="CH24" i="31"/>
  <c r="CH23" i="31"/>
  <c r="CH22" i="31"/>
  <c r="CH21" i="31"/>
  <c r="CH20" i="31"/>
  <c r="CH19" i="31"/>
  <c r="CH18" i="31"/>
  <c r="CH17" i="31"/>
  <c r="CH15" i="31"/>
  <c r="CH13" i="31"/>
  <c r="CH12" i="31"/>
  <c r="CH11" i="31"/>
  <c r="CH10" i="31"/>
  <c r="CH9" i="31"/>
  <c r="CH7" i="31"/>
  <c r="CH6" i="31"/>
  <c r="CH5" i="31"/>
  <c r="CH4" i="31"/>
  <c r="CH3" i="31"/>
  <c r="BY77" i="31"/>
  <c r="BD76" i="31"/>
  <c r="BD75" i="31"/>
  <c r="BD74" i="31"/>
  <c r="BD73" i="31"/>
  <c r="BD72" i="31"/>
  <c r="BD71" i="31"/>
  <c r="BD69" i="31"/>
  <c r="BD68" i="31"/>
  <c r="BD67" i="31"/>
  <c r="BD66" i="31"/>
  <c r="BD65" i="31"/>
  <c r="BD64" i="31"/>
  <c r="BD63" i="31"/>
  <c r="BD62" i="31"/>
  <c r="BD61" i="31"/>
  <c r="BD60" i="31"/>
  <c r="BD59" i="31"/>
  <c r="BD58" i="31"/>
  <c r="BD57" i="31"/>
  <c r="BD56" i="31"/>
  <c r="BD55" i="31"/>
  <c r="BD54" i="31"/>
  <c r="BD53" i="31"/>
  <c r="BD52" i="31"/>
  <c r="BD51" i="31"/>
  <c r="BD50" i="31"/>
  <c r="BD49" i="31"/>
  <c r="BD48" i="31"/>
  <c r="BD47" i="31"/>
  <c r="BD46" i="31"/>
  <c r="BD45" i="31"/>
  <c r="BD44" i="31"/>
  <c r="BD43" i="31"/>
  <c r="BD42" i="31"/>
  <c r="BD41" i="31"/>
  <c r="BD40" i="31"/>
  <c r="BD39" i="31"/>
  <c r="BD38" i="31"/>
  <c r="BD37" i="31"/>
  <c r="BD36" i="31"/>
  <c r="BD35" i="31"/>
  <c r="BD34" i="31"/>
  <c r="BD32" i="31"/>
  <c r="BD31" i="31"/>
  <c r="BD28" i="31"/>
  <c r="BD26" i="31"/>
  <c r="BD25" i="31"/>
  <c r="BD24" i="31"/>
  <c r="BD23" i="31"/>
  <c r="BD22" i="31"/>
  <c r="BD21" i="31"/>
  <c r="BD20" i="31"/>
  <c r="BD19" i="31"/>
  <c r="BD18" i="31"/>
  <c r="BD17" i="31"/>
  <c r="BD15" i="31"/>
  <c r="BD13" i="31"/>
  <c r="BD12" i="31"/>
  <c r="BD11" i="31"/>
  <c r="BD10" i="31"/>
  <c r="BD9" i="31"/>
  <c r="BD7" i="31"/>
  <c r="BD6" i="31"/>
  <c r="BD5" i="31"/>
  <c r="BD4" i="31"/>
  <c r="BD3" i="31"/>
  <c r="AX77" i="31"/>
  <c r="BE13" i="30"/>
  <c r="BN12" i="30"/>
  <c r="BN11" i="30"/>
  <c r="BN10" i="30"/>
  <c r="BN6" i="30"/>
  <c r="BN5" i="30"/>
  <c r="BN4" i="30"/>
  <c r="AR13" i="30"/>
  <c r="AS14" i="30" s="1"/>
  <c r="BA12" i="30"/>
  <c r="BA11" i="30"/>
  <c r="BA10" i="30"/>
  <c r="BA6" i="30"/>
  <c r="BA5" i="30"/>
  <c r="BA4" i="30"/>
  <c r="BJ14" i="29"/>
  <c r="AW14" i="29"/>
  <c r="AX15" i="29" s="1"/>
  <c r="BS13" i="29"/>
  <c r="BS12" i="29"/>
  <c r="BS11" i="29"/>
  <c r="BS10" i="29"/>
  <c r="BS9" i="29"/>
  <c r="BS8" i="29"/>
  <c r="BS7" i="29"/>
  <c r="BS6" i="29"/>
  <c r="BS5" i="29"/>
  <c r="BS4" i="29"/>
  <c r="BS3" i="29"/>
  <c r="BF13" i="29"/>
  <c r="BF12" i="29"/>
  <c r="BF11" i="29"/>
  <c r="BF10" i="29"/>
  <c r="BF9" i="29"/>
  <c r="BF8" i="29"/>
  <c r="BF7" i="29"/>
  <c r="BF6" i="29"/>
  <c r="BF5" i="29"/>
  <c r="BF4" i="29"/>
  <c r="BF3" i="29"/>
  <c r="BP45" i="28"/>
  <c r="BP44" i="28"/>
  <c r="BP43" i="28"/>
  <c r="BP42" i="28"/>
  <c r="BP41" i="28"/>
  <c r="BP40" i="28"/>
  <c r="BP39" i="28"/>
  <c r="BP38" i="28"/>
  <c r="BP37" i="28"/>
  <c r="BP36" i="28"/>
  <c r="BP35" i="28"/>
  <c r="BP34" i="28"/>
  <c r="BP33" i="28"/>
  <c r="BP32" i="28"/>
  <c r="BP30" i="28"/>
  <c r="BP29" i="28"/>
  <c r="BP27" i="28"/>
  <c r="BP26" i="28"/>
  <c r="BP25" i="28"/>
  <c r="BP24" i="28"/>
  <c r="BP23" i="28"/>
  <c r="BP22" i="28"/>
  <c r="BP21" i="28"/>
  <c r="BP20" i="28"/>
  <c r="BP19" i="28"/>
  <c r="BP18" i="28"/>
  <c r="BP15" i="28"/>
  <c r="BP14" i="28"/>
  <c r="BP13" i="28"/>
  <c r="BP12" i="28"/>
  <c r="BP11" i="28"/>
  <c r="BP10" i="28"/>
  <c r="BP9" i="28"/>
  <c r="BP8" i="28"/>
  <c r="BP7" i="28"/>
  <c r="BP6" i="28"/>
  <c r="BP5" i="28"/>
  <c r="BP4" i="28"/>
  <c r="BP3" i="28"/>
  <c r="BC45" i="28"/>
  <c r="BC44" i="28"/>
  <c r="BC43" i="28"/>
  <c r="BC42" i="28"/>
  <c r="BC41" i="28"/>
  <c r="BC40" i="28"/>
  <c r="BC39" i="28"/>
  <c r="BC38" i="28"/>
  <c r="BC37" i="28"/>
  <c r="BC36" i="28"/>
  <c r="BC35" i="28"/>
  <c r="BC34" i="28"/>
  <c r="BC33" i="28"/>
  <c r="BC32" i="28"/>
  <c r="BC30" i="28"/>
  <c r="BC29" i="28"/>
  <c r="BC27" i="28"/>
  <c r="BC26" i="28"/>
  <c r="BC25" i="28"/>
  <c r="BC24" i="28"/>
  <c r="BC23" i="28"/>
  <c r="BC22" i="28"/>
  <c r="BC21" i="28"/>
  <c r="BC20" i="28"/>
  <c r="BC19" i="28"/>
  <c r="BC18" i="28"/>
  <c r="BC15" i="28"/>
  <c r="BC14" i="28"/>
  <c r="BC13" i="28"/>
  <c r="BC12" i="28"/>
  <c r="BC11" i="28"/>
  <c r="BC10" i="28"/>
  <c r="BC9" i="28"/>
  <c r="BC8" i="28"/>
  <c r="BC7" i="28"/>
  <c r="BC6" i="28"/>
  <c r="BC5" i="28"/>
  <c r="BC4" i="28"/>
  <c r="BC3" i="28"/>
  <c r="BG46" i="28"/>
  <c r="AT46" i="28"/>
  <c r="AU47" i="28" s="1"/>
  <c r="BI31" i="27"/>
  <c r="AU31" i="27"/>
  <c r="BR30" i="27"/>
  <c r="BR29" i="27"/>
  <c r="BR28" i="27"/>
  <c r="BR27" i="27"/>
  <c r="BR26" i="27"/>
  <c r="BR25" i="27"/>
  <c r="BR24" i="27"/>
  <c r="BR23" i="27"/>
  <c r="BR22" i="27"/>
  <c r="BR21" i="27"/>
  <c r="BR20" i="27"/>
  <c r="BR19" i="27"/>
  <c r="BR18" i="27"/>
  <c r="BR15" i="27"/>
  <c r="BR14" i="27"/>
  <c r="BR12" i="27"/>
  <c r="BR11" i="27"/>
  <c r="BR10" i="27"/>
  <c r="BR9" i="27"/>
  <c r="BR8" i="27"/>
  <c r="BR6" i="27"/>
  <c r="BR5" i="27"/>
  <c r="BR4" i="27"/>
  <c r="BR3" i="27"/>
  <c r="BD30" i="27"/>
  <c r="BD29" i="27"/>
  <c r="BD28" i="27"/>
  <c r="BD27" i="27"/>
  <c r="BD26" i="27"/>
  <c r="BD25" i="27"/>
  <c r="BD24" i="27"/>
  <c r="BD23" i="27"/>
  <c r="BD22" i="27"/>
  <c r="BD21" i="27"/>
  <c r="BD20" i="27"/>
  <c r="BD19" i="27"/>
  <c r="BD18" i="27"/>
  <c r="BD15" i="27"/>
  <c r="BD14" i="27"/>
  <c r="BD12" i="27"/>
  <c r="BD11" i="27"/>
  <c r="BD10" i="27"/>
  <c r="BD9" i="27"/>
  <c r="BD8" i="27"/>
  <c r="BD6" i="27"/>
  <c r="BD5" i="27"/>
  <c r="BD4" i="27"/>
  <c r="BD3" i="27"/>
  <c r="BR33" i="27" l="1"/>
  <c r="AM3" i="29"/>
  <c r="AM4" i="29"/>
  <c r="BF17" i="29"/>
  <c r="BF16" i="29"/>
  <c r="AK3" i="29"/>
  <c r="AK4" i="29"/>
  <c r="AM5" i="29"/>
  <c r="AK5" i="29"/>
  <c r="BD33" i="27"/>
  <c r="BD32" i="27"/>
  <c r="BR32" i="27"/>
  <c r="BN78" i="31"/>
  <c r="AY78" i="31"/>
  <c r="AX51" i="32"/>
  <c r="AI51" i="32"/>
  <c r="AW32" i="27"/>
  <c r="AW31" i="27"/>
  <c r="AT2" i="29"/>
  <c r="B2" i="33"/>
  <c r="BU11" i="27" l="1"/>
  <c r="BG8" i="27"/>
  <c r="BG9" i="27"/>
  <c r="BG14" i="27"/>
  <c r="BG26" i="27"/>
  <c r="BG10" i="27"/>
  <c r="BG18" i="27"/>
  <c r="BG6" i="27"/>
  <c r="BG11" i="27"/>
  <c r="W11" i="27" s="1"/>
  <c r="BG27" i="27"/>
  <c r="BG29" i="27"/>
  <c r="BG20" i="27"/>
  <c r="BG21" i="27"/>
  <c r="BG4" i="27"/>
  <c r="BG3" i="27"/>
  <c r="BG23" i="27"/>
  <c r="BG28" i="27"/>
  <c r="BG12" i="27"/>
  <c r="BG25" i="27"/>
  <c r="BG30" i="27"/>
  <c r="BG15" i="27"/>
  <c r="BG22" i="27"/>
  <c r="BG5" i="27"/>
  <c r="BG19" i="27"/>
  <c r="BG24" i="27"/>
  <c r="BU27" i="27"/>
  <c r="BU4" i="27"/>
  <c r="BU3" i="27"/>
  <c r="BU5" i="27"/>
  <c r="BU9" i="27"/>
  <c r="BU23" i="27"/>
  <c r="BU29" i="27"/>
  <c r="BU12" i="27"/>
  <c r="BU25" i="27"/>
  <c r="BU15" i="27"/>
  <c r="BU24" i="27"/>
  <c r="BU28" i="27"/>
  <c r="BU21" i="27"/>
  <c r="BU14" i="27"/>
  <c r="BU22" i="27"/>
  <c r="BU18" i="27"/>
  <c r="BU6" i="27"/>
  <c r="BU19" i="27"/>
  <c r="BU8" i="27"/>
  <c r="BU30" i="27"/>
  <c r="BU20" i="27"/>
  <c r="BU26" i="27"/>
  <c r="BU10" i="27"/>
  <c r="AM27" i="28"/>
  <c r="AM23" i="28"/>
  <c r="AM22" i="28"/>
  <c r="AM21" i="28"/>
  <c r="AM18" i="28"/>
  <c r="AM10" i="28"/>
  <c r="AM11" i="28"/>
  <c r="AM36" i="28"/>
  <c r="AM35" i="28"/>
  <c r="I12" i="33"/>
  <c r="L11" i="33" s="1"/>
  <c r="C12" i="33"/>
  <c r="F11" i="33" s="1"/>
  <c r="C2" i="33"/>
  <c r="I2" i="33" s="1"/>
  <c r="W19" i="27" l="1"/>
  <c r="W23" i="27"/>
  <c r="W8" i="27"/>
  <c r="W28" i="27"/>
  <c r="W12" i="27"/>
  <c r="W14" i="27"/>
  <c r="W27" i="27"/>
  <c r="W29" i="27"/>
  <c r="W5" i="27"/>
  <c r="W26" i="27"/>
  <c r="W22" i="27"/>
  <c r="W15" i="27"/>
  <c r="W3" i="27"/>
  <c r="W9" i="27"/>
  <c r="W30" i="27"/>
  <c r="W4" i="27"/>
  <c r="W6" i="27"/>
  <c r="W24" i="27"/>
  <c r="W25" i="27"/>
  <c r="W21" i="27"/>
  <c r="W18" i="27"/>
  <c r="W20" i="27"/>
  <c r="W10" i="27"/>
  <c r="B4" i="33"/>
  <c r="S15" i="33"/>
  <c r="S14" i="33"/>
  <c r="P11" i="33"/>
  <c r="L6" i="33"/>
  <c r="F7" i="33"/>
  <c r="F8" i="33"/>
  <c r="F9" i="33"/>
  <c r="F6" i="33"/>
  <c r="L9" i="33"/>
  <c r="F10" i="33"/>
  <c r="L7" i="33"/>
  <c r="L10" i="33"/>
  <c r="L8" i="33"/>
  <c r="T8" i="33" l="1"/>
  <c r="T11" i="33"/>
  <c r="T7" i="33"/>
  <c r="T9" i="33"/>
  <c r="T10" i="33"/>
  <c r="T6" i="33"/>
  <c r="S11" i="33"/>
  <c r="AS2" i="27"/>
  <c r="AI3" i="27" s="1"/>
  <c r="P8" i="33"/>
  <c r="S8" i="33" s="1"/>
  <c r="P9" i="33"/>
  <c r="S9" i="33" s="1"/>
  <c r="F12" i="33"/>
  <c r="P7" i="33"/>
  <c r="S7" i="33" s="1"/>
  <c r="P10" i="33"/>
  <c r="S10" i="33" s="1"/>
  <c r="P6" i="33"/>
  <c r="S6" i="33" s="1"/>
  <c r="L12" i="33"/>
  <c r="AI21" i="27" l="1"/>
  <c r="T12" i="33"/>
  <c r="AI4" i="27"/>
  <c r="AI27" i="27"/>
  <c r="AI11" i="27"/>
  <c r="P12" i="33"/>
  <c r="S12" i="33"/>
  <c r="AQ60" i="31"/>
  <c r="T46" i="32"/>
  <c r="T38" i="32"/>
  <c r="T37" i="32"/>
  <c r="T36" i="32"/>
  <c r="T29" i="32"/>
  <c r="T35" i="32"/>
  <c r="P35" i="32" s="1"/>
  <c r="T3" i="32"/>
  <c r="T4" i="32"/>
  <c r="AP5" i="31" l="1"/>
  <c r="AQ65" i="31"/>
  <c r="AQ59" i="31"/>
  <c r="AP10" i="31" s="1"/>
  <c r="AQ52" i="31"/>
  <c r="AQ45" i="31"/>
  <c r="AQ39" i="31"/>
  <c r="AQ37" i="31"/>
  <c r="AQ32" i="31"/>
  <c r="AQ28" i="31"/>
  <c r="AQ26" i="31"/>
  <c r="AQ20" i="31"/>
  <c r="AQ13" i="31"/>
  <c r="AQ11" i="31"/>
  <c r="AQ10" i="31"/>
  <c r="AQ6" i="31"/>
  <c r="AQ5" i="31"/>
  <c r="AP6" i="31"/>
  <c r="AP11" i="31"/>
  <c r="AP13" i="31"/>
  <c r="AH10" i="30" l="1"/>
  <c r="AH5" i="30"/>
  <c r="AI4" i="29"/>
  <c r="AJ8" i="29"/>
  <c r="S9" i="30"/>
  <c r="S8" i="30"/>
  <c r="S7" i="30"/>
  <c r="L13" i="30"/>
  <c r="F13" i="30"/>
  <c r="AI5" i="29"/>
  <c r="AI3" i="29"/>
  <c r="K14" i="29"/>
  <c r="E14" i="29"/>
  <c r="AK26" i="28"/>
  <c r="R46" i="28"/>
  <c r="O48" i="28"/>
  <c r="L46" i="28"/>
  <c r="V17" i="27"/>
  <c r="V13" i="27"/>
  <c r="U17" i="27"/>
  <c r="U13" i="27"/>
  <c r="O31" i="27"/>
  <c r="I31" i="27"/>
  <c r="AM46" i="28" l="1"/>
  <c r="AI14" i="29"/>
  <c r="AI31" i="27"/>
  <c r="AE10" i="30"/>
  <c r="AE5" i="30"/>
  <c r="AJ5" i="29"/>
  <c r="AJ3" i="29"/>
  <c r="AK36" i="28"/>
  <c r="AK27" i="28"/>
  <c r="AK23" i="28"/>
  <c r="AK22" i="28"/>
  <c r="AK21" i="28"/>
  <c r="AK18" i="28"/>
  <c r="AK11" i="28"/>
  <c r="AK10" i="28"/>
  <c r="AK3" i="28"/>
  <c r="AF27" i="27"/>
  <c r="AF21" i="27"/>
  <c r="AF11" i="27"/>
  <c r="AF8" i="27"/>
  <c r="AF4" i="27"/>
  <c r="AF3" i="27"/>
  <c r="AP65" i="31"/>
  <c r="AP59" i="31"/>
  <c r="AP53" i="31"/>
  <c r="AP52" i="31"/>
  <c r="AP45" i="31"/>
  <c r="AP37" i="31"/>
  <c r="AP32" i="31"/>
  <c r="AP26" i="31"/>
  <c r="AP22" i="31"/>
  <c r="AP20" i="31"/>
  <c r="V50" i="32"/>
  <c r="G50" i="32"/>
  <c r="F50" i="32"/>
  <c r="E50" i="32"/>
  <c r="C49" i="32"/>
  <c r="C48" i="32"/>
  <c r="C47" i="32"/>
  <c r="W45" i="32"/>
  <c r="C44" i="32"/>
  <c r="C43" i="32"/>
  <c r="C42" i="32"/>
  <c r="C41" i="32"/>
  <c r="W40" i="32"/>
  <c r="C40" i="32"/>
  <c r="C39" i="32"/>
  <c r="C38" i="32"/>
  <c r="S38" i="32" s="1"/>
  <c r="C37" i="32"/>
  <c r="S37" i="32" s="1"/>
  <c r="W36" i="32"/>
  <c r="W34" i="32"/>
  <c r="W32" i="32"/>
  <c r="C31" i="32"/>
  <c r="C30" i="32"/>
  <c r="C29" i="32"/>
  <c r="S29" i="32" s="1"/>
  <c r="C28" i="32"/>
  <c r="P29" i="32" s="1"/>
  <c r="C27" i="32"/>
  <c r="W25" i="32"/>
  <c r="C25" i="32"/>
  <c r="W22" i="32"/>
  <c r="W21" i="32"/>
  <c r="C21" i="32"/>
  <c r="W20" i="32"/>
  <c r="C20" i="32"/>
  <c r="C19" i="32"/>
  <c r="C17" i="32"/>
  <c r="C16" i="32"/>
  <c r="C15" i="32"/>
  <c r="C14" i="32"/>
  <c r="W12" i="32"/>
  <c r="C12" i="32"/>
  <c r="C11" i="32"/>
  <c r="C10" i="32"/>
  <c r="C9" i="32"/>
  <c r="C8" i="32"/>
  <c r="C7" i="32"/>
  <c r="C6" i="32"/>
  <c r="C5" i="32"/>
  <c r="C4" i="32"/>
  <c r="S4" i="32" s="1"/>
  <c r="C3" i="32"/>
  <c r="S3" i="32" s="1"/>
  <c r="S51" i="32" l="1"/>
  <c r="AE2" i="32" s="1"/>
  <c r="N29" i="32" s="1"/>
  <c r="AP77" i="31"/>
  <c r="P36" i="32"/>
  <c r="P38" i="32"/>
  <c r="P46" i="32"/>
  <c r="P3" i="32"/>
  <c r="T50" i="32"/>
  <c r="P37" i="32"/>
  <c r="AK46" i="28"/>
  <c r="AF31" i="27"/>
  <c r="AJ14" i="29"/>
  <c r="P4" i="32"/>
  <c r="W50" i="32"/>
  <c r="C50" i="32"/>
  <c r="C52" i="32" s="1"/>
  <c r="W51" i="32"/>
  <c r="X40" i="32" s="1"/>
  <c r="U40" i="32" s="1"/>
  <c r="N37" i="32" l="1"/>
  <c r="N4" i="32"/>
  <c r="N38" i="32"/>
  <c r="N46" i="32"/>
  <c r="N35" i="32"/>
  <c r="N36" i="32"/>
  <c r="N3" i="32"/>
  <c r="P51" i="32"/>
  <c r="AE6" i="32" s="1"/>
  <c r="K29" i="32" s="1"/>
  <c r="O29" i="32" s="1"/>
  <c r="X32" i="32"/>
  <c r="X45" i="32"/>
  <c r="U45" i="32" s="1"/>
  <c r="X12" i="32"/>
  <c r="U12" i="32" s="1"/>
  <c r="X36" i="32"/>
  <c r="X22" i="32"/>
  <c r="X20" i="32"/>
  <c r="U20" i="32" s="1"/>
  <c r="X25" i="32"/>
  <c r="U25" i="32" s="1"/>
  <c r="X21" i="32"/>
  <c r="X34" i="32"/>
  <c r="U34" i="32" s="1"/>
  <c r="N50" i="32" l="1"/>
  <c r="K37" i="32"/>
  <c r="O37" i="32" s="1"/>
  <c r="K38" i="32"/>
  <c r="O38" i="32" s="1"/>
  <c r="K35" i="32"/>
  <c r="O35" i="32" s="1"/>
  <c r="K46" i="32"/>
  <c r="O46" i="32" s="1"/>
  <c r="K4" i="32"/>
  <c r="O4" i="32" s="1"/>
  <c r="K3" i="32"/>
  <c r="O3" i="32" s="1"/>
  <c r="K36" i="32"/>
  <c r="O36" i="32" s="1"/>
  <c r="U22" i="32"/>
  <c r="AA22" i="32" s="1"/>
  <c r="Z22" i="32" s="1"/>
  <c r="AA12" i="32"/>
  <c r="Z12" i="32" s="1"/>
  <c r="U36" i="32"/>
  <c r="U32" i="32"/>
  <c r="U21" i="32"/>
  <c r="AA21" i="32" s="1"/>
  <c r="Z21" i="32" s="1"/>
  <c r="X50" i="32"/>
  <c r="Q27" i="32" l="1"/>
  <c r="L27" i="32" s="1"/>
  <c r="K50" i="32"/>
  <c r="Q46" i="32"/>
  <c r="L46" i="32" s="1"/>
  <c r="Q48" i="32"/>
  <c r="L48" i="32" s="1"/>
  <c r="Q43" i="32"/>
  <c r="L43" i="32" s="1"/>
  <c r="Q4" i="32"/>
  <c r="L4" i="32" s="1"/>
  <c r="Z51" i="32"/>
  <c r="Y22" i="32" s="1"/>
  <c r="U50" i="32"/>
  <c r="Q38" i="32"/>
  <c r="L38" i="32" s="1"/>
  <c r="Q32" i="32"/>
  <c r="L32" i="32" s="1"/>
  <c r="Q37" i="32"/>
  <c r="L37" i="32" s="1"/>
  <c r="Q50" i="32" l="1"/>
  <c r="Y21" i="32"/>
  <c r="L51" i="32"/>
  <c r="Y12" i="32"/>
  <c r="R9" i="30" l="1"/>
  <c r="R8" i="30"/>
  <c r="R7" i="30"/>
  <c r="M13" i="30"/>
  <c r="G13" i="30"/>
  <c r="L14" i="29"/>
  <c r="F14" i="29"/>
  <c r="P38" i="28" l="1"/>
  <c r="S46" i="28"/>
  <c r="M46" i="28"/>
  <c r="U77" i="31"/>
  <c r="O77" i="31"/>
  <c r="L77" i="31"/>
  <c r="C38" i="31"/>
  <c r="P38" i="31" s="1"/>
  <c r="C37" i="31"/>
  <c r="AM37" i="31" s="1"/>
  <c r="C31" i="31"/>
  <c r="I77" i="31"/>
  <c r="C45" i="28"/>
  <c r="T45" i="28" s="1"/>
  <c r="C44" i="28"/>
  <c r="T44" i="28" s="1"/>
  <c r="C43" i="28"/>
  <c r="T43" i="28" s="1"/>
  <c r="C42" i="28"/>
  <c r="T42" i="28" s="1"/>
  <c r="C41" i="28"/>
  <c r="T41" i="28" s="1"/>
  <c r="C40" i="28"/>
  <c r="T40" i="28" s="1"/>
  <c r="C39" i="28"/>
  <c r="T39" i="28" s="1"/>
  <c r="C38" i="28"/>
  <c r="T38" i="28" s="1"/>
  <c r="C37" i="28"/>
  <c r="T37" i="28" s="1"/>
  <c r="C36" i="28"/>
  <c r="AJ36" i="28" s="1"/>
  <c r="C35" i="28"/>
  <c r="C34" i="28"/>
  <c r="T34" i="28" s="1"/>
  <c r="C33" i="28"/>
  <c r="T33" i="28" s="1"/>
  <c r="C32" i="28"/>
  <c r="T32" i="28" s="1"/>
  <c r="C31" i="28"/>
  <c r="T31" i="28" s="1"/>
  <c r="C30" i="28"/>
  <c r="T30" i="28" s="1"/>
  <c r="C29" i="28"/>
  <c r="T29" i="28" s="1"/>
  <c r="C27" i="28"/>
  <c r="AJ27" i="28" s="1"/>
  <c r="C26" i="28"/>
  <c r="C25" i="28"/>
  <c r="T25" i="28" s="1"/>
  <c r="C24" i="28"/>
  <c r="T24" i="28" s="1"/>
  <c r="C23" i="28"/>
  <c r="C22" i="28"/>
  <c r="AJ22" i="28" s="1"/>
  <c r="C21" i="28"/>
  <c r="AJ21" i="28" s="1"/>
  <c r="C20" i="28"/>
  <c r="T20" i="28" s="1"/>
  <c r="C19" i="28"/>
  <c r="T19" i="28" s="1"/>
  <c r="C18" i="28"/>
  <c r="C17" i="28"/>
  <c r="T17" i="28" s="1"/>
  <c r="C15" i="28"/>
  <c r="T15" i="28" s="1"/>
  <c r="C14" i="28"/>
  <c r="T14" i="28" s="1"/>
  <c r="C13" i="28"/>
  <c r="T13" i="28" s="1"/>
  <c r="C12" i="28"/>
  <c r="T12" i="28" s="1"/>
  <c r="C11" i="28"/>
  <c r="C10" i="28"/>
  <c r="AJ10" i="28" s="1"/>
  <c r="C9" i="28"/>
  <c r="T9" i="28" s="1"/>
  <c r="C8" i="28"/>
  <c r="T8" i="28" s="1"/>
  <c r="C7" i="28"/>
  <c r="T7" i="28" s="1"/>
  <c r="C6" i="28"/>
  <c r="T6" i="28" s="1"/>
  <c r="C5" i="28"/>
  <c r="T5" i="28" s="1"/>
  <c r="C4" i="28"/>
  <c r="K46" i="28"/>
  <c r="C3" i="28"/>
  <c r="AJ3" i="28" s="1"/>
  <c r="C3" i="31"/>
  <c r="P3" i="31" s="1"/>
  <c r="C4" i="31"/>
  <c r="P4" i="31" s="1"/>
  <c r="C5" i="31"/>
  <c r="C6" i="31"/>
  <c r="AM6" i="31" s="1"/>
  <c r="C7" i="31"/>
  <c r="P7" i="31" s="1"/>
  <c r="C9" i="31"/>
  <c r="C10" i="31"/>
  <c r="AM10" i="31" s="1"/>
  <c r="C11" i="31"/>
  <c r="AM11" i="31" s="1"/>
  <c r="C12" i="31"/>
  <c r="P12" i="31" s="1"/>
  <c r="C13" i="31"/>
  <c r="AM13" i="31" s="1"/>
  <c r="C15" i="31"/>
  <c r="V15" i="31" s="1"/>
  <c r="C16" i="31"/>
  <c r="P16" i="31" s="1"/>
  <c r="C17" i="31"/>
  <c r="P17" i="31" s="1"/>
  <c r="C18" i="31"/>
  <c r="P18" i="31" s="1"/>
  <c r="C19" i="31"/>
  <c r="V19" i="31" s="1"/>
  <c r="C20" i="31"/>
  <c r="AM20" i="31" s="1"/>
  <c r="C21" i="31"/>
  <c r="P21" i="31" s="1"/>
  <c r="C22" i="31"/>
  <c r="AG22" i="31" s="1"/>
  <c r="C23" i="31"/>
  <c r="V23" i="31" s="1"/>
  <c r="C24" i="31"/>
  <c r="C25" i="31"/>
  <c r="V25" i="31" s="1"/>
  <c r="C26" i="31"/>
  <c r="AM26" i="31" s="1"/>
  <c r="C28" i="31"/>
  <c r="AM28" i="31" s="1"/>
  <c r="C32" i="31"/>
  <c r="AM32" i="31" s="1"/>
  <c r="C34" i="31"/>
  <c r="V34" i="31" s="1"/>
  <c r="C35" i="31"/>
  <c r="V35" i="31" s="1"/>
  <c r="C36" i="31"/>
  <c r="V36" i="31" s="1"/>
  <c r="C39" i="31"/>
  <c r="C40" i="31"/>
  <c r="V40" i="31" s="1"/>
  <c r="C41" i="31"/>
  <c r="V41" i="31" s="1"/>
  <c r="C42" i="31"/>
  <c r="M42" i="31" s="1"/>
  <c r="C43" i="31"/>
  <c r="C44" i="31"/>
  <c r="P44" i="31" s="1"/>
  <c r="C45" i="31"/>
  <c r="AM45" i="31" s="1"/>
  <c r="C46" i="31"/>
  <c r="V46" i="31" s="1"/>
  <c r="C47" i="31"/>
  <c r="P47" i="31" s="1"/>
  <c r="C48" i="31"/>
  <c r="P48" i="31" s="1"/>
  <c r="C49" i="31"/>
  <c r="P49" i="31" s="1"/>
  <c r="C50" i="31"/>
  <c r="V50" i="31" s="1"/>
  <c r="C51" i="31"/>
  <c r="V51" i="31" s="1"/>
  <c r="C52" i="31"/>
  <c r="AM52" i="31" s="1"/>
  <c r="C53" i="31"/>
  <c r="C54" i="31"/>
  <c r="V54" i="31" s="1"/>
  <c r="C55" i="31"/>
  <c r="V55" i="31" s="1"/>
  <c r="C56" i="31"/>
  <c r="V56" i="31" s="1"/>
  <c r="C57" i="31"/>
  <c r="V57" i="31" s="1"/>
  <c r="C58" i="31"/>
  <c r="V58" i="31" s="1"/>
  <c r="C59" i="31"/>
  <c r="AM59" i="31" s="1"/>
  <c r="C60" i="31"/>
  <c r="AM60" i="31" s="1"/>
  <c r="C61" i="31"/>
  <c r="V61" i="31" s="1"/>
  <c r="C62" i="31"/>
  <c r="V62" i="31" s="1"/>
  <c r="C63" i="31"/>
  <c r="V63" i="31" s="1"/>
  <c r="C64" i="31"/>
  <c r="V64" i="31" s="1"/>
  <c r="C65" i="31"/>
  <c r="AM65" i="31" s="1"/>
  <c r="C66" i="31"/>
  <c r="V66" i="31" s="1"/>
  <c r="C67" i="31"/>
  <c r="V67" i="31" s="1"/>
  <c r="C68" i="31"/>
  <c r="V68" i="31" s="1"/>
  <c r="C69" i="31"/>
  <c r="V69" i="31" s="1"/>
  <c r="C71" i="31"/>
  <c r="V71" i="31" s="1"/>
  <c r="C72" i="31"/>
  <c r="V72" i="31" s="1"/>
  <c r="C73" i="31"/>
  <c r="V73" i="31" s="1"/>
  <c r="C74" i="31"/>
  <c r="V74" i="31" s="1"/>
  <c r="C75" i="31"/>
  <c r="V75" i="31" s="1"/>
  <c r="C76" i="31"/>
  <c r="AM76" i="31" s="1"/>
  <c r="D77" i="31"/>
  <c r="E77" i="31"/>
  <c r="F77" i="31"/>
  <c r="G77" i="31"/>
  <c r="H77" i="31"/>
  <c r="J77" i="31"/>
  <c r="M26" i="27"/>
  <c r="P31" i="27"/>
  <c r="J31" i="27"/>
  <c r="AG53" i="31" l="1"/>
  <c r="AJ53" i="31"/>
  <c r="AM53" i="31"/>
  <c r="T23" i="28"/>
  <c r="AJ23" i="28"/>
  <c r="T11" i="28"/>
  <c r="AJ11" i="28"/>
  <c r="T35" i="28"/>
  <c r="AJ35" i="28"/>
  <c r="T4" i="28"/>
  <c r="T18" i="28"/>
  <c r="AJ18" i="28"/>
  <c r="V60" i="31"/>
  <c r="AJ60" i="31"/>
  <c r="AJ52" i="31"/>
  <c r="AG52" i="31"/>
  <c r="AJ59" i="31"/>
  <c r="AG59" i="31"/>
  <c r="AJ32" i="31"/>
  <c r="AG32" i="31"/>
  <c r="AJ6" i="31"/>
  <c r="AG6" i="31"/>
  <c r="AJ37" i="31"/>
  <c r="AG37" i="31"/>
  <c r="AJ5" i="31"/>
  <c r="AF5" i="31"/>
  <c r="AG5" i="31"/>
  <c r="AJ45" i="31"/>
  <c r="AG45" i="31"/>
  <c r="AF76" i="31"/>
  <c r="AJ65" i="31"/>
  <c r="AG65" i="31"/>
  <c r="AJ13" i="31"/>
  <c r="AG13" i="31"/>
  <c r="AJ20" i="31"/>
  <c r="AG20" i="31"/>
  <c r="V18" i="31"/>
  <c r="AJ11" i="31"/>
  <c r="AG11" i="31"/>
  <c r="AJ26" i="31"/>
  <c r="AG26" i="31"/>
  <c r="AJ10" i="31"/>
  <c r="AG10" i="31"/>
  <c r="P28" i="31"/>
  <c r="AJ28" i="31"/>
  <c r="V39" i="31"/>
  <c r="AJ39" i="31"/>
  <c r="V43" i="31"/>
  <c r="P9" i="31"/>
  <c r="P24" i="31"/>
  <c r="V31" i="31"/>
  <c r="V28" i="31"/>
  <c r="V52" i="31"/>
  <c r="M37" i="31"/>
  <c r="P22" i="31"/>
  <c r="V38" i="31"/>
  <c r="V59" i="31"/>
  <c r="V32" i="31"/>
  <c r="P6" i="31"/>
  <c r="V24" i="31"/>
  <c r="V16" i="31"/>
  <c r="V65" i="31"/>
  <c r="P13" i="31"/>
  <c r="V42" i="31"/>
  <c r="V20" i="31"/>
  <c r="P5" i="31"/>
  <c r="P11" i="31"/>
  <c r="P42" i="31"/>
  <c r="V76" i="31"/>
  <c r="V17" i="31"/>
  <c r="V26" i="31"/>
  <c r="P10" i="31"/>
  <c r="P50" i="31"/>
  <c r="V53" i="31"/>
  <c r="P45" i="31"/>
  <c r="N26" i="28"/>
  <c r="T26" i="28"/>
  <c r="N21" i="28"/>
  <c r="T21" i="28"/>
  <c r="N22" i="28"/>
  <c r="T22" i="28"/>
  <c r="N3" i="28"/>
  <c r="T3" i="28"/>
  <c r="N10" i="28"/>
  <c r="T10" i="28"/>
  <c r="N27" i="28"/>
  <c r="T27" i="28"/>
  <c r="N36" i="28"/>
  <c r="T36" i="28"/>
  <c r="U5" i="28"/>
  <c r="N5" i="28"/>
  <c r="U13" i="28"/>
  <c r="N13" i="28"/>
  <c r="U31" i="28"/>
  <c r="N31" i="28"/>
  <c r="U39" i="28"/>
  <c r="N39" i="28"/>
  <c r="N6" i="28"/>
  <c r="N14" i="28"/>
  <c r="U23" i="28"/>
  <c r="N23" i="28"/>
  <c r="N32" i="28"/>
  <c r="N40" i="28"/>
  <c r="U12" i="28"/>
  <c r="N12" i="28"/>
  <c r="U7" i="28"/>
  <c r="N7" i="28"/>
  <c r="U15" i="28"/>
  <c r="N15" i="28"/>
  <c r="U24" i="28"/>
  <c r="N24" i="28"/>
  <c r="U33" i="28"/>
  <c r="N33" i="28"/>
  <c r="N41" i="28"/>
  <c r="U4" i="28"/>
  <c r="N4" i="28"/>
  <c r="U8" i="28"/>
  <c r="N8" i="28"/>
  <c r="N17" i="28"/>
  <c r="U25" i="28"/>
  <c r="N25" i="28"/>
  <c r="U34" i="28"/>
  <c r="N34" i="28"/>
  <c r="U42" i="28"/>
  <c r="N42" i="28"/>
  <c r="U38" i="28"/>
  <c r="N38" i="28"/>
  <c r="U9" i="28"/>
  <c r="N9" i="28"/>
  <c r="AH18" i="28"/>
  <c r="N18" i="28"/>
  <c r="U35" i="28"/>
  <c r="N35" i="28"/>
  <c r="U43" i="28"/>
  <c r="N43" i="28"/>
  <c r="U19" i="28"/>
  <c r="N19" i="28"/>
  <c r="U44" i="28"/>
  <c r="N44" i="28"/>
  <c r="U30" i="28"/>
  <c r="N30" i="28"/>
  <c r="AH11" i="28"/>
  <c r="N11" i="28"/>
  <c r="U20" i="28"/>
  <c r="N20" i="28"/>
  <c r="U29" i="28"/>
  <c r="N29" i="28"/>
  <c r="N37" i="28"/>
  <c r="N45" i="28"/>
  <c r="M30" i="27"/>
  <c r="M8" i="27"/>
  <c r="M19" i="27"/>
  <c r="M10" i="27"/>
  <c r="M11" i="27"/>
  <c r="U21" i="28"/>
  <c r="AH21" i="28"/>
  <c r="U22" i="28"/>
  <c r="AH22" i="28"/>
  <c r="AH23" i="28"/>
  <c r="U17" i="28"/>
  <c r="U26" i="28"/>
  <c r="AH26" i="28"/>
  <c r="U41" i="28"/>
  <c r="U10" i="28"/>
  <c r="AH10" i="28"/>
  <c r="U27" i="28"/>
  <c r="AH27" i="28"/>
  <c r="U36" i="28"/>
  <c r="AH36" i="28"/>
  <c r="M21" i="27"/>
  <c r="P15" i="31"/>
  <c r="P54" i="31"/>
  <c r="M27" i="27"/>
  <c r="U6" i="28"/>
  <c r="P34" i="31"/>
  <c r="V45" i="31"/>
  <c r="U32" i="28"/>
  <c r="P9" i="28"/>
  <c r="P35" i="31"/>
  <c r="P18" i="28"/>
  <c r="P46" i="31"/>
  <c r="M52" i="31"/>
  <c r="V13" i="31"/>
  <c r="U14" i="28"/>
  <c r="P26" i="28"/>
  <c r="U40" i="28"/>
  <c r="P43" i="28"/>
  <c r="P19" i="28"/>
  <c r="P36" i="28"/>
  <c r="P5" i="28"/>
  <c r="P13" i="28"/>
  <c r="P22" i="28"/>
  <c r="P31" i="28"/>
  <c r="P39" i="28"/>
  <c r="P6" i="28"/>
  <c r="P14" i="28"/>
  <c r="P23" i="28"/>
  <c r="P32" i="28"/>
  <c r="P40" i="28"/>
  <c r="P27" i="28"/>
  <c r="P7" i="28"/>
  <c r="P15" i="28"/>
  <c r="P24" i="28"/>
  <c r="P33" i="28"/>
  <c r="P41" i="28"/>
  <c r="P8" i="28"/>
  <c r="P17" i="28"/>
  <c r="P25" i="28"/>
  <c r="P34" i="28"/>
  <c r="P42" i="28"/>
  <c r="P35" i="28"/>
  <c r="P10" i="28"/>
  <c r="P44" i="28"/>
  <c r="P3" i="28"/>
  <c r="P11" i="28"/>
  <c r="P20" i="28"/>
  <c r="P29" i="28"/>
  <c r="P37" i="28"/>
  <c r="P45" i="28"/>
  <c r="P4" i="28"/>
  <c r="P12" i="28"/>
  <c r="P21" i="28"/>
  <c r="P30" i="28"/>
  <c r="U18" i="28"/>
  <c r="U3" i="28"/>
  <c r="U11" i="28"/>
  <c r="U37" i="28"/>
  <c r="U45" i="28"/>
  <c r="M22" i="27"/>
  <c r="M29" i="27"/>
  <c r="P23" i="31"/>
  <c r="P19" i="31"/>
  <c r="P43" i="31"/>
  <c r="P51" i="31"/>
  <c r="V22" i="31"/>
  <c r="V44" i="31"/>
  <c r="V48" i="31"/>
  <c r="P20" i="31"/>
  <c r="P36" i="31"/>
  <c r="P52" i="31"/>
  <c r="P25" i="31"/>
  <c r="V21" i="31"/>
  <c r="V49" i="31"/>
  <c r="C77" i="31"/>
  <c r="P37" i="31"/>
  <c r="P53" i="31"/>
  <c r="P26" i="31"/>
  <c r="V37" i="31"/>
  <c r="V47" i="31"/>
  <c r="M31" i="31"/>
  <c r="P39" i="31"/>
  <c r="P55" i="31"/>
  <c r="M40" i="31"/>
  <c r="P31" i="31"/>
  <c r="P40" i="31"/>
  <c r="P56" i="31"/>
  <c r="M41" i="31"/>
  <c r="P32" i="31"/>
  <c r="P41" i="31"/>
  <c r="M9" i="27"/>
  <c r="M20" i="27"/>
  <c r="M28" i="27"/>
  <c r="M12" i="27"/>
  <c r="M23" i="27"/>
  <c r="M4" i="27"/>
  <c r="M14" i="27"/>
  <c r="M24" i="27"/>
  <c r="M3" i="27"/>
  <c r="M5" i="27"/>
  <c r="M15" i="27"/>
  <c r="M25" i="27"/>
  <c r="M6" i="27"/>
  <c r="M18" i="27"/>
  <c r="E13" i="30"/>
  <c r="D13" i="30"/>
  <c r="C4" i="30"/>
  <c r="N4" i="30" s="1"/>
  <c r="C12" i="30"/>
  <c r="N12" i="30" s="1"/>
  <c r="C11" i="30"/>
  <c r="N11" i="30" s="1"/>
  <c r="C10" i="30"/>
  <c r="AG10" i="30" s="1"/>
  <c r="C9" i="30"/>
  <c r="C8" i="30"/>
  <c r="C7" i="30"/>
  <c r="C6" i="30"/>
  <c r="N6" i="30" s="1"/>
  <c r="C5" i="30"/>
  <c r="AG5" i="30" s="1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5" i="27"/>
  <c r="C14" i="27"/>
  <c r="C13" i="27"/>
  <c r="K13" i="27" s="1"/>
  <c r="C12" i="27"/>
  <c r="C11" i="27"/>
  <c r="C10" i="27"/>
  <c r="C9" i="27"/>
  <c r="C8" i="27"/>
  <c r="Q8" i="27" s="1"/>
  <c r="C6" i="27"/>
  <c r="C5" i="27"/>
  <c r="C4" i="27"/>
  <c r="C3" i="27"/>
  <c r="C5" i="29"/>
  <c r="C4" i="29"/>
  <c r="C3" i="29"/>
  <c r="D14" i="29"/>
  <c r="C10" i="29"/>
  <c r="M10" i="29" s="1"/>
  <c r="C9" i="29"/>
  <c r="M9" i="29" s="1"/>
  <c r="C8" i="29"/>
  <c r="M8" i="29" s="1"/>
  <c r="C6" i="29"/>
  <c r="M6" i="29" s="1"/>
  <c r="C13" i="29"/>
  <c r="M13" i="29" s="1"/>
  <c r="C12" i="29"/>
  <c r="M12" i="29" s="1"/>
  <c r="C11" i="29"/>
  <c r="M11" i="29" s="1"/>
  <c r="C7" i="29"/>
  <c r="M7" i="29" s="1"/>
  <c r="J46" i="28"/>
  <c r="I46" i="28"/>
  <c r="H46" i="28"/>
  <c r="G46" i="28"/>
  <c r="F46" i="28"/>
  <c r="E46" i="28"/>
  <c r="D46" i="28"/>
  <c r="H31" i="27"/>
  <c r="G31" i="27"/>
  <c r="F31" i="27"/>
  <c r="E31" i="27"/>
  <c r="D31" i="27"/>
  <c r="V77" i="31" l="1"/>
  <c r="C79" i="31"/>
  <c r="AE27" i="27"/>
  <c r="AH27" i="27"/>
  <c r="AE11" i="27"/>
  <c r="AH11" i="27"/>
  <c r="AE3" i="27"/>
  <c r="AH3" i="27"/>
  <c r="AE21" i="27"/>
  <c r="AH21" i="27"/>
  <c r="AE4" i="27"/>
  <c r="AH4" i="27"/>
  <c r="AH5" i="29"/>
  <c r="AE5" i="29"/>
  <c r="AG13" i="30"/>
  <c r="AO4" i="30" s="1"/>
  <c r="AB10" i="30" s="1"/>
  <c r="AE4" i="29"/>
  <c r="AH4" i="29"/>
  <c r="AE3" i="29"/>
  <c r="AH3" i="29"/>
  <c r="AM77" i="31"/>
  <c r="AS3" i="31" s="1"/>
  <c r="AH29" i="31" s="1"/>
  <c r="M5" i="29"/>
  <c r="AD5" i="29"/>
  <c r="N5" i="30"/>
  <c r="AD5" i="30"/>
  <c r="AJ46" i="28"/>
  <c r="M3" i="29"/>
  <c r="AD3" i="29"/>
  <c r="N10" i="30"/>
  <c r="AD10" i="30"/>
  <c r="M4" i="29"/>
  <c r="AD4" i="29"/>
  <c r="AJ77" i="31"/>
  <c r="AQ3" i="31" s="1"/>
  <c r="Z5" i="30"/>
  <c r="I5" i="30"/>
  <c r="H5" i="30"/>
  <c r="I4" i="30"/>
  <c r="H4" i="30"/>
  <c r="H12" i="30"/>
  <c r="I12" i="30"/>
  <c r="I6" i="30"/>
  <c r="H6" i="30"/>
  <c r="I11" i="30"/>
  <c r="H11" i="30"/>
  <c r="Z10" i="30"/>
  <c r="I10" i="30"/>
  <c r="H10" i="30"/>
  <c r="H9" i="29"/>
  <c r="G9" i="29"/>
  <c r="H10" i="29"/>
  <c r="G10" i="29"/>
  <c r="H11" i="29"/>
  <c r="G11" i="29"/>
  <c r="Z3" i="29"/>
  <c r="H3" i="29"/>
  <c r="G3" i="29"/>
  <c r="Z8" i="29"/>
  <c r="H8" i="29"/>
  <c r="G8" i="29"/>
  <c r="G7" i="29"/>
  <c r="H7" i="29"/>
  <c r="H4" i="29"/>
  <c r="G4" i="29"/>
  <c r="H12" i="29"/>
  <c r="G12" i="29"/>
  <c r="G13" i="29"/>
  <c r="H13" i="29"/>
  <c r="Z5" i="29"/>
  <c r="G5" i="29"/>
  <c r="H5" i="29"/>
  <c r="G6" i="29"/>
  <c r="H6" i="29"/>
  <c r="T48" i="28"/>
  <c r="W22" i="28" s="1"/>
  <c r="N48" i="28"/>
  <c r="Q25" i="28" s="1"/>
  <c r="K10" i="27"/>
  <c r="Q10" i="27"/>
  <c r="K19" i="27"/>
  <c r="Q19" i="27"/>
  <c r="Q27" i="27"/>
  <c r="Q11" i="27"/>
  <c r="K20" i="27"/>
  <c r="Q20" i="27"/>
  <c r="K28" i="27"/>
  <c r="Q28" i="27"/>
  <c r="Q3" i="27"/>
  <c r="K29" i="27"/>
  <c r="Q29" i="27"/>
  <c r="Q4" i="27"/>
  <c r="R13" i="27"/>
  <c r="Q13" i="27"/>
  <c r="K22" i="27"/>
  <c r="Q22" i="27"/>
  <c r="K30" i="27"/>
  <c r="Q30" i="27"/>
  <c r="K12" i="27"/>
  <c r="Q12" i="27"/>
  <c r="K5" i="27"/>
  <c r="Q5" i="27"/>
  <c r="K14" i="27"/>
  <c r="Q14" i="27"/>
  <c r="K23" i="27"/>
  <c r="Q23" i="27"/>
  <c r="Q21" i="27"/>
  <c r="K6" i="27"/>
  <c r="Q6" i="27"/>
  <c r="K15" i="27"/>
  <c r="Q15" i="27"/>
  <c r="K24" i="27"/>
  <c r="Q24" i="27"/>
  <c r="R17" i="27"/>
  <c r="Q17" i="27"/>
  <c r="K25" i="27"/>
  <c r="Q25" i="27"/>
  <c r="K9" i="27"/>
  <c r="Q9" i="27"/>
  <c r="K18" i="27"/>
  <c r="Q18" i="27"/>
  <c r="K26" i="27"/>
  <c r="Q26" i="27"/>
  <c r="K4" i="27"/>
  <c r="K27" i="27"/>
  <c r="K11" i="27"/>
  <c r="K3" i="27"/>
  <c r="K21" i="27"/>
  <c r="K8" i="27"/>
  <c r="AH46" i="28"/>
  <c r="P77" i="31"/>
  <c r="AP2" i="31"/>
  <c r="N7" i="29"/>
  <c r="O5" i="30"/>
  <c r="N11" i="29"/>
  <c r="N3" i="29"/>
  <c r="N10" i="29"/>
  <c r="O6" i="30"/>
  <c r="N12" i="29"/>
  <c r="N4" i="29"/>
  <c r="N13" i="29"/>
  <c r="C14" i="29"/>
  <c r="N5" i="29"/>
  <c r="O10" i="30"/>
  <c r="N8" i="29"/>
  <c r="N9" i="29"/>
  <c r="C13" i="30"/>
  <c r="N6" i="29"/>
  <c r="P46" i="28"/>
  <c r="U48" i="28"/>
  <c r="V45" i="28" s="1"/>
  <c r="M77" i="31"/>
  <c r="C46" i="28"/>
  <c r="M15" i="31"/>
  <c r="M22" i="31"/>
  <c r="M38" i="31"/>
  <c r="M46" i="31"/>
  <c r="M54" i="31"/>
  <c r="M62" i="31"/>
  <c r="P62" i="31"/>
  <c r="M16" i="31"/>
  <c r="M23" i="31"/>
  <c r="M39" i="31"/>
  <c r="M47" i="31"/>
  <c r="M55" i="31"/>
  <c r="M63" i="31"/>
  <c r="P63" i="31"/>
  <c r="M71" i="31"/>
  <c r="P71" i="31"/>
  <c r="M17" i="31"/>
  <c r="M24" i="31"/>
  <c r="M48" i="31"/>
  <c r="M56" i="31"/>
  <c r="M64" i="31"/>
  <c r="P64" i="31"/>
  <c r="M72" i="31"/>
  <c r="P72" i="31"/>
  <c r="M18" i="31"/>
  <c r="M25" i="31"/>
  <c r="M32" i="31"/>
  <c r="M49" i="31"/>
  <c r="P57" i="31"/>
  <c r="M57" i="31"/>
  <c r="P65" i="31"/>
  <c r="M65" i="31"/>
  <c r="P73" i="31"/>
  <c r="M73" i="31"/>
  <c r="M26" i="31"/>
  <c r="M34" i="31"/>
  <c r="M50" i="31"/>
  <c r="P58" i="31"/>
  <c r="M58" i="31"/>
  <c r="M66" i="31"/>
  <c r="P66" i="31"/>
  <c r="P74" i="31"/>
  <c r="M74" i="31"/>
  <c r="M19" i="31"/>
  <c r="M35" i="31"/>
  <c r="M43" i="31"/>
  <c r="M51" i="31"/>
  <c r="P59" i="31"/>
  <c r="M59" i="31"/>
  <c r="P67" i="31"/>
  <c r="M67" i="31"/>
  <c r="M75" i="31"/>
  <c r="P75" i="31"/>
  <c r="M31" i="27"/>
  <c r="M20" i="31"/>
  <c r="M36" i="31"/>
  <c r="M44" i="31"/>
  <c r="P60" i="31"/>
  <c r="M60" i="31"/>
  <c r="M68" i="31"/>
  <c r="P68" i="31"/>
  <c r="M76" i="31"/>
  <c r="P76" i="31"/>
  <c r="M13" i="31"/>
  <c r="M21" i="31"/>
  <c r="M28" i="31"/>
  <c r="M45" i="31"/>
  <c r="M53" i="31"/>
  <c r="P61" i="31"/>
  <c r="M61" i="31"/>
  <c r="P69" i="31"/>
  <c r="M69" i="31"/>
  <c r="R8" i="27"/>
  <c r="R25" i="27"/>
  <c r="V10" i="31"/>
  <c r="M10" i="31"/>
  <c r="V9" i="31"/>
  <c r="M9" i="31"/>
  <c r="R9" i="27"/>
  <c r="R18" i="27"/>
  <c r="R26" i="27"/>
  <c r="V12" i="31"/>
  <c r="M12" i="31"/>
  <c r="V3" i="31"/>
  <c r="M3" i="31"/>
  <c r="R24" i="27"/>
  <c r="R19" i="27"/>
  <c r="R20" i="27"/>
  <c r="M4" i="31"/>
  <c r="V4" i="31"/>
  <c r="V11" i="31"/>
  <c r="M11" i="31"/>
  <c r="R6" i="27"/>
  <c r="R27" i="27"/>
  <c r="R11" i="27"/>
  <c r="R3" i="27"/>
  <c r="R12" i="27"/>
  <c r="R21" i="27"/>
  <c r="R29" i="27"/>
  <c r="M5" i="31"/>
  <c r="V5" i="31"/>
  <c r="R15" i="27"/>
  <c r="R4" i="27"/>
  <c r="R22" i="27"/>
  <c r="R30" i="27"/>
  <c r="M6" i="31"/>
  <c r="V6" i="31"/>
  <c r="R10" i="27"/>
  <c r="R28" i="27"/>
  <c r="R5" i="27"/>
  <c r="R14" i="27"/>
  <c r="R23" i="27"/>
  <c r="C31" i="27"/>
  <c r="V7" i="31"/>
  <c r="M7" i="31"/>
  <c r="AE31" i="27" l="1"/>
  <c r="AP5" i="27" s="1"/>
  <c r="AB4" i="27" s="1"/>
  <c r="AQ77" i="31"/>
  <c r="AE29" i="31"/>
  <c r="AI29" i="31" s="1"/>
  <c r="N13" i="30"/>
  <c r="C15" i="30"/>
  <c r="AP4" i="28"/>
  <c r="C48" i="28"/>
  <c r="Q31" i="27"/>
  <c r="M14" i="29"/>
  <c r="C16" i="29"/>
  <c r="AH28" i="31"/>
  <c r="AH59" i="31"/>
  <c r="AH37" i="31"/>
  <c r="AH52" i="31"/>
  <c r="AH32" i="31"/>
  <c r="AH65" i="31"/>
  <c r="AH6" i="31"/>
  <c r="AH20" i="31"/>
  <c r="AH10" i="31"/>
  <c r="AH13" i="31"/>
  <c r="AH11" i="31"/>
  <c r="AH26" i="31"/>
  <c r="AH76" i="31"/>
  <c r="AH60" i="31"/>
  <c r="AH45" i="31"/>
  <c r="AB5" i="30"/>
  <c r="M15" i="29"/>
  <c r="AE14" i="29"/>
  <c r="AR3" i="29" s="1"/>
  <c r="AA3" i="29" s="1"/>
  <c r="AH14" i="29"/>
  <c r="AS3" i="29" s="1"/>
  <c r="AB3" i="29" s="1"/>
  <c r="AH31" i="27"/>
  <c r="AR5" i="27" s="1"/>
  <c r="AC3" i="27" s="1"/>
  <c r="AH53" i="31"/>
  <c r="AI53" i="31" s="1"/>
  <c r="N14" i="30"/>
  <c r="P12" i="30" s="1"/>
  <c r="AR3" i="28"/>
  <c r="AD14" i="29"/>
  <c r="AQ3" i="29" s="1"/>
  <c r="AD13" i="30"/>
  <c r="AN4" i="30" s="1"/>
  <c r="Y10" i="30" s="1"/>
  <c r="AC10" i="30" s="1"/>
  <c r="AE76" i="31"/>
  <c r="AE60" i="31"/>
  <c r="AE65" i="31"/>
  <c r="AE10" i="31"/>
  <c r="AE13" i="31"/>
  <c r="AE39" i="31"/>
  <c r="AI39" i="31" s="1"/>
  <c r="AE32" i="31"/>
  <c r="AE6" i="31"/>
  <c r="AE5" i="31"/>
  <c r="AE28" i="31"/>
  <c r="AE59" i="31"/>
  <c r="AE26" i="31"/>
  <c r="AE52" i="31"/>
  <c r="AE20" i="31"/>
  <c r="AE45" i="31"/>
  <c r="AE11" i="31"/>
  <c r="AN11" i="31" s="1"/>
  <c r="AE37" i="31"/>
  <c r="Z13" i="30"/>
  <c r="H13" i="30"/>
  <c r="I13" i="30"/>
  <c r="I15" i="30"/>
  <c r="K11" i="30" s="1"/>
  <c r="R11" i="30" s="1"/>
  <c r="H15" i="30"/>
  <c r="J10" i="30" s="1"/>
  <c r="Z14" i="29"/>
  <c r="H15" i="29"/>
  <c r="J7" i="29" s="1"/>
  <c r="G14" i="29"/>
  <c r="H14" i="29"/>
  <c r="G15" i="29"/>
  <c r="I5" i="29" s="1"/>
  <c r="W3" i="28"/>
  <c r="W10" i="28"/>
  <c r="W36" i="28"/>
  <c r="W26" i="28"/>
  <c r="W11" i="28"/>
  <c r="W20" i="28"/>
  <c r="W40" i="28"/>
  <c r="W43" i="28"/>
  <c r="W44" i="28"/>
  <c r="W25" i="28"/>
  <c r="Y25" i="28" s="1"/>
  <c r="W6" i="28"/>
  <c r="W8" i="28"/>
  <c r="W37" i="28"/>
  <c r="W29" i="28"/>
  <c r="W15" i="28"/>
  <c r="W7" i="28"/>
  <c r="W45" i="28"/>
  <c r="W41" i="28"/>
  <c r="W5" i="28"/>
  <c r="W35" i="28"/>
  <c r="W4" i="28"/>
  <c r="W12" i="28"/>
  <c r="W33" i="28"/>
  <c r="W24" i="28"/>
  <c r="W30" i="28"/>
  <c r="W34" i="28"/>
  <c r="W32" i="28"/>
  <c r="W38" i="28"/>
  <c r="W19" i="28"/>
  <c r="W13" i="28"/>
  <c r="W14" i="28"/>
  <c r="W9" i="28"/>
  <c r="W17" i="28"/>
  <c r="W31" i="28"/>
  <c r="W23" i="28"/>
  <c r="W18" i="28"/>
  <c r="W42" i="28"/>
  <c r="W39" i="28"/>
  <c r="W21" i="28"/>
  <c r="W27" i="28"/>
  <c r="N46" i="28"/>
  <c r="T46" i="28"/>
  <c r="Q29" i="28"/>
  <c r="Q32" i="28"/>
  <c r="Q37" i="28"/>
  <c r="Y37" i="28" s="1"/>
  <c r="Q33" i="28"/>
  <c r="Q12" i="28"/>
  <c r="Q8" i="28"/>
  <c r="Q6" i="28"/>
  <c r="Q24" i="28"/>
  <c r="Q7" i="28"/>
  <c r="Q13" i="28"/>
  <c r="Q17" i="28"/>
  <c r="Q34" i="28"/>
  <c r="Q23" i="28"/>
  <c r="Q38" i="28"/>
  <c r="Q18" i="28"/>
  <c r="Q30" i="28"/>
  <c r="Q43" i="28"/>
  <c r="Q44" i="28"/>
  <c r="Q45" i="28"/>
  <c r="Q11" i="28"/>
  <c r="Q15" i="28"/>
  <c r="Q5" i="28"/>
  <c r="Q41" i="28"/>
  <c r="Q42" i="28"/>
  <c r="Q31" i="28"/>
  <c r="Q21" i="28"/>
  <c r="Q22" i="28"/>
  <c r="Y22" i="28" s="1"/>
  <c r="Q26" i="28"/>
  <c r="Q3" i="28"/>
  <c r="Q10" i="28"/>
  <c r="Q27" i="28"/>
  <c r="Q36" i="28"/>
  <c r="Q19" i="28"/>
  <c r="Q9" i="28"/>
  <c r="Q39" i="28"/>
  <c r="Q14" i="28"/>
  <c r="Q4" i="28"/>
  <c r="Q35" i="28"/>
  <c r="Q40" i="28"/>
  <c r="Q20" i="28"/>
  <c r="V11" i="28"/>
  <c r="X11" i="28" s="1"/>
  <c r="V18" i="28"/>
  <c r="X18" i="28" s="1"/>
  <c r="T8" i="27"/>
  <c r="N3" i="27"/>
  <c r="K31" i="27"/>
  <c r="V37" i="28"/>
  <c r="X37" i="28" s="1"/>
  <c r="AO4" i="29"/>
  <c r="N14" i="29"/>
  <c r="O14" i="30"/>
  <c r="Q10" i="30" s="1"/>
  <c r="P79" i="31"/>
  <c r="V3" i="28"/>
  <c r="X3" i="28" s="1"/>
  <c r="N15" i="29"/>
  <c r="O5" i="29" s="1"/>
  <c r="AL5" i="30"/>
  <c r="O13" i="30"/>
  <c r="X45" i="28"/>
  <c r="U46" i="28"/>
  <c r="V25" i="28"/>
  <c r="V8" i="28"/>
  <c r="X8" i="28" s="1"/>
  <c r="V13" i="28"/>
  <c r="X13" i="28" s="1"/>
  <c r="V44" i="28"/>
  <c r="X44" i="28" s="1"/>
  <c r="V5" i="28"/>
  <c r="V33" i="28"/>
  <c r="V31" i="28"/>
  <c r="X31" i="28" s="1"/>
  <c r="V43" i="28"/>
  <c r="X43" i="28" s="1"/>
  <c r="V23" i="28"/>
  <c r="X23" i="28" s="1"/>
  <c r="V29" i="28"/>
  <c r="X29" i="28" s="1"/>
  <c r="V39" i="28"/>
  <c r="X39" i="28" s="1"/>
  <c r="V21" i="28"/>
  <c r="V6" i="28"/>
  <c r="V14" i="28"/>
  <c r="V7" i="28"/>
  <c r="V42" i="28"/>
  <c r="V9" i="28"/>
  <c r="V34" i="28"/>
  <c r="X34" i="28" s="1"/>
  <c r="V15" i="28"/>
  <c r="X15" i="28" s="1"/>
  <c r="V32" i="28"/>
  <c r="V22" i="28"/>
  <c r="V12" i="28"/>
  <c r="X12" i="28" s="1"/>
  <c r="V10" i="28"/>
  <c r="X10" i="28" s="1"/>
  <c r="V40" i="28"/>
  <c r="X40" i="28" s="1"/>
  <c r="V17" i="28"/>
  <c r="V24" i="28"/>
  <c r="X24" i="28" s="1"/>
  <c r="V26" i="28"/>
  <c r="X26" i="28" s="1"/>
  <c r="V38" i="28"/>
  <c r="V19" i="28"/>
  <c r="V41" i="28"/>
  <c r="X41" i="28" s="1"/>
  <c r="V4" i="28"/>
  <c r="V35" i="28"/>
  <c r="X35" i="28" s="1"/>
  <c r="V27" i="28"/>
  <c r="X27" i="28" s="1"/>
  <c r="V20" i="28"/>
  <c r="X20" i="28" s="1"/>
  <c r="V30" i="28"/>
  <c r="X30" i="28" s="1"/>
  <c r="V36" i="28"/>
  <c r="X36" i="28" s="1"/>
  <c r="V79" i="31"/>
  <c r="M79" i="31"/>
  <c r="R50" i="31"/>
  <c r="R49" i="31"/>
  <c r="R44" i="31"/>
  <c r="R51" i="31"/>
  <c r="R19" i="31"/>
  <c r="R18" i="31"/>
  <c r="R17" i="31"/>
  <c r="R47" i="31"/>
  <c r="R16" i="31"/>
  <c r="R46" i="31"/>
  <c r="R15" i="31"/>
  <c r="R7" i="31"/>
  <c r="R28" i="31"/>
  <c r="R74" i="31"/>
  <c r="R73" i="31"/>
  <c r="R4" i="31"/>
  <c r="R76" i="31"/>
  <c r="R75" i="31"/>
  <c r="R40" i="31"/>
  <c r="R21" i="31"/>
  <c r="R67" i="31"/>
  <c r="R45" i="31"/>
  <c r="R35" i="31"/>
  <c r="R66" i="31"/>
  <c r="R34" i="31"/>
  <c r="R32" i="31"/>
  <c r="R64" i="31"/>
  <c r="R63" i="31"/>
  <c r="R31" i="31"/>
  <c r="R62" i="31"/>
  <c r="R37" i="31"/>
  <c r="R53" i="31"/>
  <c r="R36" i="31"/>
  <c r="R41" i="31"/>
  <c r="R71" i="31"/>
  <c r="R39" i="31"/>
  <c r="R60" i="31"/>
  <c r="R65" i="31"/>
  <c r="R77" i="31"/>
  <c r="R13" i="31"/>
  <c r="R52" i="31"/>
  <c r="R59" i="31"/>
  <c r="R58" i="31"/>
  <c r="R57" i="31"/>
  <c r="R54" i="31"/>
  <c r="R48" i="31"/>
  <c r="R61" i="31"/>
  <c r="R12" i="31"/>
  <c r="R68" i="31"/>
  <c r="R43" i="31"/>
  <c r="R42" i="31"/>
  <c r="R72" i="31"/>
  <c r="R38" i="31"/>
  <c r="R11" i="31"/>
  <c r="R9" i="31"/>
  <c r="R10" i="31"/>
  <c r="R69" i="31"/>
  <c r="R20" i="31"/>
  <c r="R26" i="31"/>
  <c r="R25" i="31"/>
  <c r="R56" i="31"/>
  <c r="R24" i="31"/>
  <c r="R55" i="31"/>
  <c r="R23" i="31"/>
  <c r="R22" i="31"/>
  <c r="R31" i="27"/>
  <c r="R5" i="31"/>
  <c r="S22" i="27"/>
  <c r="U22" i="27" s="1"/>
  <c r="R3" i="31"/>
  <c r="R6" i="31"/>
  <c r="AB27" i="27" l="1"/>
  <c r="AB3" i="27"/>
  <c r="AD3" i="27" s="1"/>
  <c r="AB11" i="27"/>
  <c r="AB21" i="27"/>
  <c r="AB5" i="29"/>
  <c r="AA4" i="29"/>
  <c r="X4" i="31"/>
  <c r="X29" i="31"/>
  <c r="N28" i="31"/>
  <c r="N29" i="31"/>
  <c r="Q12" i="31"/>
  <c r="Q29" i="31"/>
  <c r="AI32" i="31"/>
  <c r="AI52" i="31"/>
  <c r="AI26" i="31"/>
  <c r="AC11" i="27"/>
  <c r="AI37" i="31"/>
  <c r="AI13" i="31"/>
  <c r="AI59" i="31"/>
  <c r="AC27" i="27"/>
  <c r="AI10" i="31"/>
  <c r="AI28" i="31"/>
  <c r="AC4" i="27"/>
  <c r="AD4" i="27" s="1"/>
  <c r="AC21" i="27"/>
  <c r="AD21" i="27" s="1"/>
  <c r="AB4" i="29"/>
  <c r="AA5" i="29"/>
  <c r="AI20" i="31"/>
  <c r="AI76" i="31"/>
  <c r="AI11" i="31"/>
  <c r="AI45" i="31"/>
  <c r="AI6" i="31"/>
  <c r="AH77" i="31"/>
  <c r="AN5" i="31"/>
  <c r="AI5" i="31"/>
  <c r="AG21" i="28"/>
  <c r="AI21" i="28" s="1"/>
  <c r="AG3" i="28"/>
  <c r="AI3" i="28" s="1"/>
  <c r="AI60" i="31"/>
  <c r="AI65" i="31"/>
  <c r="P5" i="30"/>
  <c r="P4" i="30"/>
  <c r="P10" i="30"/>
  <c r="S10" i="30" s="1"/>
  <c r="P6" i="30"/>
  <c r="Y32" i="28"/>
  <c r="Y5" i="29"/>
  <c r="Y4" i="29"/>
  <c r="Y36" i="28"/>
  <c r="AG36" i="28"/>
  <c r="AI36" i="28" s="1"/>
  <c r="AG22" i="28"/>
  <c r="AI22" i="28" s="1"/>
  <c r="Y35" i="28"/>
  <c r="AG27" i="28"/>
  <c r="AI27" i="28" s="1"/>
  <c r="Y23" i="28"/>
  <c r="AG10" i="28"/>
  <c r="AI10" i="28" s="1"/>
  <c r="T30" i="27"/>
  <c r="T24" i="27"/>
  <c r="T21" i="27"/>
  <c r="T25" i="27"/>
  <c r="Y3" i="29"/>
  <c r="AA16" i="29" s="1"/>
  <c r="AD16" i="29" s="1"/>
  <c r="AG23" i="28"/>
  <c r="AI23" i="28" s="1"/>
  <c r="AG35" i="28"/>
  <c r="AI35" i="28" s="1"/>
  <c r="AG11" i="28"/>
  <c r="AI11" i="28" s="1"/>
  <c r="AG18" i="28"/>
  <c r="AI18" i="28" s="1"/>
  <c r="Y6" i="28"/>
  <c r="Y5" i="28"/>
  <c r="Y38" i="28"/>
  <c r="Y8" i="28"/>
  <c r="Y5" i="30"/>
  <c r="Y13" i="30" s="1"/>
  <c r="Y26" i="28"/>
  <c r="AE77" i="31"/>
  <c r="T29" i="27"/>
  <c r="Q20" i="31"/>
  <c r="Q19" i="31"/>
  <c r="Q68" i="31"/>
  <c r="Q38" i="31"/>
  <c r="Q67" i="31"/>
  <c r="Q6" i="31"/>
  <c r="Q62" i="31"/>
  <c r="Q5" i="31"/>
  <c r="Q61" i="31"/>
  <c r="Q23" i="31"/>
  <c r="Q35" i="31"/>
  <c r="Q28" i="31"/>
  <c r="T28" i="31" s="1"/>
  <c r="Q71" i="31"/>
  <c r="Q74" i="31"/>
  <c r="Q37" i="31"/>
  <c r="Q53" i="31"/>
  <c r="Q22" i="31"/>
  <c r="Q11" i="31"/>
  <c r="Q26" i="31"/>
  <c r="Q21" i="31"/>
  <c r="Q17" i="31"/>
  <c r="Q57" i="31"/>
  <c r="Q45" i="31"/>
  <c r="Q40" i="31"/>
  <c r="Q16" i="31"/>
  <c r="Q66" i="31"/>
  <c r="Q25" i="31"/>
  <c r="Q9" i="31"/>
  <c r="Q69" i="31"/>
  <c r="Q32" i="31"/>
  <c r="Q54" i="31"/>
  <c r="Q49" i="31"/>
  <c r="N73" i="31"/>
  <c r="N62" i="31"/>
  <c r="N72" i="31"/>
  <c r="N19" i="31"/>
  <c r="Q76" i="31"/>
  <c r="Q59" i="31"/>
  <c r="Q65" i="31"/>
  <c r="Q63" i="31"/>
  <c r="Q31" i="31"/>
  <c r="Q55" i="31"/>
  <c r="Q36" i="31"/>
  <c r="Q34" i="31"/>
  <c r="Q7" i="31"/>
  <c r="Q10" i="31"/>
  <c r="Q50" i="31"/>
  <c r="N10" i="31"/>
  <c r="X10" i="31"/>
  <c r="Q58" i="31"/>
  <c r="Q64" i="31"/>
  <c r="Q52" i="31"/>
  <c r="Q43" i="31"/>
  <c r="Q24" i="31"/>
  <c r="Q42" i="31"/>
  <c r="Q44" i="31"/>
  <c r="N66" i="31"/>
  <c r="N51" i="31"/>
  <c r="N7" i="31"/>
  <c r="X6" i="31"/>
  <c r="N11" i="31"/>
  <c r="Q75" i="31"/>
  <c r="Q60" i="31"/>
  <c r="Q56" i="31"/>
  <c r="Q39" i="31"/>
  <c r="Q4" i="31"/>
  <c r="Q15" i="31"/>
  <c r="Q3" i="31"/>
  <c r="Q18" i="31"/>
  <c r="Q48" i="31"/>
  <c r="N60" i="31"/>
  <c r="Q73" i="31"/>
  <c r="X9" i="31"/>
  <c r="N6" i="31"/>
  <c r="Q72" i="31"/>
  <c r="N12" i="31"/>
  <c r="Q51" i="31"/>
  <c r="Q41" i="31"/>
  <c r="Q13" i="31"/>
  <c r="Q47" i="31"/>
  <c r="Q46" i="31"/>
  <c r="J6" i="30"/>
  <c r="J5" i="30"/>
  <c r="J11" i="30"/>
  <c r="S11" i="30" s="1"/>
  <c r="J4" i="30"/>
  <c r="J12" i="30"/>
  <c r="S12" i="30" s="1"/>
  <c r="K6" i="30"/>
  <c r="K4" i="30"/>
  <c r="K12" i="30"/>
  <c r="R12" i="30" s="1"/>
  <c r="K10" i="30"/>
  <c r="R10" i="30" s="1"/>
  <c r="Q6" i="30"/>
  <c r="K5" i="30"/>
  <c r="Q5" i="30"/>
  <c r="I12" i="29"/>
  <c r="J10" i="29"/>
  <c r="J8" i="29"/>
  <c r="I13" i="29"/>
  <c r="J12" i="29"/>
  <c r="I10" i="29"/>
  <c r="I7" i="29"/>
  <c r="J9" i="29"/>
  <c r="J11" i="29"/>
  <c r="J3" i="29"/>
  <c r="I8" i="29"/>
  <c r="J6" i="29"/>
  <c r="I3" i="29"/>
  <c r="I4" i="29"/>
  <c r="I6" i="29"/>
  <c r="I11" i="29"/>
  <c r="I9" i="29"/>
  <c r="J13" i="29"/>
  <c r="J4" i="29"/>
  <c r="J5" i="29"/>
  <c r="Q5" i="29" s="1"/>
  <c r="Y11" i="28"/>
  <c r="Y18" i="28"/>
  <c r="Y20" i="28"/>
  <c r="Y15" i="28"/>
  <c r="Y14" i="28"/>
  <c r="Y33" i="28"/>
  <c r="Y40" i="28"/>
  <c r="Y27" i="28"/>
  <c r="Y41" i="28"/>
  <c r="Y10" i="28"/>
  <c r="Y4" i="28"/>
  <c r="Y3" i="28"/>
  <c r="Y21" i="28"/>
  <c r="Y34" i="28"/>
  <c r="Y39" i="28"/>
  <c r="Y17" i="28"/>
  <c r="Y31" i="28"/>
  <c r="Y12" i="28"/>
  <c r="W46" i="28"/>
  <c r="Y45" i="28"/>
  <c r="Y9" i="28"/>
  <c r="Y44" i="28"/>
  <c r="Y13" i="28"/>
  <c r="Y19" i="28"/>
  <c r="Y43" i="28"/>
  <c r="Y7" i="28"/>
  <c r="Y29" i="28"/>
  <c r="Y42" i="28"/>
  <c r="Y30" i="28"/>
  <c r="Y24" i="28"/>
  <c r="Q46" i="28"/>
  <c r="T26" i="27"/>
  <c r="T23" i="27"/>
  <c r="T12" i="27"/>
  <c r="T27" i="27"/>
  <c r="T19" i="27"/>
  <c r="T4" i="27"/>
  <c r="T28" i="27"/>
  <c r="T22" i="27"/>
  <c r="T18" i="27"/>
  <c r="T5" i="27"/>
  <c r="T14" i="27"/>
  <c r="T10" i="27"/>
  <c r="T6" i="27"/>
  <c r="T15" i="27"/>
  <c r="T11" i="27"/>
  <c r="T20" i="27"/>
  <c r="T3" i="27"/>
  <c r="T9" i="27"/>
  <c r="N22" i="27"/>
  <c r="N20" i="27"/>
  <c r="N18" i="27"/>
  <c r="N15" i="27"/>
  <c r="V15" i="27" s="1"/>
  <c r="N24" i="27"/>
  <c r="N12" i="27"/>
  <c r="N26" i="27"/>
  <c r="V26" i="27" s="1"/>
  <c r="N25" i="27"/>
  <c r="N19" i="27"/>
  <c r="N29" i="27"/>
  <c r="N5" i="27"/>
  <c r="N10" i="27"/>
  <c r="N28" i="27"/>
  <c r="V28" i="27" s="1"/>
  <c r="N23" i="27"/>
  <c r="N30" i="27"/>
  <c r="N9" i="27"/>
  <c r="V9" i="27" s="1"/>
  <c r="N14" i="27"/>
  <c r="N6" i="27"/>
  <c r="N27" i="27"/>
  <c r="N8" i="27"/>
  <c r="V8" i="27" s="1"/>
  <c r="N4" i="27"/>
  <c r="N21" i="27"/>
  <c r="N11" i="27"/>
  <c r="S25" i="27"/>
  <c r="U25" i="27" s="1"/>
  <c r="O9" i="29"/>
  <c r="O4" i="29"/>
  <c r="O8" i="29"/>
  <c r="O3" i="29"/>
  <c r="N44" i="31"/>
  <c r="S3" i="27"/>
  <c r="U3" i="27" s="1"/>
  <c r="X5" i="28"/>
  <c r="O12" i="29"/>
  <c r="Q12" i="29" s="1"/>
  <c r="O11" i="29"/>
  <c r="X11" i="31"/>
  <c r="N24" i="31"/>
  <c r="N58" i="31"/>
  <c r="O10" i="29"/>
  <c r="Q10" i="29" s="1"/>
  <c r="N59" i="31"/>
  <c r="N25" i="31"/>
  <c r="N3" i="31"/>
  <c r="O6" i="29"/>
  <c r="N57" i="31"/>
  <c r="V46" i="28"/>
  <c r="N56" i="31"/>
  <c r="N5" i="31"/>
  <c r="O7" i="29"/>
  <c r="Q7" i="29" s="1"/>
  <c r="O13" i="29"/>
  <c r="X6" i="28"/>
  <c r="X32" i="28"/>
  <c r="X38" i="28"/>
  <c r="X42" i="28"/>
  <c r="X17" i="28"/>
  <c r="X4" i="28"/>
  <c r="X22" i="28"/>
  <c r="X25" i="28"/>
  <c r="X21" i="28"/>
  <c r="X14" i="28"/>
  <c r="X7" i="28"/>
  <c r="X19" i="28"/>
  <c r="X9" i="28"/>
  <c r="X33" i="28"/>
  <c r="S26" i="27"/>
  <c r="U26" i="27" s="1"/>
  <c r="S10" i="27"/>
  <c r="U10" i="27" s="1"/>
  <c r="S9" i="27"/>
  <c r="U9" i="27" s="1"/>
  <c r="S24" i="27"/>
  <c r="U24" i="27" s="1"/>
  <c r="S20" i="27"/>
  <c r="U20" i="27" s="1"/>
  <c r="S6" i="27"/>
  <c r="U6" i="27" s="1"/>
  <c r="S18" i="27"/>
  <c r="U18" i="27" s="1"/>
  <c r="S21" i="27"/>
  <c r="U21" i="27" s="1"/>
  <c r="S27" i="27"/>
  <c r="U27" i="27" s="1"/>
  <c r="S30" i="27"/>
  <c r="U30" i="27" s="1"/>
  <c r="S28" i="27"/>
  <c r="U28" i="27" s="1"/>
  <c r="S14" i="27"/>
  <c r="U14" i="27" s="1"/>
  <c r="S19" i="27"/>
  <c r="U19" i="27" s="1"/>
  <c r="S11" i="27"/>
  <c r="U11" i="27" s="1"/>
  <c r="S4" i="27"/>
  <c r="U4" i="27" s="1"/>
  <c r="S8" i="27"/>
  <c r="U8" i="27" s="1"/>
  <c r="S29" i="27"/>
  <c r="U29" i="27" s="1"/>
  <c r="S15" i="27"/>
  <c r="U15" i="27" s="1"/>
  <c r="S5" i="27"/>
  <c r="U5" i="27" s="1"/>
  <c r="S12" i="27"/>
  <c r="U12" i="27" s="1"/>
  <c r="N38" i="31"/>
  <c r="N16" i="31"/>
  <c r="N54" i="31"/>
  <c r="N50" i="31"/>
  <c r="N35" i="31"/>
  <c r="N23" i="31"/>
  <c r="X38" i="31"/>
  <c r="X28" i="31"/>
  <c r="X62" i="31"/>
  <c r="X19" i="31"/>
  <c r="X25" i="31"/>
  <c r="X23" i="31"/>
  <c r="X58" i="31"/>
  <c r="X16" i="31"/>
  <c r="X52" i="31"/>
  <c r="X36" i="31"/>
  <c r="X40" i="31"/>
  <c r="X18" i="31"/>
  <c r="X46" i="31"/>
  <c r="X34" i="31"/>
  <c r="X50" i="31"/>
  <c r="X65" i="31"/>
  <c r="X26" i="31"/>
  <c r="X71" i="31"/>
  <c r="X75" i="31"/>
  <c r="X73" i="31"/>
  <c r="X35" i="31"/>
  <c r="X63" i="31"/>
  <c r="X42" i="31"/>
  <c r="X67" i="31"/>
  <c r="X41" i="31"/>
  <c r="X54" i="31"/>
  <c r="X57" i="31"/>
  <c r="X17" i="31"/>
  <c r="X55" i="31"/>
  <c r="X24" i="31"/>
  <c r="X69" i="31"/>
  <c r="X76" i="31"/>
  <c r="X31" i="31"/>
  <c r="X59" i="31"/>
  <c r="X15" i="31"/>
  <c r="X20" i="31"/>
  <c r="X72" i="31"/>
  <c r="X61" i="31"/>
  <c r="X68" i="31"/>
  <c r="X51" i="31"/>
  <c r="X13" i="31"/>
  <c r="X64" i="31"/>
  <c r="X39" i="31"/>
  <c r="X53" i="31"/>
  <c r="X60" i="31"/>
  <c r="X43" i="31"/>
  <c r="X66" i="31"/>
  <c r="X56" i="31"/>
  <c r="X32" i="31"/>
  <c r="X74" i="31"/>
  <c r="X45" i="31"/>
  <c r="X48" i="31"/>
  <c r="X37" i="31"/>
  <c r="X44" i="31"/>
  <c r="X21" i="31"/>
  <c r="X47" i="31"/>
  <c r="X49" i="31"/>
  <c r="X22" i="31"/>
  <c r="N17" i="31"/>
  <c r="N49" i="31"/>
  <c r="N20" i="31"/>
  <c r="N13" i="31"/>
  <c r="N64" i="31"/>
  <c r="N75" i="31"/>
  <c r="X3" i="31"/>
  <c r="N18" i="31"/>
  <c r="N47" i="31"/>
  <c r="N74" i="31"/>
  <c r="N46" i="31"/>
  <c r="N76" i="31"/>
  <c r="N69" i="31"/>
  <c r="N15" i="31"/>
  <c r="X7" i="31"/>
  <c r="N26" i="31"/>
  <c r="N45" i="31"/>
  <c r="N21" i="31"/>
  <c r="N55" i="31"/>
  <c r="N65" i="31"/>
  <c r="N48" i="31"/>
  <c r="N4" i="31"/>
  <c r="N63" i="31"/>
  <c r="N9" i="31"/>
  <c r="X5" i="31"/>
  <c r="N68" i="31"/>
  <c r="N32" i="31"/>
  <c r="X12" i="31"/>
  <c r="N36" i="31"/>
  <c r="N39" i="31"/>
  <c r="N61" i="31"/>
  <c r="N71" i="31"/>
  <c r="N43" i="31"/>
  <c r="N34" i="31"/>
  <c r="N42" i="31"/>
  <c r="N37" i="31"/>
  <c r="N52" i="31"/>
  <c r="N41" i="31"/>
  <c r="N40" i="31"/>
  <c r="N31" i="31"/>
  <c r="N67" i="31"/>
  <c r="N22" i="31"/>
  <c r="N53" i="31"/>
  <c r="R79" i="31"/>
  <c r="S23" i="27"/>
  <c r="U23" i="27" s="1"/>
  <c r="AD27" i="27" l="1"/>
  <c r="AD11" i="27"/>
  <c r="AC31" i="27"/>
  <c r="AB14" i="29"/>
  <c r="AC5" i="29"/>
  <c r="Q4" i="29"/>
  <c r="AA17" i="29"/>
  <c r="AD17" i="29" s="1"/>
  <c r="AA18" i="29"/>
  <c r="AD18" i="29" s="1"/>
  <c r="S4" i="30"/>
  <c r="S6" i="30"/>
  <c r="T60" i="31"/>
  <c r="T12" i="31"/>
  <c r="T29" i="31"/>
  <c r="Y29" i="31" s="1"/>
  <c r="S45" i="31"/>
  <c r="S29" i="31"/>
  <c r="T7" i="31"/>
  <c r="T6" i="31"/>
  <c r="AC5" i="30"/>
  <c r="S5" i="30"/>
  <c r="V30" i="27"/>
  <c r="AC3" i="29"/>
  <c r="T20" i="31"/>
  <c r="AC4" i="29"/>
  <c r="T65" i="31"/>
  <c r="T48" i="31"/>
  <c r="Q3" i="29"/>
  <c r="Q13" i="29"/>
  <c r="T52" i="31"/>
  <c r="T53" i="31"/>
  <c r="T18" i="31"/>
  <c r="AG46" i="28"/>
  <c r="V25" i="27"/>
  <c r="V12" i="27"/>
  <c r="V21" i="27"/>
  <c r="V24" i="27"/>
  <c r="V6" i="27"/>
  <c r="V29" i="27"/>
  <c r="V19" i="27"/>
  <c r="V11" i="27"/>
  <c r="S63" i="31"/>
  <c r="T49" i="31"/>
  <c r="T75" i="31"/>
  <c r="T62" i="31"/>
  <c r="T15" i="31"/>
  <c r="T40" i="31"/>
  <c r="T38" i="31"/>
  <c r="T68" i="31"/>
  <c r="T61" i="31"/>
  <c r="T21" i="31"/>
  <c r="T37" i="31"/>
  <c r="T25" i="31"/>
  <c r="T51" i="31"/>
  <c r="T19" i="31"/>
  <c r="T67" i="31"/>
  <c r="T54" i="31"/>
  <c r="T31" i="31"/>
  <c r="T69" i="31"/>
  <c r="T16" i="31"/>
  <c r="Y16" i="31" s="1"/>
  <c r="T71" i="31"/>
  <c r="T45" i="31"/>
  <c r="T3" i="31"/>
  <c r="T5" i="31"/>
  <c r="T59" i="31"/>
  <c r="T66" i="31"/>
  <c r="T43" i="31"/>
  <c r="T58" i="31"/>
  <c r="T32" i="31"/>
  <c r="T76" i="31"/>
  <c r="T13" i="31"/>
  <c r="T10" i="31"/>
  <c r="T41" i="31"/>
  <c r="Y60" i="31"/>
  <c r="T57" i="31"/>
  <c r="T34" i="31"/>
  <c r="T4" i="31"/>
  <c r="Q77" i="31"/>
  <c r="T72" i="31"/>
  <c r="Y28" i="31"/>
  <c r="T42" i="31"/>
  <c r="T9" i="31"/>
  <c r="T26" i="31"/>
  <c r="T47" i="31"/>
  <c r="T17" i="31"/>
  <c r="T23" i="31"/>
  <c r="T11" i="31"/>
  <c r="T74" i="31"/>
  <c r="T22" i="31"/>
  <c r="T63" i="31"/>
  <c r="T35" i="31"/>
  <c r="S34" i="31"/>
  <c r="T56" i="31"/>
  <c r="T55" i="31"/>
  <c r="T39" i="31"/>
  <c r="T46" i="31"/>
  <c r="T64" i="31"/>
  <c r="T36" i="31"/>
  <c r="T44" i="31"/>
  <c r="T24" i="31"/>
  <c r="S16" i="31"/>
  <c r="T50" i="31"/>
  <c r="T73" i="31"/>
  <c r="Y14" i="29"/>
  <c r="Q13" i="30"/>
  <c r="J13" i="30"/>
  <c r="R6" i="30"/>
  <c r="R5" i="30"/>
  <c r="R4" i="30"/>
  <c r="K13" i="30"/>
  <c r="Q6" i="29"/>
  <c r="Q8" i="29"/>
  <c r="Q11" i="29"/>
  <c r="Q9" i="29"/>
  <c r="I14" i="29"/>
  <c r="J14" i="29"/>
  <c r="Y46" i="28"/>
  <c r="V23" i="27"/>
  <c r="V10" i="27"/>
  <c r="V27" i="27"/>
  <c r="T31" i="27"/>
  <c r="N31" i="27"/>
  <c r="V4" i="27"/>
  <c r="V5" i="27"/>
  <c r="V18" i="27"/>
  <c r="V20" i="27"/>
  <c r="V14" i="27"/>
  <c r="V22" i="27"/>
  <c r="V3" i="27"/>
  <c r="U31" i="27"/>
  <c r="AB31" i="27"/>
  <c r="S54" i="31"/>
  <c r="S20" i="31"/>
  <c r="O14" i="29"/>
  <c r="S5" i="31"/>
  <c r="S44" i="31"/>
  <c r="S42" i="31"/>
  <c r="S74" i="31"/>
  <c r="X46" i="28"/>
  <c r="S31" i="27"/>
  <c r="S51" i="31"/>
  <c r="S18" i="31"/>
  <c r="N77" i="31"/>
  <c r="X77" i="31"/>
  <c r="S23" i="31"/>
  <c r="S3" i="31"/>
  <c r="S36" i="31"/>
  <c r="S10" i="31"/>
  <c r="S56" i="31"/>
  <c r="S72" i="31"/>
  <c r="S40" i="31"/>
  <c r="S47" i="31"/>
  <c r="S66" i="31"/>
  <c r="S76" i="31"/>
  <c r="S4" i="31"/>
  <c r="S7" i="31"/>
  <c r="S48" i="31"/>
  <c r="S67" i="31"/>
  <c r="S49" i="31"/>
  <c r="S31" i="31"/>
  <c r="S75" i="31"/>
  <c r="S60" i="31"/>
  <c r="S69" i="31"/>
  <c r="S58" i="31"/>
  <c r="S12" i="31"/>
  <c r="S52" i="31"/>
  <c r="S22" i="31"/>
  <c r="S19" i="31"/>
  <c r="S21" i="31"/>
  <c r="S38" i="31"/>
  <c r="S65" i="31"/>
  <c r="S68" i="31"/>
  <c r="S53" i="31"/>
  <c r="S11" i="31"/>
  <c r="S57" i="31"/>
  <c r="S17" i="31"/>
  <c r="S59" i="31"/>
  <c r="S24" i="31"/>
  <c r="S55" i="31"/>
  <c r="S71" i="31"/>
  <c r="S50" i="31"/>
  <c r="S39" i="31"/>
  <c r="S73" i="31"/>
  <c r="S41" i="31"/>
  <c r="S46" i="31"/>
  <c r="S35" i="31"/>
  <c r="S13" i="31"/>
  <c r="S43" i="31"/>
  <c r="S28" i="31"/>
  <c r="S61" i="31"/>
  <c r="S15" i="31"/>
  <c r="S64" i="31"/>
  <c r="S6" i="31"/>
  <c r="S26" i="31"/>
  <c r="S25" i="31"/>
  <c r="S32" i="31"/>
  <c r="S37" i="31"/>
  <c r="S9" i="31"/>
  <c r="S62" i="31"/>
  <c r="Y24" i="31" l="1"/>
  <c r="AF24" i="31" s="1"/>
  <c r="Y47" i="31"/>
  <c r="Y34" i="31"/>
  <c r="Y58" i="31"/>
  <c r="Y37" i="31"/>
  <c r="AF37" i="31" s="1"/>
  <c r="Y75" i="31"/>
  <c r="Y44" i="31"/>
  <c r="Y26" i="31"/>
  <c r="AF26" i="31" s="1"/>
  <c r="Y57" i="31"/>
  <c r="Y43" i="31"/>
  <c r="AF43" i="31" s="1"/>
  <c r="Y69" i="31"/>
  <c r="Y21" i="31"/>
  <c r="Y49" i="31"/>
  <c r="Y48" i="31"/>
  <c r="Y6" i="31"/>
  <c r="AF6" i="31" s="1"/>
  <c r="Y35" i="31"/>
  <c r="Y36" i="31"/>
  <c r="Y63" i="31"/>
  <c r="Y9" i="31"/>
  <c r="AF9" i="31" s="1"/>
  <c r="Y66" i="31"/>
  <c r="Y31" i="31"/>
  <c r="AF31" i="31" s="1"/>
  <c r="Y61" i="31"/>
  <c r="Y65" i="31"/>
  <c r="AF65" i="31" s="1"/>
  <c r="Y7" i="31"/>
  <c r="Y64" i="31"/>
  <c r="Y22" i="31"/>
  <c r="Y42" i="31"/>
  <c r="Y41" i="31"/>
  <c r="Y59" i="31"/>
  <c r="AF59" i="31" s="1"/>
  <c r="Y54" i="31"/>
  <c r="Y68" i="31"/>
  <c r="Y46" i="31"/>
  <c r="Y74" i="31"/>
  <c r="Y10" i="31"/>
  <c r="AF10" i="31" s="1"/>
  <c r="Y5" i="31"/>
  <c r="Y67" i="31"/>
  <c r="Y38" i="31"/>
  <c r="Y18" i="31"/>
  <c r="Y20" i="31"/>
  <c r="AF20" i="31" s="1"/>
  <c r="Y73" i="31"/>
  <c r="Y72" i="31"/>
  <c r="Y13" i="31"/>
  <c r="AF13" i="31" s="1"/>
  <c r="Y3" i="31"/>
  <c r="Y19" i="31"/>
  <c r="Y40" i="31"/>
  <c r="Y53" i="31"/>
  <c r="Y11" i="31"/>
  <c r="AF11" i="31" s="1"/>
  <c r="Y50" i="31"/>
  <c r="Y55" i="31"/>
  <c r="Y23" i="31"/>
  <c r="Y76" i="31"/>
  <c r="AN76" i="31" s="1"/>
  <c r="Y45" i="31"/>
  <c r="AF45" i="31" s="1"/>
  <c r="Y51" i="31"/>
  <c r="Y15" i="31"/>
  <c r="Y52" i="31"/>
  <c r="Y12" i="31"/>
  <c r="Y39" i="31"/>
  <c r="Y56" i="31"/>
  <c r="Y17" i="31"/>
  <c r="Y4" i="31"/>
  <c r="Y32" i="31"/>
  <c r="AF32" i="31" s="1"/>
  <c r="Y71" i="31"/>
  <c r="Y25" i="31"/>
  <c r="Y62" i="31"/>
  <c r="Q14" i="29"/>
  <c r="T77" i="31"/>
  <c r="R13" i="30"/>
  <c r="V31" i="27"/>
  <c r="AN77" i="31"/>
  <c r="S77" i="31"/>
  <c r="AF77" i="31" l="1"/>
  <c r="Y77" i="31"/>
  <c r="P3" i="29"/>
  <c r="R3" i="29" s="1"/>
  <c r="P8" i="29"/>
  <c r="R8" i="29" s="1"/>
  <c r="P9" i="29"/>
  <c r="R9" i="29" s="1"/>
  <c r="P10" i="29"/>
  <c r="R10" i="29" s="1"/>
  <c r="P6" i="29"/>
  <c r="R6" i="29" s="1"/>
  <c r="P7" i="29"/>
  <c r="R7" i="29" s="1"/>
  <c r="P11" i="29"/>
  <c r="R11" i="29" s="1"/>
  <c r="P4" i="29"/>
  <c r="R4" i="29" s="1"/>
  <c r="P12" i="29"/>
  <c r="R12" i="29" s="1"/>
  <c r="P5" i="29"/>
  <c r="R5" i="29" s="1"/>
  <c r="P13" i="29"/>
  <c r="R13" i="29" s="1"/>
  <c r="R14" i="29" l="1"/>
  <c r="P14" i="29"/>
</calcChain>
</file>

<file path=xl/comments1.xml><?xml version="1.0" encoding="utf-8"?>
<comments xmlns="http://schemas.openxmlformats.org/spreadsheetml/2006/main">
  <authors>
    <author>stano</author>
  </authors>
  <commentList>
    <comment ref="B12" authorId="0" shapeId="0">
      <text>
        <r>
          <rPr>
            <b/>
            <sz val="9"/>
            <rFont val="Times New Roman"/>
            <family val="1"/>
            <charset val="238"/>
          </rPr>
          <t>stano:</t>
        </r>
        <r>
          <rPr>
            <sz val="9"/>
            <rFont val="Times New Roman"/>
            <family val="1"/>
            <charset val="238"/>
          </rPr>
          <t xml:space="preserve">
Dna 21.4.2020 pretransformovany na Fakultu zdravotnickych vied</t>
        </r>
      </text>
    </comment>
  </commentList>
</comments>
</file>

<file path=xl/sharedStrings.xml><?xml version="1.0" encoding="utf-8"?>
<sst xmlns="http://schemas.openxmlformats.org/spreadsheetml/2006/main" count="1494" uniqueCount="418">
  <si>
    <t>VS_NAZOV</t>
  </si>
  <si>
    <t>FAKULTA_NAZOV / sucasti</t>
  </si>
  <si>
    <t>počet</t>
  </si>
  <si>
    <t>Univerzita Komenského v Bratislave</t>
  </si>
  <si>
    <t>Právnická fakulta UK</t>
  </si>
  <si>
    <t>pedagogické vedy</t>
  </si>
  <si>
    <t>humanitné vedy</t>
  </si>
  <si>
    <t>historické vedy a etnológia</t>
  </si>
  <si>
    <t>umenie</t>
  </si>
  <si>
    <t>projektovanie, inžinierstvo, technológie a vodné hospodárstvo</t>
  </si>
  <si>
    <t>spoločenské a behaviorálne vedy</t>
  </si>
  <si>
    <t>právo a medzinárodné vzťahy</t>
  </si>
  <si>
    <t>ekonómia a manažment</t>
  </si>
  <si>
    <t>fyzika</t>
  </si>
  <si>
    <t>vedy o Zemi a vesmíre</t>
  </si>
  <si>
    <t>environmentalistika a ekológia</t>
  </si>
  <si>
    <t>metalurgické a montánne vedy</t>
  </si>
  <si>
    <t>chémia, chemická technológia a biotechnológie</t>
  </si>
  <si>
    <t>vedy o živej prírode</t>
  </si>
  <si>
    <t>strojárstvo</t>
  </si>
  <si>
    <t>elektrotechnika a elektroenergetika</t>
  </si>
  <si>
    <t>informatické vedy, automatizácia a telekomunikácie</t>
  </si>
  <si>
    <t>inžinierstvo a technológie</t>
  </si>
  <si>
    <t>lekárske, farmaceutické a nelekárske zdravotnícke vedy</t>
  </si>
  <si>
    <t>poľnohospodárske a lesnícke vedy</t>
  </si>
  <si>
    <t>veterinárske vedy</t>
  </si>
  <si>
    <t>vedy o športe</t>
  </si>
  <si>
    <t>dopravné služby</t>
  </si>
  <si>
    <t>bezpečnostné služby</t>
  </si>
  <si>
    <t>matematika a štatistika</t>
  </si>
  <si>
    <t>Pedagogická fakulta UK</t>
  </si>
  <si>
    <t>Filozofická fakulta UK</t>
  </si>
  <si>
    <t>Jesseniova lekárska fakulta UK</t>
  </si>
  <si>
    <t>Fakulta managementu UK</t>
  </si>
  <si>
    <t>Prírodovedecká fakulta UK</t>
  </si>
  <si>
    <t>Fakulta matematiky, fyziky a informatiky UK</t>
  </si>
  <si>
    <t>Lekárska fakulta UK</t>
  </si>
  <si>
    <t>Fakulta telesnej výchovy a športu UK</t>
  </si>
  <si>
    <t>Fakulta sociálnych a ekonomických vied UK</t>
  </si>
  <si>
    <t>Evanjelická bohoslovecká fakulta UK</t>
  </si>
  <si>
    <t>Rímskokatolícka cyrilometodská bohoslovecká fakulta UK</t>
  </si>
  <si>
    <t>Farmaceutická fakulta UK</t>
  </si>
  <si>
    <t>Vedecký park UK</t>
  </si>
  <si>
    <t>Slovenská technická univerzita v Bratislave</t>
  </si>
  <si>
    <t>Ústav manažmentu STU</t>
  </si>
  <si>
    <t>Fakulta architektúry</t>
  </si>
  <si>
    <t>Materiálovotechnologická fakulta so sídlom v Trnave</t>
  </si>
  <si>
    <t>Stavebná fakulta STU v Bratislave</t>
  </si>
  <si>
    <t>Strojnícka fakulta Slovenskej technickej univerzity v Bratislave</t>
  </si>
  <si>
    <t>Fakulta elektrotechniky a informatiky</t>
  </si>
  <si>
    <t>Fakulta chemickej a potravinárskej technológie</t>
  </si>
  <si>
    <t>Fakulta informatiky a informačných technológií</t>
  </si>
  <si>
    <t>Ekonomická univerzita v Bratislave</t>
  </si>
  <si>
    <t>Podnikovohospodárska fakulta v Košiciach</t>
  </si>
  <si>
    <t>Fakulta podnikového manažmentu</t>
  </si>
  <si>
    <t>Obchodná fakulta</t>
  </si>
  <si>
    <t>Národohospodárska fakulta</t>
  </si>
  <si>
    <t>Fakulta hospodárskej informatiky</t>
  </si>
  <si>
    <t>Fakulta aplikovaných jazykov</t>
  </si>
  <si>
    <t>Fakulta medzinárodných vzťahov</t>
  </si>
  <si>
    <t>Slovenská poľnohospodárska univerzita v Nitre</t>
  </si>
  <si>
    <t>Technická fakulta</t>
  </si>
  <si>
    <t>Fakulta ekonomiky a manažmentu</t>
  </si>
  <si>
    <t>Fakulta biotechnológie a potravinárstva</t>
  </si>
  <si>
    <t>Fakulta európskych štúdií a regionálneho rozvoja</t>
  </si>
  <si>
    <t>Fakulta agrobiológie a potravinových zdrojov</t>
  </si>
  <si>
    <t>Fakulta záhradníctva a krajinného inžinierstva</t>
  </si>
  <si>
    <t>Výskumné centrum AgroBioTech</t>
  </si>
  <si>
    <t>Technická univerzita vo Zvolene</t>
  </si>
  <si>
    <t>Ústav cudzích jazykov</t>
  </si>
  <si>
    <t>Drevárska fakulta</t>
  </si>
  <si>
    <t>Fakulta techniky</t>
  </si>
  <si>
    <t>Fakulta ekológie a environmentalistiky</t>
  </si>
  <si>
    <t>Lesnícka fakulta</t>
  </si>
  <si>
    <t>Vysoká škola výtvarných umení v Bratislave</t>
  </si>
  <si>
    <t>Pracoviská VŠVU</t>
  </si>
  <si>
    <t>Vysoká škola múzických umení v Bratislave</t>
  </si>
  <si>
    <t>Hudobná a tanečná fakulta VŠMU</t>
  </si>
  <si>
    <t>Divadelná fakulta VŠMU</t>
  </si>
  <si>
    <t>Filmová a televízna fakulta VŠMU</t>
  </si>
  <si>
    <t>Univerzita veterinárskeho lekárstva a farmácie v Košiciach</t>
  </si>
  <si>
    <t>Pracoviská UVLF</t>
  </si>
  <si>
    <t>Univerzitná veterinárna nemocnica</t>
  </si>
  <si>
    <t>Technická univerzita v Košiciach</t>
  </si>
  <si>
    <t>Strojnícka fakulta</t>
  </si>
  <si>
    <t>Fakulta výrobných technológií</t>
  </si>
  <si>
    <t>Fakulta baníctva, ekológie, riadenia a geotechnológií</t>
  </si>
  <si>
    <t>Stavebná fakulta</t>
  </si>
  <si>
    <t>Letecká fakulta</t>
  </si>
  <si>
    <t>Ekonomická fakulta</t>
  </si>
  <si>
    <t>Fakulta materiálov, metalurgie a recyklácie</t>
  </si>
  <si>
    <t>Fakulta umení</t>
  </si>
  <si>
    <t>Žilinská univerzita v Žiline</t>
  </si>
  <si>
    <t>Fakulta riadenia a informatiky</t>
  </si>
  <si>
    <t>Fakulta bezpečnostného inžinierstva</t>
  </si>
  <si>
    <t>Fakulta humanitných vied</t>
  </si>
  <si>
    <t>Fakulta prevádzky a ekonomiky dopravy a spojov</t>
  </si>
  <si>
    <t>Fakulta elektrotechniky a informačných technológií</t>
  </si>
  <si>
    <t>Celouniverzitné pracovisko ŽU</t>
  </si>
  <si>
    <t>Univerzita Pavla Jozefa Šafárika v Košiciach</t>
  </si>
  <si>
    <t>Filozofická fakulta</t>
  </si>
  <si>
    <t>Právnická fakulta</t>
  </si>
  <si>
    <t>Lekárska fakulta, Košice</t>
  </si>
  <si>
    <t>Prírodovedecká fakulta</t>
  </si>
  <si>
    <t>Fakulta verejnej správy</t>
  </si>
  <si>
    <t>Celouniverzitné pracovisko UPJŠ</t>
  </si>
  <si>
    <t>Trnavská univerzita v Trnave</t>
  </si>
  <si>
    <t>Pedagogická fakulta</t>
  </si>
  <si>
    <t>Teologická fakulta</t>
  </si>
  <si>
    <t>Fakulta zdravotníctva a sociálnej práce</t>
  </si>
  <si>
    <t>Ústav dejín Trnavskej univerzity</t>
  </si>
  <si>
    <t>Univerzita Mateja Bela v Banskej Bystrici</t>
  </si>
  <si>
    <t>Fakulta politických vied a medzinárodných vzťahov</t>
  </si>
  <si>
    <t>Fakulta prírodných vied</t>
  </si>
  <si>
    <t>Univerzita Konštantína Filozofa v Nitre</t>
  </si>
  <si>
    <t>Fakulta sociálnych vied a zdravotníctva</t>
  </si>
  <si>
    <t>Pedagogická fakulta UKF</t>
  </si>
  <si>
    <t>Fakulta stredoeurópskych štúdií</t>
  </si>
  <si>
    <t>Prešovská univerzita v Prešove</t>
  </si>
  <si>
    <t>Fakulta humanitných a prírodných vied</t>
  </si>
  <si>
    <t>Fakulta manažmentu</t>
  </si>
  <si>
    <t>Fakulta športu</t>
  </si>
  <si>
    <t>Fakulta zdravotníckych odborov</t>
  </si>
  <si>
    <t>Gréckokatolícka teologická fakulta</t>
  </si>
  <si>
    <t>Pravoslávna bohoslovecká fakulta</t>
  </si>
  <si>
    <t>Akadémia umení</t>
  </si>
  <si>
    <t>Fakulta výtvarných umení</t>
  </si>
  <si>
    <t>Fakulta dramatických umení</t>
  </si>
  <si>
    <t>Fakulta múzických umení</t>
  </si>
  <si>
    <t>Trenčianska univerzita Alexandra Dubčeka v Trenčíne</t>
  </si>
  <si>
    <t>Fakulta sociálno-ekonomických vzťahov</t>
  </si>
  <si>
    <t>Fakulta zdravotníctva</t>
  </si>
  <si>
    <t>Fakulta špeciálnej techniky</t>
  </si>
  <si>
    <t>FunGlass - Centrum pre funkčné a povrchovo funkcionalizované sklá</t>
  </si>
  <si>
    <t>Fakulta priemyselných technológií v Púchove</t>
  </si>
  <si>
    <t>Univerzita sv. Cyrila a Metoda v Trnave</t>
  </si>
  <si>
    <t>Fakulta sociálnych  vied</t>
  </si>
  <si>
    <t>Fakulta masmediálnej komunikácie</t>
  </si>
  <si>
    <t>Katolícka univerzita v Ružomberku</t>
  </si>
  <si>
    <t>Univerzita J. Selyeho</t>
  </si>
  <si>
    <t>Fakulta ekonómie a informatiky</t>
  </si>
  <si>
    <t>Reformovaná teologická fakulta</t>
  </si>
  <si>
    <t>SPOLU</t>
  </si>
  <si>
    <t>Centrum jazykov a kultúr národnostných menšín</t>
  </si>
  <si>
    <t>Centrum celoživotného a kompetenčného vzdelávania</t>
  </si>
  <si>
    <t>Celouniverzitné pracovisko - Katedra politológie</t>
  </si>
  <si>
    <t>objem_zahr_granty</t>
  </si>
  <si>
    <t>výkon_publikácie</t>
  </si>
  <si>
    <t>váha 75%</t>
  </si>
  <si>
    <t>váha 25%</t>
  </si>
  <si>
    <t>váha 60%</t>
  </si>
  <si>
    <t>váha 40%</t>
  </si>
  <si>
    <t>výkon_total</t>
  </si>
  <si>
    <t>podiel</t>
  </si>
  <si>
    <t>%podiel</t>
  </si>
  <si>
    <t>suma</t>
  </si>
  <si>
    <t>váha 100%</t>
  </si>
  <si>
    <t>% podiel</t>
  </si>
  <si>
    <t>podiel/zam.</t>
  </si>
  <si>
    <t>váha</t>
  </si>
  <si>
    <t>alokácia</t>
  </si>
  <si>
    <t>výkon_umenie</t>
  </si>
  <si>
    <t>výkon_total_ume</t>
  </si>
  <si>
    <t>suma/zamest.</t>
  </si>
  <si>
    <t>váhaP</t>
  </si>
  <si>
    <t>váhaN</t>
  </si>
  <si>
    <t>výkon_final</t>
  </si>
  <si>
    <t>objem_zahr_granty_21</t>
  </si>
  <si>
    <t>objem_zahr_granty_22</t>
  </si>
  <si>
    <t>počet_zam</t>
  </si>
  <si>
    <t>výkon_model21</t>
  </si>
  <si>
    <t>výkon_model22</t>
  </si>
  <si>
    <t>výkon_podiel21</t>
  </si>
  <si>
    <t>výkon_podiel22</t>
  </si>
  <si>
    <t>váha_zam21</t>
  </si>
  <si>
    <t>podiel_exc21</t>
  </si>
  <si>
    <t>výkon_exc21</t>
  </si>
  <si>
    <t>výkon_exc22</t>
  </si>
  <si>
    <t>váha_zam22</t>
  </si>
  <si>
    <t>podiel_exc_22</t>
  </si>
  <si>
    <t>suma/zam22</t>
  </si>
  <si>
    <t>výkon_index22</t>
  </si>
  <si>
    <t>výkon_index_21</t>
  </si>
  <si>
    <t>výkon_pub/zam21</t>
  </si>
  <si>
    <t>výkon_pub/zam22</t>
  </si>
  <si>
    <t>%podiel_zam21</t>
  </si>
  <si>
    <t>%podiel_zam22</t>
  </si>
  <si>
    <t>výkon_zg/zam22</t>
  </si>
  <si>
    <t>výkon_zg/zam21</t>
  </si>
  <si>
    <t>výkon_index21</t>
  </si>
  <si>
    <t>Fakulta prírodných vied UMB</t>
  </si>
  <si>
    <t>Fakulta prírodných vied UKF</t>
  </si>
  <si>
    <t>Prírodovedecká fakulta UPJŠ</t>
  </si>
  <si>
    <t>Fakulta manažmentu PU</t>
  </si>
  <si>
    <t>Fakulta prírodných vied UCM</t>
  </si>
  <si>
    <t>Pedagogická fakulta KU</t>
  </si>
  <si>
    <t>podiel_exc22</t>
  </si>
  <si>
    <t>výkon_mono21</t>
  </si>
  <si>
    <t>výkon_indx/zam21</t>
  </si>
  <si>
    <t>%podiel_mono_zam21</t>
  </si>
  <si>
    <t>M1_PRIR</t>
  </si>
  <si>
    <t>M2_TECH</t>
  </si>
  <si>
    <t>M3_LEK</t>
  </si>
  <si>
    <t>M4_POL</t>
  </si>
  <si>
    <t>M5_SPOL</t>
  </si>
  <si>
    <t>M6_HUM</t>
  </si>
  <si>
    <t>model_22</t>
  </si>
  <si>
    <t>Slovenská technická univerzita</t>
  </si>
  <si>
    <t>Univerzita Mateja Bela</t>
  </si>
  <si>
    <t>Univerzita Konštantína Filozofa</t>
  </si>
  <si>
    <t>Prešovská univerzita</t>
  </si>
  <si>
    <t>Technická univerzita Zvolen</t>
  </si>
  <si>
    <t>Vysoká škola výtvarných umení</t>
  </si>
  <si>
    <t>Technická univerzita Košice</t>
  </si>
  <si>
    <t>zostatok bez umenia</t>
  </si>
  <si>
    <t>60% (publikácie)</t>
  </si>
  <si>
    <t>podiely</t>
  </si>
  <si>
    <t>final_podiel</t>
  </si>
  <si>
    <t>váha_zam_22</t>
  </si>
  <si>
    <t>30% KA 2021</t>
  </si>
  <si>
    <t>alokácia (100%)</t>
  </si>
  <si>
    <t>M1</t>
  </si>
  <si>
    <t>M2</t>
  </si>
  <si>
    <t>M3</t>
  </si>
  <si>
    <t>M4</t>
  </si>
  <si>
    <t>M5</t>
  </si>
  <si>
    <t>M6</t>
  </si>
  <si>
    <t>vyk_index</t>
  </si>
  <si>
    <t>fit_index</t>
  </si>
  <si>
    <t>res_index</t>
  </si>
  <si>
    <t>z_pub_index</t>
  </si>
  <si>
    <t>vyk_grant</t>
  </si>
  <si>
    <t>fit_grant</t>
  </si>
  <si>
    <t>res_grant</t>
  </si>
  <si>
    <t>z_grant</t>
  </si>
  <si>
    <t>vyk_mon</t>
  </si>
  <si>
    <t>fit_mon</t>
  </si>
  <si>
    <t>z_pub_mon</t>
  </si>
  <si>
    <t>res_mon</t>
  </si>
  <si>
    <t>z_pub</t>
  </si>
  <si>
    <t>rozdiel</t>
  </si>
  <si>
    <t>fit_index_correct</t>
  </si>
  <si>
    <t>res_index_correct</t>
  </si>
  <si>
    <t>z_pub_index_correct</t>
  </si>
  <si>
    <t>výk_model22_correct</t>
  </si>
  <si>
    <t>výkon_model22_correct</t>
  </si>
  <si>
    <t>suma_correct</t>
  </si>
  <si>
    <t>vyk_index_correct</t>
  </si>
  <si>
    <t>M6_UM_VIZUAL</t>
  </si>
  <si>
    <t>M6_UM_PERFORM</t>
  </si>
  <si>
    <t>umelecké výkony</t>
  </si>
  <si>
    <t>Vysoká škola muzických umení</t>
  </si>
  <si>
    <t>Katolícka univerzita</t>
  </si>
  <si>
    <t>Vizuálna časť</t>
  </si>
  <si>
    <t>Performatívna časť</t>
  </si>
  <si>
    <t>výkon</t>
  </si>
  <si>
    <t>fit_výkon</t>
  </si>
  <si>
    <t>res_výkon</t>
  </si>
  <si>
    <t>z_výkon</t>
  </si>
  <si>
    <t>Počet záznamov</t>
  </si>
  <si>
    <t>Prepočet cez váhy</t>
  </si>
  <si>
    <t>vyk-V</t>
  </si>
  <si>
    <t>VVŠ</t>
  </si>
  <si>
    <t>ZZZ</t>
  </si>
  <si>
    <t>ZZY</t>
  </si>
  <si>
    <t>ZYZ</t>
  </si>
  <si>
    <t>ZYY</t>
  </si>
  <si>
    <t>spolu</t>
  </si>
  <si>
    <t>vyk-P</t>
  </si>
  <si>
    <t>SD</t>
  </si>
  <si>
    <t>z_grant_formula</t>
  </si>
  <si>
    <t>z_pub_index_formula</t>
  </si>
  <si>
    <t>mean_res_g</t>
  </si>
  <si>
    <t>mean_res_pub</t>
  </si>
  <si>
    <t>podiel_exc22_correct</t>
  </si>
  <si>
    <t>výk_exc22_correct</t>
  </si>
  <si>
    <t>váha_zam22_correct</t>
  </si>
  <si>
    <t>suma/zam22_correct</t>
  </si>
  <si>
    <t>rozdiely</t>
  </si>
  <si>
    <t>sumy</t>
  </si>
  <si>
    <t>%</t>
  </si>
  <si>
    <t>vyk_grant_correct</t>
  </si>
  <si>
    <t>granty_correct</t>
  </si>
  <si>
    <t>publikácie_correct</t>
  </si>
  <si>
    <t>podiel_correct</t>
  </si>
  <si>
    <t>final_podiel_correct</t>
  </si>
  <si>
    <t>podiely_correct</t>
  </si>
  <si>
    <t>z_pub_correct</t>
  </si>
  <si>
    <t>fit_grant_correct</t>
  </si>
  <si>
    <t>res_grant_correct</t>
  </si>
  <si>
    <t>z_grant_correct</t>
  </si>
  <si>
    <t>výkon_22_correct</t>
  </si>
  <si>
    <t>výkon_correct</t>
  </si>
  <si>
    <t>podiel_exc_22_correct</t>
  </si>
  <si>
    <t>váha_zam_22_correct</t>
  </si>
  <si>
    <t>korekcia2022</t>
  </si>
  <si>
    <t>suma_correct_fin</t>
  </si>
  <si>
    <t>výkon_model22_correct_fin</t>
  </si>
  <si>
    <t>výk_exc_22_correct_fin</t>
  </si>
  <si>
    <t>podiel_exc_22_correct_fin</t>
  </si>
  <si>
    <t>váha_zam22_correct_fin</t>
  </si>
  <si>
    <t>suma/zam22_correct_fin</t>
  </si>
  <si>
    <t>výkon_model_22_correct</t>
  </si>
  <si>
    <t>výkon_exc22_correct</t>
  </si>
  <si>
    <t>mean_res_p</t>
  </si>
  <si>
    <t>výk22_exc</t>
  </si>
  <si>
    <t>výk22_exc_correct</t>
  </si>
  <si>
    <t>podiel_exc_22correct</t>
  </si>
  <si>
    <t>suma/zam22correct</t>
  </si>
  <si>
    <t>model_22correct</t>
  </si>
  <si>
    <t>exc22</t>
  </si>
  <si>
    <t>exc_22correct</t>
  </si>
  <si>
    <t>podiel_exc22correct</t>
  </si>
  <si>
    <t>váha_correct</t>
  </si>
  <si>
    <t>prir</t>
  </si>
  <si>
    <t>Fakulta matematiky, fyziky a informatiky</t>
  </si>
  <si>
    <t>Materiálovotechnologická fakulta</t>
  </si>
  <si>
    <t>Univerzitné poradenské a podporné centrum</t>
  </si>
  <si>
    <t>Univerzita veterinárskeho lekárstva a farmácie</t>
  </si>
  <si>
    <t>Predklinické pracoviská</t>
  </si>
  <si>
    <t>Ústav jazykov, spoločenských vied a akademického športu</t>
  </si>
  <si>
    <t>Fakulta zdravotníckych vied</t>
  </si>
  <si>
    <t>Inštitút manažmentu</t>
  </si>
  <si>
    <t>vyk_index_2023</t>
  </si>
  <si>
    <t>family=SICHEL</t>
  </si>
  <si>
    <t>fit_index_pomer23</t>
  </si>
  <si>
    <t>fit_index_model23</t>
  </si>
  <si>
    <t>res_index_pomer23</t>
  </si>
  <si>
    <t>res_index_model23</t>
  </si>
  <si>
    <t>z_pub_index_pomer23</t>
  </si>
  <si>
    <t>z_pub_index_model23</t>
  </si>
  <si>
    <t>vyk_mon23</t>
  </si>
  <si>
    <t>res_mon23</t>
  </si>
  <si>
    <t>fit_mon23</t>
  </si>
  <si>
    <t>z_pub_mon23</t>
  </si>
  <si>
    <t>z_pub23</t>
  </si>
  <si>
    <t>vyk_grant23</t>
  </si>
  <si>
    <t>fit_grant23</t>
  </si>
  <si>
    <t>res_grant23</t>
  </si>
  <si>
    <t>z_grant23</t>
  </si>
  <si>
    <t>z_final23</t>
  </si>
  <si>
    <t>výkon23</t>
  </si>
  <si>
    <t>zam2021</t>
  </si>
  <si>
    <t>zam2019</t>
  </si>
  <si>
    <t>Slovenská poľnohospodárska univerzita</t>
  </si>
  <si>
    <t>Centrum jazykov</t>
  </si>
  <si>
    <t>vyk_index23</t>
  </si>
  <si>
    <t>vyk_index_correct22</t>
  </si>
  <si>
    <t>fit_index_correct22</t>
  </si>
  <si>
    <t>priemer/zam/pomer</t>
  </si>
  <si>
    <t>priemer/zam/model</t>
  </si>
  <si>
    <t>z_index_pomer23</t>
  </si>
  <si>
    <t>z_index_model23</t>
  </si>
  <si>
    <t>vyk_mon22</t>
  </si>
  <si>
    <t>mon/pomer</t>
  </si>
  <si>
    <t>mon/model</t>
  </si>
  <si>
    <t>fit_mon_model23</t>
  </si>
  <si>
    <t>res_mon_model23</t>
  </si>
  <si>
    <t>z_mon_model23</t>
  </si>
  <si>
    <t>grant23</t>
  </si>
  <si>
    <t>pomer/zam</t>
  </si>
  <si>
    <t>pomer/model</t>
  </si>
  <si>
    <t>fit_frant23</t>
  </si>
  <si>
    <t>z_granty23</t>
  </si>
  <si>
    <t>fit_index23</t>
  </si>
  <si>
    <t>res_index23</t>
  </si>
  <si>
    <t>z_index23</t>
  </si>
  <si>
    <t>granty23</t>
  </si>
  <si>
    <t>fit_granty23</t>
  </si>
  <si>
    <t>res_granty23</t>
  </si>
  <si>
    <t>final23</t>
  </si>
  <si>
    <t>index23</t>
  </si>
  <si>
    <t>Materiálovo-technologická fakulta</t>
  </si>
  <si>
    <t>z_granty</t>
  </si>
  <si>
    <t>UMB</t>
  </si>
  <si>
    <t>STU</t>
  </si>
  <si>
    <t>TUKE</t>
  </si>
  <si>
    <t>TUZV</t>
  </si>
  <si>
    <t>VŠVU</t>
  </si>
  <si>
    <t>AU</t>
  </si>
  <si>
    <t>spolu 2020+2021</t>
  </si>
  <si>
    <t>PU</t>
  </si>
  <si>
    <t>UKF</t>
  </si>
  <si>
    <t>VŠMU</t>
  </si>
  <si>
    <t>KU</t>
  </si>
  <si>
    <t>spolu vizuálne+performatívne</t>
  </si>
  <si>
    <t>podiel vizuálne</t>
  </si>
  <si>
    <t>podiel performatívne</t>
  </si>
  <si>
    <t>publikácie2022</t>
  </si>
  <si>
    <t>publikácie2023</t>
  </si>
  <si>
    <t>podiel_correct22</t>
  </si>
  <si>
    <t>granty22</t>
  </si>
  <si>
    <t>granty_podiel23</t>
  </si>
  <si>
    <t>publik_podiel23</t>
  </si>
  <si>
    <t>final_podiel23</t>
  </si>
  <si>
    <t>podiely23</t>
  </si>
  <si>
    <t>kod skoly</t>
  </si>
  <si>
    <t>Fakulta architektúry a dizajnu</t>
  </si>
  <si>
    <t>Centrum jazykov SPU</t>
  </si>
  <si>
    <t>Ústav telesnej výchovy a športu</t>
  </si>
  <si>
    <t>Pracoviská chémie a farmácie</t>
  </si>
  <si>
    <t>Pracoviská hygieny potravín, chovu zvierat a životného prostredia</t>
  </si>
  <si>
    <t>Výskumné centrá a laboratóriá</t>
  </si>
  <si>
    <t>Univerzitný vedecký park UNIZA</t>
  </si>
  <si>
    <t xml:space="preserve">Celouniverzitné pracoviská ŽU </t>
  </si>
  <si>
    <t>Výskumné centrum UNIZA</t>
  </si>
  <si>
    <t>alokácia_correct22</t>
  </si>
  <si>
    <t>alokácia23</t>
  </si>
  <si>
    <t>podiel_exc23</t>
  </si>
  <si>
    <t>váha_zam23</t>
  </si>
  <si>
    <t>suma/zam23</t>
  </si>
  <si>
    <t>suma23</t>
  </si>
  <si>
    <t>výkon_exc23</t>
  </si>
  <si>
    <t>výk_exc_23</t>
  </si>
  <si>
    <t>podiel_exc_23</t>
  </si>
  <si>
    <t>exc23</t>
  </si>
  <si>
    <t>SICHEL</t>
  </si>
  <si>
    <t>TWEEDIE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</si>
</sst>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00"/>
    <numFmt numFmtId="165" formatCode="#,##0.000"/>
    <numFmt numFmtId="166" formatCode="0.0000"/>
    <numFmt numFmtId="167" formatCode="#,##0.00\ &quot;€&quot;"/>
    <numFmt numFmtId="168" formatCode="0.0"/>
    <numFmt numFmtId="169" formatCode="_-* #,##0\ _€_-;\-* #,##0\ _€_-;_-* &quot;-&quot;??\ _€_-;_-@_-"/>
    <numFmt numFmtId="170" formatCode="#,##0.0000"/>
    <numFmt numFmtId="171" formatCode="0.00000"/>
    <numFmt numFmtId="172" formatCode="0.000000"/>
  </numFmts>
  <fonts count="30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79992065187536243"/>
        <bgColor theme="4" tint="0.79992065187536243"/>
      </patternFill>
    </fill>
  </fills>
  <borders count="42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</borders>
  <cellStyleXfs count="3">
    <xf numFmtId="0" fontId="0" fillId="0" borderId="0"/>
    <xf numFmtId="0" fontId="22" fillId="0" borderId="0"/>
    <xf numFmtId="43" fontId="10" fillId="0" borderId="0" applyFont="0" applyFill="0" applyBorder="0" applyAlignment="0" applyProtection="0"/>
  </cellStyleXfs>
  <cellXfs count="283">
    <xf numFmtId="0" fontId="0" fillId="0" borderId="0" xfId="0"/>
    <xf numFmtId="0" fontId="17" fillId="0" borderId="0" xfId="0" applyFont="1"/>
    <xf numFmtId="0" fontId="1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17" fillId="0" borderId="0" xfId="0" applyFont="1" applyAlignment="1">
      <alignment wrapText="1"/>
    </xf>
    <xf numFmtId="0" fontId="0" fillId="0" borderId="1" xfId="0" applyBorder="1"/>
    <xf numFmtId="0" fontId="0" fillId="0" borderId="0" xfId="0" applyFont="1" applyFill="1" applyAlignment="1"/>
    <xf numFmtId="0" fontId="0" fillId="3" borderId="1" xfId="0" applyFill="1" applyBorder="1"/>
    <xf numFmtId="0" fontId="17" fillId="0" borderId="0" xfId="0" applyFont="1" applyFill="1" applyAlignment="1"/>
    <xf numFmtId="0" fontId="18" fillId="0" borderId="0" xfId="0" applyFont="1" applyFill="1" applyAlignment="1"/>
    <xf numFmtId="0" fontId="0" fillId="0" borderId="2" xfId="0" applyFont="1" applyFill="1" applyBorder="1" applyAlignment="1"/>
    <xf numFmtId="0" fontId="0" fillId="4" borderId="2" xfId="0" applyFont="1" applyFill="1" applyBorder="1" applyAlignment="1"/>
    <xf numFmtId="0" fontId="19" fillId="0" borderId="0" xfId="1" applyFont="1" applyProtection="1">
      <protection locked="0"/>
    </xf>
    <xf numFmtId="0" fontId="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0" fontId="23" fillId="0" borderId="0" xfId="0" applyFont="1" applyFill="1"/>
    <xf numFmtId="0" fontId="16" fillId="0" borderId="0" xfId="0" applyFont="1" applyFill="1"/>
    <xf numFmtId="0" fontId="0" fillId="4" borderId="0" xfId="0" applyFont="1" applyFill="1" applyBorder="1" applyAlignment="1"/>
    <xf numFmtId="0" fontId="16" fillId="0" borderId="0" xfId="0" applyFont="1"/>
    <xf numFmtId="9" fontId="16" fillId="0" borderId="0" xfId="0" applyNumberFormat="1" applyFont="1"/>
    <xf numFmtId="164" fontId="0" fillId="0" borderId="0" xfId="0" applyNumberFormat="1"/>
    <xf numFmtId="0" fontId="24" fillId="0" borderId="0" xfId="0" applyFont="1" applyAlignment="1">
      <alignment horizontal="right"/>
    </xf>
    <xf numFmtId="164" fontId="0" fillId="5" borderId="0" xfId="0" applyNumberFormat="1" applyFill="1"/>
    <xf numFmtId="164" fontId="0" fillId="0" borderId="0" xfId="0" applyNumberFormat="1" applyFill="1"/>
    <xf numFmtId="164" fontId="0" fillId="6" borderId="0" xfId="0" applyNumberFormat="1" applyFill="1"/>
    <xf numFmtId="0" fontId="0" fillId="7" borderId="0" xfId="0" applyFill="1"/>
    <xf numFmtId="0" fontId="0" fillId="7" borderId="0" xfId="0" applyFont="1" applyFill="1" applyAlignment="1"/>
    <xf numFmtId="0" fontId="18" fillId="7" borderId="0" xfId="0" applyFont="1" applyFill="1" applyAlignment="1"/>
    <xf numFmtId="164" fontId="23" fillId="0" borderId="0" xfId="0" applyNumberFormat="1" applyFont="1"/>
    <xf numFmtId="0" fontId="17" fillId="7" borderId="0" xfId="0" applyFont="1" applyFill="1" applyAlignment="1"/>
    <xf numFmtId="0" fontId="25" fillId="0" borderId="0" xfId="0" applyFont="1" applyFill="1" applyAlignment="1"/>
    <xf numFmtId="3" fontId="0" fillId="0" borderId="0" xfId="0" applyNumberFormat="1"/>
    <xf numFmtId="3" fontId="23" fillId="0" borderId="0" xfId="0" applyNumberFormat="1" applyFont="1"/>
    <xf numFmtId="165" fontId="0" fillId="0" borderId="0" xfId="0" applyNumberFormat="1"/>
    <xf numFmtId="4" fontId="0" fillId="0" borderId="0" xfId="0" applyNumberFormat="1"/>
    <xf numFmtId="0" fontId="25" fillId="0" borderId="0" xfId="0" applyFont="1" applyFill="1" applyBorder="1" applyAlignment="1"/>
    <xf numFmtId="0" fontId="24" fillId="0" borderId="0" xfId="0" applyFont="1"/>
    <xf numFmtId="166" fontId="0" fillId="0" borderId="0" xfId="0" applyNumberFormat="1"/>
    <xf numFmtId="166" fontId="23" fillId="0" borderId="0" xfId="0" applyNumberFormat="1" applyFont="1"/>
    <xf numFmtId="166" fontId="0" fillId="5" borderId="0" xfId="0" applyNumberFormat="1" applyFill="1"/>
    <xf numFmtId="0" fontId="15" fillId="0" borderId="0" xfId="0" applyFont="1" applyFill="1"/>
    <xf numFmtId="3" fontId="15" fillId="0" borderId="0" xfId="0" applyNumberFormat="1" applyFont="1"/>
    <xf numFmtId="0" fontId="0" fillId="2" borderId="0" xfId="0" applyFont="1" applyFill="1" applyAlignment="1">
      <alignment horizontal="center" vertical="center" wrapText="1"/>
    </xf>
    <xf numFmtId="0" fontId="15" fillId="3" borderId="1" xfId="0" applyFont="1" applyFill="1" applyBorder="1"/>
    <xf numFmtId="166" fontId="0" fillId="6" borderId="0" xfId="0" applyNumberFormat="1" applyFill="1"/>
    <xf numFmtId="166" fontId="0" fillId="0" borderId="0" xfId="0" applyNumberFormat="1" applyFill="1"/>
    <xf numFmtId="166" fontId="23" fillId="0" borderId="0" xfId="0" applyNumberFormat="1" applyFont="1" applyFill="1"/>
    <xf numFmtId="4" fontId="23" fillId="0" borderId="0" xfId="0" applyNumberFormat="1" applyFont="1"/>
    <xf numFmtId="0" fontId="0" fillId="2" borderId="0" xfId="0" applyFill="1"/>
    <xf numFmtId="166" fontId="0" fillId="2" borderId="0" xfId="0" applyNumberFormat="1" applyFill="1"/>
    <xf numFmtId="0" fontId="17" fillId="7" borderId="0" xfId="0" applyFont="1" applyFill="1"/>
    <xf numFmtId="164" fontId="17" fillId="0" borderId="0" xfId="0" applyNumberFormat="1" applyFont="1"/>
    <xf numFmtId="3" fontId="17" fillId="0" borderId="0" xfId="0" applyNumberFormat="1" applyFont="1"/>
    <xf numFmtId="3" fontId="24" fillId="0" borderId="0" xfId="0" applyNumberFormat="1" applyFont="1"/>
    <xf numFmtId="166" fontId="17" fillId="0" borderId="0" xfId="0" applyNumberFormat="1" applyFont="1"/>
    <xf numFmtId="4" fontId="24" fillId="0" borderId="0" xfId="0" applyNumberFormat="1" applyFont="1"/>
    <xf numFmtId="2" fontId="0" fillId="0" borderId="0" xfId="0" applyNumberFormat="1"/>
    <xf numFmtId="2" fontId="17" fillId="0" borderId="0" xfId="0" applyNumberFormat="1" applyFont="1"/>
    <xf numFmtId="4" fontId="17" fillId="0" borderId="0" xfId="0" applyNumberFormat="1" applyFont="1"/>
    <xf numFmtId="0" fontId="17" fillId="0" borderId="0" xfId="0" applyFont="1" applyFill="1"/>
    <xf numFmtId="166" fontId="24" fillId="0" borderId="0" xfId="0" applyNumberFormat="1" applyFont="1"/>
    <xf numFmtId="4" fontId="24" fillId="2" borderId="0" xfId="0" applyNumberFormat="1" applyFont="1" applyFill="1"/>
    <xf numFmtId="2" fontId="24" fillId="0" borderId="0" xfId="0" applyNumberFormat="1" applyFont="1"/>
    <xf numFmtId="10" fontId="0" fillId="0" borderId="0" xfId="0" applyNumberFormat="1"/>
    <xf numFmtId="4" fontId="17" fillId="2" borderId="0" xfId="0" applyNumberFormat="1" applyFont="1" applyFill="1"/>
    <xf numFmtId="4" fontId="0" fillId="2" borderId="0" xfId="0" applyNumberFormat="1" applyFill="1"/>
    <xf numFmtId="4" fontId="0" fillId="0" borderId="0" xfId="0" applyNumberFormat="1" applyFill="1"/>
    <xf numFmtId="4" fontId="17" fillId="0" borderId="0" xfId="0" applyNumberFormat="1" applyFont="1" applyFill="1"/>
    <xf numFmtId="0" fontId="0" fillId="0" borderId="0" xfId="0" applyBorder="1"/>
    <xf numFmtId="3" fontId="0" fillId="5" borderId="0" xfId="0" applyNumberFormat="1" applyFill="1"/>
    <xf numFmtId="0" fontId="0" fillId="6" borderId="0" xfId="0" applyFill="1"/>
    <xf numFmtId="165" fontId="14" fillId="0" borderId="0" xfId="0" applyNumberFormat="1" applyFont="1"/>
    <xf numFmtId="167" fontId="17" fillId="0" borderId="0" xfId="0" applyNumberFormat="1" applyFont="1"/>
    <xf numFmtId="168" fontId="23" fillId="0" borderId="0" xfId="0" applyNumberFormat="1" applyFont="1"/>
    <xf numFmtId="3" fontId="0" fillId="0" borderId="0" xfId="0" applyNumberFormat="1" applyFill="1"/>
    <xf numFmtId="0" fontId="0" fillId="5" borderId="0" xfId="0" applyFill="1"/>
    <xf numFmtId="0" fontId="12" fillId="0" borderId="0" xfId="0" applyFont="1"/>
    <xf numFmtId="4" fontId="24" fillId="6" borderId="0" xfId="0" applyNumberFormat="1" applyFont="1" applyFill="1"/>
    <xf numFmtId="164" fontId="17" fillId="0" borderId="0" xfId="0" applyNumberFormat="1" applyFont="1" applyFill="1"/>
    <xf numFmtId="166" fontId="17" fillId="0" borderId="0" xfId="0" applyNumberFormat="1" applyFont="1" applyFill="1"/>
    <xf numFmtId="0" fontId="24" fillId="0" borderId="0" xfId="0" applyFont="1" applyFill="1"/>
    <xf numFmtId="0" fontId="17" fillId="0" borderId="1" xfId="0" applyFont="1" applyBorder="1" applyAlignment="1">
      <alignment wrapText="1"/>
    </xf>
    <xf numFmtId="9" fontId="15" fillId="0" borderId="3" xfId="0" applyNumberFormat="1" applyFont="1" applyBorder="1"/>
    <xf numFmtId="9" fontId="15" fillId="0" borderId="4" xfId="0" applyNumberFormat="1" applyFont="1" applyBorder="1"/>
    <xf numFmtId="0" fontId="16" fillId="0" borderId="4" xfId="0" applyFont="1" applyBorder="1"/>
    <xf numFmtId="0" fontId="16" fillId="0" borderId="4" xfId="0" applyFont="1" applyFill="1" applyBorder="1"/>
    <xf numFmtId="0" fontId="16" fillId="0" borderId="5" xfId="0" applyFont="1" applyFill="1" applyBorder="1"/>
    <xf numFmtId="0" fontId="17" fillId="0" borderId="6" xfId="0" applyFont="1" applyBorder="1"/>
    <xf numFmtId="0" fontId="17" fillId="0" borderId="0" xfId="0" applyFont="1" applyBorder="1"/>
    <xf numFmtId="0" fontId="17" fillId="0" borderId="0" xfId="0" applyFont="1" applyFill="1" applyBorder="1"/>
    <xf numFmtId="0" fontId="17" fillId="0" borderId="7" xfId="0" applyFont="1" applyFill="1" applyBorder="1"/>
    <xf numFmtId="0" fontId="0" fillId="0" borderId="6" xfId="0" applyFont="1" applyFill="1" applyBorder="1" applyAlignment="1"/>
    <xf numFmtId="164" fontId="0" fillId="0" borderId="0" xfId="0" applyNumberFormat="1" applyFont="1" applyFill="1" applyBorder="1" applyAlignment="1"/>
    <xf numFmtId="164" fontId="0" fillId="0" borderId="0" xfId="0" applyNumberFormat="1" applyBorder="1"/>
    <xf numFmtId="164" fontId="0" fillId="0" borderId="7" xfId="0" applyNumberFormat="1" applyBorder="1"/>
    <xf numFmtId="164" fontId="0" fillId="0" borderId="0" xfId="0" applyNumberFormat="1" applyFill="1" applyBorder="1"/>
    <xf numFmtId="164" fontId="0" fillId="0" borderId="7" xfId="0" applyNumberFormat="1" applyFill="1" applyBorder="1"/>
    <xf numFmtId="0" fontId="25" fillId="0" borderId="6" xfId="0" applyFont="1" applyFill="1" applyBorder="1" applyAlignment="1"/>
    <xf numFmtId="0" fontId="25" fillId="0" borderId="8" xfId="0" applyFont="1" applyFill="1" applyBorder="1" applyAlignment="1"/>
    <xf numFmtId="0" fontId="25" fillId="0" borderId="9" xfId="0" applyFont="1" applyFill="1" applyBorder="1" applyAlignment="1"/>
    <xf numFmtId="164" fontId="0" fillId="0" borderId="9" xfId="0" applyNumberFormat="1" applyFont="1" applyFill="1" applyBorder="1" applyAlignment="1"/>
    <xf numFmtId="164" fontId="0" fillId="0" borderId="9" xfId="0" applyNumberFormat="1" applyFill="1" applyBorder="1"/>
    <xf numFmtId="164" fontId="0" fillId="0" borderId="10" xfId="0" applyNumberFormat="1" applyFill="1" applyBorder="1"/>
    <xf numFmtId="0" fontId="0" fillId="0" borderId="6" xfId="0" applyFill="1" applyBorder="1"/>
    <xf numFmtId="166" fontId="0" fillId="0" borderId="0" xfId="0" applyNumberFormat="1" applyFill="1" applyBorder="1"/>
    <xf numFmtId="166" fontId="0" fillId="0" borderId="7" xfId="0" applyNumberFormat="1" applyFill="1" applyBorder="1"/>
    <xf numFmtId="0" fontId="18" fillId="0" borderId="6" xfId="0" applyFont="1" applyFill="1" applyBorder="1" applyAlignment="1"/>
    <xf numFmtId="0" fontId="18" fillId="0" borderId="0" xfId="0" applyFont="1" applyFill="1" applyBorder="1" applyAlignment="1"/>
    <xf numFmtId="0" fontId="18" fillId="0" borderId="8" xfId="0" applyFont="1" applyFill="1" applyBorder="1" applyAlignment="1"/>
    <xf numFmtId="0" fontId="18" fillId="0" borderId="9" xfId="0" applyFont="1" applyFill="1" applyBorder="1" applyAlignment="1"/>
    <xf numFmtId="164" fontId="0" fillId="0" borderId="9" xfId="0" applyNumberFormat="1" applyBorder="1"/>
    <xf numFmtId="166" fontId="0" fillId="0" borderId="9" xfId="0" applyNumberFormat="1" applyFill="1" applyBorder="1"/>
    <xf numFmtId="166" fontId="0" fillId="0" borderId="10" xfId="0" applyNumberFormat="1" applyFill="1" applyBorder="1"/>
    <xf numFmtId="3" fontId="17" fillId="0" borderId="0" xfId="0" applyNumberFormat="1" applyFont="1" applyFill="1"/>
    <xf numFmtId="0" fontId="12" fillId="3" borderId="1" xfId="0" applyFont="1" applyFill="1" applyBorder="1"/>
    <xf numFmtId="0" fontId="12" fillId="0" borderId="1" xfId="0" applyFont="1" applyBorder="1"/>
    <xf numFmtId="1" fontId="0" fillId="0" borderId="0" xfId="0" applyNumberFormat="1"/>
    <xf numFmtId="164" fontId="13" fillId="0" borderId="0" xfId="0" applyNumberFormat="1" applyFont="1" applyBorder="1"/>
    <xf numFmtId="0" fontId="17" fillId="0" borderId="6" xfId="0" applyFont="1" applyFill="1" applyBorder="1"/>
    <xf numFmtId="164" fontId="17" fillId="0" borderId="0" xfId="0" applyNumberFormat="1" applyFont="1" applyBorder="1"/>
    <xf numFmtId="164" fontId="17" fillId="0" borderId="7" xfId="0" applyNumberFormat="1" applyFont="1" applyBorder="1"/>
    <xf numFmtId="0" fontId="0" fillId="0" borderId="8" xfId="0" applyFill="1" applyBorder="1"/>
    <xf numFmtId="0" fontId="0" fillId="0" borderId="9" xfId="0" applyBorder="1"/>
    <xf numFmtId="164" fontId="0" fillId="0" borderId="10" xfId="0" applyNumberFormat="1" applyBorder="1"/>
    <xf numFmtId="4" fontId="12" fillId="0" borderId="0" xfId="0" applyNumberFormat="1" applyFont="1" applyFill="1"/>
    <xf numFmtId="166" fontId="0" fillId="0" borderId="0" xfId="0" applyNumberFormat="1" applyBorder="1"/>
    <xf numFmtId="166" fontId="0" fillId="0" borderId="7" xfId="0" applyNumberFormat="1" applyBorder="1"/>
    <xf numFmtId="166" fontId="17" fillId="0" borderId="0" xfId="0" applyNumberFormat="1" applyFont="1" applyBorder="1"/>
    <xf numFmtId="166" fontId="17" fillId="0" borderId="7" xfId="0" applyNumberFormat="1" applyFont="1" applyBorder="1"/>
    <xf numFmtId="0" fontId="0" fillId="0" borderId="7" xfId="0" applyBorder="1"/>
    <xf numFmtId="166" fontId="0" fillId="0" borderId="9" xfId="0" applyNumberFormat="1" applyBorder="1"/>
    <xf numFmtId="0" fontId="0" fillId="0" borderId="10" xfId="0" applyBorder="1"/>
    <xf numFmtId="167" fontId="17" fillId="0" borderId="0" xfId="0" applyNumberFormat="1" applyFont="1" applyFill="1"/>
    <xf numFmtId="4" fontId="24" fillId="0" borderId="0" xfId="0" applyNumberFormat="1" applyFont="1" applyFill="1"/>
    <xf numFmtId="164" fontId="12" fillId="0" borderId="0" xfId="0" applyNumberFormat="1" applyFont="1" applyFill="1"/>
    <xf numFmtId="0" fontId="12" fillId="0" borderId="0" xfId="0" applyFont="1" applyFill="1"/>
    <xf numFmtId="164" fontId="12" fillId="5" borderId="0" xfId="0" applyNumberFormat="1" applyFont="1" applyFill="1"/>
    <xf numFmtId="4" fontId="0" fillId="6" borderId="0" xfId="0" applyNumberFormat="1" applyFill="1"/>
    <xf numFmtId="4" fontId="26" fillId="0" borderId="0" xfId="0" applyNumberFormat="1" applyFont="1" applyFill="1"/>
    <xf numFmtId="4" fontId="23" fillId="2" borderId="0" xfId="0" applyNumberFormat="1" applyFont="1" applyFill="1"/>
    <xf numFmtId="0" fontId="11" fillId="0" borderId="0" xfId="0" applyFont="1"/>
    <xf numFmtId="4" fontId="0" fillId="5" borderId="0" xfId="0" applyNumberFormat="1" applyFill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4" fontId="17" fillId="6" borderId="0" xfId="0" applyNumberFormat="1" applyFont="1" applyFill="1"/>
    <xf numFmtId="0" fontId="17" fillId="0" borderId="0" xfId="0" applyFont="1" applyFill="1" applyAlignment="1">
      <alignment horizontal="center" vertical="center"/>
    </xf>
    <xf numFmtId="169" fontId="0" fillId="0" borderId="0" xfId="2" applyNumberFormat="1" applyFont="1"/>
    <xf numFmtId="0" fontId="22" fillId="0" borderId="0" xfId="1"/>
    <xf numFmtId="0" fontId="22" fillId="2" borderId="0" xfId="1" applyFill="1"/>
    <xf numFmtId="0" fontId="22" fillId="6" borderId="0" xfId="1" applyFill="1"/>
    <xf numFmtId="0" fontId="22" fillId="5" borderId="0" xfId="1" applyFill="1"/>
    <xf numFmtId="0" fontId="22" fillId="8" borderId="0" xfId="1" applyFill="1"/>
    <xf numFmtId="0" fontId="22" fillId="9" borderId="0" xfId="1" applyFill="1"/>
    <xf numFmtId="1" fontId="17" fillId="0" borderId="0" xfId="0" applyNumberFormat="1" applyFont="1"/>
    <xf numFmtId="164" fontId="12" fillId="0" borderId="0" xfId="0" applyNumberFormat="1" applyFont="1"/>
    <xf numFmtId="2" fontId="0" fillId="6" borderId="0" xfId="0" applyNumberFormat="1" applyFill="1"/>
    <xf numFmtId="0" fontId="9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15" xfId="0" applyBorder="1"/>
    <xf numFmtId="0" fontId="9" fillId="0" borderId="13" xfId="0" applyFont="1" applyBorder="1"/>
    <xf numFmtId="0" fontId="9" fillId="0" borderId="14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10" borderId="21" xfId="0" applyFill="1" applyBorder="1"/>
    <xf numFmtId="0" fontId="0" fillId="10" borderId="22" xfId="0" applyFill="1" applyBorder="1"/>
    <xf numFmtId="0" fontId="0" fillId="10" borderId="23" xfId="0" applyFill="1" applyBorder="1"/>
    <xf numFmtId="0" fontId="17" fillId="0" borderId="16" xfId="0" applyFont="1" applyBorder="1"/>
    <xf numFmtId="0" fontId="17" fillId="0" borderId="0" xfId="0" applyFont="1" applyAlignment="1">
      <alignment horizontal="right"/>
    </xf>
    <xf numFmtId="0" fontId="17" fillId="0" borderId="16" xfId="0" applyFont="1" applyBorder="1" applyAlignment="1">
      <alignment horizontal="right"/>
    </xf>
    <xf numFmtId="0" fontId="17" fillId="0" borderId="25" xfId="0" applyFont="1" applyBorder="1"/>
    <xf numFmtId="0" fontId="17" fillId="0" borderId="26" xfId="0" applyFont="1" applyBorder="1"/>
    <xf numFmtId="0" fontId="17" fillId="0" borderId="0" xfId="0" applyFont="1" applyFill="1" applyBorder="1" applyAlignment="1">
      <alignment horizontal="right"/>
    </xf>
    <xf numFmtId="170" fontId="0" fillId="0" borderId="0" xfId="0" applyNumberFormat="1"/>
    <xf numFmtId="0" fontId="17" fillId="0" borderId="0" xfId="0" applyFont="1" applyFill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3" xfId="0" applyBorder="1"/>
    <xf numFmtId="0" fontId="0" fillId="0" borderId="17" xfId="0" applyBorder="1"/>
    <xf numFmtId="0" fontId="0" fillId="0" borderId="34" xfId="0" applyBorder="1"/>
    <xf numFmtId="0" fontId="0" fillId="0" borderId="35" xfId="0" applyBorder="1"/>
    <xf numFmtId="0" fontId="0" fillId="0" borderId="2" xfId="0" applyNumberFormat="1" applyBorder="1"/>
    <xf numFmtId="0" fontId="0" fillId="0" borderId="19" xfId="0" applyNumberFormat="1" applyBorder="1"/>
    <xf numFmtId="0" fontId="0" fillId="0" borderId="36" xfId="0" applyBorder="1"/>
    <xf numFmtId="0" fontId="0" fillId="0" borderId="15" xfId="0" applyNumberFormat="1" applyBorder="1"/>
    <xf numFmtId="0" fontId="0" fillId="0" borderId="20" xfId="0" applyNumberFormat="1" applyBorder="1"/>
    <xf numFmtId="0" fontId="17" fillId="0" borderId="0" xfId="0" applyFont="1" applyAlignment="1">
      <alignment horizontal="left"/>
    </xf>
    <xf numFmtId="0" fontId="0" fillId="0" borderId="37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8" xfId="0" applyBorder="1"/>
    <xf numFmtId="0" fontId="8" fillId="0" borderId="0" xfId="0" applyFont="1"/>
    <xf numFmtId="3" fontId="7" fillId="0" borderId="0" xfId="0" applyNumberFormat="1" applyFont="1" applyFill="1" applyBorder="1"/>
    <xf numFmtId="3" fontId="0" fillId="0" borderId="0" xfId="0" applyNumberFormat="1" applyFill="1" applyBorder="1"/>
    <xf numFmtId="164" fontId="0" fillId="2" borderId="0" xfId="0" applyNumberFormat="1" applyFill="1"/>
    <xf numFmtId="0" fontId="6" fillId="0" borderId="0" xfId="0" applyFont="1"/>
    <xf numFmtId="165" fontId="23" fillId="0" borderId="0" xfId="0" applyNumberFormat="1" applyFont="1"/>
    <xf numFmtId="2" fontId="23" fillId="0" borderId="0" xfId="0" applyNumberFormat="1" applyFont="1"/>
    <xf numFmtId="2" fontId="17" fillId="2" borderId="0" xfId="0" applyNumberFormat="1" applyFont="1" applyFill="1"/>
    <xf numFmtId="4" fontId="28" fillId="0" borderId="0" xfId="0" applyNumberFormat="1" applyFont="1" applyFill="1" applyBorder="1"/>
    <xf numFmtId="4" fontId="28" fillId="11" borderId="0" xfId="0" applyNumberFormat="1" applyFont="1" applyFill="1" applyBorder="1"/>
    <xf numFmtId="4" fontId="29" fillId="0" borderId="0" xfId="0" applyNumberFormat="1" applyFont="1" applyFill="1" applyBorder="1"/>
    <xf numFmtId="0" fontId="17" fillId="6" borderId="0" xfId="0" applyFont="1" applyFill="1"/>
    <xf numFmtId="0" fontId="17" fillId="6" borderId="0" xfId="0" applyFont="1" applyFill="1" applyAlignment="1">
      <alignment horizontal="center" vertical="center"/>
    </xf>
    <xf numFmtId="0" fontId="5" fillId="0" borderId="0" xfId="0" applyFont="1"/>
    <xf numFmtId="2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1" fontId="0" fillId="0" borderId="0" xfId="0" applyNumberFormat="1" applyFill="1"/>
    <xf numFmtId="1" fontId="17" fillId="0" borderId="0" xfId="0" applyNumberFormat="1" applyFont="1" applyFill="1"/>
    <xf numFmtId="0" fontId="4" fillId="3" borderId="1" xfId="0" applyFont="1" applyFill="1" applyBorder="1"/>
    <xf numFmtId="0" fontId="4" fillId="0" borderId="1" xfId="0" applyFont="1" applyBorder="1"/>
    <xf numFmtId="1" fontId="17" fillId="7" borderId="0" xfId="0" applyNumberFormat="1" applyFont="1" applyFill="1"/>
    <xf numFmtId="164" fontId="4" fillId="0" borderId="0" xfId="0" applyNumberFormat="1" applyFont="1"/>
    <xf numFmtId="164" fontId="0" fillId="7" borderId="0" xfId="0" applyNumberFormat="1" applyFill="1"/>
    <xf numFmtId="171" fontId="17" fillId="6" borderId="0" xfId="0" applyNumberFormat="1" applyFont="1" applyFill="1"/>
    <xf numFmtId="0" fontId="3" fillId="0" borderId="0" xfId="0" applyFont="1"/>
    <xf numFmtId="171" fontId="17" fillId="0" borderId="0" xfId="0" applyNumberFormat="1" applyFont="1" applyFill="1"/>
    <xf numFmtId="165" fontId="0" fillId="5" borderId="0" xfId="0" applyNumberFormat="1" applyFill="1"/>
    <xf numFmtId="164" fontId="3" fillId="0" borderId="0" xfId="0" applyNumberFormat="1" applyFont="1" applyFill="1"/>
    <xf numFmtId="164" fontId="3" fillId="7" borderId="0" xfId="0" applyNumberFormat="1" applyFont="1" applyFill="1"/>
    <xf numFmtId="164" fontId="3" fillId="5" borderId="0" xfId="0" applyNumberFormat="1" applyFont="1" applyFill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164" fontId="2" fillId="0" borderId="0" xfId="0" applyNumberFormat="1" applyFont="1"/>
    <xf numFmtId="164" fontId="2" fillId="5" borderId="0" xfId="0" applyNumberFormat="1" applyFont="1" applyFill="1"/>
    <xf numFmtId="3" fontId="2" fillId="0" borderId="0" xfId="0" applyNumberFormat="1" applyFont="1"/>
    <xf numFmtId="165" fontId="2" fillId="0" borderId="0" xfId="0" applyNumberFormat="1" applyFont="1"/>
    <xf numFmtId="165" fontId="2" fillId="5" borderId="0" xfId="0" applyNumberFormat="1" applyFont="1" applyFill="1"/>
    <xf numFmtId="165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/>
    <xf numFmtId="0" fontId="2" fillId="3" borderId="1" xfId="0" applyFont="1" applyFill="1" applyBorder="1"/>
    <xf numFmtId="165" fontId="0" fillId="0" borderId="0" xfId="0" applyNumberFormat="1" applyFill="1"/>
    <xf numFmtId="0" fontId="2" fillId="0" borderId="1" xfId="0" applyFont="1" applyBorder="1"/>
    <xf numFmtId="1" fontId="0" fillId="7" borderId="0" xfId="0" applyNumberFormat="1" applyFill="1"/>
    <xf numFmtId="1" fontId="23" fillId="0" borderId="0" xfId="0" applyNumberFormat="1" applyFont="1" applyFill="1"/>
    <xf numFmtId="0" fontId="17" fillId="0" borderId="25" xfId="0" applyFont="1" applyFill="1" applyBorder="1"/>
    <xf numFmtId="0" fontId="17" fillId="0" borderId="26" xfId="0" applyFont="1" applyFill="1" applyBorder="1"/>
    <xf numFmtId="0" fontId="0" fillId="0" borderId="0" xfId="0" applyFill="1" applyBorder="1"/>
    <xf numFmtId="1" fontId="27" fillId="0" borderId="0" xfId="0" applyNumberFormat="1" applyFont="1" applyFill="1" applyBorder="1"/>
    <xf numFmtId="0" fontId="9" fillId="0" borderId="0" xfId="0" applyFont="1" applyFill="1" applyBorder="1"/>
    <xf numFmtId="0" fontId="0" fillId="0" borderId="4" xfId="0" applyBorder="1"/>
    <xf numFmtId="0" fontId="0" fillId="0" borderId="16" xfId="0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0" fillId="0" borderId="0" xfId="0" applyNumberFormat="1" applyBorder="1"/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32" xfId="0" applyBorder="1"/>
    <xf numFmtId="2" fontId="0" fillId="0" borderId="0" xfId="0" applyNumberFormat="1" applyFill="1" applyAlignment="1">
      <alignment horizontal="right"/>
    </xf>
    <xf numFmtId="0" fontId="2" fillId="0" borderId="0" xfId="0" applyFont="1" applyFill="1" applyBorder="1"/>
    <xf numFmtId="172" fontId="27" fillId="0" borderId="0" xfId="0" applyNumberFormat="1" applyFont="1" applyFill="1" applyBorder="1"/>
    <xf numFmtId="4" fontId="17" fillId="2" borderId="0" xfId="0" applyNumberFormat="1" applyFont="1" applyFill="1" applyBorder="1"/>
    <xf numFmtId="167" fontId="0" fillId="6" borderId="0" xfId="0" applyNumberFormat="1" applyFill="1"/>
    <xf numFmtId="165" fontId="17" fillId="0" borderId="0" xfId="0" applyNumberFormat="1" applyFont="1"/>
    <xf numFmtId="0" fontId="0" fillId="0" borderId="41" xfId="0" applyBorder="1"/>
    <xf numFmtId="0" fontId="0" fillId="12" borderId="41" xfId="0" applyFill="1" applyBorder="1"/>
    <xf numFmtId="0" fontId="18" fillId="0" borderId="0" xfId="0" applyFont="1"/>
    <xf numFmtId="0" fontId="18" fillId="0" borderId="41" xfId="0" applyFont="1" applyBorder="1"/>
    <xf numFmtId="0" fontId="18" fillId="12" borderId="41" xfId="0" applyFont="1" applyFill="1" applyBorder="1"/>
    <xf numFmtId="0" fontId="0" fillId="4" borderId="0" xfId="0" applyFill="1"/>
    <xf numFmtId="0" fontId="0" fillId="4" borderId="2" xfId="0" applyFill="1" applyBorder="1"/>
    <xf numFmtId="0" fontId="2" fillId="0" borderId="0" xfId="0" applyFont="1" applyFill="1"/>
    <xf numFmtId="4" fontId="14" fillId="0" borderId="0" xfId="0" applyNumberFormat="1" applyFont="1"/>
    <xf numFmtId="4" fontId="28" fillId="2" borderId="0" xfId="0" applyNumberFormat="1" applyFont="1" applyFill="1" applyBorder="1"/>
    <xf numFmtId="167" fontId="24" fillId="6" borderId="0" xfId="0" applyNumberFormat="1" applyFont="1" applyFill="1"/>
    <xf numFmtId="0" fontId="1" fillId="0" borderId="0" xfId="0" applyFont="1"/>
  </cellXfs>
  <cellStyles count="3">
    <cellStyle name="Čiark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opLeftCell="K1" workbookViewId="0">
      <selection activeCell="U11" sqref="U11"/>
    </sheetView>
  </sheetViews>
  <sheetFormatPr defaultRowHeight="15" x14ac:dyDescent="0.25"/>
  <cols>
    <col min="1" max="1" width="17.7109375" hidden="1" customWidth="1"/>
    <col min="2" max="2" width="18" bestFit="1" customWidth="1"/>
    <col min="3" max="3" width="16.5703125" bestFit="1" customWidth="1"/>
    <col min="4" max="5" width="16.5703125" customWidth="1"/>
    <col min="6" max="6" width="6.7109375" hidden="1" customWidth="1"/>
    <col min="7" max="7" width="14.85546875" bestFit="1" customWidth="1"/>
    <col min="8" max="8" width="14.85546875" customWidth="1"/>
    <col min="9" max="9" width="11.140625" bestFit="1" customWidth="1"/>
    <col min="10" max="10" width="11.140625" customWidth="1"/>
    <col min="11" max="11" width="13.85546875" bestFit="1" customWidth="1"/>
    <col min="12" max="12" width="6.7109375" bestFit="1" customWidth="1"/>
    <col min="13" max="13" width="14" bestFit="1" customWidth="1"/>
    <col min="14" max="14" width="14" customWidth="1"/>
    <col min="15" max="15" width="8.5703125" bestFit="1" customWidth="1"/>
    <col min="16" max="16" width="11.7109375" bestFit="1" customWidth="1"/>
    <col min="17" max="17" width="19.140625" bestFit="1" customWidth="1"/>
    <col min="18" max="18" width="19.140625" customWidth="1"/>
    <col min="19" max="19" width="12.42578125" bestFit="1" customWidth="1"/>
    <col min="20" max="20" width="15" bestFit="1" customWidth="1"/>
    <col min="21" max="21" width="12.140625" bestFit="1" customWidth="1"/>
  </cols>
  <sheetData>
    <row r="1" spans="1:21" x14ac:dyDescent="0.25">
      <c r="A1" s="1" t="s">
        <v>220</v>
      </c>
      <c r="B1" s="1" t="s">
        <v>160</v>
      </c>
      <c r="C1" s="1" t="s">
        <v>215</v>
      </c>
      <c r="D1" s="1"/>
      <c r="E1" s="1"/>
      <c r="I1" s="39" t="s">
        <v>8</v>
      </c>
      <c r="J1" s="39"/>
      <c r="K1" s="39"/>
    </row>
    <row r="2" spans="1:21" x14ac:dyDescent="0.25">
      <c r="A2" s="144">
        <v>26884645.07</v>
      </c>
      <c r="B2" s="140">
        <f>A2-A4</f>
        <v>18658146.296399999</v>
      </c>
      <c r="C2" s="37">
        <f>B2*0.6</f>
        <v>11194887.77784</v>
      </c>
      <c r="D2" s="37"/>
      <c r="E2" s="37"/>
      <c r="F2" s="37"/>
      <c r="G2" s="37"/>
      <c r="H2" s="37"/>
      <c r="I2" s="140">
        <f>C2*0.1</f>
        <v>1119488.7777839999</v>
      </c>
      <c r="J2" s="140"/>
      <c r="K2" s="140"/>
    </row>
    <row r="3" spans="1:21" x14ac:dyDescent="0.25">
      <c r="A3" s="1" t="s">
        <v>219</v>
      </c>
      <c r="B3" s="1" t="s">
        <v>214</v>
      </c>
    </row>
    <row r="4" spans="1:21" x14ac:dyDescent="0.25">
      <c r="A4" s="144">
        <v>8226498.7736</v>
      </c>
      <c r="B4" s="140">
        <f>B2-I2</f>
        <v>17538657.518615998</v>
      </c>
    </row>
    <row r="5" spans="1:21" x14ac:dyDescent="0.25">
      <c r="A5" s="16"/>
      <c r="C5" s="1" t="s">
        <v>388</v>
      </c>
      <c r="D5" s="1" t="s">
        <v>389</v>
      </c>
      <c r="E5" s="1" t="s">
        <v>283</v>
      </c>
      <c r="F5" s="1" t="s">
        <v>153</v>
      </c>
      <c r="G5" s="1" t="s">
        <v>390</v>
      </c>
      <c r="H5" s="1" t="s">
        <v>393</v>
      </c>
      <c r="I5" s="1" t="s">
        <v>391</v>
      </c>
      <c r="J5" s="1" t="s">
        <v>367</v>
      </c>
      <c r="K5" s="1" t="s">
        <v>282</v>
      </c>
      <c r="L5" s="1" t="s">
        <v>153</v>
      </c>
      <c r="M5" s="1" t="s">
        <v>284</v>
      </c>
      <c r="N5" s="1" t="s">
        <v>392</v>
      </c>
      <c r="P5" s="1" t="s">
        <v>217</v>
      </c>
      <c r="Q5" s="1" t="s">
        <v>285</v>
      </c>
      <c r="R5" s="1" t="s">
        <v>394</v>
      </c>
      <c r="S5" s="1" t="s">
        <v>216</v>
      </c>
      <c r="T5" s="1" t="s">
        <v>286</v>
      </c>
      <c r="U5" s="1" t="s">
        <v>395</v>
      </c>
    </row>
    <row r="6" spans="1:21" x14ac:dyDescent="0.25">
      <c r="A6" s="138"/>
      <c r="B6" s="143" t="s">
        <v>200</v>
      </c>
      <c r="C6" s="34">
        <v>28658</v>
      </c>
      <c r="D6" s="34">
        <v>29370</v>
      </c>
      <c r="E6" s="34">
        <v>28765</v>
      </c>
      <c r="F6" s="36">
        <f t="shared" ref="F6:F11" si="0">C6/C$12</f>
        <v>0.36897128878588903</v>
      </c>
      <c r="G6" s="36">
        <f t="shared" ref="G6:G11" si="1">E6/E$12</f>
        <v>0.36682096994274199</v>
      </c>
      <c r="H6" s="36">
        <f>D6/D$12</f>
        <v>0.31360447609793601</v>
      </c>
      <c r="I6" s="34">
        <v>5347944</v>
      </c>
      <c r="J6" s="34">
        <v>6025106</v>
      </c>
      <c r="K6" s="34">
        <v>5530171</v>
      </c>
      <c r="L6" s="36">
        <f t="shared" ref="L6:L11" si="2">I6/I$12</f>
        <v>0.26606922190654225</v>
      </c>
      <c r="M6" s="36">
        <f t="shared" ref="M6:M11" si="3">K6/K$12</f>
        <v>0.28494306415925896</v>
      </c>
      <c r="N6" s="36">
        <f t="shared" ref="N6:N11" si="4">J6/J$12</f>
        <v>0.31686323849989434</v>
      </c>
      <c r="O6" s="143" t="s">
        <v>200</v>
      </c>
      <c r="P6" s="207">
        <f>(0.6*F6)+(0.4*L6)</f>
        <v>0.32781046203415032</v>
      </c>
      <c r="Q6" s="207">
        <f>(0.6*G6)+(0.4*M6)</f>
        <v>0.33406980762934879</v>
      </c>
      <c r="R6" s="207">
        <f>(0.6*H6)+(0.4*N6)</f>
        <v>0.31490798105871931</v>
      </c>
      <c r="S6" s="68">
        <f t="shared" ref="S6:S11" si="5">P6*B$4</f>
        <v>5749355.4246362345</v>
      </c>
      <c r="T6" s="37">
        <f t="shared" ref="T6:T11" si="6">Q6*B$4</f>
        <v>5859135.9433210781</v>
      </c>
      <c r="U6" s="37">
        <f t="shared" ref="U6:U11" si="7">R6*B$4</f>
        <v>5523063.2296676915</v>
      </c>
    </row>
    <row r="7" spans="1:21" x14ac:dyDescent="0.25">
      <c r="A7" s="138"/>
      <c r="B7" s="143" t="s">
        <v>201</v>
      </c>
      <c r="C7" s="34">
        <v>19736</v>
      </c>
      <c r="D7" s="34">
        <v>27221</v>
      </c>
      <c r="E7" s="34">
        <v>20474</v>
      </c>
      <c r="F7" s="36">
        <f t="shared" si="0"/>
        <v>0.25410068237414701</v>
      </c>
      <c r="G7" s="36">
        <f t="shared" si="1"/>
        <v>0.26109134498896924</v>
      </c>
      <c r="H7" s="36">
        <f t="shared" ref="H7:H11" si="8">D7/D$12</f>
        <v>0.29065806754722218</v>
      </c>
      <c r="I7" s="34">
        <v>7006819</v>
      </c>
      <c r="J7" s="34">
        <v>5625731</v>
      </c>
      <c r="K7" s="34">
        <v>6652560</v>
      </c>
      <c r="L7" s="36">
        <f t="shared" si="2"/>
        <v>0.34860104731275732</v>
      </c>
      <c r="M7" s="36">
        <f t="shared" si="3"/>
        <v>0.34277436102849623</v>
      </c>
      <c r="N7" s="36">
        <f t="shared" si="4"/>
        <v>0.29585991409765222</v>
      </c>
      <c r="O7" s="143" t="s">
        <v>201</v>
      </c>
      <c r="P7" s="207">
        <f t="shared" ref="P7:Q11" si="9">(0.6*F7)+(0.4*L7)</f>
        <v>0.29190082834959113</v>
      </c>
      <c r="Q7" s="207">
        <f t="shared" si="9"/>
        <v>0.29376455140478008</v>
      </c>
      <c r="R7" s="207">
        <f t="shared" ref="R7:R11" si="10">(0.6*H7)+(0.4*N7)</f>
        <v>0.29273880616739417</v>
      </c>
      <c r="S7" s="68">
        <f t="shared" si="5"/>
        <v>5119548.6578237945</v>
      </c>
      <c r="T7" s="37">
        <f t="shared" si="6"/>
        <v>5152235.8581983019</v>
      </c>
      <c r="U7" s="37">
        <f t="shared" si="7"/>
        <v>5134245.6637784392</v>
      </c>
    </row>
    <row r="8" spans="1:21" x14ac:dyDescent="0.25">
      <c r="A8" s="138"/>
      <c r="B8" s="143" t="s">
        <v>202</v>
      </c>
      <c r="C8" s="34">
        <v>14214</v>
      </c>
      <c r="D8" s="34">
        <v>16882</v>
      </c>
      <c r="E8" s="34">
        <v>14086</v>
      </c>
      <c r="F8" s="36">
        <f t="shared" si="0"/>
        <v>0.18300502124372345</v>
      </c>
      <c r="G8" s="36">
        <f t="shared" si="1"/>
        <v>0.17962941709068186</v>
      </c>
      <c r="H8" s="36">
        <f t="shared" si="8"/>
        <v>0.18026117689769683</v>
      </c>
      <c r="I8" s="34">
        <v>970457</v>
      </c>
      <c r="J8" s="34">
        <v>1595531</v>
      </c>
      <c r="K8" s="34">
        <v>980457</v>
      </c>
      <c r="L8" s="36">
        <f t="shared" si="2"/>
        <v>4.8281870356861864E-2</v>
      </c>
      <c r="M8" s="36">
        <f t="shared" si="3"/>
        <v>5.0518224817350958E-2</v>
      </c>
      <c r="N8" s="36">
        <f t="shared" si="4"/>
        <v>8.3909746946688554E-2</v>
      </c>
      <c r="O8" s="143" t="s">
        <v>202</v>
      </c>
      <c r="P8" s="207">
        <f t="shared" si="9"/>
        <v>0.1291157608889788</v>
      </c>
      <c r="Q8" s="207">
        <f t="shared" si="9"/>
        <v>0.12798494018134951</v>
      </c>
      <c r="R8" s="207">
        <f t="shared" si="10"/>
        <v>0.14172060491729352</v>
      </c>
      <c r="S8" s="68">
        <f t="shared" si="5"/>
        <v>2264517.1104873135</v>
      </c>
      <c r="T8" s="37">
        <f t="shared" si="6"/>
        <v>2244684.0333812442</v>
      </c>
      <c r="U8" s="37">
        <f t="shared" si="7"/>
        <v>2485589.1529754973</v>
      </c>
    </row>
    <row r="9" spans="1:21" x14ac:dyDescent="0.25">
      <c r="A9" s="138"/>
      <c r="B9" s="143" t="s">
        <v>203</v>
      </c>
      <c r="C9" s="34">
        <v>5908</v>
      </c>
      <c r="D9" s="34">
        <v>8667</v>
      </c>
      <c r="E9" s="34">
        <v>5956</v>
      </c>
      <c r="F9" s="36">
        <f t="shared" si="0"/>
        <v>7.6065404918243859E-2</v>
      </c>
      <c r="G9" s="36">
        <f t="shared" si="1"/>
        <v>7.5952918372291719E-2</v>
      </c>
      <c r="H9" s="36">
        <f t="shared" si="8"/>
        <v>9.2543751935335761E-2</v>
      </c>
      <c r="I9" s="34">
        <v>352408</v>
      </c>
      <c r="J9" s="34">
        <v>605541</v>
      </c>
      <c r="K9" s="34">
        <v>214129</v>
      </c>
      <c r="L9" s="36">
        <f t="shared" si="2"/>
        <v>1.7532891584811049E-2</v>
      </c>
      <c r="M9" s="36">
        <f t="shared" si="3"/>
        <v>1.1033035576179826E-2</v>
      </c>
      <c r="N9" s="36">
        <f t="shared" si="4"/>
        <v>3.1845694051600835E-2</v>
      </c>
      <c r="O9" s="143" t="s">
        <v>203</v>
      </c>
      <c r="P9" s="207">
        <f t="shared" si="9"/>
        <v>5.2652399584870731E-2</v>
      </c>
      <c r="Q9" s="207">
        <f t="shared" si="9"/>
        <v>4.9984965253846964E-2</v>
      </c>
      <c r="R9" s="207">
        <f t="shared" si="10"/>
        <v>6.8264528781841791E-2</v>
      </c>
      <c r="S9" s="68">
        <f t="shared" si="5"/>
        <v>923452.40385236696</v>
      </c>
      <c r="T9" s="37">
        <f t="shared" si="6"/>
        <v>876669.18666714244</v>
      </c>
      <c r="U9" s="37">
        <f t="shared" si="7"/>
        <v>1197268.1909744279</v>
      </c>
    </row>
    <row r="10" spans="1:21" x14ac:dyDescent="0.25">
      <c r="A10" s="138"/>
      <c r="B10" s="143" t="s">
        <v>204</v>
      </c>
      <c r="C10" s="34">
        <v>7871</v>
      </c>
      <c r="D10" s="34">
        <v>10201</v>
      </c>
      <c r="E10" s="34">
        <v>7861</v>
      </c>
      <c r="F10" s="36">
        <f t="shared" si="0"/>
        <v>0.10133899832625209</v>
      </c>
      <c r="G10" s="36">
        <f t="shared" si="1"/>
        <v>0.1002461201015086</v>
      </c>
      <c r="H10" s="36">
        <f t="shared" si="8"/>
        <v>0.10892336604273221</v>
      </c>
      <c r="I10" s="34">
        <v>5635669</v>
      </c>
      <c r="J10" s="34">
        <v>4748607</v>
      </c>
      <c r="K10" s="34">
        <v>5232366</v>
      </c>
      <c r="L10" s="36">
        <f t="shared" si="2"/>
        <v>0.28038402529136824</v>
      </c>
      <c r="M10" s="36">
        <f t="shared" si="3"/>
        <v>0.26959860750105652</v>
      </c>
      <c r="N10" s="36">
        <f t="shared" si="4"/>
        <v>0.24973153872865766</v>
      </c>
      <c r="O10" s="143" t="s">
        <v>204</v>
      </c>
      <c r="P10" s="207">
        <f t="shared" si="9"/>
        <v>0.17295700911229855</v>
      </c>
      <c r="Q10" s="207">
        <f t="shared" si="9"/>
        <v>0.16798711506132777</v>
      </c>
      <c r="R10" s="207">
        <f t="shared" si="10"/>
        <v>0.16524663511710241</v>
      </c>
      <c r="S10" s="68">
        <f t="shared" si="5"/>
        <v>3033433.7482647509</v>
      </c>
      <c r="T10" s="37">
        <f t="shared" si="6"/>
        <v>2946268.4786009672</v>
      </c>
      <c r="U10" s="37">
        <f t="shared" si="7"/>
        <v>2898204.1394225629</v>
      </c>
    </row>
    <row r="11" spans="1:21" x14ac:dyDescent="0.25">
      <c r="A11" s="138"/>
      <c r="B11" s="143" t="s">
        <v>205</v>
      </c>
      <c r="C11" s="34">
        <v>1283</v>
      </c>
      <c r="D11" s="34">
        <v>1312</v>
      </c>
      <c r="E11" s="34">
        <v>1275</v>
      </c>
      <c r="F11" s="36">
        <f t="shared" si="0"/>
        <v>1.651860435174456E-2</v>
      </c>
      <c r="G11" s="36">
        <f t="shared" si="1"/>
        <v>1.6259229503806573E-2</v>
      </c>
      <c r="H11" s="36">
        <f t="shared" si="8"/>
        <v>1.4009161479077019E-2</v>
      </c>
      <c r="I11" s="34">
        <v>786525</v>
      </c>
      <c r="J11" s="34">
        <v>414331</v>
      </c>
      <c r="K11" s="34">
        <v>798303</v>
      </c>
      <c r="L11" s="36">
        <f t="shared" si="2"/>
        <v>3.913094354765928E-2</v>
      </c>
      <c r="M11" s="36">
        <f t="shared" si="3"/>
        <v>4.1132706917657504E-2</v>
      </c>
      <c r="N11" s="36">
        <f t="shared" si="4"/>
        <v>2.1789867675506409E-2</v>
      </c>
      <c r="O11" s="143" t="s">
        <v>205</v>
      </c>
      <c r="P11" s="207">
        <f t="shared" si="9"/>
        <v>2.5563540030110448E-2</v>
      </c>
      <c r="Q11" s="207">
        <f t="shared" si="9"/>
        <v>2.6208620469346945E-2</v>
      </c>
      <c r="R11" s="207">
        <f t="shared" si="10"/>
        <v>1.7121443957648773E-2</v>
      </c>
      <c r="S11" s="68">
        <f t="shared" si="5"/>
        <v>448350.17355153768</v>
      </c>
      <c r="T11" s="37">
        <f t="shared" si="6"/>
        <v>459664.01844726497</v>
      </c>
      <c r="U11" s="37">
        <f t="shared" si="7"/>
        <v>300287.14179737912</v>
      </c>
    </row>
    <row r="12" spans="1:21" x14ac:dyDescent="0.25">
      <c r="A12" s="16"/>
      <c r="C12" s="55">
        <f t="shared" ref="C12:M12" si="11">SUM(C6:C11)</f>
        <v>77670</v>
      </c>
      <c r="D12" s="55">
        <f>SUM(D6:D11)</f>
        <v>93653</v>
      </c>
      <c r="E12" s="55">
        <f t="shared" si="11"/>
        <v>78417</v>
      </c>
      <c r="F12" s="36">
        <f t="shared" si="11"/>
        <v>1</v>
      </c>
      <c r="G12" s="270">
        <f t="shared" si="11"/>
        <v>0.99999999999999978</v>
      </c>
      <c r="H12" s="270">
        <f>SUM(H6:H11)</f>
        <v>1</v>
      </c>
      <c r="I12" s="34">
        <f t="shared" si="11"/>
        <v>20099822</v>
      </c>
      <c r="J12" s="34">
        <f>SUM(J6:J11)</f>
        <v>19014847</v>
      </c>
      <c r="K12" s="55">
        <f t="shared" si="11"/>
        <v>19407986</v>
      </c>
      <c r="L12" s="36">
        <f t="shared" si="11"/>
        <v>1</v>
      </c>
      <c r="M12" s="36">
        <f t="shared" si="11"/>
        <v>1</v>
      </c>
      <c r="N12" s="270">
        <f>SUM(N6:N11)</f>
        <v>1</v>
      </c>
      <c r="P12" s="26">
        <f t="shared" ref="P12:U12" si="12">SUM(P6:P11)</f>
        <v>1</v>
      </c>
      <c r="Q12" s="26">
        <f t="shared" si="12"/>
        <v>1.0000000000000002</v>
      </c>
      <c r="R12" s="26">
        <f t="shared" si="12"/>
        <v>1</v>
      </c>
      <c r="S12" s="140">
        <f t="shared" si="12"/>
        <v>17538657.518615998</v>
      </c>
      <c r="T12" s="140">
        <f t="shared" si="12"/>
        <v>17538657.518615998</v>
      </c>
      <c r="U12" s="140">
        <f t="shared" si="12"/>
        <v>17538657.518615998</v>
      </c>
    </row>
    <row r="13" spans="1:21" x14ac:dyDescent="0.25">
      <c r="B13" s="143"/>
      <c r="C13" s="55" t="s">
        <v>250</v>
      </c>
      <c r="D13" s="55"/>
      <c r="E13" s="55"/>
      <c r="F13" s="36"/>
      <c r="G13" s="36"/>
      <c r="H13" s="36"/>
      <c r="I13" s="34"/>
      <c r="J13" s="34"/>
      <c r="K13" s="34"/>
      <c r="L13" s="36"/>
      <c r="M13" s="36"/>
      <c r="N13" s="36"/>
      <c r="O13" s="143"/>
      <c r="P13" s="26"/>
      <c r="Q13" s="48"/>
      <c r="R13" s="48"/>
      <c r="S13" s="69"/>
    </row>
    <row r="14" spans="1:21" x14ac:dyDescent="0.25">
      <c r="B14" s="159" t="s">
        <v>249</v>
      </c>
      <c r="C14" s="34">
        <v>4831</v>
      </c>
      <c r="D14" s="34">
        <v>4126</v>
      </c>
      <c r="E14" s="34"/>
      <c r="F14" s="36">
        <f>C14/C16</f>
        <v>0.70136469221835074</v>
      </c>
      <c r="G14" s="36"/>
      <c r="H14" s="36"/>
      <c r="I14" s="34"/>
      <c r="J14" s="34"/>
      <c r="K14" s="34"/>
      <c r="L14" s="36"/>
      <c r="M14" s="36"/>
      <c r="N14" s="36"/>
      <c r="O14" s="143"/>
      <c r="P14" s="23">
        <v>0.70136469221835074</v>
      </c>
      <c r="Q14" s="180"/>
      <c r="R14" s="180"/>
      <c r="S14" s="68">
        <f>P14*I2</f>
        <v>785169.90207237273</v>
      </c>
    </row>
    <row r="15" spans="1:21" x14ac:dyDescent="0.25">
      <c r="B15" s="159" t="s">
        <v>248</v>
      </c>
      <c r="C15" s="34">
        <v>2057</v>
      </c>
      <c r="D15" s="34">
        <v>2002</v>
      </c>
      <c r="E15" s="34"/>
      <c r="F15" s="36">
        <f>C15/C16</f>
        <v>0.29863530778164926</v>
      </c>
      <c r="G15" s="36"/>
      <c r="H15" s="36"/>
      <c r="I15" s="34"/>
      <c r="J15" s="34"/>
      <c r="K15" s="34"/>
      <c r="L15" s="36"/>
      <c r="M15" s="36"/>
      <c r="N15" s="36"/>
      <c r="O15" s="143"/>
      <c r="P15" s="23">
        <v>0.29863530778164926</v>
      </c>
      <c r="Q15" s="180"/>
      <c r="R15" s="180"/>
      <c r="S15" s="68">
        <f>P15*I2</f>
        <v>334318.87571162719</v>
      </c>
    </row>
    <row r="16" spans="1:21" x14ac:dyDescent="0.25">
      <c r="C16" s="34">
        <f>SUM(C14:C15)</f>
        <v>6888</v>
      </c>
      <c r="D16" s="34">
        <f>SUM(D14:D15)</f>
        <v>6128</v>
      </c>
      <c r="E16" s="3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abSelected="1" workbookViewId="0">
      <pane ySplit="1" topLeftCell="A2" activePane="bottomLeft" state="frozen"/>
      <selection pane="bottomLeft" activeCell="E19" sqref="E19"/>
    </sheetView>
  </sheetViews>
  <sheetFormatPr defaultRowHeight="15" x14ac:dyDescent="0.25"/>
  <cols>
    <col min="1" max="1" width="29.5703125" customWidth="1"/>
    <col min="2" max="2" width="27.5703125" bestFit="1" customWidth="1"/>
    <col min="4" max="4" width="10" bestFit="1" customWidth="1"/>
    <col min="5" max="5" width="13.85546875" bestFit="1" customWidth="1"/>
    <col min="6" max="6" width="9.7109375" bestFit="1" customWidth="1"/>
    <col min="7" max="7" width="11.42578125" bestFit="1" customWidth="1"/>
    <col min="8" max="8" width="11.140625" bestFit="1" customWidth="1"/>
    <col min="9" max="9" width="12" bestFit="1" customWidth="1"/>
    <col min="10" max="10" width="11.140625" bestFit="1" customWidth="1"/>
    <col min="11" max="11" width="10" bestFit="1" customWidth="1"/>
    <col min="12" max="12" width="10.7109375" bestFit="1" customWidth="1"/>
    <col min="13" max="13" width="24.85546875" bestFit="1" customWidth="1"/>
    <col min="20" max="20" width="27.5703125" bestFit="1" customWidth="1"/>
  </cols>
  <sheetData>
    <row r="1" spans="1:35" x14ac:dyDescent="0.25">
      <c r="A1" s="1"/>
      <c r="B1" s="79"/>
      <c r="C1" s="79"/>
      <c r="D1" s="79"/>
      <c r="E1" s="138"/>
      <c r="F1" s="138"/>
      <c r="G1" s="138"/>
      <c r="H1" s="1" t="s">
        <v>155</v>
      </c>
      <c r="I1" s="16"/>
      <c r="J1" s="62"/>
      <c r="K1" s="62"/>
      <c r="L1" s="62"/>
      <c r="M1" s="81"/>
    </row>
    <row r="2" spans="1:35" ht="15.75" thickBot="1" x14ac:dyDescent="0.3">
      <c r="E2" s="16"/>
      <c r="G2" s="37"/>
      <c r="H2" s="140">
        <v>1119488.7779999999</v>
      </c>
      <c r="I2" s="26"/>
      <c r="J2" s="16"/>
      <c r="K2" s="16"/>
      <c r="L2" s="16"/>
      <c r="M2" s="16"/>
    </row>
    <row r="3" spans="1:35" ht="15.75" thickBot="1" x14ac:dyDescent="0.3">
      <c r="A3" s="174" t="s">
        <v>253</v>
      </c>
      <c r="B3" s="257"/>
      <c r="C3" s="176" t="s">
        <v>255</v>
      </c>
      <c r="D3" s="176" t="s">
        <v>342</v>
      </c>
      <c r="E3" s="175" t="s">
        <v>256</v>
      </c>
      <c r="F3" s="179" t="s">
        <v>257</v>
      </c>
      <c r="G3" s="179" t="s">
        <v>258</v>
      </c>
      <c r="H3" s="181"/>
      <c r="M3" s="175" t="s">
        <v>253</v>
      </c>
      <c r="N3" s="146">
        <v>2021</v>
      </c>
      <c r="O3" s="1"/>
      <c r="P3" s="1"/>
      <c r="Q3" s="1"/>
      <c r="R3" s="1"/>
      <c r="S3" s="1">
        <v>2020</v>
      </c>
      <c r="T3" s="175" t="s">
        <v>253</v>
      </c>
      <c r="U3" s="1"/>
      <c r="V3" s="1"/>
      <c r="W3" s="1"/>
      <c r="X3" s="1"/>
      <c r="Z3" s="1" t="s">
        <v>380</v>
      </c>
      <c r="AA3" s="1"/>
      <c r="AB3" s="1"/>
      <c r="AC3" s="1"/>
    </row>
    <row r="4" spans="1:35" ht="15.75" thickBot="1" x14ac:dyDescent="0.3">
      <c r="A4" s="166" t="s">
        <v>208</v>
      </c>
      <c r="B4" s="191"/>
      <c r="C4" s="171">
        <v>14</v>
      </c>
      <c r="D4" s="251">
        <v>13</v>
      </c>
      <c r="E4">
        <v>87</v>
      </c>
      <c r="F4" s="16">
        <f>C4-E4</f>
        <v>-73</v>
      </c>
      <c r="G4" s="26">
        <f>(F4-F$10)/F$11</f>
        <v>-0.64758333663600987</v>
      </c>
      <c r="L4" t="s">
        <v>259</v>
      </c>
      <c r="AE4" t="s">
        <v>260</v>
      </c>
      <c r="AI4" t="s">
        <v>261</v>
      </c>
    </row>
    <row r="5" spans="1:35" ht="15.75" thickBot="1" x14ac:dyDescent="0.3">
      <c r="A5" s="166" t="s">
        <v>207</v>
      </c>
      <c r="B5" s="169"/>
      <c r="C5" s="172">
        <v>360</v>
      </c>
      <c r="D5" s="251">
        <v>29</v>
      </c>
      <c r="E5">
        <v>194</v>
      </c>
      <c r="F5" s="16">
        <f t="shared" ref="F5:F9" si="0">C5-E5</f>
        <v>166</v>
      </c>
      <c r="G5" s="26">
        <f t="shared" ref="G5:G9" si="1">(F5-F$10)/F$11</f>
        <v>0.38999711558302708</v>
      </c>
      <c r="L5" s="182" t="s">
        <v>262</v>
      </c>
      <c r="M5" s="183"/>
      <c r="N5" s="186" t="s">
        <v>263</v>
      </c>
      <c r="O5" s="186" t="s">
        <v>264</v>
      </c>
      <c r="P5" s="186" t="s">
        <v>265</v>
      </c>
      <c r="Q5" s="187" t="s">
        <v>266</v>
      </c>
      <c r="S5" s="182" t="s">
        <v>262</v>
      </c>
      <c r="T5" s="183"/>
      <c r="U5" s="184" t="s">
        <v>263</v>
      </c>
      <c r="V5" s="184" t="s">
        <v>264</v>
      </c>
      <c r="W5" s="184" t="s">
        <v>265</v>
      </c>
      <c r="X5" s="185" t="s">
        <v>266</v>
      </c>
      <c r="Z5" s="262" t="s">
        <v>263</v>
      </c>
      <c r="AA5" s="186" t="s">
        <v>264</v>
      </c>
      <c r="AB5" s="186" t="s">
        <v>265</v>
      </c>
      <c r="AC5" s="187" t="s">
        <v>266</v>
      </c>
      <c r="AE5" s="188" t="s">
        <v>263</v>
      </c>
      <c r="AF5" s="184" t="s">
        <v>264</v>
      </c>
      <c r="AG5" s="184" t="s">
        <v>265</v>
      </c>
      <c r="AH5" s="189" t="s">
        <v>266</v>
      </c>
      <c r="AI5" s="190" t="s">
        <v>267</v>
      </c>
    </row>
    <row r="6" spans="1:35" x14ac:dyDescent="0.25">
      <c r="A6" s="166" t="s">
        <v>213</v>
      </c>
      <c r="B6" s="169"/>
      <c r="C6" s="172">
        <v>250</v>
      </c>
      <c r="D6" s="251">
        <v>28</v>
      </c>
      <c r="E6">
        <v>188</v>
      </c>
      <c r="F6" s="16">
        <f t="shared" si="0"/>
        <v>62</v>
      </c>
      <c r="G6" s="26">
        <f t="shared" si="1"/>
        <v>-6.1502328060403184E-2</v>
      </c>
      <c r="L6" s="258" t="s">
        <v>374</v>
      </c>
      <c r="M6" s="194"/>
      <c r="N6" s="192">
        <v>0</v>
      </c>
      <c r="O6" s="193">
        <v>0</v>
      </c>
      <c r="P6" s="193">
        <v>0</v>
      </c>
      <c r="Q6" s="168">
        <v>0</v>
      </c>
      <c r="S6" s="258" t="s">
        <v>374</v>
      </c>
      <c r="T6" s="161"/>
      <c r="U6" s="161">
        <v>0</v>
      </c>
      <c r="V6" s="161">
        <v>2</v>
      </c>
      <c r="W6" s="161">
        <v>0</v>
      </c>
      <c r="X6" s="191">
        <v>0</v>
      </c>
      <c r="Z6" s="192">
        <v>0</v>
      </c>
      <c r="AA6" s="193">
        <v>2</v>
      </c>
      <c r="AB6" s="193">
        <v>0</v>
      </c>
      <c r="AC6" s="168">
        <v>0</v>
      </c>
      <c r="AE6" s="160">
        <v>0</v>
      </c>
      <c r="AF6" s="161">
        <v>14</v>
      </c>
      <c r="AG6" s="161">
        <v>0</v>
      </c>
      <c r="AH6" s="194">
        <v>0</v>
      </c>
      <c r="AI6" s="171">
        <v>14</v>
      </c>
    </row>
    <row r="7" spans="1:35" x14ac:dyDescent="0.25">
      <c r="A7" s="166" t="s">
        <v>211</v>
      </c>
      <c r="B7" s="169"/>
      <c r="C7" s="172">
        <v>65</v>
      </c>
      <c r="D7" s="251">
        <v>12</v>
      </c>
      <c r="E7">
        <v>81</v>
      </c>
      <c r="F7" s="16">
        <f t="shared" si="0"/>
        <v>-16</v>
      </c>
      <c r="G7" s="26">
        <f t="shared" si="1"/>
        <v>-0.40012691079297585</v>
      </c>
      <c r="L7" s="259" t="s">
        <v>375</v>
      </c>
      <c r="M7" s="197"/>
      <c r="N7" s="162">
        <v>0</v>
      </c>
      <c r="O7" s="163">
        <v>1</v>
      </c>
      <c r="P7" s="163">
        <v>6</v>
      </c>
      <c r="Q7" s="169">
        <v>14</v>
      </c>
      <c r="S7" s="259" t="s">
        <v>375</v>
      </c>
      <c r="T7" s="163"/>
      <c r="U7" s="163">
        <v>0</v>
      </c>
      <c r="V7" s="163">
        <v>2</v>
      </c>
      <c r="W7" s="163">
        <v>6</v>
      </c>
      <c r="X7" s="169">
        <v>13</v>
      </c>
      <c r="Z7" s="162">
        <v>0</v>
      </c>
      <c r="AA7" s="163">
        <v>3</v>
      </c>
      <c r="AB7" s="163">
        <v>12</v>
      </c>
      <c r="AC7" s="169">
        <v>27</v>
      </c>
      <c r="AE7" s="162">
        <v>0</v>
      </c>
      <c r="AF7" s="163">
        <v>22</v>
      </c>
      <c r="AG7" s="163">
        <v>144</v>
      </c>
      <c r="AH7" s="197">
        <v>194</v>
      </c>
      <c r="AI7" s="172">
        <v>360</v>
      </c>
    </row>
    <row r="8" spans="1:35" x14ac:dyDescent="0.25">
      <c r="A8" s="166" t="s">
        <v>212</v>
      </c>
      <c r="B8" s="169"/>
      <c r="C8" s="172">
        <v>1265</v>
      </c>
      <c r="D8" s="251">
        <v>116</v>
      </c>
      <c r="E8">
        <v>780</v>
      </c>
      <c r="F8" s="16">
        <f t="shared" si="0"/>
        <v>485</v>
      </c>
      <c r="G8" s="25">
        <f t="shared" si="1"/>
        <v>1.7748848321431641</v>
      </c>
      <c r="H8" s="140">
        <f>D11</f>
        <v>365733.76853067882</v>
      </c>
      <c r="L8" s="259" t="s">
        <v>376</v>
      </c>
      <c r="M8" s="197"/>
      <c r="N8" s="162">
        <v>0</v>
      </c>
      <c r="O8" s="163">
        <v>6</v>
      </c>
      <c r="P8" s="163">
        <v>2</v>
      </c>
      <c r="Q8" s="169">
        <v>4</v>
      </c>
      <c r="S8" s="259" t="s">
        <v>376</v>
      </c>
      <c r="T8" s="163"/>
      <c r="U8" s="163">
        <v>2</v>
      </c>
      <c r="V8" s="163">
        <v>4</v>
      </c>
      <c r="W8" s="163">
        <v>0</v>
      </c>
      <c r="X8" s="169">
        <v>14</v>
      </c>
      <c r="Z8" s="162">
        <v>2</v>
      </c>
      <c r="AA8" s="163">
        <v>10</v>
      </c>
      <c r="AB8" s="163">
        <v>2</v>
      </c>
      <c r="AC8" s="169">
        <v>18</v>
      </c>
      <c r="AE8" s="162">
        <v>24</v>
      </c>
      <c r="AF8" s="163">
        <v>72</v>
      </c>
      <c r="AG8" s="163">
        <v>24</v>
      </c>
      <c r="AH8" s="197">
        <v>130</v>
      </c>
      <c r="AI8" s="172">
        <v>250</v>
      </c>
    </row>
    <row r="9" spans="1:35" ht="15.75" thickBot="1" x14ac:dyDescent="0.3">
      <c r="A9" s="167" t="s">
        <v>125</v>
      </c>
      <c r="B9" s="170"/>
      <c r="C9" s="173">
        <v>48</v>
      </c>
      <c r="D9" s="252">
        <v>32</v>
      </c>
      <c r="E9">
        <v>215</v>
      </c>
      <c r="F9" s="16">
        <f t="shared" si="0"/>
        <v>-167</v>
      </c>
      <c r="G9" s="26">
        <f t="shared" si="1"/>
        <v>-1.0556693722368027</v>
      </c>
      <c r="L9" s="259" t="s">
        <v>377</v>
      </c>
      <c r="M9" s="197"/>
      <c r="N9" s="162">
        <v>0</v>
      </c>
      <c r="O9" s="163">
        <v>0</v>
      </c>
      <c r="P9" s="163">
        <v>0</v>
      </c>
      <c r="Q9" s="169">
        <v>0</v>
      </c>
      <c r="S9" s="259" t="s">
        <v>377</v>
      </c>
      <c r="T9" s="163"/>
      <c r="U9" s="163">
        <v>0</v>
      </c>
      <c r="V9" s="163">
        <v>0</v>
      </c>
      <c r="W9" s="163">
        <v>0</v>
      </c>
      <c r="X9" s="169">
        <v>9</v>
      </c>
      <c r="Z9" s="162">
        <v>0</v>
      </c>
      <c r="AA9" s="163">
        <v>0</v>
      </c>
      <c r="AB9" s="163">
        <v>0</v>
      </c>
      <c r="AC9" s="169">
        <v>9</v>
      </c>
      <c r="AE9" s="162">
        <v>0</v>
      </c>
      <c r="AF9" s="163">
        <v>0</v>
      </c>
      <c r="AG9" s="163">
        <v>0</v>
      </c>
      <c r="AH9" s="197">
        <v>65</v>
      </c>
      <c r="AI9" s="172">
        <v>65</v>
      </c>
    </row>
    <row r="10" spans="1:35" x14ac:dyDescent="0.25">
      <c r="C10">
        <f>SUM(C4:C9)</f>
        <v>2002</v>
      </c>
      <c r="D10" s="237" t="s">
        <v>155</v>
      </c>
      <c r="F10" s="221">
        <f>AVERAGE(F4:F9)</f>
        <v>76.166666666666671</v>
      </c>
      <c r="G10" s="16"/>
      <c r="L10" s="259" t="s">
        <v>378</v>
      </c>
      <c r="M10" s="197"/>
      <c r="N10" s="162">
        <v>6</v>
      </c>
      <c r="O10" s="163">
        <v>28</v>
      </c>
      <c r="P10" s="163">
        <v>2</v>
      </c>
      <c r="Q10" s="169">
        <v>37</v>
      </c>
      <c r="S10" s="259" t="s">
        <v>378</v>
      </c>
      <c r="T10" s="163"/>
      <c r="U10" s="163">
        <v>1</v>
      </c>
      <c r="V10" s="163">
        <v>43</v>
      </c>
      <c r="W10" s="163">
        <v>4</v>
      </c>
      <c r="X10" s="169">
        <v>46</v>
      </c>
      <c r="Z10" s="162">
        <v>7</v>
      </c>
      <c r="AA10" s="163">
        <v>71</v>
      </c>
      <c r="AB10" s="163">
        <v>6</v>
      </c>
      <c r="AC10" s="169">
        <v>83</v>
      </c>
      <c r="AE10" s="162">
        <v>84</v>
      </c>
      <c r="AF10" s="163">
        <v>511</v>
      </c>
      <c r="AG10" s="163">
        <v>72</v>
      </c>
      <c r="AH10" s="197">
        <v>598</v>
      </c>
      <c r="AI10" s="172">
        <v>1265</v>
      </c>
    </row>
    <row r="11" spans="1:35" ht="15.75" thickBot="1" x14ac:dyDescent="0.3">
      <c r="B11" s="237" t="s">
        <v>386</v>
      </c>
      <c r="C11">
        <f>C10/C12</f>
        <v>0.3266971279373368</v>
      </c>
      <c r="D11" s="67">
        <f>C11*H2</f>
        <v>365733.76853067882</v>
      </c>
      <c r="F11" s="16">
        <f>STDEV(F4:F9)</f>
        <v>230.34358394942686</v>
      </c>
      <c r="G11" s="16"/>
      <c r="L11" s="260" t="s">
        <v>379</v>
      </c>
      <c r="M11" s="263"/>
      <c r="N11" s="164">
        <v>0</v>
      </c>
      <c r="O11" s="165">
        <v>1</v>
      </c>
      <c r="P11" s="165">
        <v>0</v>
      </c>
      <c r="Q11" s="170">
        <v>0</v>
      </c>
      <c r="S11" s="260" t="s">
        <v>379</v>
      </c>
      <c r="T11" s="165"/>
      <c r="U11" s="165">
        <v>0</v>
      </c>
      <c r="V11" s="165">
        <v>4</v>
      </c>
      <c r="W11" s="165">
        <v>1</v>
      </c>
      <c r="X11" s="170">
        <v>0</v>
      </c>
      <c r="Z11" s="164">
        <v>0</v>
      </c>
      <c r="AA11" s="165">
        <v>5</v>
      </c>
      <c r="AB11" s="165">
        <v>1</v>
      </c>
      <c r="AC11" s="170">
        <v>0</v>
      </c>
      <c r="AE11" s="164">
        <v>0</v>
      </c>
      <c r="AF11" s="165">
        <v>36</v>
      </c>
      <c r="AG11" s="165">
        <v>12</v>
      </c>
      <c r="AH11" s="263">
        <v>0</v>
      </c>
      <c r="AI11" s="173">
        <v>48</v>
      </c>
    </row>
    <row r="12" spans="1:35" x14ac:dyDescent="0.25">
      <c r="B12" s="237" t="s">
        <v>385</v>
      </c>
      <c r="C12">
        <f>C10+C22</f>
        <v>6128</v>
      </c>
      <c r="F12" s="221"/>
      <c r="G12" s="16"/>
      <c r="L12" s="71"/>
      <c r="M12" s="71"/>
      <c r="N12" s="71"/>
      <c r="O12" s="71"/>
      <c r="P12" s="71"/>
      <c r="Q12" s="71"/>
      <c r="S12" s="91"/>
      <c r="T12" s="71"/>
      <c r="U12" s="261"/>
      <c r="V12" s="261"/>
      <c r="W12" s="261"/>
      <c r="X12" s="261"/>
      <c r="Z12" s="71"/>
      <c r="AA12" s="71"/>
      <c r="AB12" s="71"/>
      <c r="AC12" s="71"/>
      <c r="AE12" s="71"/>
      <c r="AF12" s="71"/>
      <c r="AG12" s="71"/>
      <c r="AH12" s="71"/>
      <c r="AI12" s="253"/>
    </row>
    <row r="13" spans="1:35" x14ac:dyDescent="0.25">
      <c r="B13" s="253"/>
      <c r="C13" s="254"/>
      <c r="D13" s="92"/>
      <c r="F13" s="221"/>
      <c r="G13" s="16"/>
      <c r="H13" s="70"/>
      <c r="L13" s="91"/>
      <c r="M13" s="71"/>
      <c r="N13" s="71"/>
      <c r="O13" s="71"/>
      <c r="P13" s="71"/>
      <c r="Q13" s="71"/>
      <c r="S13" s="91"/>
      <c r="T13" s="71"/>
      <c r="U13" s="261"/>
      <c r="V13" s="261"/>
      <c r="W13" s="261"/>
      <c r="X13" s="261"/>
      <c r="Z13" s="71"/>
      <c r="AA13" s="71"/>
      <c r="AB13" s="71"/>
      <c r="AC13" s="71"/>
      <c r="AE13" s="71"/>
      <c r="AF13" s="71"/>
      <c r="AG13" s="71"/>
      <c r="AH13" s="71"/>
      <c r="AI13" s="253"/>
    </row>
    <row r="14" spans="1:35" x14ac:dyDescent="0.25">
      <c r="B14" s="253"/>
      <c r="C14" s="254"/>
      <c r="D14" s="92"/>
      <c r="F14" s="221"/>
      <c r="G14" s="16"/>
      <c r="L14" s="91"/>
      <c r="M14" s="71"/>
      <c r="N14" s="71"/>
      <c r="O14" s="71"/>
      <c r="P14" s="71"/>
      <c r="Q14" s="71"/>
      <c r="S14" s="91"/>
      <c r="T14" s="71"/>
      <c r="U14" s="261"/>
      <c r="V14" s="261"/>
      <c r="W14" s="261"/>
      <c r="X14" s="261"/>
      <c r="Z14" s="71"/>
      <c r="AA14" s="71"/>
      <c r="AB14" s="71"/>
      <c r="AC14" s="71"/>
      <c r="AE14" s="71"/>
      <c r="AF14" s="71"/>
      <c r="AG14" s="71"/>
      <c r="AH14" s="71"/>
      <c r="AI14" s="253"/>
    </row>
    <row r="15" spans="1:35" ht="15.75" thickBot="1" x14ac:dyDescent="0.3">
      <c r="L15" s="71"/>
      <c r="M15" s="71"/>
      <c r="N15" s="71"/>
      <c r="O15" s="71"/>
      <c r="P15" s="71"/>
      <c r="Q15" s="71"/>
      <c r="S15" s="91"/>
      <c r="T15" s="71"/>
      <c r="U15" s="261"/>
      <c r="V15" s="261"/>
      <c r="W15" s="261"/>
      <c r="X15" s="261"/>
      <c r="Z15" s="71"/>
      <c r="AA15" s="71"/>
      <c r="AB15" s="71"/>
      <c r="AC15" s="71"/>
      <c r="AE15" s="71"/>
      <c r="AF15" s="71"/>
      <c r="AG15" s="71"/>
      <c r="AH15" s="71"/>
      <c r="AI15" s="253"/>
    </row>
    <row r="16" spans="1:35" ht="15.75" thickBot="1" x14ac:dyDescent="0.3">
      <c r="A16" s="174" t="s">
        <v>254</v>
      </c>
      <c r="B16" s="256"/>
      <c r="C16" s="176" t="s">
        <v>255</v>
      </c>
      <c r="D16" s="176" t="s">
        <v>342</v>
      </c>
      <c r="E16" s="175" t="s">
        <v>256</v>
      </c>
      <c r="F16" s="179" t="s">
        <v>257</v>
      </c>
      <c r="G16" s="179" t="s">
        <v>258</v>
      </c>
      <c r="H16" s="179"/>
      <c r="I16" s="179"/>
      <c r="J16" s="69"/>
      <c r="M16" s="175" t="s">
        <v>254</v>
      </c>
      <c r="N16" s="1">
        <v>2021</v>
      </c>
      <c r="O16" s="1"/>
      <c r="P16" s="1"/>
      <c r="Q16" s="1"/>
      <c r="R16" s="1"/>
      <c r="S16" s="1">
        <v>2020</v>
      </c>
      <c r="T16" s="200" t="s">
        <v>254</v>
      </c>
      <c r="U16" s="1"/>
      <c r="V16" s="1"/>
      <c r="W16" s="1"/>
      <c r="X16" s="1"/>
      <c r="Z16" s="1" t="s">
        <v>380</v>
      </c>
      <c r="AA16" s="1"/>
      <c r="AB16" s="1"/>
      <c r="AC16" s="1"/>
    </row>
    <row r="17" spans="1:35" ht="15.75" thickBot="1" x14ac:dyDescent="0.3">
      <c r="A17" s="166" t="s">
        <v>210</v>
      </c>
      <c r="B17" s="169"/>
      <c r="C17" s="172">
        <v>0</v>
      </c>
      <c r="D17" s="177">
        <v>18</v>
      </c>
      <c r="E17">
        <v>229</v>
      </c>
      <c r="F17">
        <f>C17-E17</f>
        <v>-229</v>
      </c>
      <c r="G17" s="23">
        <f>(F17-F$22)/F$23</f>
        <v>-0.99548142163140085</v>
      </c>
      <c r="I17" s="265"/>
      <c r="L17" t="s">
        <v>259</v>
      </c>
      <c r="Z17">
        <v>12</v>
      </c>
      <c r="AA17">
        <v>7.2</v>
      </c>
      <c r="AB17">
        <v>12</v>
      </c>
      <c r="AC17">
        <v>7.2</v>
      </c>
      <c r="AE17" t="s">
        <v>260</v>
      </c>
      <c r="AI17" t="s">
        <v>268</v>
      </c>
    </row>
    <row r="18" spans="1:35" ht="15.75" thickBot="1" x14ac:dyDescent="0.3">
      <c r="A18" s="166" t="s">
        <v>209</v>
      </c>
      <c r="B18" s="169"/>
      <c r="C18" s="172">
        <v>151</v>
      </c>
      <c r="D18" s="177">
        <v>8</v>
      </c>
      <c r="E18">
        <v>102</v>
      </c>
      <c r="F18">
        <f t="shared" ref="F18:F21" si="2">C18-E18</f>
        <v>49</v>
      </c>
      <c r="G18" s="23">
        <f t="shared" ref="G18:G21" si="3">(F18-F$22)/F$23</f>
        <v>-0.38158648992437016</v>
      </c>
      <c r="H18" s="1"/>
      <c r="I18" s="175"/>
      <c r="J18" s="175"/>
      <c r="L18" s="182" t="s">
        <v>262</v>
      </c>
      <c r="M18" s="183"/>
      <c r="N18" s="184" t="s">
        <v>263</v>
      </c>
      <c r="O18" s="184" t="s">
        <v>264</v>
      </c>
      <c r="P18" s="184" t="s">
        <v>265</v>
      </c>
      <c r="Q18" s="185" t="s">
        <v>266</v>
      </c>
      <c r="S18" s="182" t="s">
        <v>262</v>
      </c>
      <c r="T18" s="183"/>
      <c r="U18" s="184" t="s">
        <v>263</v>
      </c>
      <c r="V18" s="184" t="s">
        <v>264</v>
      </c>
      <c r="W18" s="184" t="s">
        <v>265</v>
      </c>
      <c r="X18" s="185" t="s">
        <v>266</v>
      </c>
      <c r="Z18" s="262" t="s">
        <v>263</v>
      </c>
      <c r="AA18" s="186" t="s">
        <v>264</v>
      </c>
      <c r="AB18" s="186" t="s">
        <v>265</v>
      </c>
      <c r="AC18" s="187" t="s">
        <v>266</v>
      </c>
      <c r="AE18" s="262" t="s">
        <v>263</v>
      </c>
      <c r="AF18" s="186" t="s">
        <v>264</v>
      </c>
      <c r="AG18" s="186" t="s">
        <v>265</v>
      </c>
      <c r="AH18" s="201" t="s">
        <v>266</v>
      </c>
      <c r="AI18" s="202" t="s">
        <v>267</v>
      </c>
    </row>
    <row r="19" spans="1:35" ht="15.75" thickBot="1" x14ac:dyDescent="0.3">
      <c r="A19" s="166" t="s">
        <v>251</v>
      </c>
      <c r="B19" s="169"/>
      <c r="C19" s="172">
        <v>2254</v>
      </c>
      <c r="D19" s="177">
        <v>115</v>
      </c>
      <c r="E19">
        <v>1464</v>
      </c>
      <c r="F19">
        <f t="shared" si="2"/>
        <v>790</v>
      </c>
      <c r="G19" s="25">
        <f t="shared" si="3"/>
        <v>1.2547305762443699</v>
      </c>
      <c r="H19" s="269">
        <f>G24*D23</f>
        <v>446873.53545541345</v>
      </c>
      <c r="I19" s="23"/>
      <c r="L19" s="258" t="s">
        <v>381</v>
      </c>
      <c r="M19" s="161"/>
      <c r="N19" s="161">
        <v>0</v>
      </c>
      <c r="O19" s="161">
        <v>0</v>
      </c>
      <c r="P19" s="161">
        <v>0</v>
      </c>
      <c r="Q19" s="191">
        <v>0</v>
      </c>
      <c r="S19" s="258" t="s">
        <v>381</v>
      </c>
      <c r="T19" s="161"/>
      <c r="U19" s="161">
        <v>0</v>
      </c>
      <c r="V19" s="161">
        <v>0</v>
      </c>
      <c r="W19" s="161">
        <v>0</v>
      </c>
      <c r="X19" s="191">
        <v>0</v>
      </c>
      <c r="Z19" s="192">
        <v>0</v>
      </c>
      <c r="AA19" s="193">
        <v>0</v>
      </c>
      <c r="AB19" s="193">
        <v>0</v>
      </c>
      <c r="AC19" s="168">
        <v>0</v>
      </c>
      <c r="AE19" s="192">
        <v>0</v>
      </c>
      <c r="AF19" s="193">
        <v>0</v>
      </c>
      <c r="AG19" s="193">
        <v>0</v>
      </c>
      <c r="AH19" s="203">
        <v>0</v>
      </c>
      <c r="AI19" s="172">
        <v>0</v>
      </c>
    </row>
    <row r="20" spans="1:35" ht="15.75" thickBot="1" x14ac:dyDescent="0.3">
      <c r="A20" s="166" t="s">
        <v>125</v>
      </c>
      <c r="B20" s="169"/>
      <c r="C20" s="172">
        <v>1656</v>
      </c>
      <c r="D20" s="177">
        <v>82</v>
      </c>
      <c r="E20">
        <v>1044</v>
      </c>
      <c r="F20">
        <f t="shared" si="2"/>
        <v>612</v>
      </c>
      <c r="G20" s="25">
        <f t="shared" si="3"/>
        <v>0.86166115953986822</v>
      </c>
      <c r="H20" s="269">
        <f>G25*D23</f>
        <v>306881.47401390766</v>
      </c>
      <c r="I20" s="23"/>
      <c r="L20" s="259" t="s">
        <v>382</v>
      </c>
      <c r="M20" s="163"/>
      <c r="N20" s="163">
        <v>2</v>
      </c>
      <c r="O20" s="163">
        <v>9</v>
      </c>
      <c r="P20" s="163">
        <v>1</v>
      </c>
      <c r="Q20" s="169">
        <v>1</v>
      </c>
      <c r="S20" s="259" t="s">
        <v>382</v>
      </c>
      <c r="T20" s="163"/>
      <c r="U20" s="195">
        <v>0</v>
      </c>
      <c r="V20" s="195">
        <v>5</v>
      </c>
      <c r="W20" s="195">
        <v>0</v>
      </c>
      <c r="X20" s="196">
        <v>1</v>
      </c>
      <c r="Z20" s="162">
        <v>2</v>
      </c>
      <c r="AA20" s="163">
        <v>14</v>
      </c>
      <c r="AB20" s="163">
        <v>1</v>
      </c>
      <c r="AC20" s="169">
        <v>2</v>
      </c>
      <c r="AE20" s="192">
        <v>24</v>
      </c>
      <c r="AF20" s="193">
        <v>101</v>
      </c>
      <c r="AG20" s="193">
        <v>12</v>
      </c>
      <c r="AH20" s="203">
        <v>14</v>
      </c>
      <c r="AI20" s="172">
        <v>151</v>
      </c>
    </row>
    <row r="21" spans="1:35" ht="15.75" thickBot="1" x14ac:dyDescent="0.3">
      <c r="A21" s="167" t="s">
        <v>252</v>
      </c>
      <c r="B21" s="170"/>
      <c r="C21" s="173">
        <v>65</v>
      </c>
      <c r="D21" s="178">
        <v>14</v>
      </c>
      <c r="E21">
        <v>178</v>
      </c>
      <c r="F21">
        <f t="shared" si="2"/>
        <v>-113</v>
      </c>
      <c r="G21" s="23">
        <f t="shared" si="3"/>
        <v>-0.73932382422846721</v>
      </c>
      <c r="I21" s="23"/>
      <c r="L21" s="259" t="s">
        <v>383</v>
      </c>
      <c r="M21" s="163"/>
      <c r="N21" s="163">
        <v>15</v>
      </c>
      <c r="O21" s="163">
        <v>150</v>
      </c>
      <c r="P21" s="163">
        <v>4</v>
      </c>
      <c r="Q21" s="169">
        <v>20</v>
      </c>
      <c r="S21" s="259" t="s">
        <v>383</v>
      </c>
      <c r="T21" s="163"/>
      <c r="U21" s="163">
        <v>19</v>
      </c>
      <c r="V21" s="163">
        <v>84</v>
      </c>
      <c r="W21" s="163">
        <v>19</v>
      </c>
      <c r="X21" s="169">
        <v>14</v>
      </c>
      <c r="Z21" s="162">
        <v>34</v>
      </c>
      <c r="AA21" s="163">
        <v>234</v>
      </c>
      <c r="AB21" s="163">
        <v>23</v>
      </c>
      <c r="AC21" s="169">
        <v>34</v>
      </c>
      <c r="AE21" s="192">
        <v>48</v>
      </c>
      <c r="AF21" s="193">
        <v>1685</v>
      </c>
      <c r="AG21" s="193">
        <v>276</v>
      </c>
      <c r="AH21" s="203">
        <v>245</v>
      </c>
      <c r="AI21" s="172">
        <v>2254</v>
      </c>
    </row>
    <row r="22" spans="1:35" ht="15.75" thickBot="1" x14ac:dyDescent="0.3">
      <c r="C22">
        <f>SUM(C17:C21)</f>
        <v>4126</v>
      </c>
      <c r="F22" s="119">
        <f>AVERAGE(F17:F21)</f>
        <v>221.8</v>
      </c>
      <c r="G22" s="16"/>
      <c r="H22" s="26"/>
      <c r="I22" s="26"/>
      <c r="J22" s="69"/>
      <c r="L22" s="259" t="s">
        <v>379</v>
      </c>
      <c r="M22" s="163"/>
      <c r="N22" s="163">
        <v>25</v>
      </c>
      <c r="O22" s="163">
        <v>105</v>
      </c>
      <c r="P22" s="163">
        <v>3</v>
      </c>
      <c r="Q22" s="169">
        <v>3</v>
      </c>
      <c r="S22" s="259" t="s">
        <v>379</v>
      </c>
      <c r="T22" s="163"/>
      <c r="U22" s="163">
        <v>11</v>
      </c>
      <c r="V22" s="163">
        <v>51</v>
      </c>
      <c r="W22" s="163">
        <v>3</v>
      </c>
      <c r="X22" s="169">
        <v>1</v>
      </c>
      <c r="Z22" s="162">
        <v>36</v>
      </c>
      <c r="AA22" s="163">
        <v>156</v>
      </c>
      <c r="AB22" s="163">
        <v>6</v>
      </c>
      <c r="AC22" s="169">
        <v>4</v>
      </c>
      <c r="AE22" s="192">
        <v>432</v>
      </c>
      <c r="AF22" s="193">
        <v>1123</v>
      </c>
      <c r="AG22" s="193">
        <v>72</v>
      </c>
      <c r="AH22" s="203">
        <v>29</v>
      </c>
      <c r="AI22" s="172">
        <v>1656</v>
      </c>
    </row>
    <row r="23" spans="1:35" ht="15.75" thickBot="1" x14ac:dyDescent="0.3">
      <c r="A23" s="255"/>
      <c r="B23" s="266" t="s">
        <v>387</v>
      </c>
      <c r="C23" s="267">
        <f>C22/C12</f>
        <v>0.67330287206266315</v>
      </c>
      <c r="D23" s="268">
        <f>C23*H2</f>
        <v>753755.00946932111</v>
      </c>
      <c r="F23" s="119">
        <f>STDEV(F17:F21)</f>
        <v>452.84622113914122</v>
      </c>
      <c r="G23" s="26">
        <f>SUM(G19:G20)</f>
        <v>2.1163917357842381</v>
      </c>
      <c r="H23" s="26"/>
      <c r="I23" s="26"/>
      <c r="J23" s="69"/>
      <c r="L23" s="260" t="s">
        <v>384</v>
      </c>
      <c r="M23" s="165"/>
      <c r="N23" s="165">
        <v>0</v>
      </c>
      <c r="O23" s="165">
        <v>0</v>
      </c>
      <c r="P23" s="165">
        <v>0</v>
      </c>
      <c r="Q23" s="170">
        <v>0</v>
      </c>
      <c r="S23" s="260" t="s">
        <v>384</v>
      </c>
      <c r="T23" s="165"/>
      <c r="U23" s="198">
        <v>0</v>
      </c>
      <c r="V23" s="198">
        <v>5</v>
      </c>
      <c r="W23" s="198">
        <v>0</v>
      </c>
      <c r="X23" s="199">
        <v>0</v>
      </c>
      <c r="Z23" s="164">
        <v>0</v>
      </c>
      <c r="AA23" s="165">
        <v>5</v>
      </c>
      <c r="AB23" s="165">
        <v>0</v>
      </c>
      <c r="AC23" s="170">
        <v>0</v>
      </c>
      <c r="AE23" s="182">
        <v>0</v>
      </c>
      <c r="AF23" s="183">
        <v>65</v>
      </c>
      <c r="AG23" s="183">
        <v>0</v>
      </c>
      <c r="AH23" s="264">
        <v>0</v>
      </c>
      <c r="AI23" s="173">
        <v>65</v>
      </c>
    </row>
    <row r="24" spans="1:35" x14ac:dyDescent="0.25">
      <c r="A24" s="255"/>
      <c r="B24" s="253"/>
      <c r="C24" s="254"/>
      <c r="D24" s="92"/>
      <c r="F24" s="119"/>
      <c r="G24" s="16">
        <f>G19/G23</f>
        <v>0.59286310517529217</v>
      </c>
      <c r="H24" s="26"/>
      <c r="I24" s="26"/>
      <c r="J24" s="69"/>
      <c r="L24" s="71"/>
      <c r="M24" s="71"/>
      <c r="N24" s="71"/>
      <c r="O24" s="71"/>
      <c r="P24" s="71"/>
      <c r="Q24" s="71"/>
      <c r="S24" s="91"/>
      <c r="T24" s="71"/>
      <c r="U24" s="261"/>
      <c r="V24" s="261"/>
      <c r="W24" s="261"/>
      <c r="X24" s="261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</row>
    <row r="25" spans="1:35" x14ac:dyDescent="0.25">
      <c r="A25" s="255"/>
      <c r="B25" s="253"/>
      <c r="C25" s="254"/>
      <c r="D25" s="92"/>
      <c r="G25" s="16">
        <f>G20/G23</f>
        <v>0.40713689482470783</v>
      </c>
      <c r="H25" s="26"/>
      <c r="I25" s="26"/>
      <c r="J25" s="69"/>
      <c r="L25" s="71"/>
      <c r="M25" s="71"/>
      <c r="N25" s="71"/>
      <c r="O25" s="71"/>
      <c r="P25" s="71"/>
      <c r="Q25" s="71"/>
      <c r="S25" s="91"/>
      <c r="T25" s="71"/>
      <c r="U25" s="261"/>
      <c r="V25" s="261"/>
      <c r="W25" s="261"/>
      <c r="X25" s="261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</row>
    <row r="26" spans="1:35" x14ac:dyDescent="0.25">
      <c r="A26" s="253"/>
      <c r="B26" s="253"/>
      <c r="C26" s="253"/>
      <c r="D26" s="253"/>
      <c r="F26" s="119"/>
      <c r="G26" s="16"/>
      <c r="H26" s="26"/>
      <c r="I26" s="26"/>
      <c r="J26" s="69"/>
      <c r="L26" s="71"/>
      <c r="M26" s="71"/>
      <c r="N26" s="71"/>
      <c r="O26" s="71"/>
      <c r="P26" s="71"/>
      <c r="Q26" s="71"/>
      <c r="S26" s="91"/>
      <c r="T26" s="71"/>
      <c r="U26" s="261"/>
      <c r="V26" s="261"/>
      <c r="W26" s="261"/>
      <c r="X26" s="261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</row>
    <row r="27" spans="1:35" x14ac:dyDescent="0.25">
      <c r="A27" s="255"/>
      <c r="B27" s="253"/>
      <c r="C27" s="254"/>
      <c r="D27" s="92"/>
      <c r="F27" s="119"/>
      <c r="G27" s="16"/>
      <c r="H27" s="26"/>
      <c r="I27" s="26"/>
      <c r="J27" s="69"/>
      <c r="L27" s="71"/>
      <c r="M27" s="71"/>
      <c r="N27" s="71"/>
      <c r="O27" s="71"/>
      <c r="P27" s="71"/>
      <c r="Q27" s="71"/>
      <c r="S27" s="71"/>
      <c r="T27" s="71"/>
      <c r="U27" s="71"/>
      <c r="V27" s="71"/>
      <c r="W27" s="71"/>
      <c r="X27" s="71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</row>
    <row r="28" spans="1:35" x14ac:dyDescent="0.25">
      <c r="A28" s="253"/>
      <c r="B28" s="253"/>
      <c r="C28" s="253"/>
      <c r="D28" s="253"/>
      <c r="F28" s="119"/>
      <c r="G28" s="16"/>
      <c r="H28" s="16"/>
      <c r="I28" s="26"/>
      <c r="J28" s="16"/>
      <c r="L28" s="71"/>
      <c r="M28" s="71"/>
      <c r="N28" s="71"/>
      <c r="O28" s="71"/>
      <c r="P28" s="71"/>
      <c r="Q28" s="71"/>
      <c r="S28" s="91"/>
      <c r="T28" s="71"/>
      <c r="U28" s="261"/>
      <c r="V28" s="261"/>
      <c r="W28" s="261"/>
      <c r="X28" s="261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</row>
    <row r="29" spans="1:35" x14ac:dyDescent="0.25">
      <c r="A29" s="255"/>
      <c r="B29" s="253"/>
      <c r="C29" s="254"/>
      <c r="D29" s="92"/>
      <c r="G29" s="16"/>
      <c r="H29" s="16"/>
      <c r="I29" s="26"/>
      <c r="J29" s="70"/>
      <c r="L29" s="71"/>
      <c r="M29" s="71"/>
      <c r="N29" s="71"/>
      <c r="O29" s="71"/>
      <c r="P29" s="71"/>
      <c r="Q29" s="71"/>
      <c r="S29" s="91"/>
      <c r="T29" s="71"/>
      <c r="U29" s="261"/>
      <c r="V29" s="261"/>
      <c r="W29" s="261"/>
      <c r="X29" s="261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</row>
    <row r="30" spans="1:35" x14ac:dyDescent="0.25">
      <c r="L30" s="71"/>
      <c r="M30" s="71"/>
      <c r="N30" s="71"/>
      <c r="O30" s="71"/>
      <c r="P30" s="71"/>
      <c r="Q30" s="71"/>
      <c r="S30" s="91"/>
      <c r="T30" s="71"/>
      <c r="U30" s="261"/>
      <c r="V30" s="261"/>
      <c r="W30" s="261"/>
      <c r="X30" s="261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</row>
    <row r="31" spans="1:35" x14ac:dyDescent="0.25">
      <c r="L31" s="71"/>
      <c r="M31" s="71"/>
      <c r="N31" s="71"/>
      <c r="O31" s="71"/>
      <c r="P31" s="71"/>
      <c r="Q31" s="71"/>
      <c r="S31" s="91"/>
      <c r="T31" s="71"/>
      <c r="U31" s="261"/>
      <c r="V31" s="261"/>
      <c r="W31" s="261"/>
      <c r="X31" s="261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</row>
    <row r="32" spans="1:35" x14ac:dyDescent="0.25">
      <c r="S32" s="71"/>
      <c r="T32" s="71"/>
      <c r="U32" s="71"/>
      <c r="V32" s="71"/>
      <c r="W32" s="71"/>
      <c r="X32" s="71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</row>
    <row r="33" spans="26:35" x14ac:dyDescent="0.25"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7"/>
  <sheetViews>
    <sheetView workbookViewId="0">
      <pane ySplit="2" topLeftCell="A35" activePane="bottomLeft" state="frozen"/>
      <selection pane="bottomLeft" activeCell="A43" sqref="A43"/>
    </sheetView>
  </sheetViews>
  <sheetFormatPr defaultColWidth="8.7109375" defaultRowHeight="15" x14ac:dyDescent="0.25"/>
  <cols>
    <col min="1" max="1" width="9.7109375" style="16" bestFit="1" customWidth="1"/>
    <col min="2" max="2" width="56.140625" style="16" bestFit="1" customWidth="1"/>
    <col min="3" max="3" width="56.140625" style="1" bestFit="1" customWidth="1"/>
    <col min="4" max="4" width="15.7109375" customWidth="1"/>
    <col min="5" max="5" width="14.7109375" customWidth="1"/>
    <col min="6" max="6" width="16.140625" customWidth="1"/>
    <col min="8" max="8" width="24.7109375" customWidth="1"/>
    <col min="9" max="9" width="17.5703125" customWidth="1"/>
    <col min="10" max="10" width="13.85546875" customWidth="1"/>
    <col min="11" max="11" width="12.85546875" customWidth="1"/>
    <col min="12" max="12" width="7.5703125" customWidth="1"/>
    <col min="14" max="14" width="17.28515625" customWidth="1"/>
    <col min="15" max="15" width="15.28515625" customWidth="1"/>
    <col min="16" max="16" width="17.140625" customWidth="1"/>
    <col min="18" max="18" width="10" customWidth="1"/>
    <col min="19" max="19" width="15.5703125" customWidth="1"/>
    <col min="20" max="20" width="17" customWidth="1"/>
    <col min="21" max="21" width="12.7109375" customWidth="1"/>
    <col min="22" max="22" width="16.85546875" customWidth="1"/>
    <col min="23" max="23" width="16.42578125" customWidth="1"/>
    <col min="24" max="24" width="12.140625" customWidth="1"/>
    <col min="27" max="27" width="12.7109375" customWidth="1"/>
    <col min="28" max="28" width="13.42578125" customWidth="1"/>
  </cols>
  <sheetData>
    <row r="1" spans="1:29" ht="38.450000000000003" customHeight="1" x14ac:dyDescent="0.25">
      <c r="A1"/>
      <c r="B1"/>
      <c r="C1"/>
      <c r="D1" s="2" t="s">
        <v>142</v>
      </c>
      <c r="E1" s="3" t="s">
        <v>5</v>
      </c>
      <c r="F1" s="3" t="s">
        <v>6</v>
      </c>
      <c r="G1" s="4" t="s">
        <v>7</v>
      </c>
      <c r="H1" s="3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4" t="s">
        <v>29</v>
      </c>
    </row>
    <row r="2" spans="1:29" ht="16.5" customHeight="1" x14ac:dyDescent="0.25">
      <c r="A2" t="s">
        <v>396</v>
      </c>
      <c r="B2" s="5" t="s">
        <v>0</v>
      </c>
      <c r="C2" s="5" t="s">
        <v>1</v>
      </c>
      <c r="D2" s="6"/>
    </row>
    <row r="3" spans="1:29" x14ac:dyDescent="0.25">
      <c r="A3">
        <v>701000000</v>
      </c>
      <c r="B3" s="7" t="s">
        <v>3</v>
      </c>
      <c r="C3" s="7" t="s">
        <v>4</v>
      </c>
      <c r="D3" s="1">
        <f t="shared" ref="D3:D66" si="0">SUM(E3:AC3)</f>
        <v>137</v>
      </c>
      <c r="E3">
        <v>7</v>
      </c>
      <c r="K3">
        <v>125</v>
      </c>
      <c r="L3">
        <v>5</v>
      </c>
    </row>
    <row r="4" spans="1:29" x14ac:dyDescent="0.25">
      <c r="A4">
        <v>701000000</v>
      </c>
      <c r="B4" s="9" t="s">
        <v>3</v>
      </c>
      <c r="C4" s="9" t="s">
        <v>30</v>
      </c>
      <c r="D4" s="1">
        <f t="shared" si="0"/>
        <v>140</v>
      </c>
      <c r="E4">
        <v>120</v>
      </c>
      <c r="F4">
        <v>9</v>
      </c>
      <c r="J4">
        <v>11</v>
      </c>
    </row>
    <row r="5" spans="1:29" x14ac:dyDescent="0.25">
      <c r="A5">
        <v>701000000</v>
      </c>
      <c r="B5" s="9" t="s">
        <v>3</v>
      </c>
      <c r="C5" s="9" t="s">
        <v>31</v>
      </c>
      <c r="D5" s="1">
        <f t="shared" si="0"/>
        <v>254</v>
      </c>
      <c r="E5">
        <v>9</v>
      </c>
      <c r="F5">
        <v>136</v>
      </c>
      <c r="G5">
        <v>47</v>
      </c>
      <c r="J5">
        <v>62</v>
      </c>
    </row>
    <row r="6" spans="1:29" x14ac:dyDescent="0.25">
      <c r="A6">
        <v>701000000</v>
      </c>
      <c r="B6" s="7" t="s">
        <v>3</v>
      </c>
      <c r="C6" s="7" t="s">
        <v>32</v>
      </c>
      <c r="D6" s="1">
        <f t="shared" si="0"/>
        <v>230</v>
      </c>
      <c r="F6">
        <v>6</v>
      </c>
      <c r="W6">
        <v>224</v>
      </c>
    </row>
    <row r="7" spans="1:29" x14ac:dyDescent="0.25">
      <c r="A7">
        <v>701000000</v>
      </c>
      <c r="B7" s="9" t="s">
        <v>3</v>
      </c>
      <c r="C7" s="9" t="s">
        <v>33</v>
      </c>
      <c r="D7" s="1">
        <f t="shared" si="0"/>
        <v>78</v>
      </c>
      <c r="F7">
        <v>3</v>
      </c>
      <c r="J7">
        <v>2</v>
      </c>
      <c r="K7">
        <v>1</v>
      </c>
      <c r="L7">
        <v>71</v>
      </c>
      <c r="W7">
        <v>1</v>
      </c>
    </row>
    <row r="8" spans="1:29" x14ac:dyDescent="0.25">
      <c r="A8">
        <v>701000000</v>
      </c>
      <c r="B8" s="9" t="s">
        <v>3</v>
      </c>
      <c r="C8" s="9" t="s">
        <v>34</v>
      </c>
      <c r="D8" s="1">
        <f t="shared" si="0"/>
        <v>354</v>
      </c>
      <c r="E8">
        <v>18</v>
      </c>
      <c r="N8">
        <v>109</v>
      </c>
      <c r="O8">
        <v>34</v>
      </c>
      <c r="Q8">
        <v>86</v>
      </c>
      <c r="R8">
        <v>101</v>
      </c>
      <c r="Z8">
        <v>6</v>
      </c>
    </row>
    <row r="9" spans="1:29" x14ac:dyDescent="0.25">
      <c r="A9">
        <v>701000000</v>
      </c>
      <c r="B9" s="9" t="s">
        <v>3</v>
      </c>
      <c r="C9" s="9" t="s">
        <v>35</v>
      </c>
      <c r="D9" s="1">
        <f t="shared" si="0"/>
        <v>276</v>
      </c>
      <c r="F9">
        <v>8</v>
      </c>
      <c r="M9">
        <v>91</v>
      </c>
      <c r="N9">
        <v>15</v>
      </c>
      <c r="O9">
        <v>21</v>
      </c>
      <c r="U9">
        <v>65</v>
      </c>
      <c r="Z9">
        <v>8</v>
      </c>
      <c r="AC9">
        <v>68</v>
      </c>
    </row>
    <row r="10" spans="1:29" x14ac:dyDescent="0.25">
      <c r="A10">
        <v>701000000</v>
      </c>
      <c r="B10" s="9" t="s">
        <v>3</v>
      </c>
      <c r="C10" s="9" t="s">
        <v>36</v>
      </c>
      <c r="D10" s="1">
        <f t="shared" si="0"/>
        <v>507</v>
      </c>
      <c r="F10">
        <v>16</v>
      </c>
      <c r="R10">
        <v>33</v>
      </c>
      <c r="W10">
        <v>452</v>
      </c>
      <c r="Z10">
        <v>6</v>
      </c>
    </row>
    <row r="11" spans="1:29" x14ac:dyDescent="0.25">
      <c r="A11">
        <v>701000000</v>
      </c>
      <c r="B11" s="7" t="s">
        <v>3</v>
      </c>
      <c r="C11" s="7" t="s">
        <v>37</v>
      </c>
      <c r="D11" s="1">
        <f t="shared" si="0"/>
        <v>61</v>
      </c>
      <c r="W11">
        <v>2</v>
      </c>
      <c r="Z11">
        <v>59</v>
      </c>
    </row>
    <row r="12" spans="1:29" x14ac:dyDescent="0.25">
      <c r="A12">
        <v>701000000</v>
      </c>
      <c r="B12" s="7" t="s">
        <v>3</v>
      </c>
      <c r="C12" s="7" t="s">
        <v>38</v>
      </c>
      <c r="D12" s="1">
        <f t="shared" si="0"/>
        <v>48</v>
      </c>
      <c r="J12">
        <v>41</v>
      </c>
      <c r="K12">
        <v>1</v>
      </c>
      <c r="L12">
        <v>6</v>
      </c>
    </row>
    <row r="13" spans="1:29" x14ac:dyDescent="0.25">
      <c r="A13">
        <v>701000000</v>
      </c>
      <c r="B13" s="9" t="s">
        <v>3</v>
      </c>
      <c r="C13" s="9" t="s">
        <v>39</v>
      </c>
      <c r="D13" s="1">
        <f t="shared" si="0"/>
        <v>12</v>
      </c>
      <c r="F13">
        <v>12</v>
      </c>
    </row>
    <row r="14" spans="1:29" x14ac:dyDescent="0.25">
      <c r="A14">
        <v>701000000</v>
      </c>
      <c r="B14" s="9" t="s">
        <v>3</v>
      </c>
      <c r="C14" s="9" t="s">
        <v>40</v>
      </c>
      <c r="D14" s="1">
        <f t="shared" si="0"/>
        <v>16</v>
      </c>
      <c r="F14">
        <v>15</v>
      </c>
      <c r="G14">
        <v>1</v>
      </c>
    </row>
    <row r="15" spans="1:29" x14ac:dyDescent="0.25">
      <c r="A15">
        <v>701000000</v>
      </c>
      <c r="B15" s="7" t="s">
        <v>3</v>
      </c>
      <c r="C15" s="7" t="s">
        <v>41</v>
      </c>
      <c r="D15" s="1">
        <f t="shared" si="0"/>
        <v>103</v>
      </c>
      <c r="E15">
        <v>2</v>
      </c>
      <c r="W15">
        <v>97</v>
      </c>
      <c r="Z15">
        <v>4</v>
      </c>
    </row>
    <row r="16" spans="1:29" x14ac:dyDescent="0.25">
      <c r="A16">
        <v>701000000</v>
      </c>
      <c r="B16" s="9" t="s">
        <v>3</v>
      </c>
      <c r="C16" s="9" t="s">
        <v>42</v>
      </c>
      <c r="D16" s="1">
        <f t="shared" si="0"/>
        <v>13</v>
      </c>
      <c r="R16">
        <v>13</v>
      </c>
    </row>
    <row r="17" spans="1:29" x14ac:dyDescent="0.25">
      <c r="A17">
        <v>702000000</v>
      </c>
      <c r="B17" s="7" t="s">
        <v>43</v>
      </c>
      <c r="C17" s="7" t="s">
        <v>44</v>
      </c>
      <c r="D17" s="1">
        <f t="shared" si="0"/>
        <v>30</v>
      </c>
      <c r="E17">
        <v>1</v>
      </c>
      <c r="I17">
        <v>11</v>
      </c>
      <c r="L17">
        <v>18</v>
      </c>
    </row>
    <row r="18" spans="1:29" x14ac:dyDescent="0.25">
      <c r="A18">
        <v>702000000</v>
      </c>
      <c r="B18" s="9" t="s">
        <v>43</v>
      </c>
      <c r="C18" s="9" t="s">
        <v>397</v>
      </c>
      <c r="D18" s="1">
        <f t="shared" si="0"/>
        <v>97</v>
      </c>
      <c r="H18">
        <v>27</v>
      </c>
      <c r="I18">
        <v>70</v>
      </c>
    </row>
    <row r="19" spans="1:29" x14ac:dyDescent="0.25">
      <c r="A19">
        <v>702000000</v>
      </c>
      <c r="B19" s="7" t="s">
        <v>43</v>
      </c>
      <c r="C19" s="7" t="s">
        <v>46</v>
      </c>
      <c r="D19" s="1">
        <f t="shared" si="0"/>
        <v>184</v>
      </c>
      <c r="E19">
        <v>3</v>
      </c>
      <c r="M19">
        <v>6</v>
      </c>
      <c r="P19">
        <v>41</v>
      </c>
      <c r="S19">
        <v>93</v>
      </c>
      <c r="U19">
        <v>38</v>
      </c>
      <c r="AC19">
        <v>3</v>
      </c>
    </row>
    <row r="20" spans="1:29" x14ac:dyDescent="0.25">
      <c r="A20">
        <v>702000000</v>
      </c>
      <c r="B20" s="9" t="s">
        <v>43</v>
      </c>
      <c r="C20" s="9" t="s">
        <v>47</v>
      </c>
      <c r="D20" s="1">
        <f t="shared" si="0"/>
        <v>216</v>
      </c>
      <c r="F20">
        <v>10</v>
      </c>
      <c r="H20">
        <v>2</v>
      </c>
      <c r="I20">
        <v>152</v>
      </c>
      <c r="N20">
        <v>9</v>
      </c>
      <c r="Z20">
        <v>6</v>
      </c>
      <c r="AC20">
        <v>37</v>
      </c>
    </row>
    <row r="21" spans="1:29" x14ac:dyDescent="0.25">
      <c r="A21">
        <v>702000000</v>
      </c>
      <c r="B21" s="7" t="s">
        <v>43</v>
      </c>
      <c r="C21" s="7" t="s">
        <v>48</v>
      </c>
      <c r="D21" s="1">
        <f t="shared" si="0"/>
        <v>108</v>
      </c>
      <c r="F21">
        <v>3</v>
      </c>
      <c r="M21">
        <v>3</v>
      </c>
      <c r="S21">
        <v>82</v>
      </c>
      <c r="U21">
        <v>10</v>
      </c>
      <c r="Z21">
        <v>4</v>
      </c>
      <c r="AC21">
        <v>6</v>
      </c>
    </row>
    <row r="22" spans="1:29" x14ac:dyDescent="0.25">
      <c r="A22">
        <v>702000000</v>
      </c>
      <c r="B22" s="9" t="s">
        <v>43</v>
      </c>
      <c r="C22" s="9" t="s">
        <v>49</v>
      </c>
      <c r="D22" s="1">
        <f t="shared" si="0"/>
        <v>200</v>
      </c>
      <c r="F22">
        <v>4</v>
      </c>
      <c r="M22">
        <v>8</v>
      </c>
      <c r="T22">
        <v>91</v>
      </c>
      <c r="U22">
        <v>76</v>
      </c>
      <c r="Z22">
        <v>7</v>
      </c>
      <c r="AC22">
        <v>14</v>
      </c>
    </row>
    <row r="23" spans="1:29" x14ac:dyDescent="0.25">
      <c r="A23">
        <v>702000000</v>
      </c>
      <c r="B23" s="9" t="s">
        <v>43</v>
      </c>
      <c r="C23" s="9" t="s">
        <v>50</v>
      </c>
      <c r="D23" s="1">
        <f t="shared" si="0"/>
        <v>238</v>
      </c>
      <c r="E23">
        <v>5</v>
      </c>
      <c r="F23">
        <v>4</v>
      </c>
      <c r="Q23">
        <v>87</v>
      </c>
      <c r="U23">
        <v>11</v>
      </c>
      <c r="V23">
        <v>118</v>
      </c>
      <c r="AC23">
        <v>13</v>
      </c>
    </row>
    <row r="24" spans="1:29" x14ac:dyDescent="0.25">
      <c r="A24">
        <v>702000000</v>
      </c>
      <c r="B24" s="9" t="s">
        <v>43</v>
      </c>
      <c r="C24" s="9" t="s">
        <v>51</v>
      </c>
      <c r="D24" s="1">
        <f t="shared" si="0"/>
        <v>42</v>
      </c>
      <c r="F24">
        <v>1</v>
      </c>
      <c r="U24">
        <v>41</v>
      </c>
    </row>
    <row r="25" spans="1:29" x14ac:dyDescent="0.25">
      <c r="A25">
        <v>703000000</v>
      </c>
      <c r="B25" s="9" t="s">
        <v>52</v>
      </c>
      <c r="C25" s="9" t="s">
        <v>53</v>
      </c>
      <c r="D25" s="1">
        <f t="shared" si="0"/>
        <v>35</v>
      </c>
      <c r="L25">
        <v>35</v>
      </c>
    </row>
    <row r="26" spans="1:29" x14ac:dyDescent="0.25">
      <c r="A26">
        <v>703000000</v>
      </c>
      <c r="B26" s="9" t="s">
        <v>52</v>
      </c>
      <c r="C26" s="9" t="s">
        <v>54</v>
      </c>
      <c r="D26" s="1">
        <f t="shared" si="0"/>
        <v>75</v>
      </c>
      <c r="L26">
        <v>75</v>
      </c>
    </row>
    <row r="27" spans="1:29" x14ac:dyDescent="0.25">
      <c r="A27">
        <v>703000000</v>
      </c>
      <c r="B27" s="7" t="s">
        <v>52</v>
      </c>
      <c r="C27" s="7" t="s">
        <v>55</v>
      </c>
      <c r="D27" s="1">
        <f t="shared" si="0"/>
        <v>65</v>
      </c>
      <c r="L27">
        <v>65</v>
      </c>
    </row>
    <row r="28" spans="1:29" x14ac:dyDescent="0.25">
      <c r="A28">
        <v>703000000</v>
      </c>
      <c r="B28" s="7" t="s">
        <v>52</v>
      </c>
      <c r="C28" s="7" t="s">
        <v>56</v>
      </c>
      <c r="D28" s="1">
        <f t="shared" si="0"/>
        <v>92</v>
      </c>
      <c r="L28">
        <v>92</v>
      </c>
    </row>
    <row r="29" spans="1:29" x14ac:dyDescent="0.25">
      <c r="A29">
        <v>703000000</v>
      </c>
      <c r="B29" s="9" t="s">
        <v>52</v>
      </c>
      <c r="C29" s="9" t="s">
        <v>57</v>
      </c>
      <c r="D29" s="1">
        <f t="shared" si="0"/>
        <v>70</v>
      </c>
      <c r="L29">
        <v>59</v>
      </c>
      <c r="U29">
        <v>11</v>
      </c>
    </row>
    <row r="30" spans="1:29" x14ac:dyDescent="0.25">
      <c r="A30">
        <v>703000000</v>
      </c>
      <c r="B30" s="7" t="s">
        <v>52</v>
      </c>
      <c r="C30" s="7" t="s">
        <v>58</v>
      </c>
      <c r="D30" s="1">
        <f t="shared" si="0"/>
        <v>57</v>
      </c>
      <c r="F30">
        <v>57</v>
      </c>
    </row>
    <row r="31" spans="1:29" x14ac:dyDescent="0.25">
      <c r="A31">
        <v>703000000</v>
      </c>
      <c r="B31" s="9" t="s">
        <v>52</v>
      </c>
      <c r="C31" s="9" t="s">
        <v>59</v>
      </c>
      <c r="D31" s="1">
        <f t="shared" si="0"/>
        <v>26</v>
      </c>
      <c r="L31">
        <v>26</v>
      </c>
    </row>
    <row r="32" spans="1:29" x14ac:dyDescent="0.25">
      <c r="A32">
        <v>704000000</v>
      </c>
      <c r="B32" s="9" t="s">
        <v>60</v>
      </c>
      <c r="C32" s="9" t="s">
        <v>61</v>
      </c>
      <c r="D32" s="1">
        <f t="shared" si="0"/>
        <v>75</v>
      </c>
      <c r="S32">
        <v>46</v>
      </c>
      <c r="X32">
        <v>29</v>
      </c>
    </row>
    <row r="33" spans="1:28" x14ac:dyDescent="0.25">
      <c r="A33">
        <v>704000000</v>
      </c>
      <c r="B33" s="7" t="s">
        <v>60</v>
      </c>
      <c r="C33" s="7" t="s">
        <v>62</v>
      </c>
      <c r="D33" s="1">
        <f t="shared" si="0"/>
        <v>90</v>
      </c>
      <c r="L33">
        <v>90</v>
      </c>
    </row>
    <row r="34" spans="1:28" x14ac:dyDescent="0.25">
      <c r="A34">
        <v>704000000</v>
      </c>
      <c r="B34" s="7" t="s">
        <v>60</v>
      </c>
      <c r="C34" s="7" t="s">
        <v>63</v>
      </c>
      <c r="D34" s="1">
        <f t="shared" si="0"/>
        <v>73</v>
      </c>
      <c r="Q34">
        <v>16</v>
      </c>
      <c r="R34">
        <v>16</v>
      </c>
      <c r="X34">
        <v>41</v>
      </c>
    </row>
    <row r="35" spans="1:28" x14ac:dyDescent="0.25">
      <c r="A35">
        <v>704000000</v>
      </c>
      <c r="B35" s="9" t="s">
        <v>60</v>
      </c>
      <c r="C35" s="9" t="s">
        <v>64</v>
      </c>
      <c r="D35" s="1">
        <f t="shared" si="0"/>
        <v>35</v>
      </c>
      <c r="L35">
        <v>29</v>
      </c>
      <c r="O35">
        <v>6</v>
      </c>
    </row>
    <row r="36" spans="1:28" x14ac:dyDescent="0.25">
      <c r="A36">
        <v>704000000</v>
      </c>
      <c r="B36" s="9" t="s">
        <v>60</v>
      </c>
      <c r="C36" s="9" t="s">
        <v>65</v>
      </c>
      <c r="D36" s="1">
        <f t="shared" si="0"/>
        <v>91</v>
      </c>
      <c r="X36">
        <v>91</v>
      </c>
    </row>
    <row r="37" spans="1:28" x14ac:dyDescent="0.25">
      <c r="A37">
        <v>704000000</v>
      </c>
      <c r="B37" s="7" t="s">
        <v>60</v>
      </c>
      <c r="C37" s="7" t="s">
        <v>66</v>
      </c>
      <c r="D37" s="1">
        <f t="shared" si="0"/>
        <v>40</v>
      </c>
      <c r="X37">
        <v>40</v>
      </c>
    </row>
    <row r="38" spans="1:28" x14ac:dyDescent="0.25">
      <c r="A38">
        <v>704000000</v>
      </c>
      <c r="B38" s="9" t="s">
        <v>60</v>
      </c>
      <c r="C38" s="9" t="s">
        <v>67</v>
      </c>
      <c r="D38" s="1">
        <f t="shared" si="0"/>
        <v>27</v>
      </c>
      <c r="O38">
        <v>5</v>
      </c>
      <c r="Q38">
        <v>7</v>
      </c>
      <c r="X38">
        <v>15</v>
      </c>
    </row>
    <row r="39" spans="1:28" x14ac:dyDescent="0.25">
      <c r="A39">
        <v>704000000</v>
      </c>
      <c r="B39" s="7" t="s">
        <v>60</v>
      </c>
      <c r="C39" s="9" t="s">
        <v>398</v>
      </c>
      <c r="D39" s="1">
        <f t="shared" si="0"/>
        <v>9</v>
      </c>
      <c r="F39">
        <v>9</v>
      </c>
    </row>
    <row r="40" spans="1:28" x14ac:dyDescent="0.25">
      <c r="A40">
        <v>704000000</v>
      </c>
      <c r="B40" s="9" t="s">
        <v>60</v>
      </c>
      <c r="C40" s="271" t="s">
        <v>317</v>
      </c>
      <c r="D40" s="1">
        <f t="shared" si="0"/>
        <v>4</v>
      </c>
      <c r="E40">
        <v>2</v>
      </c>
      <c r="L40">
        <v>2</v>
      </c>
    </row>
    <row r="41" spans="1:28" x14ac:dyDescent="0.25">
      <c r="A41">
        <v>705000000</v>
      </c>
      <c r="B41" s="7" t="s">
        <v>68</v>
      </c>
      <c r="C41" s="7" t="s">
        <v>69</v>
      </c>
      <c r="D41" s="1">
        <f t="shared" si="0"/>
        <v>9</v>
      </c>
      <c r="F41">
        <v>9</v>
      </c>
    </row>
    <row r="42" spans="1:28" x14ac:dyDescent="0.25">
      <c r="A42">
        <v>705000000</v>
      </c>
      <c r="B42" s="7" t="s">
        <v>68</v>
      </c>
      <c r="C42" s="7" t="s">
        <v>399</v>
      </c>
      <c r="D42" s="1">
        <f t="shared" si="0"/>
        <v>3</v>
      </c>
      <c r="F42">
        <v>3</v>
      </c>
    </row>
    <row r="43" spans="1:28" x14ac:dyDescent="0.25">
      <c r="A43">
        <v>705000000</v>
      </c>
      <c r="B43" s="9" t="s">
        <v>68</v>
      </c>
      <c r="C43" s="9" t="s">
        <v>70</v>
      </c>
      <c r="D43" s="1">
        <f t="shared" si="0"/>
        <v>92</v>
      </c>
      <c r="H43">
        <v>12</v>
      </c>
      <c r="L43">
        <v>21</v>
      </c>
      <c r="V43">
        <v>48</v>
      </c>
      <c r="AB43">
        <v>11</v>
      </c>
    </row>
    <row r="44" spans="1:28" x14ac:dyDescent="0.25">
      <c r="A44">
        <v>705000000</v>
      </c>
      <c r="B44" s="7" t="s">
        <v>68</v>
      </c>
      <c r="C44" s="7" t="s">
        <v>71</v>
      </c>
      <c r="D44" s="1">
        <f t="shared" si="0"/>
        <v>23</v>
      </c>
      <c r="S44">
        <v>14</v>
      </c>
      <c r="V44">
        <v>5</v>
      </c>
      <c r="X44">
        <v>4</v>
      </c>
    </row>
    <row r="45" spans="1:28" x14ac:dyDescent="0.25">
      <c r="A45">
        <v>705000000</v>
      </c>
      <c r="B45" s="9" t="s">
        <v>68</v>
      </c>
      <c r="C45" s="9" t="s">
        <v>72</v>
      </c>
      <c r="D45" s="1">
        <f t="shared" si="0"/>
        <v>35</v>
      </c>
      <c r="O45">
        <v>35</v>
      </c>
    </row>
    <row r="46" spans="1:28" x14ac:dyDescent="0.25">
      <c r="A46">
        <v>705000000</v>
      </c>
      <c r="B46" s="9" t="s">
        <v>68</v>
      </c>
      <c r="C46" s="9" t="s">
        <v>73</v>
      </c>
      <c r="D46" s="1">
        <f t="shared" si="0"/>
        <v>75</v>
      </c>
      <c r="X46">
        <v>75</v>
      </c>
    </row>
    <row r="47" spans="1:28" x14ac:dyDescent="0.25">
      <c r="A47">
        <v>706000000</v>
      </c>
      <c r="B47" s="9" t="s">
        <v>74</v>
      </c>
      <c r="C47" s="9" t="s">
        <v>75</v>
      </c>
      <c r="D47" s="1">
        <f t="shared" si="0"/>
        <v>116</v>
      </c>
      <c r="H47">
        <v>116</v>
      </c>
    </row>
    <row r="48" spans="1:28" x14ac:dyDescent="0.25">
      <c r="A48">
        <v>707000000</v>
      </c>
      <c r="B48" s="7" t="s">
        <v>76</v>
      </c>
      <c r="C48" s="7" t="s">
        <v>77</v>
      </c>
      <c r="D48" s="1">
        <f t="shared" si="0"/>
        <v>52</v>
      </c>
      <c r="F48">
        <v>7</v>
      </c>
      <c r="H48">
        <v>45</v>
      </c>
    </row>
    <row r="49" spans="1:27" x14ac:dyDescent="0.25">
      <c r="A49">
        <v>707000000</v>
      </c>
      <c r="B49" s="7" t="s">
        <v>76</v>
      </c>
      <c r="C49" s="7" t="s">
        <v>78</v>
      </c>
      <c r="D49" s="1">
        <f t="shared" si="0"/>
        <v>44</v>
      </c>
      <c r="F49">
        <v>5</v>
      </c>
      <c r="H49">
        <v>39</v>
      </c>
    </row>
    <row r="50" spans="1:27" x14ac:dyDescent="0.25">
      <c r="A50">
        <v>707000000</v>
      </c>
      <c r="B50" s="7" t="s">
        <v>76</v>
      </c>
      <c r="C50" s="7" t="s">
        <v>79</v>
      </c>
      <c r="D50" s="1">
        <f t="shared" si="0"/>
        <v>35</v>
      </c>
      <c r="F50">
        <v>4</v>
      </c>
      <c r="H50">
        <v>31</v>
      </c>
    </row>
    <row r="51" spans="1:27" x14ac:dyDescent="0.25">
      <c r="A51">
        <v>708000000</v>
      </c>
      <c r="B51" s="9" t="s">
        <v>80</v>
      </c>
      <c r="C51" s="272" t="s">
        <v>319</v>
      </c>
      <c r="D51" s="1">
        <f t="shared" si="0"/>
        <v>79</v>
      </c>
      <c r="E51">
        <v>9</v>
      </c>
      <c r="R51">
        <v>14</v>
      </c>
      <c r="W51">
        <v>10</v>
      </c>
      <c r="Y51">
        <v>46</v>
      </c>
    </row>
    <row r="52" spans="1:27" x14ac:dyDescent="0.25">
      <c r="A52">
        <v>708000000</v>
      </c>
      <c r="B52" s="9" t="s">
        <v>80</v>
      </c>
      <c r="C52" s="272" t="s">
        <v>400</v>
      </c>
      <c r="D52" s="1">
        <f t="shared" si="0"/>
        <v>47</v>
      </c>
      <c r="R52">
        <v>5</v>
      </c>
      <c r="W52">
        <v>25</v>
      </c>
      <c r="Y52">
        <v>17</v>
      </c>
    </row>
    <row r="53" spans="1:27" x14ac:dyDescent="0.25">
      <c r="A53">
        <v>708000000</v>
      </c>
      <c r="B53" s="9" t="s">
        <v>80</v>
      </c>
      <c r="C53" s="272" t="s">
        <v>401</v>
      </c>
      <c r="D53" s="1">
        <f t="shared" si="0"/>
        <v>46</v>
      </c>
      <c r="Y53">
        <v>46</v>
      </c>
    </row>
    <row r="54" spans="1:27" x14ac:dyDescent="0.25">
      <c r="A54">
        <v>708000000</v>
      </c>
      <c r="B54" s="9" t="s">
        <v>80</v>
      </c>
      <c r="C54" s="272" t="s">
        <v>82</v>
      </c>
      <c r="D54" s="1">
        <f t="shared" si="0"/>
        <v>52</v>
      </c>
      <c r="Y54">
        <v>52</v>
      </c>
    </row>
    <row r="55" spans="1:27" x14ac:dyDescent="0.25">
      <c r="A55">
        <v>708000000</v>
      </c>
      <c r="B55" s="9" t="s">
        <v>80</v>
      </c>
      <c r="C55" s="272" t="s">
        <v>402</v>
      </c>
      <c r="D55" s="1">
        <f t="shared" si="0"/>
        <v>11</v>
      </c>
      <c r="R55">
        <v>5</v>
      </c>
      <c r="Y55">
        <v>6</v>
      </c>
    </row>
    <row r="56" spans="1:27" x14ac:dyDescent="0.25">
      <c r="A56">
        <v>709000000</v>
      </c>
      <c r="B56" s="9" t="s">
        <v>83</v>
      </c>
      <c r="C56" s="9" t="s">
        <v>84</v>
      </c>
      <c r="D56" s="1">
        <f t="shared" si="0"/>
        <v>118</v>
      </c>
      <c r="S56">
        <v>104</v>
      </c>
      <c r="T56">
        <v>14</v>
      </c>
    </row>
    <row r="57" spans="1:27" x14ac:dyDescent="0.25">
      <c r="A57">
        <v>709000000</v>
      </c>
      <c r="B57" s="7" t="s">
        <v>83</v>
      </c>
      <c r="C57" s="7" t="s">
        <v>85</v>
      </c>
      <c r="D57" s="1">
        <f t="shared" si="0"/>
        <v>65</v>
      </c>
      <c r="S57">
        <v>65</v>
      </c>
    </row>
    <row r="58" spans="1:27" x14ac:dyDescent="0.25">
      <c r="A58">
        <v>709000000</v>
      </c>
      <c r="B58" s="7" t="s">
        <v>83</v>
      </c>
      <c r="C58" s="7" t="s">
        <v>86</v>
      </c>
      <c r="D58" s="1">
        <f t="shared" si="0"/>
        <v>103</v>
      </c>
      <c r="I58">
        <v>13</v>
      </c>
      <c r="L58">
        <v>23</v>
      </c>
      <c r="P58">
        <v>50</v>
      </c>
      <c r="U58">
        <v>17</v>
      </c>
    </row>
    <row r="59" spans="1:27" x14ac:dyDescent="0.25">
      <c r="A59">
        <v>709000000</v>
      </c>
      <c r="B59" s="7" t="s">
        <v>83</v>
      </c>
      <c r="C59" s="7" t="s">
        <v>87</v>
      </c>
      <c r="D59" s="1">
        <f t="shared" si="0"/>
        <v>61</v>
      </c>
      <c r="I59">
        <v>61</v>
      </c>
    </row>
    <row r="60" spans="1:27" x14ac:dyDescent="0.25">
      <c r="A60">
        <v>709000000</v>
      </c>
      <c r="B60" s="7" t="s">
        <v>83</v>
      </c>
      <c r="C60" s="7" t="s">
        <v>88</v>
      </c>
      <c r="D60" s="1">
        <f t="shared" si="0"/>
        <v>49</v>
      </c>
      <c r="AA60">
        <v>49</v>
      </c>
    </row>
    <row r="61" spans="1:27" x14ac:dyDescent="0.25">
      <c r="A61">
        <v>709000000</v>
      </c>
      <c r="B61" s="7" t="s">
        <v>83</v>
      </c>
      <c r="C61" s="7" t="s">
        <v>89</v>
      </c>
      <c r="D61" s="1">
        <f t="shared" si="0"/>
        <v>63</v>
      </c>
      <c r="L61">
        <v>63</v>
      </c>
    </row>
    <row r="62" spans="1:27" x14ac:dyDescent="0.25">
      <c r="A62">
        <v>709000000</v>
      </c>
      <c r="B62" s="9" t="s">
        <v>83</v>
      </c>
      <c r="C62" s="9" t="s">
        <v>90</v>
      </c>
      <c r="D62" s="1">
        <f t="shared" si="0"/>
        <v>56</v>
      </c>
      <c r="P62">
        <v>56</v>
      </c>
    </row>
    <row r="63" spans="1:27" x14ac:dyDescent="0.25">
      <c r="A63">
        <v>709000000</v>
      </c>
      <c r="B63" s="7" t="s">
        <v>83</v>
      </c>
      <c r="C63" s="7" t="s">
        <v>49</v>
      </c>
      <c r="D63" s="1">
        <f t="shared" si="0"/>
        <v>131</v>
      </c>
      <c r="T63">
        <v>63</v>
      </c>
      <c r="U63">
        <v>68</v>
      </c>
    </row>
    <row r="64" spans="1:27" x14ac:dyDescent="0.25">
      <c r="A64">
        <v>709000000</v>
      </c>
      <c r="B64" s="9" t="s">
        <v>83</v>
      </c>
      <c r="C64" s="9" t="s">
        <v>91</v>
      </c>
      <c r="D64" s="1">
        <f t="shared" si="0"/>
        <v>40</v>
      </c>
      <c r="H64">
        <v>28</v>
      </c>
      <c r="I64">
        <v>12</v>
      </c>
    </row>
    <row r="65" spans="1:29" x14ac:dyDescent="0.25">
      <c r="A65">
        <v>709000000</v>
      </c>
      <c r="B65" s="9" t="s">
        <v>83</v>
      </c>
      <c r="C65" s="9" t="s">
        <v>320</v>
      </c>
      <c r="D65" s="1">
        <f t="shared" si="0"/>
        <v>18</v>
      </c>
      <c r="E65">
        <v>7</v>
      </c>
      <c r="J65">
        <v>4</v>
      </c>
      <c r="Z65">
        <v>7</v>
      </c>
    </row>
    <row r="66" spans="1:29" x14ac:dyDescent="0.25">
      <c r="A66">
        <v>710000000</v>
      </c>
      <c r="B66" s="9" t="s">
        <v>92</v>
      </c>
      <c r="C66" s="9" t="s">
        <v>93</v>
      </c>
      <c r="D66" s="1">
        <f t="shared" si="0"/>
        <v>89</v>
      </c>
      <c r="E66" s="273"/>
      <c r="F66" s="273"/>
      <c r="G66" s="273"/>
      <c r="H66" s="273"/>
      <c r="I66" s="273"/>
      <c r="J66" s="273"/>
      <c r="K66" s="273"/>
      <c r="L66" s="273">
        <v>22</v>
      </c>
      <c r="M66" s="273"/>
      <c r="N66" s="273"/>
      <c r="O66" s="273"/>
      <c r="P66" s="273"/>
      <c r="Q66" s="273"/>
      <c r="R66" s="273"/>
      <c r="S66" s="273"/>
      <c r="T66" s="273"/>
      <c r="U66" s="273">
        <v>60</v>
      </c>
      <c r="V66" s="273"/>
      <c r="W66" s="273"/>
      <c r="X66" s="273"/>
      <c r="Y66" s="273"/>
      <c r="Z66" s="273"/>
      <c r="AA66" s="273"/>
      <c r="AB66" s="273"/>
      <c r="AC66" s="273">
        <v>7</v>
      </c>
    </row>
    <row r="67" spans="1:29" x14ac:dyDescent="0.25">
      <c r="A67">
        <v>710000000</v>
      </c>
      <c r="B67" s="7" t="s">
        <v>92</v>
      </c>
      <c r="C67" s="7" t="s">
        <v>84</v>
      </c>
      <c r="D67" s="1">
        <f>SUM(E67:AC67)</f>
        <v>120</v>
      </c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>
        <v>120</v>
      </c>
      <c r="T67" s="273"/>
      <c r="U67" s="273"/>
      <c r="V67" s="273"/>
      <c r="W67" s="273"/>
      <c r="X67" s="273"/>
      <c r="Y67" s="273"/>
      <c r="Z67" s="273"/>
      <c r="AA67" s="273"/>
      <c r="AB67" s="273"/>
      <c r="AC67" s="273"/>
    </row>
    <row r="68" spans="1:29" x14ac:dyDescent="0.25">
      <c r="A68">
        <v>710000000</v>
      </c>
      <c r="B68" s="9" t="s">
        <v>92</v>
      </c>
      <c r="C68" s="9" t="s">
        <v>94</v>
      </c>
      <c r="D68" s="1">
        <f>SUM(E68:AC68)</f>
        <v>44</v>
      </c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273">
        <v>44</v>
      </c>
      <c r="AC68" s="273"/>
    </row>
    <row r="69" spans="1:29" x14ac:dyDescent="0.25">
      <c r="A69">
        <v>710000000</v>
      </c>
      <c r="B69" s="7" t="s">
        <v>92</v>
      </c>
      <c r="C69" s="7" t="s">
        <v>95</v>
      </c>
      <c r="D69" s="1">
        <f t="shared" ref="D69:D130" si="1">SUM(E69:AC69)</f>
        <v>29</v>
      </c>
      <c r="E69" s="273">
        <v>9</v>
      </c>
      <c r="F69" s="273">
        <v>12</v>
      </c>
      <c r="G69" s="273">
        <v>1</v>
      </c>
      <c r="H69" s="273">
        <v>1</v>
      </c>
      <c r="I69" s="273"/>
      <c r="J69" s="273">
        <v>4</v>
      </c>
      <c r="K69" s="273"/>
      <c r="L69" s="273"/>
      <c r="M69" s="273"/>
      <c r="N69" s="273"/>
      <c r="O69" s="273"/>
      <c r="P69" s="273"/>
      <c r="Q69" s="273"/>
      <c r="R69" s="273"/>
      <c r="S69" s="273"/>
      <c r="T69" s="273"/>
      <c r="U69" s="273">
        <v>1</v>
      </c>
      <c r="V69" s="273"/>
      <c r="W69" s="273"/>
      <c r="X69" s="273"/>
      <c r="Y69" s="273"/>
      <c r="Z69" s="273"/>
      <c r="AA69" s="273"/>
      <c r="AB69" s="273"/>
      <c r="AC69" s="273">
        <v>1</v>
      </c>
    </row>
    <row r="70" spans="1:29" x14ac:dyDescent="0.25">
      <c r="A70">
        <v>710000000</v>
      </c>
      <c r="B70" s="9" t="s">
        <v>92</v>
      </c>
      <c r="C70" s="9" t="s">
        <v>96</v>
      </c>
      <c r="D70" s="1">
        <f t="shared" si="1"/>
        <v>115</v>
      </c>
      <c r="E70" s="273"/>
      <c r="F70" s="273"/>
      <c r="G70" s="273"/>
      <c r="H70" s="273"/>
      <c r="I70" s="273"/>
      <c r="J70" s="273"/>
      <c r="K70" s="273"/>
      <c r="L70" s="273">
        <v>41</v>
      </c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>
        <v>74</v>
      </c>
      <c r="AB70" s="273"/>
      <c r="AC70" s="273"/>
    </row>
    <row r="71" spans="1:29" x14ac:dyDescent="0.25">
      <c r="A71">
        <v>710000000</v>
      </c>
      <c r="B71" s="7" t="s">
        <v>92</v>
      </c>
      <c r="C71" s="7" t="s">
        <v>87</v>
      </c>
      <c r="D71" s="1">
        <f t="shared" si="1"/>
        <v>70</v>
      </c>
      <c r="E71" s="273"/>
      <c r="F71" s="273"/>
      <c r="G71" s="273"/>
      <c r="H71" s="273"/>
      <c r="I71" s="273">
        <v>49</v>
      </c>
      <c r="J71" s="273"/>
      <c r="K71" s="273"/>
      <c r="L71" s="273"/>
      <c r="M71" s="273"/>
      <c r="N71" s="273">
        <v>6</v>
      </c>
      <c r="O71" s="273">
        <v>2</v>
      </c>
      <c r="P71" s="273"/>
      <c r="Q71" s="273"/>
      <c r="R71" s="273"/>
      <c r="S71" s="273"/>
      <c r="T71" s="273"/>
      <c r="U71" s="273"/>
      <c r="V71" s="273">
        <v>10</v>
      </c>
      <c r="W71" s="273"/>
      <c r="X71" s="273"/>
      <c r="Y71" s="273"/>
      <c r="Z71" s="273"/>
      <c r="AA71" s="273"/>
      <c r="AB71" s="273"/>
      <c r="AC71" s="273">
        <v>3</v>
      </c>
    </row>
    <row r="72" spans="1:29" x14ac:dyDescent="0.25">
      <c r="A72">
        <v>710000000</v>
      </c>
      <c r="B72" s="9" t="s">
        <v>92</v>
      </c>
      <c r="C72" s="9" t="s">
        <v>97</v>
      </c>
      <c r="D72" s="1">
        <f t="shared" si="1"/>
        <v>103</v>
      </c>
      <c r="E72" s="273"/>
      <c r="F72" s="273"/>
      <c r="G72" s="273"/>
      <c r="H72" s="273"/>
      <c r="I72" s="273"/>
      <c r="J72" s="273"/>
      <c r="K72" s="273"/>
      <c r="L72" s="273"/>
      <c r="M72" s="273">
        <v>19</v>
      </c>
      <c r="N72" s="273"/>
      <c r="O72" s="273"/>
      <c r="P72" s="273"/>
      <c r="Q72" s="273"/>
      <c r="R72" s="273"/>
      <c r="S72" s="273"/>
      <c r="T72" s="273">
        <v>46</v>
      </c>
      <c r="U72" s="273">
        <v>38</v>
      </c>
      <c r="V72" s="273"/>
      <c r="W72" s="273"/>
      <c r="X72" s="273"/>
      <c r="Y72" s="273"/>
      <c r="Z72" s="273"/>
      <c r="AA72" s="273"/>
      <c r="AB72" s="273"/>
      <c r="AC72" s="273"/>
    </row>
    <row r="73" spans="1:29" x14ac:dyDescent="0.25">
      <c r="A73">
        <v>710000000</v>
      </c>
      <c r="B73" s="9" t="s">
        <v>92</v>
      </c>
      <c r="C73" s="274" t="s">
        <v>403</v>
      </c>
      <c r="D73" s="1">
        <f t="shared" si="1"/>
        <v>23</v>
      </c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>
        <v>23</v>
      </c>
      <c r="V73" s="273"/>
      <c r="W73" s="273"/>
      <c r="X73" s="273"/>
      <c r="Y73" s="273"/>
      <c r="Z73" s="273"/>
      <c r="AA73" s="273"/>
      <c r="AB73" s="273"/>
      <c r="AC73" s="273"/>
    </row>
    <row r="74" spans="1:29" x14ac:dyDescent="0.25">
      <c r="A74">
        <v>710000000</v>
      </c>
      <c r="B74" s="9" t="s">
        <v>92</v>
      </c>
      <c r="C74" s="275" t="s">
        <v>404</v>
      </c>
      <c r="D74" s="1">
        <f t="shared" si="1"/>
        <v>32</v>
      </c>
      <c r="E74" s="273">
        <v>12</v>
      </c>
      <c r="F74" s="273"/>
      <c r="G74" s="273"/>
      <c r="H74" s="273"/>
      <c r="I74" s="273"/>
      <c r="J74" s="273"/>
      <c r="K74" s="273"/>
      <c r="L74" s="273"/>
      <c r="M74" s="273"/>
      <c r="N74" s="273"/>
      <c r="O74" s="273">
        <v>6</v>
      </c>
      <c r="P74" s="273">
        <v>1</v>
      </c>
      <c r="Q74" s="273"/>
      <c r="R74" s="273"/>
      <c r="S74" s="273">
        <v>8</v>
      </c>
      <c r="T74" s="273"/>
      <c r="U74" s="273"/>
      <c r="V74" s="273">
        <v>5</v>
      </c>
      <c r="W74" s="273"/>
      <c r="X74" s="273"/>
      <c r="Y74" s="273"/>
      <c r="Z74" s="273"/>
      <c r="AA74" s="273"/>
      <c r="AB74" s="273"/>
      <c r="AC74" s="273"/>
    </row>
    <row r="75" spans="1:29" x14ac:dyDescent="0.25">
      <c r="A75">
        <v>710000000</v>
      </c>
      <c r="B75" s="7" t="s">
        <v>92</v>
      </c>
      <c r="C75" s="274" t="s">
        <v>405</v>
      </c>
      <c r="D75" s="1">
        <f t="shared" si="1"/>
        <v>31</v>
      </c>
      <c r="E75" s="273"/>
      <c r="F75" s="273"/>
      <c r="G75" s="273"/>
      <c r="H75" s="273"/>
      <c r="I75" s="273"/>
      <c r="J75" s="273">
        <v>1</v>
      </c>
      <c r="K75" s="273"/>
      <c r="L75" s="273">
        <v>1</v>
      </c>
      <c r="M75" s="273"/>
      <c r="N75" s="273"/>
      <c r="O75" s="273"/>
      <c r="P75" s="273">
        <v>10</v>
      </c>
      <c r="Q75" s="273">
        <v>2</v>
      </c>
      <c r="R75" s="273"/>
      <c r="S75" s="273">
        <v>7</v>
      </c>
      <c r="T75" s="273">
        <v>6</v>
      </c>
      <c r="U75" s="273">
        <v>4</v>
      </c>
      <c r="V75" s="273"/>
      <c r="W75" s="273"/>
      <c r="X75" s="273"/>
      <c r="Y75" s="273"/>
      <c r="Z75" s="273"/>
      <c r="AA75" s="273"/>
      <c r="AB75" s="273"/>
      <c r="AC75" s="273"/>
    </row>
    <row r="76" spans="1:29" x14ac:dyDescent="0.25">
      <c r="A76">
        <v>711000000</v>
      </c>
      <c r="B76" s="7" t="s">
        <v>99</v>
      </c>
      <c r="C76" s="7" t="s">
        <v>100</v>
      </c>
      <c r="D76" s="1">
        <f t="shared" si="1"/>
        <v>111</v>
      </c>
      <c r="E76">
        <v>3</v>
      </c>
      <c r="F76">
        <v>64</v>
      </c>
      <c r="G76">
        <v>13</v>
      </c>
      <c r="J76">
        <v>31</v>
      </c>
    </row>
    <row r="77" spans="1:29" x14ac:dyDescent="0.25">
      <c r="A77">
        <v>711000000</v>
      </c>
      <c r="B77" s="9" t="s">
        <v>99</v>
      </c>
      <c r="C77" s="9" t="s">
        <v>101</v>
      </c>
      <c r="D77" s="1">
        <f t="shared" si="1"/>
        <v>52</v>
      </c>
      <c r="K77">
        <v>52</v>
      </c>
    </row>
    <row r="78" spans="1:29" x14ac:dyDescent="0.25">
      <c r="A78">
        <v>711000000</v>
      </c>
      <c r="B78" s="7" t="s">
        <v>99</v>
      </c>
      <c r="C78" s="7" t="s">
        <v>102</v>
      </c>
      <c r="D78" s="1">
        <f t="shared" si="1"/>
        <v>315</v>
      </c>
      <c r="W78">
        <v>315</v>
      </c>
    </row>
    <row r="79" spans="1:29" x14ac:dyDescent="0.25">
      <c r="A79">
        <v>711000000</v>
      </c>
      <c r="B79" s="9" t="s">
        <v>99</v>
      </c>
      <c r="C79" s="9" t="s">
        <v>103</v>
      </c>
      <c r="D79" s="1">
        <f t="shared" si="1"/>
        <v>183</v>
      </c>
      <c r="M79">
        <v>41</v>
      </c>
      <c r="N79">
        <v>15</v>
      </c>
      <c r="O79">
        <v>9</v>
      </c>
      <c r="Q79">
        <v>43</v>
      </c>
      <c r="R79">
        <v>37</v>
      </c>
      <c r="U79">
        <v>16</v>
      </c>
      <c r="AC79">
        <v>22</v>
      </c>
    </row>
    <row r="80" spans="1:29" x14ac:dyDescent="0.25">
      <c r="A80">
        <v>711000000</v>
      </c>
      <c r="B80" s="9" t="s">
        <v>99</v>
      </c>
      <c r="C80" s="9" t="s">
        <v>104</v>
      </c>
      <c r="D80" s="1">
        <f t="shared" si="1"/>
        <v>31</v>
      </c>
      <c r="J80">
        <v>12</v>
      </c>
      <c r="K80">
        <v>10</v>
      </c>
      <c r="L80">
        <v>9</v>
      </c>
    </row>
    <row r="81" spans="1:29" x14ac:dyDescent="0.25">
      <c r="A81">
        <v>711000000</v>
      </c>
      <c r="B81" s="9" t="s">
        <v>99</v>
      </c>
      <c r="C81" s="9" t="s">
        <v>105</v>
      </c>
      <c r="D81" s="1">
        <f t="shared" si="1"/>
        <v>24</v>
      </c>
      <c r="M81">
        <v>5</v>
      </c>
      <c r="N81">
        <v>1</v>
      </c>
      <c r="Q81">
        <v>2</v>
      </c>
      <c r="R81">
        <v>4</v>
      </c>
      <c r="Z81">
        <v>11</v>
      </c>
      <c r="AC81">
        <v>1</v>
      </c>
    </row>
    <row r="82" spans="1:29" x14ac:dyDescent="0.25">
      <c r="A82">
        <v>713000000</v>
      </c>
      <c r="B82" s="7" t="s">
        <v>106</v>
      </c>
      <c r="C82" s="7" t="s">
        <v>100</v>
      </c>
      <c r="D82" s="1">
        <f t="shared" si="1"/>
        <v>57</v>
      </c>
      <c r="F82">
        <v>32</v>
      </c>
      <c r="J82">
        <v>25</v>
      </c>
    </row>
    <row r="83" spans="1:29" x14ac:dyDescent="0.25">
      <c r="A83">
        <v>713000000</v>
      </c>
      <c r="B83" s="9" t="s">
        <v>106</v>
      </c>
      <c r="C83" s="9" t="s">
        <v>101</v>
      </c>
      <c r="D83" s="1">
        <f t="shared" si="1"/>
        <v>47</v>
      </c>
      <c r="K83">
        <v>47</v>
      </c>
    </row>
    <row r="84" spans="1:29" x14ac:dyDescent="0.25">
      <c r="A84">
        <v>713000000</v>
      </c>
      <c r="B84" s="7" t="s">
        <v>106</v>
      </c>
      <c r="C84" s="7" t="s">
        <v>107</v>
      </c>
      <c r="D84" s="1">
        <f t="shared" si="1"/>
        <v>93</v>
      </c>
      <c r="E84">
        <v>91</v>
      </c>
      <c r="F84">
        <v>2</v>
      </c>
    </row>
    <row r="85" spans="1:29" x14ac:dyDescent="0.25">
      <c r="A85">
        <v>713000000</v>
      </c>
      <c r="B85" s="9" t="s">
        <v>106</v>
      </c>
      <c r="C85" s="9" t="s">
        <v>108</v>
      </c>
      <c r="D85" s="1">
        <f t="shared" si="1"/>
        <v>19</v>
      </c>
      <c r="F85">
        <v>19</v>
      </c>
    </row>
    <row r="86" spans="1:29" x14ac:dyDescent="0.25">
      <c r="A86">
        <v>713000000</v>
      </c>
      <c r="B86" s="9" t="s">
        <v>106</v>
      </c>
      <c r="C86" s="9" t="s">
        <v>109</v>
      </c>
      <c r="D86" s="1">
        <f t="shared" si="1"/>
        <v>60</v>
      </c>
      <c r="J86">
        <v>14</v>
      </c>
      <c r="W86">
        <v>46</v>
      </c>
    </row>
    <row r="87" spans="1:29" x14ac:dyDescent="0.25">
      <c r="A87">
        <v>713000000</v>
      </c>
      <c r="B87" s="9" t="s">
        <v>106</v>
      </c>
      <c r="C87" s="9" t="s">
        <v>110</v>
      </c>
      <c r="D87" s="1">
        <v>2</v>
      </c>
      <c r="G87">
        <v>2</v>
      </c>
    </row>
    <row r="88" spans="1:29" x14ac:dyDescent="0.25">
      <c r="A88">
        <v>714000000</v>
      </c>
      <c r="B88" s="7" t="s">
        <v>111</v>
      </c>
      <c r="C88" s="7" t="s">
        <v>100</v>
      </c>
      <c r="D88" s="1">
        <f t="shared" ref="D88:D93" si="2">SUM(E88:AC88)</f>
        <v>121</v>
      </c>
      <c r="F88">
        <v>76</v>
      </c>
      <c r="G88">
        <v>20</v>
      </c>
      <c r="Z88">
        <v>25</v>
      </c>
    </row>
    <row r="89" spans="1:29" x14ac:dyDescent="0.25">
      <c r="A89">
        <v>714000000</v>
      </c>
      <c r="B89" s="7" t="s">
        <v>111</v>
      </c>
      <c r="C89" s="7" t="s">
        <v>101</v>
      </c>
      <c r="D89" s="1">
        <f t="shared" si="2"/>
        <v>39</v>
      </c>
      <c r="K89">
        <v>39</v>
      </c>
    </row>
    <row r="90" spans="1:29" x14ac:dyDescent="0.25">
      <c r="A90">
        <v>714000000</v>
      </c>
      <c r="B90" s="9" t="s">
        <v>111</v>
      </c>
      <c r="C90" s="9" t="s">
        <v>107</v>
      </c>
      <c r="D90" s="1">
        <f t="shared" si="2"/>
        <v>68</v>
      </c>
      <c r="E90">
        <v>34</v>
      </c>
      <c r="F90">
        <v>5</v>
      </c>
      <c r="H90">
        <v>13</v>
      </c>
      <c r="J90">
        <v>16</v>
      </c>
    </row>
    <row r="91" spans="1:29" x14ac:dyDescent="0.25">
      <c r="A91">
        <v>714000000</v>
      </c>
      <c r="B91" s="7" t="s">
        <v>111</v>
      </c>
      <c r="C91" s="7" t="s">
        <v>112</v>
      </c>
      <c r="D91" s="1">
        <f t="shared" si="2"/>
        <v>37</v>
      </c>
      <c r="J91">
        <v>10</v>
      </c>
      <c r="K91">
        <v>27</v>
      </c>
    </row>
    <row r="92" spans="1:29" x14ac:dyDescent="0.25">
      <c r="A92">
        <v>714000000</v>
      </c>
      <c r="B92" s="9" t="s">
        <v>111</v>
      </c>
      <c r="C92" s="9" t="s">
        <v>113</v>
      </c>
      <c r="D92" s="1">
        <f t="shared" si="2"/>
        <v>82</v>
      </c>
      <c r="E92" s="273">
        <v>15</v>
      </c>
      <c r="F92" s="273"/>
      <c r="G92" s="273"/>
      <c r="H92" s="273"/>
      <c r="J92" s="273"/>
      <c r="K92" s="273"/>
      <c r="L92" s="273"/>
      <c r="M92" s="273">
        <v>2</v>
      </c>
      <c r="N92" s="273">
        <v>13</v>
      </c>
      <c r="O92" s="273">
        <v>20</v>
      </c>
      <c r="Q92">
        <v>8</v>
      </c>
      <c r="R92">
        <v>2</v>
      </c>
      <c r="U92">
        <v>11</v>
      </c>
      <c r="V92">
        <v>3</v>
      </c>
      <c r="Z92" s="273"/>
      <c r="AC92" s="273">
        <v>8</v>
      </c>
    </row>
    <row r="93" spans="1:29" x14ac:dyDescent="0.25">
      <c r="A93">
        <v>714000000</v>
      </c>
      <c r="B93" s="9" t="s">
        <v>111</v>
      </c>
      <c r="C93" s="9" t="s">
        <v>89</v>
      </c>
      <c r="D93" s="1">
        <f t="shared" si="2"/>
        <v>96</v>
      </c>
      <c r="L93">
        <v>96</v>
      </c>
    </row>
    <row r="94" spans="1:29" x14ac:dyDescent="0.25">
      <c r="A94">
        <v>716000000</v>
      </c>
      <c r="B94" s="7" t="s">
        <v>114</v>
      </c>
      <c r="C94" s="7" t="s">
        <v>115</v>
      </c>
      <c r="D94" s="1">
        <f t="shared" si="1"/>
        <v>44</v>
      </c>
      <c r="J94">
        <v>27</v>
      </c>
      <c r="W94">
        <v>17</v>
      </c>
      <c r="Z94" s="163"/>
      <c r="AB94" s="163"/>
      <c r="AC94" s="163"/>
    </row>
    <row r="95" spans="1:29" x14ac:dyDescent="0.25">
      <c r="A95">
        <v>716000000</v>
      </c>
      <c r="B95" s="9" t="s">
        <v>114</v>
      </c>
      <c r="C95" s="9" t="s">
        <v>116</v>
      </c>
      <c r="D95" s="1">
        <f t="shared" si="1"/>
        <v>90</v>
      </c>
      <c r="E95">
        <v>82</v>
      </c>
      <c r="H95">
        <v>8</v>
      </c>
      <c r="Z95" s="163"/>
      <c r="AB95" s="163"/>
      <c r="AC95" s="163"/>
    </row>
    <row r="96" spans="1:29" x14ac:dyDescent="0.25">
      <c r="A96">
        <v>716000000</v>
      </c>
      <c r="B96" s="7" t="s">
        <v>114</v>
      </c>
      <c r="C96" s="7" t="s">
        <v>100</v>
      </c>
      <c r="D96" s="1">
        <f t="shared" si="1"/>
        <v>186</v>
      </c>
      <c r="E96" s="276">
        <v>13</v>
      </c>
      <c r="F96" s="276">
        <v>134</v>
      </c>
      <c r="G96" s="276">
        <v>30</v>
      </c>
      <c r="J96" s="276">
        <v>9</v>
      </c>
      <c r="U96" s="276"/>
      <c r="Z96" s="277"/>
      <c r="AB96" s="277"/>
      <c r="AC96" s="277"/>
    </row>
    <row r="97" spans="1:29" x14ac:dyDescent="0.25">
      <c r="A97">
        <v>716000000</v>
      </c>
      <c r="B97" s="9" t="s">
        <v>114</v>
      </c>
      <c r="C97" s="9" t="s">
        <v>113</v>
      </c>
      <c r="D97" s="1">
        <f t="shared" si="1"/>
        <v>113</v>
      </c>
      <c r="E97">
        <v>37</v>
      </c>
      <c r="M97">
        <v>5</v>
      </c>
      <c r="N97">
        <v>13</v>
      </c>
      <c r="O97">
        <v>13</v>
      </c>
      <c r="R97">
        <v>25</v>
      </c>
      <c r="U97">
        <v>14</v>
      </c>
      <c r="Z97" s="163"/>
      <c r="AB97" s="163"/>
      <c r="AC97" s="163">
        <v>6</v>
      </c>
    </row>
    <row r="98" spans="1:29" x14ac:dyDescent="0.25">
      <c r="A98">
        <v>716000000</v>
      </c>
      <c r="B98" s="7" t="s">
        <v>114</v>
      </c>
      <c r="C98" s="7" t="s">
        <v>117</v>
      </c>
      <c r="D98" s="1">
        <f t="shared" si="1"/>
        <v>41</v>
      </c>
      <c r="E98">
        <v>15</v>
      </c>
      <c r="F98">
        <v>18</v>
      </c>
      <c r="L98">
        <v>8</v>
      </c>
      <c r="Z98" s="163"/>
      <c r="AB98" s="163"/>
      <c r="AC98" s="163"/>
    </row>
    <row r="99" spans="1:29" x14ac:dyDescent="0.25">
      <c r="A99">
        <v>717000000</v>
      </c>
      <c r="B99" s="9" t="s">
        <v>118</v>
      </c>
      <c r="C99" s="9" t="s">
        <v>119</v>
      </c>
      <c r="D99" s="1">
        <f t="shared" si="1"/>
        <v>78</v>
      </c>
      <c r="E99">
        <v>21</v>
      </c>
      <c r="J99">
        <v>5</v>
      </c>
      <c r="M99">
        <v>7</v>
      </c>
      <c r="N99">
        <v>15</v>
      </c>
      <c r="O99">
        <v>16</v>
      </c>
      <c r="R99">
        <v>14</v>
      </c>
    </row>
    <row r="100" spans="1:29" x14ac:dyDescent="0.25">
      <c r="A100">
        <v>717000000</v>
      </c>
      <c r="B100" s="7" t="s">
        <v>118</v>
      </c>
      <c r="C100" s="7" t="s">
        <v>120</v>
      </c>
      <c r="D100" s="1">
        <f t="shared" si="1"/>
        <v>69</v>
      </c>
      <c r="L100">
        <v>67</v>
      </c>
      <c r="O100">
        <v>2</v>
      </c>
    </row>
    <row r="101" spans="1:29" x14ac:dyDescent="0.25">
      <c r="A101">
        <v>717000000</v>
      </c>
      <c r="B101" s="9" t="s">
        <v>118</v>
      </c>
      <c r="C101" s="9" t="s">
        <v>121</v>
      </c>
      <c r="D101" s="1">
        <f t="shared" si="1"/>
        <v>24</v>
      </c>
      <c r="Z101">
        <v>24</v>
      </c>
    </row>
    <row r="102" spans="1:29" x14ac:dyDescent="0.25">
      <c r="A102">
        <v>717000000</v>
      </c>
      <c r="B102" s="7" t="s">
        <v>118</v>
      </c>
      <c r="C102" s="7" t="s">
        <v>100</v>
      </c>
      <c r="D102" s="1">
        <f t="shared" si="1"/>
        <v>161</v>
      </c>
      <c r="E102">
        <v>39</v>
      </c>
      <c r="F102">
        <v>51</v>
      </c>
      <c r="G102">
        <v>17</v>
      </c>
      <c r="H102">
        <v>18</v>
      </c>
      <c r="J102">
        <v>36</v>
      </c>
    </row>
    <row r="103" spans="1:29" x14ac:dyDescent="0.25">
      <c r="A103">
        <v>717000000</v>
      </c>
      <c r="B103" s="7" t="s">
        <v>118</v>
      </c>
      <c r="C103" s="7" t="s">
        <v>107</v>
      </c>
      <c r="D103" s="1">
        <f t="shared" si="1"/>
        <v>57</v>
      </c>
      <c r="E103">
        <v>57</v>
      </c>
    </row>
    <row r="104" spans="1:29" x14ac:dyDescent="0.25">
      <c r="A104">
        <v>717000000</v>
      </c>
      <c r="B104" s="7" t="s">
        <v>118</v>
      </c>
      <c r="C104" s="7" t="s">
        <v>122</v>
      </c>
      <c r="D104" s="1">
        <f t="shared" si="1"/>
        <v>74</v>
      </c>
      <c r="W104">
        <v>74</v>
      </c>
    </row>
    <row r="105" spans="1:29" x14ac:dyDescent="0.25">
      <c r="A105">
        <v>717000000</v>
      </c>
      <c r="B105" s="7" t="s">
        <v>118</v>
      </c>
      <c r="C105" s="7" t="s">
        <v>123</v>
      </c>
      <c r="D105" s="1">
        <f t="shared" si="1"/>
        <v>17</v>
      </c>
      <c r="F105">
        <v>11</v>
      </c>
      <c r="G105">
        <v>6</v>
      </c>
    </row>
    <row r="106" spans="1:29" x14ac:dyDescent="0.25">
      <c r="A106">
        <v>717000000</v>
      </c>
      <c r="B106" s="9" t="s">
        <v>118</v>
      </c>
      <c r="C106" s="9" t="s">
        <v>124</v>
      </c>
      <c r="D106" s="1">
        <f t="shared" si="1"/>
        <v>17</v>
      </c>
      <c r="F106">
        <v>10</v>
      </c>
      <c r="J106">
        <v>7</v>
      </c>
    </row>
    <row r="107" spans="1:29" x14ac:dyDescent="0.25">
      <c r="A107">
        <v>717000000</v>
      </c>
      <c r="B107" s="9" t="s">
        <v>118</v>
      </c>
      <c r="C107" s="9" t="s">
        <v>143</v>
      </c>
      <c r="D107" s="1">
        <f t="shared" si="1"/>
        <v>15</v>
      </c>
      <c r="F107">
        <v>15</v>
      </c>
    </row>
    <row r="108" spans="1:29" x14ac:dyDescent="0.25">
      <c r="A108">
        <v>717000000</v>
      </c>
      <c r="B108" s="9" t="s">
        <v>118</v>
      </c>
      <c r="C108" s="9" t="s">
        <v>144</v>
      </c>
      <c r="D108" s="1">
        <f t="shared" si="1"/>
        <v>10</v>
      </c>
      <c r="E108">
        <v>10</v>
      </c>
    </row>
    <row r="109" spans="1:29" x14ac:dyDescent="0.25">
      <c r="A109">
        <v>718000000</v>
      </c>
      <c r="B109" s="7" t="s">
        <v>125</v>
      </c>
      <c r="C109" s="7" t="s">
        <v>126</v>
      </c>
      <c r="D109" s="1">
        <f t="shared" si="1"/>
        <v>32</v>
      </c>
      <c r="H109">
        <v>32</v>
      </c>
    </row>
    <row r="110" spans="1:29" x14ac:dyDescent="0.25">
      <c r="A110">
        <v>718000000</v>
      </c>
      <c r="B110" s="9" t="s">
        <v>125</v>
      </c>
      <c r="C110" s="9" t="s">
        <v>127</v>
      </c>
      <c r="D110" s="1">
        <f t="shared" si="1"/>
        <v>33</v>
      </c>
      <c r="H110">
        <v>33</v>
      </c>
    </row>
    <row r="111" spans="1:29" x14ac:dyDescent="0.25">
      <c r="A111">
        <v>718000000</v>
      </c>
      <c r="B111" s="7" t="s">
        <v>125</v>
      </c>
      <c r="C111" s="7" t="s">
        <v>128</v>
      </c>
      <c r="D111" s="1">
        <f t="shared" si="1"/>
        <v>49</v>
      </c>
      <c r="H111">
        <v>49</v>
      </c>
    </row>
    <row r="112" spans="1:29" x14ac:dyDescent="0.25">
      <c r="A112">
        <v>719000000</v>
      </c>
      <c r="B112" s="7" t="s">
        <v>129</v>
      </c>
      <c r="C112" s="7" t="s">
        <v>130</v>
      </c>
      <c r="D112" s="1">
        <f t="shared" si="1"/>
        <v>26</v>
      </c>
      <c r="L112">
        <v>26</v>
      </c>
    </row>
    <row r="113" spans="1:29" x14ac:dyDescent="0.25">
      <c r="A113">
        <v>719000000</v>
      </c>
      <c r="B113" s="9" t="s">
        <v>129</v>
      </c>
      <c r="C113" s="9" t="s">
        <v>131</v>
      </c>
      <c r="D113" s="1">
        <f t="shared" si="1"/>
        <v>28</v>
      </c>
      <c r="W113">
        <v>28</v>
      </c>
    </row>
    <row r="114" spans="1:29" x14ac:dyDescent="0.25">
      <c r="A114">
        <v>719000000</v>
      </c>
      <c r="B114" s="9" t="s">
        <v>129</v>
      </c>
      <c r="C114" s="9" t="s">
        <v>132</v>
      </c>
      <c r="D114" s="1">
        <f t="shared" si="1"/>
        <v>20</v>
      </c>
      <c r="S114">
        <v>20</v>
      </c>
    </row>
    <row r="115" spans="1:29" x14ac:dyDescent="0.25">
      <c r="A115">
        <v>719000000</v>
      </c>
      <c r="B115" s="7" t="s">
        <v>129</v>
      </c>
      <c r="C115" s="7" t="s">
        <v>133</v>
      </c>
      <c r="D115" s="1">
        <f t="shared" si="1"/>
        <v>41</v>
      </c>
      <c r="Q115">
        <v>41</v>
      </c>
    </row>
    <row r="116" spans="1:29" x14ac:dyDescent="0.25">
      <c r="A116">
        <v>719000000</v>
      </c>
      <c r="B116" s="7" t="s">
        <v>129</v>
      </c>
      <c r="C116" s="7" t="s">
        <v>134</v>
      </c>
      <c r="D116" s="1">
        <f t="shared" si="1"/>
        <v>24</v>
      </c>
      <c r="S116">
        <v>24</v>
      </c>
    </row>
    <row r="117" spans="1:29" x14ac:dyDescent="0.25">
      <c r="A117">
        <v>719000000</v>
      </c>
      <c r="B117" s="7" t="s">
        <v>129</v>
      </c>
      <c r="C117" s="7" t="s">
        <v>145</v>
      </c>
      <c r="D117" s="1">
        <f t="shared" si="1"/>
        <v>7</v>
      </c>
      <c r="J117">
        <v>7</v>
      </c>
    </row>
    <row r="118" spans="1:29" x14ac:dyDescent="0.25">
      <c r="A118">
        <v>720000000</v>
      </c>
      <c r="B118" s="9" t="s">
        <v>135</v>
      </c>
      <c r="C118" s="9" t="s">
        <v>100</v>
      </c>
      <c r="D118" s="1">
        <f t="shared" si="1"/>
        <v>81</v>
      </c>
      <c r="E118">
        <v>6</v>
      </c>
      <c r="F118">
        <v>45</v>
      </c>
      <c r="G118">
        <v>20</v>
      </c>
      <c r="J118">
        <v>10</v>
      </c>
    </row>
    <row r="119" spans="1:29" x14ac:dyDescent="0.25">
      <c r="A119">
        <v>720000000</v>
      </c>
      <c r="B119" s="7" t="s">
        <v>135</v>
      </c>
      <c r="C119" s="7" t="s">
        <v>136</v>
      </c>
      <c r="D119" s="1">
        <f t="shared" si="1"/>
        <v>39</v>
      </c>
      <c r="J119">
        <v>39</v>
      </c>
    </row>
    <row r="120" spans="1:29" x14ac:dyDescent="0.25">
      <c r="A120">
        <v>720000000</v>
      </c>
      <c r="B120" s="9" t="s">
        <v>135</v>
      </c>
      <c r="C120" s="9" t="s">
        <v>137</v>
      </c>
      <c r="D120" s="1">
        <f t="shared" si="1"/>
        <v>85</v>
      </c>
      <c r="J120">
        <v>85</v>
      </c>
    </row>
    <row r="121" spans="1:29" x14ac:dyDescent="0.25">
      <c r="A121">
        <v>720000000</v>
      </c>
      <c r="B121" s="9" t="s">
        <v>135</v>
      </c>
      <c r="C121" s="9" t="s">
        <v>321</v>
      </c>
      <c r="D121" s="1">
        <f t="shared" si="1"/>
        <v>37</v>
      </c>
      <c r="F121">
        <v>2</v>
      </c>
      <c r="J121">
        <v>5</v>
      </c>
      <c r="Q121">
        <v>2</v>
      </c>
      <c r="V121">
        <v>1</v>
      </c>
      <c r="W121">
        <v>27</v>
      </c>
    </row>
    <row r="122" spans="1:29" x14ac:dyDescent="0.25">
      <c r="A122">
        <v>720000000</v>
      </c>
      <c r="B122" s="7" t="s">
        <v>135</v>
      </c>
      <c r="C122" s="7" t="s">
        <v>113</v>
      </c>
      <c r="D122" s="1">
        <f t="shared" si="1"/>
        <v>54</v>
      </c>
      <c r="F122">
        <v>3</v>
      </c>
      <c r="M122">
        <v>2</v>
      </c>
      <c r="O122">
        <v>6</v>
      </c>
      <c r="Q122">
        <v>21</v>
      </c>
      <c r="R122">
        <v>11</v>
      </c>
      <c r="U122">
        <v>10</v>
      </c>
      <c r="AC122">
        <v>1</v>
      </c>
    </row>
    <row r="123" spans="1:29" x14ac:dyDescent="0.25">
      <c r="A123">
        <v>720000000</v>
      </c>
      <c r="B123" s="9" t="s">
        <v>135</v>
      </c>
      <c r="C123" s="9" t="s">
        <v>322</v>
      </c>
      <c r="D123" s="1">
        <f t="shared" si="1"/>
        <v>10</v>
      </c>
      <c r="L123">
        <v>10</v>
      </c>
    </row>
    <row r="124" spans="1:29" x14ac:dyDescent="0.25">
      <c r="A124">
        <v>722000000</v>
      </c>
      <c r="B124" s="9" t="s">
        <v>138</v>
      </c>
      <c r="C124" s="9" t="s">
        <v>107</v>
      </c>
      <c r="D124" s="1">
        <f t="shared" si="1"/>
        <v>126</v>
      </c>
      <c r="E124">
        <v>46</v>
      </c>
      <c r="F124">
        <v>11</v>
      </c>
      <c r="H124">
        <v>14</v>
      </c>
      <c r="J124">
        <v>12</v>
      </c>
      <c r="L124">
        <v>12</v>
      </c>
      <c r="N124">
        <v>5</v>
      </c>
      <c r="O124">
        <v>1</v>
      </c>
      <c r="Q124">
        <v>4</v>
      </c>
      <c r="R124">
        <v>6</v>
      </c>
      <c r="U124">
        <v>5</v>
      </c>
      <c r="Z124">
        <v>6</v>
      </c>
      <c r="AC124">
        <v>4</v>
      </c>
    </row>
    <row r="125" spans="1:29" x14ac:dyDescent="0.25">
      <c r="A125">
        <v>722000000</v>
      </c>
      <c r="B125" s="7" t="s">
        <v>138</v>
      </c>
      <c r="C125" s="7" t="s">
        <v>108</v>
      </c>
      <c r="D125" s="1">
        <f t="shared" si="1"/>
        <v>40</v>
      </c>
      <c r="E125">
        <v>9</v>
      </c>
      <c r="F125">
        <v>21</v>
      </c>
      <c r="J125">
        <v>10</v>
      </c>
    </row>
    <row r="126" spans="1:29" x14ac:dyDescent="0.25">
      <c r="A126">
        <v>722000000</v>
      </c>
      <c r="B126" s="9" t="s">
        <v>138</v>
      </c>
      <c r="C126" s="9" t="s">
        <v>100</v>
      </c>
      <c r="D126" s="1">
        <f t="shared" si="1"/>
        <v>44</v>
      </c>
      <c r="E126">
        <v>30</v>
      </c>
      <c r="F126">
        <v>7</v>
      </c>
      <c r="J126">
        <v>7</v>
      </c>
    </row>
    <row r="127" spans="1:29" x14ac:dyDescent="0.25">
      <c r="A127">
        <v>722000000</v>
      </c>
      <c r="B127" s="7" t="s">
        <v>138</v>
      </c>
      <c r="C127" s="7" t="s">
        <v>131</v>
      </c>
      <c r="D127" s="1">
        <f t="shared" si="1"/>
        <v>41</v>
      </c>
      <c r="W127">
        <v>41</v>
      </c>
    </row>
    <row r="128" spans="1:29" x14ac:dyDescent="0.25">
      <c r="A128">
        <v>725000000</v>
      </c>
      <c r="B128" s="9" t="s">
        <v>139</v>
      </c>
      <c r="C128" s="9" t="s">
        <v>107</v>
      </c>
      <c r="D128" s="1">
        <f t="shared" si="1"/>
        <v>62</v>
      </c>
      <c r="E128">
        <v>53</v>
      </c>
      <c r="F128">
        <v>9</v>
      </c>
    </row>
    <row r="129" spans="1:29" x14ac:dyDescent="0.25">
      <c r="A129">
        <v>725000000</v>
      </c>
      <c r="B129" s="7" t="s">
        <v>139</v>
      </c>
      <c r="C129" s="7" t="s">
        <v>140</v>
      </c>
      <c r="D129" s="1">
        <f t="shared" si="1"/>
        <v>42</v>
      </c>
      <c r="L129">
        <v>18</v>
      </c>
      <c r="U129">
        <v>14</v>
      </c>
      <c r="AC129">
        <v>10</v>
      </c>
    </row>
    <row r="130" spans="1:29" x14ac:dyDescent="0.25">
      <c r="A130">
        <v>725000000</v>
      </c>
      <c r="B130" s="7" t="s">
        <v>139</v>
      </c>
      <c r="C130" s="7" t="s">
        <v>141</v>
      </c>
      <c r="D130" s="1">
        <f t="shared" si="1"/>
        <v>11</v>
      </c>
      <c r="F130">
        <v>11</v>
      </c>
    </row>
    <row r="131" spans="1:29" x14ac:dyDescent="0.25">
      <c r="A131"/>
      <c r="B131"/>
      <c r="C131"/>
      <c r="D131" s="1">
        <f>SUM(D3:D130)</f>
        <v>9652</v>
      </c>
    </row>
    <row r="132" spans="1:29" x14ac:dyDescent="0.25">
      <c r="A132"/>
      <c r="B132"/>
      <c r="C132"/>
      <c r="D132" s="1"/>
    </row>
    <row r="133" spans="1:29" ht="18.75" x14ac:dyDescent="0.3">
      <c r="A133"/>
      <c r="B133" s="14" t="s">
        <v>5</v>
      </c>
      <c r="C133"/>
      <c r="D133" s="1"/>
    </row>
    <row r="134" spans="1:29" ht="18.75" x14ac:dyDescent="0.3">
      <c r="A134"/>
      <c r="B134" s="14" t="s">
        <v>6</v>
      </c>
      <c r="C134"/>
      <c r="D134" s="1"/>
    </row>
    <row r="135" spans="1:29" ht="18.75" x14ac:dyDescent="0.3">
      <c r="A135"/>
      <c r="B135" s="14" t="s">
        <v>7</v>
      </c>
      <c r="C135"/>
      <c r="D135" s="1"/>
    </row>
    <row r="136" spans="1:29" ht="18.75" x14ac:dyDescent="0.3">
      <c r="A136"/>
      <c r="B136" s="14" t="s">
        <v>8</v>
      </c>
      <c r="C136"/>
      <c r="D136" s="1"/>
    </row>
    <row r="137" spans="1:29" ht="18.75" x14ac:dyDescent="0.3">
      <c r="A137"/>
      <c r="B137" s="14" t="s">
        <v>9</v>
      </c>
      <c r="C137"/>
      <c r="D137" s="1"/>
    </row>
    <row r="138" spans="1:29" ht="18.75" x14ac:dyDescent="0.3">
      <c r="A138"/>
      <c r="B138" s="14" t="s">
        <v>10</v>
      </c>
      <c r="C138"/>
      <c r="D138" s="1"/>
    </row>
    <row r="139" spans="1:29" ht="18.75" x14ac:dyDescent="0.3">
      <c r="A139"/>
      <c r="B139" s="14" t="s">
        <v>11</v>
      </c>
      <c r="C139"/>
      <c r="D139" s="1"/>
    </row>
    <row r="140" spans="1:29" ht="18.75" x14ac:dyDescent="0.3">
      <c r="A140"/>
      <c r="B140" s="14" t="s">
        <v>12</v>
      </c>
      <c r="C140"/>
      <c r="D140" s="1"/>
    </row>
    <row r="141" spans="1:29" ht="18.75" x14ac:dyDescent="0.3">
      <c r="A141"/>
      <c r="B141" s="14" t="s">
        <v>13</v>
      </c>
      <c r="C141"/>
      <c r="D141" s="1"/>
    </row>
    <row r="142" spans="1:29" ht="18.75" x14ac:dyDescent="0.3">
      <c r="A142"/>
      <c r="B142" s="14" t="s">
        <v>14</v>
      </c>
      <c r="C142"/>
      <c r="D142" s="1"/>
    </row>
    <row r="143" spans="1:29" ht="18.75" x14ac:dyDescent="0.3">
      <c r="A143"/>
      <c r="B143" s="14" t="s">
        <v>15</v>
      </c>
      <c r="C143"/>
      <c r="D143" s="1"/>
    </row>
    <row r="144" spans="1:29" ht="18.75" x14ac:dyDescent="0.3">
      <c r="A144"/>
      <c r="B144" s="14" t="s">
        <v>16</v>
      </c>
      <c r="C144"/>
      <c r="D144" s="1"/>
    </row>
    <row r="145" spans="1:4" ht="18.75" x14ac:dyDescent="0.3">
      <c r="A145"/>
      <c r="B145" s="14" t="s">
        <v>17</v>
      </c>
      <c r="C145"/>
      <c r="D145" s="1"/>
    </row>
    <row r="146" spans="1:4" ht="18.75" x14ac:dyDescent="0.3">
      <c r="A146"/>
      <c r="B146" s="14" t="s">
        <v>18</v>
      </c>
      <c r="C146"/>
      <c r="D146" s="1"/>
    </row>
    <row r="147" spans="1:4" ht="18.75" x14ac:dyDescent="0.3">
      <c r="A147"/>
      <c r="B147" s="14" t="s">
        <v>19</v>
      </c>
      <c r="C147"/>
      <c r="D147" s="1"/>
    </row>
    <row r="148" spans="1:4" ht="18.75" x14ac:dyDescent="0.3">
      <c r="A148"/>
      <c r="B148" s="14" t="s">
        <v>20</v>
      </c>
      <c r="C148"/>
      <c r="D148" s="1"/>
    </row>
    <row r="149" spans="1:4" ht="18.75" x14ac:dyDescent="0.3">
      <c r="A149"/>
      <c r="B149" s="14" t="s">
        <v>21</v>
      </c>
      <c r="C149"/>
      <c r="D149" s="1"/>
    </row>
    <row r="150" spans="1:4" ht="18.75" x14ac:dyDescent="0.3">
      <c r="A150"/>
      <c r="B150" s="14" t="s">
        <v>22</v>
      </c>
      <c r="C150"/>
      <c r="D150" s="1"/>
    </row>
    <row r="151" spans="1:4" ht="18.75" x14ac:dyDescent="0.3">
      <c r="A151"/>
      <c r="B151" s="14" t="s">
        <v>23</v>
      </c>
      <c r="C151"/>
      <c r="D151" s="1"/>
    </row>
    <row r="152" spans="1:4" ht="18.75" x14ac:dyDescent="0.3">
      <c r="A152"/>
      <c r="B152" s="14" t="s">
        <v>24</v>
      </c>
      <c r="C152"/>
      <c r="D152" s="1"/>
    </row>
    <row r="153" spans="1:4" ht="18.75" x14ac:dyDescent="0.3">
      <c r="A153"/>
      <c r="B153" s="14" t="s">
        <v>25</v>
      </c>
      <c r="C153"/>
      <c r="D153" s="1"/>
    </row>
    <row r="154" spans="1:4" ht="18.75" x14ac:dyDescent="0.3">
      <c r="A154"/>
      <c r="B154" s="14" t="s">
        <v>26</v>
      </c>
      <c r="C154"/>
      <c r="D154" s="1"/>
    </row>
    <row r="155" spans="1:4" ht="18.75" x14ac:dyDescent="0.3">
      <c r="A155"/>
      <c r="B155" s="14" t="s">
        <v>27</v>
      </c>
      <c r="C155"/>
      <c r="D155" s="1"/>
    </row>
    <row r="156" spans="1:4" ht="18.75" x14ac:dyDescent="0.3">
      <c r="A156"/>
      <c r="B156" s="14" t="s">
        <v>28</v>
      </c>
      <c r="C156"/>
      <c r="D156" s="1"/>
    </row>
    <row r="157" spans="1:4" ht="18.75" x14ac:dyDescent="0.3">
      <c r="A157"/>
      <c r="B157" s="14" t="s">
        <v>29</v>
      </c>
      <c r="C157"/>
      <c r="D157" s="1"/>
    </row>
  </sheetData>
  <dataValidations count="1">
    <dataValidation type="list" showInputMessage="1" showErrorMessage="1" sqref="E1:AC1">
      <formula1>$B$133:$B$157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36" sqref="A36"/>
    </sheetView>
  </sheetViews>
  <sheetFormatPr defaultRowHeight="15" x14ac:dyDescent="0.25"/>
  <cols>
    <col min="2" max="2" width="51.5703125" bestFit="1" customWidth="1"/>
  </cols>
  <sheetData>
    <row r="1" spans="1:3" x14ac:dyDescent="0.25">
      <c r="A1" s="149">
        <v>91</v>
      </c>
      <c r="B1" s="150" t="s">
        <v>13</v>
      </c>
      <c r="C1" s="151" t="s">
        <v>221</v>
      </c>
    </row>
    <row r="2" spans="1:3" x14ac:dyDescent="0.25">
      <c r="A2" s="149">
        <v>92</v>
      </c>
      <c r="B2" s="150" t="s">
        <v>14</v>
      </c>
      <c r="C2" s="151" t="s">
        <v>221</v>
      </c>
    </row>
    <row r="3" spans="1:3" x14ac:dyDescent="0.25">
      <c r="A3" s="149">
        <v>120</v>
      </c>
      <c r="B3" s="150" t="s">
        <v>17</v>
      </c>
      <c r="C3" s="151" t="s">
        <v>221</v>
      </c>
    </row>
    <row r="4" spans="1:3" x14ac:dyDescent="0.25">
      <c r="A4" s="149">
        <v>130</v>
      </c>
      <c r="B4" s="150" t="s">
        <v>18</v>
      </c>
      <c r="C4" s="151" t="s">
        <v>221</v>
      </c>
    </row>
    <row r="5" spans="1:3" x14ac:dyDescent="0.25">
      <c r="A5" s="149">
        <v>240</v>
      </c>
      <c r="B5" s="150" t="s">
        <v>29</v>
      </c>
      <c r="C5" s="151" t="s">
        <v>221</v>
      </c>
    </row>
    <row r="6" spans="1:3" x14ac:dyDescent="0.25">
      <c r="A6" s="149">
        <v>50</v>
      </c>
      <c r="B6" s="150" t="s">
        <v>9</v>
      </c>
      <c r="C6" s="152" t="s">
        <v>222</v>
      </c>
    </row>
    <row r="7" spans="1:3" x14ac:dyDescent="0.25">
      <c r="A7" s="149">
        <v>100</v>
      </c>
      <c r="B7" s="150" t="s">
        <v>15</v>
      </c>
      <c r="C7" s="152" t="s">
        <v>222</v>
      </c>
    </row>
    <row r="8" spans="1:3" x14ac:dyDescent="0.25">
      <c r="A8" s="149">
        <v>110</v>
      </c>
      <c r="B8" s="150" t="s">
        <v>16</v>
      </c>
      <c r="C8" s="152" t="s">
        <v>222</v>
      </c>
    </row>
    <row r="9" spans="1:3" x14ac:dyDescent="0.25">
      <c r="A9" s="149">
        <v>140</v>
      </c>
      <c r="B9" s="150" t="s">
        <v>19</v>
      </c>
      <c r="C9" s="152" t="s">
        <v>222</v>
      </c>
    </row>
    <row r="10" spans="1:3" x14ac:dyDescent="0.25">
      <c r="A10" s="149">
        <v>150</v>
      </c>
      <c r="B10" s="150" t="s">
        <v>20</v>
      </c>
      <c r="C10" s="152" t="s">
        <v>222</v>
      </c>
    </row>
    <row r="11" spans="1:3" x14ac:dyDescent="0.25">
      <c r="A11" s="149">
        <v>160</v>
      </c>
      <c r="B11" s="150" t="s">
        <v>21</v>
      </c>
      <c r="C11" s="152" t="s">
        <v>222</v>
      </c>
    </row>
    <row r="12" spans="1:3" x14ac:dyDescent="0.25">
      <c r="A12" s="149">
        <v>170</v>
      </c>
      <c r="B12" s="150" t="s">
        <v>22</v>
      </c>
      <c r="C12" s="152" t="s">
        <v>222</v>
      </c>
    </row>
    <row r="13" spans="1:3" x14ac:dyDescent="0.25">
      <c r="A13" s="149">
        <v>180</v>
      </c>
      <c r="B13" s="150" t="s">
        <v>23</v>
      </c>
      <c r="C13" s="153" t="s">
        <v>223</v>
      </c>
    </row>
    <row r="14" spans="1:3" x14ac:dyDescent="0.25">
      <c r="A14" s="149">
        <v>190</v>
      </c>
      <c r="B14" s="150" t="s">
        <v>24</v>
      </c>
      <c r="C14" s="154" t="s">
        <v>224</v>
      </c>
    </row>
    <row r="15" spans="1:3" x14ac:dyDescent="0.25">
      <c r="A15" s="149">
        <v>200</v>
      </c>
      <c r="B15" s="150" t="s">
        <v>25</v>
      </c>
      <c r="C15" s="154" t="s">
        <v>224</v>
      </c>
    </row>
    <row r="16" spans="1:3" x14ac:dyDescent="0.25">
      <c r="A16" s="149">
        <v>10</v>
      </c>
      <c r="B16" s="150" t="s">
        <v>5</v>
      </c>
      <c r="C16" s="155" t="s">
        <v>225</v>
      </c>
    </row>
    <row r="17" spans="1:3" x14ac:dyDescent="0.25">
      <c r="A17" s="149">
        <v>60</v>
      </c>
      <c r="B17" s="150" t="s">
        <v>10</v>
      </c>
      <c r="C17" s="155" t="s">
        <v>225</v>
      </c>
    </row>
    <row r="18" spans="1:3" x14ac:dyDescent="0.25">
      <c r="A18" s="149">
        <v>70</v>
      </c>
      <c r="B18" s="150" t="s">
        <v>11</v>
      </c>
      <c r="C18" s="155" t="s">
        <v>225</v>
      </c>
    </row>
    <row r="19" spans="1:3" x14ac:dyDescent="0.25">
      <c r="A19" s="149">
        <v>80</v>
      </c>
      <c r="B19" s="150" t="s">
        <v>12</v>
      </c>
      <c r="C19" s="155" t="s">
        <v>225</v>
      </c>
    </row>
    <row r="20" spans="1:3" x14ac:dyDescent="0.25">
      <c r="A20" s="149">
        <v>210</v>
      </c>
      <c r="B20" s="150" t="s">
        <v>26</v>
      </c>
      <c r="C20" s="155" t="s">
        <v>225</v>
      </c>
    </row>
    <row r="21" spans="1:3" x14ac:dyDescent="0.25">
      <c r="A21" s="149">
        <v>220</v>
      </c>
      <c r="B21" s="150" t="s">
        <v>27</v>
      </c>
      <c r="C21" s="152" t="s">
        <v>222</v>
      </c>
    </row>
    <row r="22" spans="1:3" x14ac:dyDescent="0.25">
      <c r="A22" s="149">
        <v>230</v>
      </c>
      <c r="B22" s="150" t="s">
        <v>28</v>
      </c>
      <c r="C22" s="155" t="s">
        <v>225</v>
      </c>
    </row>
    <row r="23" spans="1:3" x14ac:dyDescent="0.25">
      <c r="A23" s="149">
        <v>20</v>
      </c>
      <c r="B23" s="150" t="s">
        <v>6</v>
      </c>
      <c r="C23" s="150" t="s">
        <v>226</v>
      </c>
    </row>
    <row r="24" spans="1:3" x14ac:dyDescent="0.25">
      <c r="A24" s="149">
        <v>30</v>
      </c>
      <c r="B24" s="150" t="s">
        <v>7</v>
      </c>
      <c r="C24" s="150" t="s">
        <v>226</v>
      </c>
    </row>
    <row r="25" spans="1:3" x14ac:dyDescent="0.25">
      <c r="A25" s="149">
        <v>40</v>
      </c>
      <c r="B25" s="150" t="s">
        <v>8</v>
      </c>
      <c r="C25" s="150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7"/>
  <sheetViews>
    <sheetView workbookViewId="0">
      <pane ySplit="2" topLeftCell="A3" activePane="bottomLeft" state="frozen"/>
      <selection pane="bottomLeft" activeCell="Z2" sqref="Z2"/>
    </sheetView>
  </sheetViews>
  <sheetFormatPr defaultColWidth="8.7109375" defaultRowHeight="15" x14ac:dyDescent="0.25"/>
  <cols>
    <col min="1" max="1" width="48" bestFit="1" customWidth="1"/>
    <col min="2" max="2" width="56.140625" bestFit="1" customWidth="1"/>
    <col min="3" max="3" width="6.140625" style="1" bestFit="1" customWidth="1"/>
    <col min="4" max="4" width="7.5703125" hidden="1" customWidth="1"/>
    <col min="5" max="5" width="8.7109375" hidden="1" customWidth="1"/>
    <col min="6" max="6" width="17.140625" hidden="1" customWidth="1"/>
    <col min="7" max="7" width="8.7109375" hidden="1" customWidth="1"/>
    <col min="8" max="8" width="13.42578125" hidden="1" customWidth="1"/>
    <col min="9" max="9" width="13.28515625" hidden="1" customWidth="1"/>
    <col min="10" max="10" width="14.28515625" hidden="1" customWidth="1"/>
    <col min="11" max="12" width="16.28515625" hidden="1" customWidth="1"/>
    <col min="13" max="14" width="13.85546875" hidden="1" customWidth="1"/>
    <col min="15" max="15" width="20.140625" hidden="1" customWidth="1"/>
    <col min="16" max="16" width="20" hidden="1" customWidth="1"/>
    <col min="17" max="18" width="14.7109375" hidden="1" customWidth="1"/>
    <col min="19" max="20" width="13.85546875" hidden="1" customWidth="1"/>
    <col min="21" max="22" width="14" hidden="1" customWidth="1"/>
    <col min="23" max="23" width="16.85546875" hidden="1" customWidth="1"/>
    <col min="24" max="24" width="14.140625" hidden="1" customWidth="1"/>
    <col min="25" max="26" width="14.140625" style="16" customWidth="1"/>
    <col min="27" max="27" width="15.5703125" bestFit="1" customWidth="1"/>
    <col min="28" max="28" width="11.42578125" hidden="1" customWidth="1"/>
    <col min="29" max="29" width="12.85546875" bestFit="1" customWidth="1"/>
    <col min="30" max="30" width="12.85546875" hidden="1" customWidth="1"/>
    <col min="31" max="32" width="12.7109375" hidden="1" customWidth="1"/>
    <col min="33" max="33" width="12.7109375" customWidth="1"/>
    <col min="34" max="34" width="19.140625" hidden="1" customWidth="1"/>
    <col min="35" max="35" width="13.85546875" hidden="1" customWidth="1"/>
    <col min="36" max="37" width="13.85546875" customWidth="1"/>
    <col min="38" max="38" width="19.5703125" hidden="1" customWidth="1"/>
    <col min="39" max="39" width="11.140625" hidden="1" customWidth="1"/>
    <col min="40" max="40" width="9.7109375" hidden="1" customWidth="1"/>
    <col min="41" max="41" width="16.42578125" bestFit="1" customWidth="1"/>
    <col min="42" max="42" width="12.140625" hidden="1" customWidth="1"/>
    <col min="43" max="43" width="11.28515625" hidden="1" customWidth="1"/>
    <col min="44" max="44" width="18.85546875" style="16" bestFit="1" customWidth="1"/>
    <col min="45" max="45" width="11.85546875" hidden="1" customWidth="1"/>
    <col min="46" max="46" width="12.28515625" bestFit="1" customWidth="1"/>
    <col min="47" max="47" width="10" hidden="1" customWidth="1"/>
    <col min="48" max="48" width="16" bestFit="1" customWidth="1"/>
    <col min="49" max="49" width="7.7109375" hidden="1" customWidth="1"/>
    <col min="50" max="50" width="14.28515625" hidden="1" customWidth="1"/>
    <col min="51" max="51" width="14.28515625" customWidth="1"/>
    <col min="52" max="52" width="11" bestFit="1" customWidth="1"/>
    <col min="53" max="53" width="12" bestFit="1" customWidth="1"/>
    <col min="54" max="54" width="10.85546875" customWidth="1"/>
    <col min="55" max="55" width="15" hidden="1" customWidth="1"/>
    <col min="56" max="56" width="12" hidden="1" customWidth="1"/>
    <col min="57" max="57" width="15.7109375" hidden="1" customWidth="1"/>
    <col min="58" max="58" width="12.85546875" hidden="1" customWidth="1"/>
    <col min="59" max="59" width="20.5703125" hidden="1" customWidth="1"/>
    <col min="60" max="60" width="12.5703125" hidden="1" customWidth="1"/>
    <col min="61" max="61" width="9.5703125" hidden="1" customWidth="1"/>
    <col min="62" max="62" width="15.85546875" bestFit="1" customWidth="1"/>
    <col min="63" max="63" width="11.7109375" hidden="1" customWidth="1"/>
    <col min="64" max="67" width="11.7109375" customWidth="1"/>
    <col min="68" max="68" width="11.7109375" style="16" customWidth="1"/>
    <col min="69" max="69" width="14.85546875" bestFit="1" customWidth="1"/>
    <col min="70" max="70" width="0" hidden="1" customWidth="1"/>
    <col min="71" max="71" width="15.5703125" bestFit="1" customWidth="1"/>
    <col min="72" max="72" width="6.85546875" hidden="1" customWidth="1"/>
    <col min="73" max="73" width="15.5703125" hidden="1" customWidth="1"/>
    <col min="74" max="74" width="13.85546875" bestFit="1" customWidth="1"/>
  </cols>
  <sheetData>
    <row r="1" spans="1:74" ht="45" x14ac:dyDescent="0.25">
      <c r="C1" s="2" t="s">
        <v>142</v>
      </c>
      <c r="D1" s="4" t="s">
        <v>13</v>
      </c>
      <c r="E1" s="4" t="s">
        <v>14</v>
      </c>
      <c r="F1" s="4" t="s">
        <v>17</v>
      </c>
      <c r="G1" s="4" t="s">
        <v>18</v>
      </c>
      <c r="H1" s="4" t="s">
        <v>29</v>
      </c>
      <c r="I1" s="85" t="s">
        <v>156</v>
      </c>
      <c r="J1" s="86" t="s">
        <v>156</v>
      </c>
      <c r="K1" s="87" t="s">
        <v>150</v>
      </c>
      <c r="L1" s="87" t="s">
        <v>150</v>
      </c>
      <c r="M1" s="88"/>
      <c r="N1" s="89"/>
      <c r="O1" s="19"/>
      <c r="P1" s="21" t="s">
        <v>151</v>
      </c>
      <c r="Q1" s="21"/>
      <c r="R1" s="21"/>
      <c r="S1" s="21"/>
      <c r="T1" s="21"/>
      <c r="U1" s="21"/>
      <c r="V1" s="21"/>
      <c r="W1" s="21"/>
      <c r="AM1" s="66"/>
      <c r="AQ1" t="s">
        <v>176</v>
      </c>
      <c r="AS1" t="s">
        <v>177</v>
      </c>
      <c r="AT1" s="208" t="s">
        <v>292</v>
      </c>
    </row>
    <row r="2" spans="1:74" x14ac:dyDescent="0.25">
      <c r="A2" s="84" t="s">
        <v>0</v>
      </c>
      <c r="B2" s="84" t="s">
        <v>1</v>
      </c>
      <c r="C2" s="6">
        <v>2019</v>
      </c>
      <c r="I2" s="90" t="s">
        <v>181</v>
      </c>
      <c r="J2" s="91" t="s">
        <v>182</v>
      </c>
      <c r="K2" s="91" t="s">
        <v>184</v>
      </c>
      <c r="L2" s="91" t="s">
        <v>183</v>
      </c>
      <c r="M2" s="92" t="s">
        <v>185</v>
      </c>
      <c r="N2" s="93" t="s">
        <v>186</v>
      </c>
      <c r="O2" s="1" t="s">
        <v>168</v>
      </c>
      <c r="P2" s="1" t="s">
        <v>167</v>
      </c>
      <c r="Q2" s="1" t="s">
        <v>187</v>
      </c>
      <c r="R2" s="1" t="s">
        <v>188</v>
      </c>
      <c r="S2" s="1" t="s">
        <v>185</v>
      </c>
      <c r="T2" s="1" t="s">
        <v>186</v>
      </c>
      <c r="U2" s="1" t="s">
        <v>172</v>
      </c>
      <c r="V2" s="1" t="s">
        <v>173</v>
      </c>
      <c r="W2" s="1" t="s">
        <v>171</v>
      </c>
      <c r="X2" s="1" t="s">
        <v>170</v>
      </c>
      <c r="Y2" s="62" t="s">
        <v>342</v>
      </c>
      <c r="Z2" s="62" t="s">
        <v>370</v>
      </c>
      <c r="AA2" s="1" t="s">
        <v>291</v>
      </c>
      <c r="AB2" s="145" t="s">
        <v>155</v>
      </c>
      <c r="AC2" s="145" t="s">
        <v>246</v>
      </c>
      <c r="AD2" s="216" t="s">
        <v>295</v>
      </c>
      <c r="AE2" s="1" t="s">
        <v>218</v>
      </c>
      <c r="AF2" s="1" t="s">
        <v>175</v>
      </c>
      <c r="AG2" s="1" t="s">
        <v>411</v>
      </c>
      <c r="AH2" s="1" t="s">
        <v>294</v>
      </c>
      <c r="AI2" s="1" t="s">
        <v>179</v>
      </c>
      <c r="AJ2" s="1" t="s">
        <v>409</v>
      </c>
      <c r="AK2" s="1" t="s">
        <v>408</v>
      </c>
      <c r="AL2" s="1" t="s">
        <v>293</v>
      </c>
      <c r="AM2" s="1" t="s">
        <v>160</v>
      </c>
      <c r="AN2" s="1" t="s">
        <v>169</v>
      </c>
      <c r="AO2" s="1" t="s">
        <v>406</v>
      </c>
      <c r="AP2" s="16"/>
      <c r="AQ2" s="51">
        <v>5.694</v>
      </c>
      <c r="AS2" s="25">
        <f>SUM(W3,W4,W11,W21,W27)</f>
        <v>6.1056793774613727</v>
      </c>
      <c r="AT2" s="25">
        <f>SUM(AA3,AA4,AA11,AA21,AA27)</f>
        <v>6.4116592845170466</v>
      </c>
      <c r="AU2" s="1" t="s">
        <v>227</v>
      </c>
      <c r="AV2" s="1" t="s">
        <v>247</v>
      </c>
      <c r="AW2" s="1" t="s">
        <v>240</v>
      </c>
      <c r="AX2" s="1" t="s">
        <v>228</v>
      </c>
      <c r="AY2" s="1" t="s">
        <v>371</v>
      </c>
      <c r="AZ2" s="1" t="s">
        <v>364</v>
      </c>
      <c r="BA2" s="1" t="s">
        <v>365</v>
      </c>
      <c r="BB2" s="1" t="s">
        <v>366</v>
      </c>
      <c r="BC2" s="1" t="s">
        <v>241</v>
      </c>
      <c r="BD2" s="1" t="s">
        <v>229</v>
      </c>
      <c r="BE2" s="1" t="s">
        <v>242</v>
      </c>
      <c r="BF2" s="1" t="s">
        <v>230</v>
      </c>
      <c r="BG2" s="1" t="s">
        <v>271</v>
      </c>
      <c r="BH2" s="1" t="s">
        <v>287</v>
      </c>
      <c r="BI2" s="1" t="s">
        <v>231</v>
      </c>
      <c r="BJ2" s="1" t="s">
        <v>281</v>
      </c>
      <c r="BK2" s="1" t="s">
        <v>232</v>
      </c>
      <c r="BL2" s="1" t="s">
        <v>367</v>
      </c>
      <c r="BM2" s="1" t="s">
        <v>368</v>
      </c>
      <c r="BN2" s="1" t="s">
        <v>369</v>
      </c>
      <c r="BO2" s="1" t="s">
        <v>373</v>
      </c>
      <c r="BP2" s="62" t="s">
        <v>370</v>
      </c>
      <c r="BQ2" s="1" t="s">
        <v>288</v>
      </c>
      <c r="BR2" s="1" t="s">
        <v>233</v>
      </c>
      <c r="BS2" s="1" t="s">
        <v>289</v>
      </c>
      <c r="BT2" s="1" t="s">
        <v>234</v>
      </c>
      <c r="BU2" s="1" t="s">
        <v>270</v>
      </c>
      <c r="BV2" s="1" t="s">
        <v>290</v>
      </c>
    </row>
    <row r="3" spans="1:74" x14ac:dyDescent="0.25">
      <c r="A3" s="9" t="s">
        <v>3</v>
      </c>
      <c r="B3" s="9" t="s">
        <v>34</v>
      </c>
      <c r="C3" s="1">
        <f t="shared" ref="C3:C30" si="0">SUM(D3:H3)</f>
        <v>288</v>
      </c>
      <c r="D3" s="8">
        <v>0</v>
      </c>
      <c r="E3" s="8">
        <v>110</v>
      </c>
      <c r="F3" s="8">
        <v>83</v>
      </c>
      <c r="G3" s="8">
        <v>95</v>
      </c>
      <c r="H3" s="8">
        <v>0</v>
      </c>
      <c r="I3" s="94">
        <v>2936.5</v>
      </c>
      <c r="J3" s="15">
        <v>2737.5</v>
      </c>
      <c r="K3" s="95">
        <f t="shared" ref="K3:K13" si="1">I3/C3</f>
        <v>10.196180555555555</v>
      </c>
      <c r="L3" s="96">
        <v>9.5052083333333339</v>
      </c>
      <c r="M3" s="96" t="e">
        <f>L3/L33</f>
        <v>#DIV/0!</v>
      </c>
      <c r="N3" s="97" t="e">
        <f>K3/K33</f>
        <v>#DIV/0!</v>
      </c>
      <c r="O3" s="34">
        <v>961782</v>
      </c>
      <c r="P3" s="34">
        <v>1449596</v>
      </c>
      <c r="Q3" s="34">
        <f t="shared" ref="Q3:Q31" si="2">O3/C3</f>
        <v>3339.5208333333335</v>
      </c>
      <c r="R3" s="77">
        <f t="shared" ref="R3:R31" si="3">P3/C3</f>
        <v>5033.3194444444443</v>
      </c>
      <c r="S3" s="23" t="e">
        <f>R3/R33</f>
        <v>#DIV/0!</v>
      </c>
      <c r="T3" s="23" t="e">
        <f>Q3/Q33</f>
        <v>#DIV/0!</v>
      </c>
      <c r="U3" s="23" t="e">
        <f t="shared" ref="U3:U30" si="4">((0.6*M3)+(0.4*S3))</f>
        <v>#DIV/0!</v>
      </c>
      <c r="V3" s="23" t="e">
        <f t="shared" ref="V3:V30" si="5">((0.6*N3)+(0.4*T3))</f>
        <v>#DIV/0!</v>
      </c>
      <c r="W3" s="25">
        <f t="shared" ref="W3:W12" si="6">(0.6*BG3)+(0.4*BU3)</f>
        <v>1.0455669568435033</v>
      </c>
      <c r="X3" s="27">
        <v>0.251</v>
      </c>
      <c r="Y3" s="221">
        <v>296</v>
      </c>
      <c r="Z3" s="25">
        <v>0.78231720936306037</v>
      </c>
      <c r="AA3" s="25">
        <f t="shared" ref="AA3:AA12" si="7">(0.6*BH3)+(0.4*BV3)</f>
        <v>1.2046832722348724</v>
      </c>
      <c r="AB3" s="67">
        <f>AE3*AP$5</f>
        <v>1879063.0002380526</v>
      </c>
      <c r="AC3" s="67">
        <f>(AH3*AR$5)</f>
        <v>2038303.801940578</v>
      </c>
      <c r="AD3" s="147">
        <f>AC3-AB3</f>
        <v>159240.80170252547</v>
      </c>
      <c r="AE3" s="67">
        <f>C3*AI3</f>
        <v>49.318554898657382</v>
      </c>
      <c r="AF3" s="74">
        <f>X3/AQ2</f>
        <v>4.4081489286968742E-2</v>
      </c>
      <c r="AG3" s="67">
        <f>AJ3*AR$8</f>
        <v>1450407.5796719529</v>
      </c>
      <c r="AH3" s="211">
        <f>C3*AL3</f>
        <v>54.112167694477996</v>
      </c>
      <c r="AI3" s="74">
        <f>W3/AS$2</f>
        <v>0.1712449822870048</v>
      </c>
      <c r="AJ3" s="74">
        <f>Y3*AK3</f>
        <v>35.074631476758967</v>
      </c>
      <c r="AK3" s="74">
        <f>Z3/AT$5</f>
        <v>0.11849537661067219</v>
      </c>
      <c r="AL3" s="74">
        <f>AA3/AT$2</f>
        <v>0.18788947116138194</v>
      </c>
      <c r="AM3" s="140">
        <v>5749355.4246362345</v>
      </c>
      <c r="AN3" s="51">
        <v>868</v>
      </c>
      <c r="AO3" s="140">
        <v>5859135.9433210781</v>
      </c>
      <c r="AP3" s="58"/>
      <c r="AU3">
        <v>5873</v>
      </c>
      <c r="AV3">
        <v>5901</v>
      </c>
      <c r="AW3">
        <f>AU3-AV3</f>
        <v>-28</v>
      </c>
      <c r="AX3">
        <v>1762</v>
      </c>
      <c r="AY3">
        <v>6907</v>
      </c>
      <c r="AZ3">
        <v>5043</v>
      </c>
      <c r="BA3">
        <f>AY3-AZ3</f>
        <v>1864</v>
      </c>
      <c r="BB3" s="25">
        <f>(BA3-BA$31)/BA$32</f>
        <v>1.5231487928290113</v>
      </c>
      <c r="BC3" s="119">
        <v>1651.14564</v>
      </c>
      <c r="BD3">
        <f>AU3-AX3</f>
        <v>4111</v>
      </c>
      <c r="BE3" s="119">
        <f>AV3-BC3</f>
        <v>4249.8543600000003</v>
      </c>
      <c r="BF3" s="23">
        <v>1.99207</v>
      </c>
      <c r="BG3" s="23">
        <f t="shared" ref="BG3:BH6" si="8">(BD3-BD$32)/BD$33</f>
        <v>1.9919306306901519</v>
      </c>
      <c r="BH3" s="23">
        <f t="shared" si="8"/>
        <v>2.0216115342390744</v>
      </c>
      <c r="BI3" s="34">
        <v>961782</v>
      </c>
      <c r="BJ3" s="77">
        <v>961781.45</v>
      </c>
      <c r="BK3" s="119">
        <v>1138904.93</v>
      </c>
      <c r="BL3" s="34">
        <v>1327285</v>
      </c>
      <c r="BM3" s="34">
        <f t="shared" ref="BM3:BM14" si="9">Y3*BL$34</f>
        <v>1459872.2960000001</v>
      </c>
      <c r="BN3" s="34">
        <f>BL3-BM3</f>
        <v>-132587.29600000009</v>
      </c>
      <c r="BO3" s="36">
        <f>(BN3-BN$31)/BN$32</f>
        <v>-0.32893016583586593</v>
      </c>
      <c r="BP3" s="231">
        <f>(0.6*BB3)+(0.4*BO3)</f>
        <v>0.78231720936306037</v>
      </c>
      <c r="BQ3" s="34">
        <v>978364.31</v>
      </c>
      <c r="BR3" s="119">
        <f>BI3-BK3</f>
        <v>-177122.92999999993</v>
      </c>
      <c r="BS3" s="119">
        <f>BJ3-BQ3</f>
        <v>-16582.860000000102</v>
      </c>
      <c r="BT3" s="23">
        <v>-0.37397999999999998</v>
      </c>
      <c r="BU3" s="23">
        <f t="shared" ref="BU3:BV6" si="10">(BR3-BR$32)/BR$33</f>
        <v>-0.37397855392646934</v>
      </c>
      <c r="BV3" s="23">
        <f t="shared" si="10"/>
        <v>-2.0709120771430351E-2</v>
      </c>
    </row>
    <row r="4" spans="1:74" x14ac:dyDescent="0.25">
      <c r="A4" s="9" t="s">
        <v>3</v>
      </c>
      <c r="B4" s="9" t="s">
        <v>35</v>
      </c>
      <c r="C4" s="1">
        <f t="shared" si="0"/>
        <v>178</v>
      </c>
      <c r="D4" s="8">
        <v>113</v>
      </c>
      <c r="E4" s="8">
        <v>0</v>
      </c>
      <c r="F4" s="8">
        <v>0</v>
      </c>
      <c r="G4" s="8">
        <v>0</v>
      </c>
      <c r="H4" s="8">
        <v>65</v>
      </c>
      <c r="I4" s="94">
        <v>3395</v>
      </c>
      <c r="J4" s="15">
        <v>3794.5</v>
      </c>
      <c r="K4" s="95">
        <f t="shared" si="1"/>
        <v>19.073033707865168</v>
      </c>
      <c r="L4" s="98">
        <v>21.317415730337078</v>
      </c>
      <c r="M4" s="98" t="e">
        <f>L4/L33</f>
        <v>#DIV/0!</v>
      </c>
      <c r="N4" s="97" t="e">
        <f>K4/K33</f>
        <v>#DIV/0!</v>
      </c>
      <c r="O4" s="77">
        <v>1326752</v>
      </c>
      <c r="P4" s="34">
        <v>1501496</v>
      </c>
      <c r="Q4" s="34">
        <f t="shared" si="2"/>
        <v>7453.6629213483147</v>
      </c>
      <c r="R4" s="77">
        <f t="shared" si="3"/>
        <v>8435.3707865168544</v>
      </c>
      <c r="S4" s="23" t="e">
        <f>R4/R33</f>
        <v>#DIV/0!</v>
      </c>
      <c r="T4" s="23" t="e">
        <f>Q4/Q33</f>
        <v>#DIV/0!</v>
      </c>
      <c r="U4" s="23" t="e">
        <f t="shared" si="4"/>
        <v>#DIV/0!</v>
      </c>
      <c r="V4" s="23" t="e">
        <f t="shared" si="5"/>
        <v>#DIV/0!</v>
      </c>
      <c r="W4" s="25">
        <f t="shared" si="6"/>
        <v>2.3348097947911035</v>
      </c>
      <c r="X4" s="27">
        <v>3.2770000000000001</v>
      </c>
      <c r="Y4" s="221">
        <v>174</v>
      </c>
      <c r="Z4" s="25">
        <v>2.454213660680268</v>
      </c>
      <c r="AA4" s="25">
        <f t="shared" si="7"/>
        <v>2.3717103177093106</v>
      </c>
      <c r="AB4" s="67">
        <f>AE4*AP$5</f>
        <v>2593394.064319998</v>
      </c>
      <c r="AC4" s="67">
        <f>(AH4*AR$5)</f>
        <v>2480191.370343117</v>
      </c>
      <c r="AD4" s="147">
        <f>AC4-AB4</f>
        <v>-113202.69397688098</v>
      </c>
      <c r="AE4" s="67">
        <f>C4*AI4</f>
        <v>68.067141718406702</v>
      </c>
      <c r="AF4" s="74">
        <f>X4/AQ2</f>
        <v>0.57551808921671943</v>
      </c>
      <c r="AG4" s="67">
        <f>AJ4*AR$8</f>
        <v>2674712.3508098731</v>
      </c>
      <c r="AH4" s="211">
        <f>C4*AL4</f>
        <v>65.8432424149089</v>
      </c>
      <c r="AI4" s="74">
        <f>W4/AS$2</f>
        <v>0.38239967257531854</v>
      </c>
      <c r="AJ4" s="74">
        <f>Y4*AK4</f>
        <v>64.681508374501547</v>
      </c>
      <c r="AK4" s="74">
        <f>Z4/AT$5</f>
        <v>0.37173280675000892</v>
      </c>
      <c r="AL4" s="74">
        <f>AA4/AT$2</f>
        <v>0.36990585626353317</v>
      </c>
      <c r="AN4" s="26"/>
      <c r="AO4" s="26"/>
      <c r="AP4" s="39" t="s">
        <v>180</v>
      </c>
      <c r="AR4" s="83" t="s">
        <v>277</v>
      </c>
      <c r="AT4" s="237" t="s">
        <v>341</v>
      </c>
      <c r="AU4">
        <v>6790</v>
      </c>
      <c r="AV4">
        <v>6806</v>
      </c>
      <c r="AW4">
        <f t="shared" ref="AW4:AW31" si="11">AU4-AV4</f>
        <v>-16</v>
      </c>
      <c r="AX4">
        <v>1089</v>
      </c>
      <c r="AY4">
        <v>6455</v>
      </c>
      <c r="AZ4">
        <v>2965</v>
      </c>
      <c r="BA4">
        <f t="shared" ref="BA4:BA14" si="12">AY4-AZ4</f>
        <v>3490</v>
      </c>
      <c r="BB4" s="25">
        <f t="shared" ref="BB4:BB30" si="13">(BA4-BA$31)/BA$32</f>
        <v>3.1861138067159076</v>
      </c>
      <c r="BC4" s="119">
        <v>1020.49973</v>
      </c>
      <c r="BD4">
        <f t="shared" ref="BD4:BD30" si="14">AU4-AX4</f>
        <v>5701</v>
      </c>
      <c r="BE4" s="119">
        <f t="shared" ref="BE4:BE30" si="15">AV4-BC4</f>
        <v>5785.5002700000005</v>
      </c>
      <c r="BF4" s="23">
        <v>2.9653700000000001</v>
      </c>
      <c r="BG4" s="23">
        <f t="shared" si="8"/>
        <v>2.965346172990329</v>
      </c>
      <c r="BH4" s="23">
        <f t="shared" si="8"/>
        <v>2.9436772244139351</v>
      </c>
      <c r="BI4" s="34">
        <v>1326752</v>
      </c>
      <c r="BJ4" s="77">
        <v>1326752.1200000001</v>
      </c>
      <c r="BK4" s="119">
        <v>730155.01</v>
      </c>
      <c r="BL4" s="34">
        <v>1431891</v>
      </c>
      <c r="BM4" s="34">
        <f t="shared" si="9"/>
        <v>858168.174</v>
      </c>
      <c r="BN4" s="34">
        <f t="shared" ref="BN4:BN14" si="16">BL4-BM4</f>
        <v>573722.826</v>
      </c>
      <c r="BO4" s="231">
        <f t="shared" ref="BO4:BO14" si="17">(BN4-BN$31)/BN$32</f>
        <v>1.3563634416268082</v>
      </c>
      <c r="BP4" s="231">
        <f t="shared" ref="BP4:BP14" si="18">(0.6*BB4)+(0.4*BO4)</f>
        <v>2.454213660680268</v>
      </c>
      <c r="BQ4" s="34">
        <v>669840.06000000006</v>
      </c>
      <c r="BR4" s="119">
        <f t="shared" ref="BR4:BR30" si="19">BI4-BK4</f>
        <v>596596.99</v>
      </c>
      <c r="BS4" s="119">
        <f t="shared" ref="BS4:BS30" si="20">BJ4-BQ4</f>
        <v>656912.06000000006</v>
      </c>
      <c r="BT4" s="23">
        <v>1.3890100000000001</v>
      </c>
      <c r="BU4" s="23">
        <f t="shared" si="10"/>
        <v>1.3890052274922657</v>
      </c>
      <c r="BV4" s="23">
        <f t="shared" si="10"/>
        <v>1.5137599576523739</v>
      </c>
    </row>
    <row r="5" spans="1:74" x14ac:dyDescent="0.25">
      <c r="A5" s="9" t="s">
        <v>3</v>
      </c>
      <c r="B5" s="9" t="s">
        <v>36</v>
      </c>
      <c r="C5" s="1">
        <f t="shared" si="0"/>
        <v>35</v>
      </c>
      <c r="D5" s="8">
        <v>0</v>
      </c>
      <c r="E5" s="8">
        <v>0</v>
      </c>
      <c r="F5" s="8">
        <v>0</v>
      </c>
      <c r="G5" s="8">
        <v>35</v>
      </c>
      <c r="H5" s="8">
        <v>0</v>
      </c>
      <c r="I5" s="94">
        <v>73</v>
      </c>
      <c r="J5" s="15">
        <v>62</v>
      </c>
      <c r="K5" s="95">
        <f t="shared" si="1"/>
        <v>2.0857142857142859</v>
      </c>
      <c r="L5" s="98">
        <v>1.7714285714285714</v>
      </c>
      <c r="M5" s="98" t="e">
        <f>L5/L33</f>
        <v>#DIV/0!</v>
      </c>
      <c r="N5" s="99" t="e">
        <f>K5/K33</f>
        <v>#DIV/0!</v>
      </c>
      <c r="O5" s="77">
        <v>0</v>
      </c>
      <c r="P5" s="34">
        <v>0</v>
      </c>
      <c r="Q5" s="34">
        <f t="shared" si="2"/>
        <v>0</v>
      </c>
      <c r="R5" s="77">
        <f t="shared" si="3"/>
        <v>0</v>
      </c>
      <c r="S5" s="23" t="e">
        <f>R5/R33</f>
        <v>#DIV/0!</v>
      </c>
      <c r="T5" s="23" t="e">
        <f>Q5/Q33</f>
        <v>#DIV/0!</v>
      </c>
      <c r="U5" s="23" t="e">
        <f t="shared" si="4"/>
        <v>#DIV/0!</v>
      </c>
      <c r="V5" s="23" t="e">
        <f t="shared" si="5"/>
        <v>#DIV/0!</v>
      </c>
      <c r="W5" s="26">
        <f t="shared" si="6"/>
        <v>-0.47467815321282991</v>
      </c>
      <c r="X5" s="23">
        <v>-1.0089999999999999</v>
      </c>
      <c r="Y5" s="221">
        <v>33</v>
      </c>
      <c r="Z5" s="26">
        <v>-0.65539443670368125</v>
      </c>
      <c r="AA5" s="26">
        <f t="shared" si="7"/>
        <v>-0.50060868247294255</v>
      </c>
      <c r="AB5" s="61"/>
      <c r="AC5" s="61"/>
      <c r="AD5" s="61"/>
      <c r="AE5" s="61"/>
      <c r="AF5" s="36"/>
      <c r="AG5" s="37"/>
      <c r="AH5" s="60"/>
      <c r="AI5" s="36"/>
      <c r="AJ5" s="36"/>
      <c r="AK5" s="36"/>
      <c r="AL5" s="36"/>
      <c r="AP5" s="80">
        <f>AM3/AE31</f>
        <v>38100.528373129746</v>
      </c>
      <c r="AR5" s="80">
        <f>AO3/AH31</f>
        <v>37668.123248157761</v>
      </c>
      <c r="AT5" s="25">
        <f>Z3+Z4+Z11+Z21+Z22+Z27</f>
        <v>6.6020905771997995</v>
      </c>
      <c r="AU5">
        <v>150</v>
      </c>
      <c r="AV5">
        <v>146</v>
      </c>
      <c r="AW5">
        <f t="shared" si="11"/>
        <v>4</v>
      </c>
      <c r="AX5">
        <v>214</v>
      </c>
      <c r="AY5">
        <v>130</v>
      </c>
      <c r="AZ5">
        <v>562</v>
      </c>
      <c r="BA5">
        <f t="shared" si="12"/>
        <v>-432</v>
      </c>
      <c r="BB5" s="23">
        <f t="shared" si="13"/>
        <v>-0.82504780734584349</v>
      </c>
      <c r="BC5" s="119">
        <v>200.66005999999999</v>
      </c>
      <c r="BD5">
        <f t="shared" si="14"/>
        <v>-64</v>
      </c>
      <c r="BE5" s="119">
        <f t="shared" si="15"/>
        <v>-54.660059999999987</v>
      </c>
      <c r="BF5" s="23">
        <v>-0.56413000000000002</v>
      </c>
      <c r="BG5" s="23">
        <f t="shared" si="8"/>
        <v>-0.56405043163892843</v>
      </c>
      <c r="BH5" s="23">
        <f t="shared" si="8"/>
        <v>-0.56299799957262497</v>
      </c>
      <c r="BI5" s="34">
        <v>0</v>
      </c>
      <c r="BJ5" s="77">
        <v>0</v>
      </c>
      <c r="BK5" s="119">
        <v>162482.76</v>
      </c>
      <c r="BL5" s="34">
        <v>0</v>
      </c>
      <c r="BM5" s="34">
        <f t="shared" si="9"/>
        <v>162756.033</v>
      </c>
      <c r="BN5" s="34">
        <f t="shared" si="16"/>
        <v>-162756.033</v>
      </c>
      <c r="BO5" s="36">
        <f t="shared" si="17"/>
        <v>-0.40091438074043795</v>
      </c>
      <c r="BP5" s="247">
        <f t="shared" si="18"/>
        <v>-0.65539443670368125</v>
      </c>
      <c r="BQ5" s="34">
        <v>186140.91</v>
      </c>
      <c r="BR5" s="119">
        <f t="shared" si="19"/>
        <v>-162482.76</v>
      </c>
      <c r="BS5" s="119">
        <f t="shared" si="20"/>
        <v>-186140.91</v>
      </c>
      <c r="BT5" s="23">
        <v>-0.34061999999999998</v>
      </c>
      <c r="BU5" s="23">
        <f t="shared" si="10"/>
        <v>-0.34061973557368225</v>
      </c>
      <c r="BV5" s="23">
        <f t="shared" si="10"/>
        <v>-0.40702470682341885</v>
      </c>
    </row>
    <row r="6" spans="1:74" x14ac:dyDescent="0.25">
      <c r="A6" s="9" t="s">
        <v>3</v>
      </c>
      <c r="B6" s="9" t="s">
        <v>42</v>
      </c>
      <c r="C6" s="1">
        <f t="shared" si="0"/>
        <v>6</v>
      </c>
      <c r="D6" s="8">
        <v>0</v>
      </c>
      <c r="E6" s="8">
        <v>0</v>
      </c>
      <c r="F6" s="8">
        <v>0</v>
      </c>
      <c r="G6" s="8">
        <v>6</v>
      </c>
      <c r="H6" s="8">
        <v>0</v>
      </c>
      <c r="I6" s="94">
        <v>116</v>
      </c>
      <c r="J6" s="15">
        <v>119</v>
      </c>
      <c r="K6" s="95">
        <f t="shared" si="1"/>
        <v>19.333333333333332</v>
      </c>
      <c r="L6" s="98">
        <v>19.833333333333332</v>
      </c>
      <c r="M6" s="98" t="e">
        <f>L6/L33</f>
        <v>#DIV/0!</v>
      </c>
      <c r="N6" s="99" t="e">
        <f>K6/K33</f>
        <v>#DIV/0!</v>
      </c>
      <c r="O6" s="77">
        <v>87150</v>
      </c>
      <c r="P6" s="34">
        <v>115802</v>
      </c>
      <c r="Q6" s="34">
        <f t="shared" si="2"/>
        <v>14525</v>
      </c>
      <c r="R6" s="77">
        <f t="shared" si="3"/>
        <v>19300.333333333332</v>
      </c>
      <c r="S6" s="23" t="e">
        <f>R6/R33</f>
        <v>#DIV/0!</v>
      </c>
      <c r="T6" s="23" t="e">
        <f>Q6/Q33</f>
        <v>#DIV/0!</v>
      </c>
      <c r="U6" s="23" t="e">
        <f t="shared" si="4"/>
        <v>#DIV/0!</v>
      </c>
      <c r="V6" s="23" t="e">
        <f t="shared" si="5"/>
        <v>#DIV/0!</v>
      </c>
      <c r="W6" s="26">
        <f t="shared" si="6"/>
        <v>-0.18105009242463146</v>
      </c>
      <c r="X6" s="26">
        <v>-4.0000000000000001E-3</v>
      </c>
      <c r="Y6" s="221">
        <v>13</v>
      </c>
      <c r="Z6" s="26">
        <v>-0.2986122810961786</v>
      </c>
      <c r="AA6" s="26">
        <f t="shared" si="7"/>
        <v>-0.20298082729419512</v>
      </c>
      <c r="AB6" s="70"/>
      <c r="AC6" s="70"/>
      <c r="AD6" s="70"/>
      <c r="AE6" s="70"/>
      <c r="AF6" s="74"/>
      <c r="AG6" s="279"/>
      <c r="AH6" s="60"/>
      <c r="AI6" s="74"/>
      <c r="AJ6" s="74"/>
      <c r="AK6" s="74"/>
      <c r="AL6" s="74"/>
      <c r="AO6" s="1" t="s">
        <v>407</v>
      </c>
      <c r="AP6" s="39"/>
      <c r="AU6">
        <v>232</v>
      </c>
      <c r="AV6">
        <v>232</v>
      </c>
      <c r="AW6">
        <f t="shared" si="11"/>
        <v>0</v>
      </c>
      <c r="AX6">
        <v>37</v>
      </c>
      <c r="AY6">
        <v>218</v>
      </c>
      <c r="AZ6">
        <v>222</v>
      </c>
      <c r="BA6">
        <f t="shared" si="12"/>
        <v>-4</v>
      </c>
      <c r="BB6" s="23">
        <f t="shared" si="13"/>
        <v>-0.38731777909025217</v>
      </c>
      <c r="BC6" s="119">
        <v>34.398870000000002</v>
      </c>
      <c r="BD6">
        <f t="shared" si="14"/>
        <v>195</v>
      </c>
      <c r="BE6" s="119">
        <f t="shared" si="15"/>
        <v>197.60113000000001</v>
      </c>
      <c r="BF6" s="23">
        <v>-0.40533999999999998</v>
      </c>
      <c r="BG6" s="23">
        <f t="shared" si="8"/>
        <v>-0.40548777411959147</v>
      </c>
      <c r="BH6" s="23">
        <f t="shared" si="8"/>
        <v>-0.41152988654800082</v>
      </c>
      <c r="BI6" s="34">
        <v>87150</v>
      </c>
      <c r="BJ6" s="77">
        <v>87149.57</v>
      </c>
      <c r="BK6" s="119">
        <v>31854.2</v>
      </c>
      <c r="BL6" s="34">
        <v>0</v>
      </c>
      <c r="BM6" s="34">
        <f t="shared" si="9"/>
        <v>64116.013000000006</v>
      </c>
      <c r="BN6" s="34">
        <f t="shared" si="16"/>
        <v>-64116.013000000006</v>
      </c>
      <c r="BO6" s="36">
        <f t="shared" si="17"/>
        <v>-0.16555403410506825</v>
      </c>
      <c r="BP6" s="247">
        <f t="shared" si="18"/>
        <v>-0.2986122810961786</v>
      </c>
      <c r="BQ6" s="34">
        <v>46431.81</v>
      </c>
      <c r="BR6" s="119">
        <f t="shared" si="19"/>
        <v>55295.8</v>
      </c>
      <c r="BS6" s="119">
        <f t="shared" si="20"/>
        <v>40717.760000000009</v>
      </c>
      <c r="BT6" s="23">
        <v>0.15561</v>
      </c>
      <c r="BU6" s="23">
        <f t="shared" si="10"/>
        <v>0.1556064301178085</v>
      </c>
      <c r="BV6" s="23">
        <f t="shared" si="10"/>
        <v>0.10984276158651342</v>
      </c>
    </row>
    <row r="7" spans="1:74" x14ac:dyDescent="0.25">
      <c r="A7" s="9" t="s">
        <v>43</v>
      </c>
      <c r="B7" s="246" t="s">
        <v>372</v>
      </c>
      <c r="C7" s="1">
        <v>0</v>
      </c>
      <c r="D7" s="8"/>
      <c r="E7" s="8"/>
      <c r="F7" s="8"/>
      <c r="G7" s="8"/>
      <c r="H7" s="8"/>
      <c r="I7" s="94"/>
      <c r="J7" s="15"/>
      <c r="K7" s="95"/>
      <c r="L7" s="98"/>
      <c r="M7" s="98"/>
      <c r="N7" s="99"/>
      <c r="O7" s="77"/>
      <c r="P7" s="34"/>
      <c r="Q7" s="34"/>
      <c r="R7" s="77"/>
      <c r="S7" s="23"/>
      <c r="T7" s="23"/>
      <c r="U7" s="23"/>
      <c r="V7" s="23"/>
      <c r="W7" s="26"/>
      <c r="X7" s="26"/>
      <c r="Y7" s="221">
        <v>9</v>
      </c>
      <c r="Z7" s="26">
        <v>-0.28817182186153234</v>
      </c>
      <c r="AA7" s="26"/>
      <c r="AB7" s="70"/>
      <c r="AC7" s="70"/>
      <c r="AD7" s="70"/>
      <c r="AE7" s="70"/>
      <c r="AF7" s="74"/>
      <c r="AG7" s="279"/>
      <c r="AH7" s="60"/>
      <c r="AI7" s="74"/>
      <c r="AJ7" s="74"/>
      <c r="AK7" s="74"/>
      <c r="AL7" s="74"/>
      <c r="AO7" s="140">
        <v>5523063.2296676915</v>
      </c>
      <c r="AP7" s="39"/>
      <c r="AR7" s="83" t="s">
        <v>410</v>
      </c>
      <c r="AY7">
        <v>112</v>
      </c>
      <c r="AZ7">
        <v>153</v>
      </c>
      <c r="BA7">
        <f t="shared" si="12"/>
        <v>-41</v>
      </c>
      <c r="BB7" s="23">
        <f t="shared" si="13"/>
        <v>-0.42515892639272151</v>
      </c>
      <c r="BC7" s="119"/>
      <c r="BE7" s="119"/>
      <c r="BF7" s="23"/>
      <c r="BG7" s="23"/>
      <c r="BH7" s="23"/>
      <c r="BI7" s="34"/>
      <c r="BJ7" s="77"/>
      <c r="BK7" s="119"/>
      <c r="BL7" s="34">
        <v>15000</v>
      </c>
      <c r="BM7" s="34">
        <f t="shared" si="9"/>
        <v>44388.009000000005</v>
      </c>
      <c r="BN7" s="34">
        <f t="shared" si="16"/>
        <v>-29388.009000000005</v>
      </c>
      <c r="BO7" s="36">
        <f t="shared" si="17"/>
        <v>-8.269116506474862E-2</v>
      </c>
      <c r="BP7" s="247">
        <f t="shared" si="18"/>
        <v>-0.28817182186153234</v>
      </c>
      <c r="BQ7" s="34"/>
      <c r="BR7" s="119"/>
      <c r="BS7" s="119"/>
      <c r="BT7" s="23"/>
      <c r="BU7" s="23"/>
      <c r="BV7" s="23"/>
    </row>
    <row r="8" spans="1:74" x14ac:dyDescent="0.25">
      <c r="A8" s="9" t="s">
        <v>43</v>
      </c>
      <c r="B8" s="9" t="s">
        <v>47</v>
      </c>
      <c r="C8" s="10">
        <f t="shared" si="0"/>
        <v>56</v>
      </c>
      <c r="D8">
        <v>4</v>
      </c>
      <c r="E8">
        <v>12</v>
      </c>
      <c r="F8">
        <v>0</v>
      </c>
      <c r="G8">
        <v>0</v>
      </c>
      <c r="H8">
        <v>40</v>
      </c>
      <c r="I8" s="94">
        <v>558</v>
      </c>
      <c r="J8" s="15">
        <v>590</v>
      </c>
      <c r="K8" s="95">
        <f t="shared" si="1"/>
        <v>9.9642857142857135</v>
      </c>
      <c r="L8" s="98">
        <v>10.535714285714286</v>
      </c>
      <c r="M8" s="98" t="e">
        <f>L8/L33</f>
        <v>#DIV/0!</v>
      </c>
      <c r="N8" s="99" t="e">
        <f>K8/K33</f>
        <v>#DIV/0!</v>
      </c>
      <c r="O8" s="77">
        <v>82320</v>
      </c>
      <c r="P8" s="34">
        <v>96000</v>
      </c>
      <c r="Q8" s="34">
        <f t="shared" si="2"/>
        <v>1470</v>
      </c>
      <c r="R8" s="77">
        <f t="shared" si="3"/>
        <v>1714.2857142857142</v>
      </c>
      <c r="S8" s="23" t="e">
        <f>R8/R33</f>
        <v>#DIV/0!</v>
      </c>
      <c r="T8" s="23" t="e">
        <f>Q8/Q33</f>
        <v>#DIV/0!</v>
      </c>
      <c r="U8" s="23" t="e">
        <f t="shared" si="4"/>
        <v>#DIV/0!</v>
      </c>
      <c r="V8" s="23" t="e">
        <f t="shared" si="5"/>
        <v>#DIV/0!</v>
      </c>
      <c r="W8" s="26">
        <f t="shared" si="6"/>
        <v>-0.17272809985711521</v>
      </c>
      <c r="X8" s="27">
        <v>9.2999999999999999E-2</v>
      </c>
      <c r="Y8" s="221">
        <v>46</v>
      </c>
      <c r="Z8" s="26">
        <v>-0.43701082944367803</v>
      </c>
      <c r="AA8" s="26">
        <f t="shared" si="7"/>
        <v>-0.19512971881917313</v>
      </c>
      <c r="AB8" s="70"/>
      <c r="AC8" s="70"/>
      <c r="AD8" s="70"/>
      <c r="AE8" s="70"/>
      <c r="AF8" s="74">
        <f>X8/AQ2</f>
        <v>1.6332982086406742E-2</v>
      </c>
      <c r="AG8" s="279"/>
      <c r="AH8" s="60"/>
      <c r="AI8" s="74"/>
      <c r="AJ8" s="74"/>
      <c r="AK8" s="74"/>
      <c r="AL8" s="74"/>
      <c r="AM8" s="37"/>
      <c r="AR8" s="80">
        <f>AO7/AJ31</f>
        <v>41352.040452171736</v>
      </c>
      <c r="AU8">
        <v>1116</v>
      </c>
      <c r="AV8">
        <v>1122</v>
      </c>
      <c r="AW8">
        <f t="shared" si="11"/>
        <v>-6</v>
      </c>
      <c r="AX8">
        <v>343</v>
      </c>
      <c r="AY8">
        <v>776</v>
      </c>
      <c r="AZ8">
        <v>784</v>
      </c>
      <c r="BA8">
        <f t="shared" si="12"/>
        <v>-8</v>
      </c>
      <c r="BB8" s="23">
        <f t="shared" si="13"/>
        <v>-0.39140871393376236</v>
      </c>
      <c r="BC8" s="119">
        <v>321.05610000000001</v>
      </c>
      <c r="BD8">
        <f t="shared" si="14"/>
        <v>773</v>
      </c>
      <c r="BE8" s="119">
        <f t="shared" si="15"/>
        <v>800.94389999999999</v>
      </c>
      <c r="BF8" s="23">
        <v>-5.1389999999999998E-2</v>
      </c>
      <c r="BG8" s="23">
        <f t="shared" ref="BG8:BH12" si="21">(BD8-BD$32)/BD$33</f>
        <v>-5.1629797107325959E-2</v>
      </c>
      <c r="BH8" s="23">
        <f t="shared" si="21"/>
        <v>-4.9257787225271875E-2</v>
      </c>
      <c r="BI8" s="34">
        <v>82320</v>
      </c>
      <c r="BJ8" s="77">
        <v>80320</v>
      </c>
      <c r="BK8" s="119">
        <v>250839.77</v>
      </c>
      <c r="BL8" s="34">
        <v>20320</v>
      </c>
      <c r="BM8" s="34">
        <f t="shared" si="9"/>
        <v>226872.046</v>
      </c>
      <c r="BN8" s="34">
        <f t="shared" si="16"/>
        <v>-206552.046</v>
      </c>
      <c r="BO8" s="36">
        <f t="shared" si="17"/>
        <v>-0.50541400270855152</v>
      </c>
      <c r="BP8" s="247">
        <f t="shared" si="18"/>
        <v>-0.43701082944367803</v>
      </c>
      <c r="BQ8" s="34">
        <v>269495.06</v>
      </c>
      <c r="BR8" s="119">
        <f t="shared" si="19"/>
        <v>-168519.77</v>
      </c>
      <c r="BS8" s="119">
        <f t="shared" si="20"/>
        <v>-189175.06</v>
      </c>
      <c r="BT8" s="23">
        <v>-0.35437999999999997</v>
      </c>
      <c r="BU8" s="23">
        <f t="shared" ref="BU8:BV12" si="22">(BR8-BR$32)/BR$33</f>
        <v>-0.35437555398179904</v>
      </c>
      <c r="BV8" s="23">
        <f t="shared" si="22"/>
        <v>-0.41393761621002501</v>
      </c>
    </row>
    <row r="9" spans="1:74" x14ac:dyDescent="0.25">
      <c r="A9" s="7" t="s">
        <v>43</v>
      </c>
      <c r="B9" s="7" t="s">
        <v>48</v>
      </c>
      <c r="C9" s="10">
        <f t="shared" si="0"/>
        <v>10</v>
      </c>
      <c r="D9">
        <v>3</v>
      </c>
      <c r="E9">
        <v>0</v>
      </c>
      <c r="F9">
        <v>0</v>
      </c>
      <c r="G9">
        <v>0</v>
      </c>
      <c r="H9">
        <v>7</v>
      </c>
      <c r="I9" s="94">
        <v>16.5</v>
      </c>
      <c r="J9" s="15">
        <v>23.5</v>
      </c>
      <c r="K9" s="95">
        <f t="shared" si="1"/>
        <v>1.65</v>
      </c>
      <c r="L9" s="98">
        <v>2.35</v>
      </c>
      <c r="M9" s="98" t="e">
        <f>L9/L33</f>
        <v>#DIV/0!</v>
      </c>
      <c r="N9" s="99" t="e">
        <f>K9/K33</f>
        <v>#DIV/0!</v>
      </c>
      <c r="O9" s="77">
        <v>0</v>
      </c>
      <c r="P9" s="34">
        <v>0</v>
      </c>
      <c r="Q9" s="34">
        <f t="shared" si="2"/>
        <v>0</v>
      </c>
      <c r="R9" s="77">
        <f t="shared" si="3"/>
        <v>0</v>
      </c>
      <c r="S9" s="23" t="e">
        <f>R9/R33</f>
        <v>#DIV/0!</v>
      </c>
      <c r="T9" s="23" t="e">
        <f>Q9/Q33</f>
        <v>#DIV/0!</v>
      </c>
      <c r="U9" s="23" t="e">
        <f t="shared" si="4"/>
        <v>#DIV/0!</v>
      </c>
      <c r="V9" s="23" t="e">
        <f t="shared" si="5"/>
        <v>#DIV/0!</v>
      </c>
      <c r="W9" s="26">
        <f t="shared" si="6"/>
        <v>-0.35990595350473964</v>
      </c>
      <c r="X9" s="23">
        <v>-0.36499999999999999</v>
      </c>
      <c r="Y9" s="221">
        <v>9</v>
      </c>
      <c r="Z9" s="26">
        <v>-0.34728387828326729</v>
      </c>
      <c r="AA9" s="26">
        <f t="shared" si="7"/>
        <v>-0.38330883083269879</v>
      </c>
      <c r="AB9" s="37"/>
      <c r="AC9" s="37"/>
      <c r="AD9" s="37"/>
      <c r="AE9" s="37"/>
      <c r="AF9" s="36"/>
      <c r="AG9" s="37"/>
      <c r="AH9" s="60"/>
      <c r="AI9" s="36"/>
      <c r="AJ9" s="36"/>
      <c r="AK9" s="36"/>
      <c r="AL9" s="36"/>
      <c r="AU9">
        <v>33</v>
      </c>
      <c r="AV9">
        <v>33</v>
      </c>
      <c r="AW9">
        <f t="shared" si="11"/>
        <v>0</v>
      </c>
      <c r="AX9">
        <v>61</v>
      </c>
      <c r="AY9">
        <v>39</v>
      </c>
      <c r="AZ9">
        <v>153</v>
      </c>
      <c r="BA9">
        <f t="shared" si="12"/>
        <v>-114</v>
      </c>
      <c r="BB9" s="23">
        <f t="shared" si="13"/>
        <v>-0.49981848728678263</v>
      </c>
      <c r="BC9" s="119">
        <v>57.331449999999997</v>
      </c>
      <c r="BD9">
        <f t="shared" si="14"/>
        <v>-28</v>
      </c>
      <c r="BE9" s="119">
        <f t="shared" si="15"/>
        <v>-24.331449999999997</v>
      </c>
      <c r="BF9" s="23">
        <v>-0.54215000000000002</v>
      </c>
      <c r="BG9" s="23">
        <f t="shared" si="21"/>
        <v>-0.54201083445477349</v>
      </c>
      <c r="BH9" s="23">
        <f t="shared" si="21"/>
        <v>-0.54478744040036486</v>
      </c>
      <c r="BI9" s="34">
        <v>0</v>
      </c>
      <c r="BJ9" s="77">
        <v>0</v>
      </c>
      <c r="BK9" s="119">
        <v>51066.46</v>
      </c>
      <c r="BL9" s="34">
        <v>0</v>
      </c>
      <c r="BM9" s="34">
        <f t="shared" si="9"/>
        <v>44388.009000000005</v>
      </c>
      <c r="BN9" s="34">
        <f t="shared" si="16"/>
        <v>-44388.009000000005</v>
      </c>
      <c r="BO9" s="36">
        <f t="shared" si="17"/>
        <v>-0.11848196477799429</v>
      </c>
      <c r="BP9" s="247">
        <f t="shared" si="18"/>
        <v>-0.34728387828326729</v>
      </c>
      <c r="BQ9" s="34">
        <v>69419.72</v>
      </c>
      <c r="BR9" s="119">
        <f t="shared" si="19"/>
        <v>-51066.46</v>
      </c>
      <c r="BS9" s="119">
        <f t="shared" si="20"/>
        <v>-69419.72</v>
      </c>
      <c r="BT9" s="23">
        <v>-8.6749999999999994E-2</v>
      </c>
      <c r="BU9" s="23">
        <f t="shared" si="22"/>
        <v>-8.6748632079688873E-2</v>
      </c>
      <c r="BV9" s="23">
        <f t="shared" si="22"/>
        <v>-0.14109091648119959</v>
      </c>
    </row>
    <row r="10" spans="1:74" x14ac:dyDescent="0.25">
      <c r="A10" s="9" t="s">
        <v>43</v>
      </c>
      <c r="B10" s="9" t="s">
        <v>49</v>
      </c>
      <c r="C10" s="10">
        <f t="shared" si="0"/>
        <v>23</v>
      </c>
      <c r="D10">
        <v>10</v>
      </c>
      <c r="E10">
        <v>1</v>
      </c>
      <c r="F10">
        <v>0</v>
      </c>
      <c r="G10">
        <v>0</v>
      </c>
      <c r="H10">
        <v>12</v>
      </c>
      <c r="I10" s="94">
        <v>84.5</v>
      </c>
      <c r="J10" s="15">
        <v>116.5</v>
      </c>
      <c r="K10" s="95">
        <f t="shared" si="1"/>
        <v>3.6739130434782608</v>
      </c>
      <c r="L10" s="98">
        <v>5.0652173913043477</v>
      </c>
      <c r="M10" s="98" t="e">
        <f>L10/L33</f>
        <v>#DIV/0!</v>
      </c>
      <c r="N10" s="99" t="e">
        <f>K10/K33</f>
        <v>#DIV/0!</v>
      </c>
      <c r="O10" s="77">
        <v>269015</v>
      </c>
      <c r="P10" s="34">
        <v>32226</v>
      </c>
      <c r="Q10" s="34">
        <f t="shared" si="2"/>
        <v>11696.304347826086</v>
      </c>
      <c r="R10" s="77">
        <f t="shared" si="3"/>
        <v>1401.1304347826087</v>
      </c>
      <c r="S10" s="23" t="e">
        <f>R10/R33</f>
        <v>#DIV/0!</v>
      </c>
      <c r="T10" s="23" t="e">
        <f>Q10/Q33</f>
        <v>#DIV/0!</v>
      </c>
      <c r="U10" s="23" t="e">
        <f t="shared" si="4"/>
        <v>#DIV/0!</v>
      </c>
      <c r="V10" s="23" t="e">
        <f t="shared" si="5"/>
        <v>#DIV/0!</v>
      </c>
      <c r="W10" s="26">
        <f t="shared" si="6"/>
        <v>-0.14807969231567897</v>
      </c>
      <c r="X10" s="23">
        <v>-0.25900000000000001</v>
      </c>
      <c r="Y10" s="221">
        <v>22</v>
      </c>
      <c r="Z10" s="26">
        <v>-0.24035322648369734</v>
      </c>
      <c r="AA10" s="26">
        <f t="shared" si="7"/>
        <v>-0.17462043620488543</v>
      </c>
      <c r="AB10" s="141"/>
      <c r="AC10" s="141"/>
      <c r="AD10" s="141"/>
      <c r="AE10" s="141"/>
      <c r="AF10" s="36"/>
      <c r="AG10" s="37"/>
      <c r="AH10" s="60"/>
      <c r="AI10" s="36"/>
      <c r="AJ10" s="36"/>
      <c r="AK10" s="36"/>
      <c r="AL10" s="36"/>
      <c r="AU10">
        <v>169</v>
      </c>
      <c r="AV10">
        <v>169</v>
      </c>
      <c r="AW10">
        <f t="shared" si="11"/>
        <v>0</v>
      </c>
      <c r="AX10">
        <v>141</v>
      </c>
      <c r="AY10">
        <v>113</v>
      </c>
      <c r="AZ10">
        <v>375</v>
      </c>
      <c r="BA10">
        <f t="shared" si="12"/>
        <v>-262</v>
      </c>
      <c r="BB10" s="23">
        <f t="shared" si="13"/>
        <v>-0.65118307649665996</v>
      </c>
      <c r="BC10" s="119">
        <v>131.86232999999999</v>
      </c>
      <c r="BD10">
        <f t="shared" si="14"/>
        <v>28</v>
      </c>
      <c r="BE10" s="119">
        <f t="shared" si="15"/>
        <v>37.137670000000014</v>
      </c>
      <c r="BF10" s="23">
        <v>-0.50756999999999997</v>
      </c>
      <c r="BG10" s="23">
        <f t="shared" si="21"/>
        <v>-0.50772701661275466</v>
      </c>
      <c r="BH10" s="23">
        <f t="shared" si="21"/>
        <v>-0.50787882351924984</v>
      </c>
      <c r="BI10" s="34">
        <v>269015</v>
      </c>
      <c r="BJ10" s="77">
        <v>269015.78000000003</v>
      </c>
      <c r="BK10" s="119">
        <v>110240.4</v>
      </c>
      <c r="BL10" s="34">
        <v>271309</v>
      </c>
      <c r="BM10" s="34">
        <f t="shared" si="9"/>
        <v>108504.022</v>
      </c>
      <c r="BN10" s="34">
        <f t="shared" si="16"/>
        <v>162804.978</v>
      </c>
      <c r="BO10" s="231">
        <f t="shared" si="17"/>
        <v>0.37589154853574652</v>
      </c>
      <c r="BP10" s="247">
        <f t="shared" si="18"/>
        <v>-0.24035322648369734</v>
      </c>
      <c r="BQ10" s="34">
        <v>133745.95000000001</v>
      </c>
      <c r="BR10" s="119">
        <f t="shared" si="19"/>
        <v>158774.6</v>
      </c>
      <c r="BS10" s="119">
        <f t="shared" si="20"/>
        <v>135269.83000000002</v>
      </c>
      <c r="BT10" s="23">
        <v>0.39139000000000002</v>
      </c>
      <c r="BU10" s="23">
        <f t="shared" si="22"/>
        <v>0.39139129412993451</v>
      </c>
      <c r="BV10" s="23">
        <f t="shared" si="22"/>
        <v>0.32526714476666119</v>
      </c>
    </row>
    <row r="11" spans="1:74" x14ac:dyDescent="0.25">
      <c r="A11" s="9" t="s">
        <v>43</v>
      </c>
      <c r="B11" s="9" t="s">
        <v>50</v>
      </c>
      <c r="C11" s="10">
        <f t="shared" si="0"/>
        <v>224</v>
      </c>
      <c r="D11">
        <v>0</v>
      </c>
      <c r="E11">
        <v>0</v>
      </c>
      <c r="F11">
        <v>224</v>
      </c>
      <c r="G11">
        <v>0</v>
      </c>
      <c r="H11">
        <v>0</v>
      </c>
      <c r="I11" s="94">
        <v>2028</v>
      </c>
      <c r="J11" s="15">
        <v>1960.5</v>
      </c>
      <c r="K11" s="95">
        <f t="shared" si="1"/>
        <v>9.0535714285714288</v>
      </c>
      <c r="L11" s="98">
        <v>8.7522321428571423</v>
      </c>
      <c r="M11" s="98" t="e">
        <f>L11/L33</f>
        <v>#DIV/0!</v>
      </c>
      <c r="N11" s="99" t="e">
        <f>K11/K33</f>
        <v>#DIV/0!</v>
      </c>
      <c r="O11" s="77">
        <v>233645</v>
      </c>
      <c r="P11" s="34">
        <v>207193</v>
      </c>
      <c r="Q11" s="34">
        <f t="shared" si="2"/>
        <v>1043.0580357142858</v>
      </c>
      <c r="R11" s="77">
        <f t="shared" si="3"/>
        <v>924.96875</v>
      </c>
      <c r="S11" s="23" t="e">
        <f>R11/R33</f>
        <v>#DIV/0!</v>
      </c>
      <c r="T11" s="23" t="e">
        <f>Q11/Q33</f>
        <v>#DIV/0!</v>
      </c>
      <c r="U11" s="23" t="e">
        <f t="shared" si="4"/>
        <v>#DIV/0!</v>
      </c>
      <c r="V11" s="23" t="e">
        <f t="shared" si="5"/>
        <v>#DIV/0!</v>
      </c>
      <c r="W11" s="25">
        <f t="shared" si="6"/>
        <v>7.3566520848336925E-2</v>
      </c>
      <c r="X11" s="27">
        <v>0.55800000000000005</v>
      </c>
      <c r="Y11" s="221">
        <v>100</v>
      </c>
      <c r="Z11" s="25">
        <v>0.61450541370782341</v>
      </c>
      <c r="AA11" s="25">
        <f t="shared" si="7"/>
        <v>0.12261170534507915</v>
      </c>
      <c r="AB11" s="67">
        <f>AE11*AP$5</f>
        <v>102831.27948939546</v>
      </c>
      <c r="AC11" s="67">
        <f>(AH11*AR$5)</f>
        <v>161355.39767464454</v>
      </c>
      <c r="AD11" s="147">
        <f>AC11-AB11</f>
        <v>58524.118185249084</v>
      </c>
      <c r="AE11" s="67">
        <f>C11*AI11</f>
        <v>2.6989462844803178</v>
      </c>
      <c r="AF11" s="36">
        <f>X11/AQ2</f>
        <v>9.7997892518440474E-2</v>
      </c>
      <c r="AG11" s="67">
        <f>AJ11*AR$8</f>
        <v>384894.03361839743</v>
      </c>
      <c r="AH11" s="211">
        <f>C11*AL11</f>
        <v>4.2836059713311032</v>
      </c>
      <c r="AI11" s="74">
        <f>W11/AS$2</f>
        <v>1.204886734142999E-2</v>
      </c>
      <c r="AJ11" s="74">
        <f>Y11*AK11</f>
        <v>9.3077398215348151</v>
      </c>
      <c r="AK11" s="74">
        <f>Z11/AT$5</f>
        <v>9.3077398215348148E-2</v>
      </c>
      <c r="AL11" s="74">
        <f>AA11/AT$2</f>
        <v>1.9123240943442425E-2</v>
      </c>
      <c r="AU11">
        <v>4056</v>
      </c>
      <c r="AV11">
        <v>4095</v>
      </c>
      <c r="AW11">
        <f t="shared" si="11"/>
        <v>-39</v>
      </c>
      <c r="AX11">
        <v>1370</v>
      </c>
      <c r="AY11">
        <v>3711</v>
      </c>
      <c r="AZ11">
        <v>1704</v>
      </c>
      <c r="BA11">
        <f t="shared" si="12"/>
        <v>2007</v>
      </c>
      <c r="BB11" s="25">
        <f t="shared" si="13"/>
        <v>1.6693997134845011</v>
      </c>
      <c r="BC11" s="119">
        <v>1284.2243800000001</v>
      </c>
      <c r="BD11">
        <f t="shared" si="14"/>
        <v>2686</v>
      </c>
      <c r="BE11" s="119">
        <f t="shared" si="15"/>
        <v>2810.7756199999999</v>
      </c>
      <c r="BF11" s="23">
        <v>1.11937</v>
      </c>
      <c r="BG11" s="23">
        <f t="shared" si="21"/>
        <v>1.119529908817352</v>
      </c>
      <c r="BH11" s="23">
        <f t="shared" si="21"/>
        <v>1.1575287903114262</v>
      </c>
      <c r="BI11" s="34">
        <v>233645</v>
      </c>
      <c r="BJ11" s="77">
        <v>167695.71000000002</v>
      </c>
      <c r="BK11" s="119">
        <v>902916.26</v>
      </c>
      <c r="BL11" s="34">
        <v>92846</v>
      </c>
      <c r="BM11" s="34">
        <f t="shared" si="9"/>
        <v>493200.10000000003</v>
      </c>
      <c r="BN11" s="34">
        <f t="shared" si="16"/>
        <v>-400354.10000000003</v>
      </c>
      <c r="BO11" s="36">
        <f t="shared" si="17"/>
        <v>-0.96783603595719292</v>
      </c>
      <c r="BP11" s="231">
        <f t="shared" si="18"/>
        <v>0.61450541370782341</v>
      </c>
      <c r="BQ11" s="34">
        <v>802727.82</v>
      </c>
      <c r="BR11" s="119">
        <f t="shared" si="19"/>
        <v>-669271.26</v>
      </c>
      <c r="BS11" s="119">
        <f t="shared" si="20"/>
        <v>-635032.10999999987</v>
      </c>
      <c r="BT11" s="23">
        <v>-1.4953799999999999</v>
      </c>
      <c r="BU11" s="23">
        <f t="shared" si="22"/>
        <v>-1.4953785611051855</v>
      </c>
      <c r="BV11" s="23">
        <f t="shared" si="22"/>
        <v>-1.4297639221044414</v>
      </c>
    </row>
    <row r="12" spans="1:74" x14ac:dyDescent="0.25">
      <c r="A12" s="7" t="s">
        <v>60</v>
      </c>
      <c r="B12" s="7" t="s">
        <v>63</v>
      </c>
      <c r="C12" s="10">
        <f t="shared" si="0"/>
        <v>26</v>
      </c>
      <c r="D12">
        <v>0</v>
      </c>
      <c r="E12">
        <v>0</v>
      </c>
      <c r="F12" s="8">
        <v>12</v>
      </c>
      <c r="G12" s="8">
        <v>14</v>
      </c>
      <c r="H12">
        <v>0</v>
      </c>
      <c r="I12" s="94">
        <v>98.5</v>
      </c>
      <c r="J12" s="15">
        <v>78.5</v>
      </c>
      <c r="K12" s="95">
        <f t="shared" si="1"/>
        <v>3.7884615384615383</v>
      </c>
      <c r="L12" s="98">
        <v>3.0192307692307692</v>
      </c>
      <c r="M12" s="98" t="e">
        <f>L12/L33</f>
        <v>#DIV/0!</v>
      </c>
      <c r="N12" s="99" t="e">
        <f>K12/K33</f>
        <v>#DIV/0!</v>
      </c>
      <c r="O12" s="77">
        <v>68400</v>
      </c>
      <c r="P12" s="34">
        <v>35000</v>
      </c>
      <c r="Q12" s="34">
        <f t="shared" si="2"/>
        <v>2630.7692307692309</v>
      </c>
      <c r="R12" s="77">
        <f t="shared" si="3"/>
        <v>1346.1538461538462</v>
      </c>
      <c r="S12" s="23" t="e">
        <f>R12/R33</f>
        <v>#DIV/0!</v>
      </c>
      <c r="T12" s="23" t="e">
        <f>Q12/Q33</f>
        <v>#DIV/0!</v>
      </c>
      <c r="U12" s="23" t="e">
        <f t="shared" si="4"/>
        <v>#DIV/0!</v>
      </c>
      <c r="V12" s="23" t="e">
        <f t="shared" si="5"/>
        <v>#DIV/0!</v>
      </c>
      <c r="W12" s="26">
        <f t="shared" si="6"/>
        <v>-0.33930449926393069</v>
      </c>
      <c r="X12" s="23">
        <v>-0.318</v>
      </c>
      <c r="Y12" s="221">
        <v>32</v>
      </c>
      <c r="Z12" s="26">
        <v>-0.27762559154429245</v>
      </c>
      <c r="AA12" s="26">
        <f t="shared" si="7"/>
        <v>-0.36591225526275722</v>
      </c>
      <c r="AB12" s="37"/>
      <c r="AC12" s="37"/>
      <c r="AD12" s="37"/>
      <c r="AE12" s="37"/>
      <c r="AF12" s="36"/>
      <c r="AG12" s="37"/>
      <c r="AH12" s="60"/>
      <c r="AI12" s="36"/>
      <c r="AJ12" s="36"/>
      <c r="AK12" s="36"/>
      <c r="AL12" s="36"/>
      <c r="AU12">
        <v>197</v>
      </c>
      <c r="AV12">
        <v>197</v>
      </c>
      <c r="AW12">
        <f t="shared" si="11"/>
        <v>0</v>
      </c>
      <c r="AX12">
        <v>159</v>
      </c>
      <c r="AY12">
        <v>669</v>
      </c>
      <c r="AZ12">
        <v>545</v>
      </c>
      <c r="BA12">
        <f t="shared" si="12"/>
        <v>124</v>
      </c>
      <c r="BB12" s="23">
        <f t="shared" si="13"/>
        <v>-0.25640786409792576</v>
      </c>
      <c r="BC12" s="119">
        <v>149.06175999999999</v>
      </c>
      <c r="BD12">
        <f t="shared" si="14"/>
        <v>38</v>
      </c>
      <c r="BE12" s="119">
        <f t="shared" si="15"/>
        <v>47.938240000000008</v>
      </c>
      <c r="BF12" s="23">
        <v>-0.50165999999999999</v>
      </c>
      <c r="BG12" s="23">
        <f t="shared" si="21"/>
        <v>-0.5016049062838227</v>
      </c>
      <c r="BH12" s="23">
        <f t="shared" si="21"/>
        <v>-0.5013937119668529</v>
      </c>
      <c r="BI12" s="34">
        <v>68400</v>
      </c>
      <c r="BJ12" s="77">
        <v>68400</v>
      </c>
      <c r="BK12" s="119">
        <v>123462.48</v>
      </c>
      <c r="BL12" s="34">
        <v>33400</v>
      </c>
      <c r="BM12" s="34">
        <f t="shared" si="9"/>
        <v>157824.03200000001</v>
      </c>
      <c r="BN12" s="34">
        <f t="shared" si="16"/>
        <v>-124424.03200000001</v>
      </c>
      <c r="BO12" s="36">
        <f t="shared" si="17"/>
        <v>-0.30945218271384251</v>
      </c>
      <c r="BP12" s="247">
        <f t="shared" si="18"/>
        <v>-0.27762559154429245</v>
      </c>
      <c r="BQ12" s="34">
        <v>147299.82</v>
      </c>
      <c r="BR12" s="119">
        <f t="shared" si="19"/>
        <v>-55062.479999999996</v>
      </c>
      <c r="BS12" s="119">
        <f t="shared" si="20"/>
        <v>-78899.820000000007</v>
      </c>
      <c r="BT12" s="23">
        <v>-9.5850000000000005E-2</v>
      </c>
      <c r="BU12" s="23">
        <f t="shared" si="22"/>
        <v>-9.5853888734092826E-2</v>
      </c>
      <c r="BV12" s="23">
        <f t="shared" si="22"/>
        <v>-0.16269007020661375</v>
      </c>
    </row>
    <row r="13" spans="1:74" x14ac:dyDescent="0.25">
      <c r="A13" s="9" t="s">
        <v>60</v>
      </c>
      <c r="B13" s="9" t="s">
        <v>67</v>
      </c>
      <c r="C13" s="32">
        <f t="shared" si="0"/>
        <v>3</v>
      </c>
      <c r="D13">
        <v>0</v>
      </c>
      <c r="E13">
        <v>0</v>
      </c>
      <c r="F13" s="8">
        <v>3</v>
      </c>
      <c r="G13" s="8">
        <v>0</v>
      </c>
      <c r="H13">
        <v>0</v>
      </c>
      <c r="I13" s="94">
        <v>0</v>
      </c>
      <c r="J13" s="15">
        <v>0</v>
      </c>
      <c r="K13" s="95">
        <f t="shared" si="1"/>
        <v>0</v>
      </c>
      <c r="L13" s="98">
        <v>0</v>
      </c>
      <c r="M13" s="98">
        <v>0</v>
      </c>
      <c r="N13" s="99">
        <v>0</v>
      </c>
      <c r="O13" s="77">
        <v>0</v>
      </c>
      <c r="P13" s="34">
        <v>0</v>
      </c>
      <c r="Q13" s="34">
        <f t="shared" si="2"/>
        <v>0</v>
      </c>
      <c r="R13" s="77">
        <f t="shared" si="3"/>
        <v>0</v>
      </c>
      <c r="S13" s="23">
        <v>0</v>
      </c>
      <c r="T13" s="23">
        <v>0</v>
      </c>
      <c r="U13" s="23">
        <f t="shared" si="4"/>
        <v>0</v>
      </c>
      <c r="V13" s="23">
        <f t="shared" si="5"/>
        <v>0</v>
      </c>
      <c r="W13" s="23"/>
      <c r="X13" s="23"/>
      <c r="Y13" s="221">
        <v>7</v>
      </c>
      <c r="Z13" s="26">
        <v>-0.28386912448351787</v>
      </c>
      <c r="AA13" s="26"/>
      <c r="AB13" s="37"/>
      <c r="AC13" s="37"/>
      <c r="AD13" s="37"/>
      <c r="AE13" s="37"/>
      <c r="AF13" s="36"/>
      <c r="AG13" s="37"/>
      <c r="AH13" s="60"/>
      <c r="AI13" s="36"/>
      <c r="AJ13" s="36"/>
      <c r="AK13" s="36"/>
      <c r="AL13" s="36"/>
      <c r="AY13">
        <v>93</v>
      </c>
      <c r="AZ13">
        <v>119</v>
      </c>
      <c r="BA13">
        <f t="shared" si="12"/>
        <v>-26</v>
      </c>
      <c r="BB13" s="23">
        <f t="shared" si="13"/>
        <v>-0.40981792072955825</v>
      </c>
      <c r="BI13" s="34"/>
      <c r="BJ13" s="77">
        <v>0</v>
      </c>
      <c r="BK13" s="119"/>
      <c r="BL13" s="34">
        <v>0</v>
      </c>
      <c r="BM13" s="34">
        <f t="shared" si="9"/>
        <v>34524.006999999998</v>
      </c>
      <c r="BN13" s="34">
        <f t="shared" si="16"/>
        <v>-34524.006999999998</v>
      </c>
      <c r="BO13" s="36">
        <f t="shared" si="17"/>
        <v>-9.4945930114457289E-2</v>
      </c>
      <c r="BP13" s="247">
        <f t="shared" si="18"/>
        <v>-0.28386912448351787</v>
      </c>
      <c r="BR13" s="119"/>
      <c r="BS13" s="119"/>
      <c r="BU13" s="23"/>
      <c r="BV13" s="23"/>
    </row>
    <row r="14" spans="1:74" x14ac:dyDescent="0.25">
      <c r="A14" s="9" t="s">
        <v>80</v>
      </c>
      <c r="B14" s="9" t="s">
        <v>81</v>
      </c>
      <c r="C14" s="10">
        <f t="shared" si="0"/>
        <v>28</v>
      </c>
      <c r="D14">
        <v>0</v>
      </c>
      <c r="E14">
        <v>0</v>
      </c>
      <c r="F14">
        <v>0</v>
      </c>
      <c r="G14">
        <v>28</v>
      </c>
      <c r="H14">
        <v>0</v>
      </c>
      <c r="I14" s="94">
        <v>111.5</v>
      </c>
      <c r="J14" s="15">
        <v>120</v>
      </c>
      <c r="K14" s="95">
        <f>I14/C14</f>
        <v>3.9821428571428572</v>
      </c>
      <c r="L14" s="98">
        <v>4.2857142857142856</v>
      </c>
      <c r="M14" s="98" t="e">
        <f>L14/L33</f>
        <v>#DIV/0!</v>
      </c>
      <c r="N14" s="99" t="e">
        <f>K14/K33</f>
        <v>#DIV/0!</v>
      </c>
      <c r="O14" s="77">
        <v>5912</v>
      </c>
      <c r="P14" s="34">
        <v>160321</v>
      </c>
      <c r="Q14" s="34">
        <f t="shared" si="2"/>
        <v>211.14285714285714</v>
      </c>
      <c r="R14" s="77">
        <f t="shared" si="3"/>
        <v>5725.75</v>
      </c>
      <c r="S14" s="23" t="e">
        <f>R14/R33</f>
        <v>#DIV/0!</v>
      </c>
      <c r="T14" s="23" t="e">
        <f>Q14/Q33</f>
        <v>#DIV/0!</v>
      </c>
      <c r="U14" s="23" t="e">
        <f t="shared" si="4"/>
        <v>#DIV/0!</v>
      </c>
      <c r="V14" s="23" t="e">
        <f t="shared" si="5"/>
        <v>#DIV/0!</v>
      </c>
      <c r="W14" s="26">
        <f>(0.6*BG14)+(0.4*BU14)</f>
        <v>-0.39909011132851197</v>
      </c>
      <c r="X14" s="23">
        <v>-0.16800000000000001</v>
      </c>
      <c r="Y14" s="221">
        <v>24</v>
      </c>
      <c r="Z14" s="26">
        <v>-0.44427851201451896</v>
      </c>
      <c r="AA14" s="26">
        <f>(0.6*BH14)+(0.4*BV14)</f>
        <v>-0.42569012933557171</v>
      </c>
      <c r="AB14" s="37"/>
      <c r="AC14" s="37"/>
      <c r="AD14" s="37"/>
      <c r="AE14" s="37"/>
      <c r="AF14" s="36"/>
      <c r="AG14" s="37"/>
      <c r="AH14" s="60"/>
      <c r="AI14" s="36"/>
      <c r="AJ14" s="36"/>
      <c r="AK14" s="36"/>
      <c r="AL14" s="36"/>
      <c r="AU14">
        <v>223</v>
      </c>
      <c r="AV14">
        <v>223</v>
      </c>
      <c r="AW14">
        <f t="shared" si="11"/>
        <v>0</v>
      </c>
      <c r="AX14">
        <v>171</v>
      </c>
      <c r="AY14">
        <v>252</v>
      </c>
      <c r="AZ14">
        <v>409</v>
      </c>
      <c r="BA14">
        <f t="shared" si="12"/>
        <v>-157</v>
      </c>
      <c r="BB14" s="23">
        <f t="shared" si="13"/>
        <v>-0.54379603685451727</v>
      </c>
      <c r="BC14" s="119">
        <v>160.52805000000001</v>
      </c>
      <c r="BD14">
        <f t="shared" si="14"/>
        <v>52</v>
      </c>
      <c r="BE14" s="119">
        <f t="shared" si="15"/>
        <v>62.471949999999993</v>
      </c>
      <c r="BF14" s="23">
        <v>-0.49323</v>
      </c>
      <c r="BG14" s="23">
        <f>(BD14-BD$32)/BD$33</f>
        <v>-0.49303395182331805</v>
      </c>
      <c r="BH14" s="23">
        <f>(BE14-BE$32)/BE$33</f>
        <v>-0.49266706785268266</v>
      </c>
      <c r="BI14" s="34">
        <v>5912</v>
      </c>
      <c r="BJ14" s="77">
        <v>5912</v>
      </c>
      <c r="BK14" s="119">
        <v>132211.99</v>
      </c>
      <c r="BL14" s="34">
        <v>0</v>
      </c>
      <c r="BM14" s="34">
        <f t="shared" si="9"/>
        <v>118368.024</v>
      </c>
      <c r="BN14" s="34">
        <f t="shared" si="16"/>
        <v>-118368.024</v>
      </c>
      <c r="BO14" s="36">
        <f t="shared" si="17"/>
        <v>-0.29500222475452159</v>
      </c>
      <c r="BP14" s="247">
        <f t="shared" si="18"/>
        <v>-0.44427851201451896</v>
      </c>
      <c r="BQ14" s="34">
        <v>156150.01999999999</v>
      </c>
      <c r="BR14" s="119">
        <f t="shared" si="19"/>
        <v>-126299.98999999999</v>
      </c>
      <c r="BS14" s="119">
        <f t="shared" si="20"/>
        <v>-150238.01999999999</v>
      </c>
      <c r="BT14" s="23">
        <v>-0.25817000000000001</v>
      </c>
      <c r="BU14" s="23">
        <f>(BR14-BR$32)/BR$33</f>
        <v>-0.25817435058630278</v>
      </c>
      <c r="BV14" s="23">
        <f>(BS14-BS$32)/BS$33</f>
        <v>-0.32522472155990528</v>
      </c>
    </row>
    <row r="15" spans="1:74" x14ac:dyDescent="0.25">
      <c r="A15" s="9" t="s">
        <v>83</v>
      </c>
      <c r="B15" s="9" t="s">
        <v>90</v>
      </c>
      <c r="C15" s="10">
        <f t="shared" si="0"/>
        <v>11</v>
      </c>
      <c r="D15">
        <v>0</v>
      </c>
      <c r="E15">
        <v>0</v>
      </c>
      <c r="F15">
        <v>11</v>
      </c>
      <c r="G15">
        <v>0</v>
      </c>
      <c r="H15">
        <v>0</v>
      </c>
      <c r="I15" s="94">
        <v>38</v>
      </c>
      <c r="J15" s="15">
        <v>16</v>
      </c>
      <c r="K15" s="95">
        <f>I15/C15</f>
        <v>3.4545454545454546</v>
      </c>
      <c r="L15" s="98">
        <v>1.4545454545454546</v>
      </c>
      <c r="M15" s="98" t="e">
        <f>L15/L33</f>
        <v>#DIV/0!</v>
      </c>
      <c r="N15" s="99" t="e">
        <f>K15/K33</f>
        <v>#DIV/0!</v>
      </c>
      <c r="O15" s="77">
        <v>0</v>
      </c>
      <c r="P15" s="34">
        <v>0</v>
      </c>
      <c r="Q15" s="34">
        <f t="shared" si="2"/>
        <v>0</v>
      </c>
      <c r="R15" s="77">
        <f t="shared" si="3"/>
        <v>0</v>
      </c>
      <c r="S15" s="23" t="e">
        <f>R15/R33</f>
        <v>#DIV/0!</v>
      </c>
      <c r="T15" s="23" t="e">
        <f>Q15/Q33</f>
        <v>#DIV/0!</v>
      </c>
      <c r="U15" s="23" t="e">
        <f t="shared" si="4"/>
        <v>#DIV/0!</v>
      </c>
      <c r="V15" s="23" t="e">
        <f t="shared" si="5"/>
        <v>#DIV/0!</v>
      </c>
      <c r="W15" s="26">
        <f>(0.6*BG15)+(0.4*BU15)</f>
        <v>-0.35059929420508873</v>
      </c>
      <c r="X15" s="23">
        <v>-0.374</v>
      </c>
      <c r="Y15" s="249">
        <v>0</v>
      </c>
      <c r="Z15" s="26"/>
      <c r="AA15" s="26">
        <f>(0.6*BH15)+(0.4*BV15)</f>
        <v>-0.36904877101755773</v>
      </c>
      <c r="AB15" s="37"/>
      <c r="AC15" s="37"/>
      <c r="AD15" s="37"/>
      <c r="AE15" s="37"/>
      <c r="AF15" s="36"/>
      <c r="AG15" s="37"/>
      <c r="AH15" s="60"/>
      <c r="AI15" s="36"/>
      <c r="AJ15" s="36"/>
      <c r="AK15" s="36"/>
      <c r="AL15" s="36"/>
      <c r="AU15">
        <v>76</v>
      </c>
      <c r="AV15">
        <v>92</v>
      </c>
      <c r="AW15">
        <f t="shared" si="11"/>
        <v>-16</v>
      </c>
      <c r="AX15">
        <v>67</v>
      </c>
      <c r="BB15" s="23"/>
      <c r="BC15" s="119">
        <v>63.064590000000003</v>
      </c>
      <c r="BD15">
        <f t="shared" si="14"/>
        <v>9</v>
      </c>
      <c r="BE15" s="119">
        <f t="shared" si="15"/>
        <v>28.935409999999997</v>
      </c>
      <c r="BF15" s="23">
        <v>-0.51956999999999998</v>
      </c>
      <c r="BG15" s="23">
        <f>(BD15-BD$32)/BD$33</f>
        <v>-0.51935902623772534</v>
      </c>
      <c r="BH15" s="23">
        <f>(BE15-BE$32)/BE$33</f>
        <v>-0.51280380165297434</v>
      </c>
      <c r="BI15" s="34">
        <v>0</v>
      </c>
      <c r="BJ15" s="77">
        <v>0</v>
      </c>
      <c r="BK15" s="119">
        <v>55767.22</v>
      </c>
      <c r="BL15" s="34"/>
      <c r="BM15" s="34"/>
      <c r="BN15" s="34"/>
      <c r="BO15" s="36"/>
      <c r="BP15" s="247"/>
      <c r="BQ15" s="34">
        <v>74829.429999999993</v>
      </c>
      <c r="BR15" s="119">
        <f t="shared" si="19"/>
        <v>-55767.22</v>
      </c>
      <c r="BS15" s="119">
        <f t="shared" si="20"/>
        <v>-74829.429999999993</v>
      </c>
      <c r="BT15" s="23">
        <v>-9.7460000000000005E-2</v>
      </c>
      <c r="BU15" s="23">
        <f>(BR15-BR$32)/BR$33</f>
        <v>-9.7459696156133924E-2</v>
      </c>
      <c r="BV15" s="23">
        <f>(BS15-BS$32)/BS$33</f>
        <v>-0.15341622506443289</v>
      </c>
    </row>
    <row r="16" spans="1:74" x14ac:dyDescent="0.25">
      <c r="A16" s="7" t="s">
        <v>92</v>
      </c>
      <c r="B16" s="246" t="s">
        <v>93</v>
      </c>
      <c r="C16" s="10">
        <v>0</v>
      </c>
      <c r="I16" s="94"/>
      <c r="J16" s="15"/>
      <c r="K16" s="95"/>
      <c r="L16" s="98"/>
      <c r="M16" s="98"/>
      <c r="N16" s="99"/>
      <c r="O16" s="77"/>
      <c r="P16" s="34"/>
      <c r="Q16" s="34"/>
      <c r="R16" s="77"/>
      <c r="S16" s="23"/>
      <c r="T16" s="23"/>
      <c r="U16" s="23"/>
      <c r="V16" s="23"/>
      <c r="W16" s="26"/>
      <c r="X16" s="23"/>
      <c r="Y16" s="221">
        <v>7</v>
      </c>
      <c r="Z16" s="26">
        <v>-0.31086929445068517</v>
      </c>
      <c r="AA16" s="26"/>
      <c r="AB16" s="37"/>
      <c r="AC16" s="37"/>
      <c r="AD16" s="37"/>
      <c r="AE16" s="37"/>
      <c r="AF16" s="36"/>
      <c r="AG16" s="37"/>
      <c r="AH16" s="60"/>
      <c r="AI16" s="36"/>
      <c r="AJ16" s="36"/>
      <c r="AK16" s="36"/>
      <c r="AL16" s="36"/>
      <c r="AY16">
        <v>49</v>
      </c>
      <c r="AZ16">
        <v>119</v>
      </c>
      <c r="BA16">
        <f>AY16-AZ16</f>
        <v>-70</v>
      </c>
      <c r="BB16" s="23">
        <f t="shared" si="13"/>
        <v>-0.45481820400817047</v>
      </c>
      <c r="BC16" s="119"/>
      <c r="BE16" s="119"/>
      <c r="BF16" s="23"/>
      <c r="BG16" s="23"/>
      <c r="BH16" s="23"/>
      <c r="BI16" s="34"/>
      <c r="BJ16" s="77"/>
      <c r="BK16" s="119"/>
      <c r="BL16" s="34">
        <v>0</v>
      </c>
      <c r="BM16" s="34">
        <f>Y16*BL$34</f>
        <v>34524.006999999998</v>
      </c>
      <c r="BN16" s="34">
        <f>BL16-BM16</f>
        <v>-34524.006999999998</v>
      </c>
      <c r="BO16" s="36">
        <f>(BN16-BN$31)/BN$32</f>
        <v>-9.4945930114457289E-2</v>
      </c>
      <c r="BP16" s="247">
        <f>(0.6*BB16)+(0.4*BO16)</f>
        <v>-0.31086929445068517</v>
      </c>
      <c r="BQ16" s="34"/>
      <c r="BR16" s="119"/>
      <c r="BS16" s="119"/>
      <c r="BT16" s="23"/>
      <c r="BU16" s="23"/>
      <c r="BV16" s="23"/>
    </row>
    <row r="17" spans="1:74" x14ac:dyDescent="0.25">
      <c r="A17" s="7" t="s">
        <v>92</v>
      </c>
      <c r="B17" s="7" t="s">
        <v>95</v>
      </c>
      <c r="C17" s="32">
        <f t="shared" si="0"/>
        <v>1</v>
      </c>
      <c r="D17" s="11">
        <v>0</v>
      </c>
      <c r="E17" s="11">
        <v>0</v>
      </c>
      <c r="F17" s="11">
        <v>0</v>
      </c>
      <c r="G17" s="11">
        <v>0</v>
      </c>
      <c r="H17" s="11">
        <v>1</v>
      </c>
      <c r="I17" s="100">
        <v>0</v>
      </c>
      <c r="J17" s="38">
        <v>0</v>
      </c>
      <c r="K17" s="95">
        <v>0</v>
      </c>
      <c r="L17" s="98">
        <v>0</v>
      </c>
      <c r="M17" s="98">
        <v>0</v>
      </c>
      <c r="N17" s="99">
        <v>0</v>
      </c>
      <c r="O17" s="77">
        <v>0</v>
      </c>
      <c r="P17" s="34">
        <v>0</v>
      </c>
      <c r="Q17" s="34">
        <f t="shared" si="2"/>
        <v>0</v>
      </c>
      <c r="R17" s="77">
        <f t="shared" si="3"/>
        <v>0</v>
      </c>
      <c r="S17" s="23">
        <v>0</v>
      </c>
      <c r="T17" s="23">
        <v>0</v>
      </c>
      <c r="U17" s="23">
        <f t="shared" si="4"/>
        <v>0</v>
      </c>
      <c r="V17" s="23">
        <f t="shared" si="5"/>
        <v>0</v>
      </c>
      <c r="W17" s="23"/>
      <c r="X17" s="23"/>
      <c r="Y17" s="249">
        <v>1</v>
      </c>
      <c r="Z17" s="26"/>
      <c r="AA17" s="26"/>
      <c r="AB17" s="37"/>
      <c r="AC17" s="37"/>
      <c r="AD17" s="37"/>
      <c r="AE17" s="37"/>
      <c r="AF17" s="36"/>
      <c r="AG17" s="37"/>
      <c r="AH17" s="60"/>
      <c r="AI17" s="36"/>
      <c r="AJ17" s="36"/>
      <c r="AK17" s="36"/>
      <c r="AL17" s="36"/>
      <c r="BB17" s="23"/>
      <c r="BF17" s="23"/>
      <c r="BG17" s="23"/>
      <c r="BH17" s="23"/>
      <c r="BI17" s="34"/>
      <c r="BJ17" s="77">
        <v>0</v>
      </c>
      <c r="BL17" s="34"/>
      <c r="BM17" s="34"/>
      <c r="BN17" s="34"/>
      <c r="BO17" s="36"/>
      <c r="BP17" s="247"/>
      <c r="BR17" s="119"/>
      <c r="BS17" s="119"/>
      <c r="BU17" s="23"/>
      <c r="BV17" s="23"/>
    </row>
    <row r="18" spans="1:74" x14ac:dyDescent="0.25">
      <c r="A18" s="7" t="s">
        <v>92</v>
      </c>
      <c r="B18" s="7" t="s">
        <v>87</v>
      </c>
      <c r="C18" s="10">
        <f t="shared" si="0"/>
        <v>10</v>
      </c>
      <c r="D18" s="11">
        <v>0</v>
      </c>
      <c r="E18" s="11">
        <v>7</v>
      </c>
      <c r="F18" s="11">
        <v>0</v>
      </c>
      <c r="G18" s="11">
        <v>0</v>
      </c>
      <c r="H18" s="11">
        <v>3</v>
      </c>
      <c r="I18" s="100">
        <v>6.5</v>
      </c>
      <c r="J18" s="38">
        <v>8.5</v>
      </c>
      <c r="K18" s="95">
        <f t="shared" ref="K18:K31" si="23">I18/C18</f>
        <v>0.65</v>
      </c>
      <c r="L18" s="98">
        <v>0.85</v>
      </c>
      <c r="M18" s="98" t="e">
        <f>L18/L33</f>
        <v>#DIV/0!</v>
      </c>
      <c r="N18" s="99" t="e">
        <f>K18/K33</f>
        <v>#DIV/0!</v>
      </c>
      <c r="O18" s="77">
        <v>0</v>
      </c>
      <c r="P18" s="34">
        <v>0</v>
      </c>
      <c r="Q18" s="34">
        <f t="shared" si="2"/>
        <v>0</v>
      </c>
      <c r="R18" s="77">
        <f t="shared" si="3"/>
        <v>0</v>
      </c>
      <c r="S18" s="23" t="e">
        <f>R18/R33</f>
        <v>#DIV/0!</v>
      </c>
      <c r="T18" s="23" t="e">
        <f>Q18/Q33</f>
        <v>#DIV/0!</v>
      </c>
      <c r="U18" s="23" t="e">
        <f t="shared" si="4"/>
        <v>#DIV/0!</v>
      </c>
      <c r="V18" s="23" t="e">
        <f t="shared" si="5"/>
        <v>#DIV/0!</v>
      </c>
      <c r="W18" s="26">
        <f t="shared" ref="W18:W30" si="24">(0.6*BG18)+(0.4*BU18)</f>
        <v>-0.36725248589945791</v>
      </c>
      <c r="X18" s="23">
        <v>-0.379</v>
      </c>
      <c r="Y18" s="221">
        <v>9</v>
      </c>
      <c r="Z18" s="26">
        <v>-0.36507944485253663</v>
      </c>
      <c r="AA18" s="26">
        <f t="shared" ref="AA18:AA30" si="25">(0.6*BH18)+(0.4*BV18)</f>
        <v>-0.39051413005568064</v>
      </c>
      <c r="AB18" s="37"/>
      <c r="AC18" s="37"/>
      <c r="AD18" s="37"/>
      <c r="AE18" s="37"/>
      <c r="AF18" s="36"/>
      <c r="AG18" s="37"/>
      <c r="AH18" s="60"/>
      <c r="AI18" s="36"/>
      <c r="AJ18" s="36"/>
      <c r="AK18" s="36"/>
      <c r="AL18" s="36"/>
      <c r="AU18">
        <v>13</v>
      </c>
      <c r="AV18">
        <v>13</v>
      </c>
      <c r="AW18">
        <f t="shared" si="11"/>
        <v>0</v>
      </c>
      <c r="AX18">
        <v>61</v>
      </c>
      <c r="AY18">
        <v>10</v>
      </c>
      <c r="AZ18">
        <v>153</v>
      </c>
      <c r="BA18">
        <f t="shared" ref="BA18:BA19" si="26">AY18-AZ18</f>
        <v>-143</v>
      </c>
      <c r="BB18" s="23">
        <f t="shared" si="13"/>
        <v>-0.52947776490223153</v>
      </c>
      <c r="BC18" s="119">
        <v>57.331449999999997</v>
      </c>
      <c r="BD18">
        <f t="shared" si="14"/>
        <v>-48</v>
      </c>
      <c r="BE18" s="119">
        <f t="shared" si="15"/>
        <v>-44.331449999999997</v>
      </c>
      <c r="BF18" s="23">
        <v>-0.55439000000000005</v>
      </c>
      <c r="BG18" s="23">
        <f t="shared" ref="BG18:BG30" si="27">(BD18-BD$32)/BD$33</f>
        <v>-0.55425505511263728</v>
      </c>
      <c r="BH18" s="23">
        <f t="shared" ref="BH18:BH30" si="28">(BE18-BE$32)/BE$33</f>
        <v>-0.55679627243866803</v>
      </c>
      <c r="BI18" s="34">
        <v>0</v>
      </c>
      <c r="BJ18" s="77">
        <v>0</v>
      </c>
      <c r="BK18" s="119">
        <v>51066.46</v>
      </c>
      <c r="BL18" s="34">
        <v>0</v>
      </c>
      <c r="BM18" s="34">
        <f>Y18*BL$34</f>
        <v>44388.009000000005</v>
      </c>
      <c r="BN18" s="34">
        <f t="shared" ref="BN18:BN19" si="29">BL18-BM18</f>
        <v>-44388.009000000005</v>
      </c>
      <c r="BO18" s="36">
        <f t="shared" ref="BO18:BO19" si="30">(BN18-BN$31)/BN$32</f>
        <v>-0.11848196477799429</v>
      </c>
      <c r="BP18" s="247">
        <f t="shared" ref="BP18:BP19" si="31">(0.6*BB18)+(0.4*BO18)</f>
        <v>-0.36507944485253663</v>
      </c>
      <c r="BQ18" s="34">
        <v>69419.72</v>
      </c>
      <c r="BR18" s="119">
        <f t="shared" si="19"/>
        <v>-51066.46</v>
      </c>
      <c r="BS18" s="119">
        <f t="shared" si="20"/>
        <v>-69419.72</v>
      </c>
      <c r="BT18" s="23">
        <v>-8.6749999999999994E-2</v>
      </c>
      <c r="BU18" s="23">
        <f t="shared" ref="BU18:BU30" si="32">(BR18-BR$32)/BR$33</f>
        <v>-8.6748632079688873E-2</v>
      </c>
      <c r="BV18" s="23">
        <f t="shared" ref="BV18:BV30" si="33">(BS18-BS$32)/BS$33</f>
        <v>-0.14109091648119959</v>
      </c>
    </row>
    <row r="19" spans="1:74" x14ac:dyDescent="0.25">
      <c r="A19" s="9" t="s">
        <v>92</v>
      </c>
      <c r="B19" s="9" t="s">
        <v>97</v>
      </c>
      <c r="C19" s="10">
        <f t="shared" si="0"/>
        <v>18</v>
      </c>
      <c r="D19" s="11">
        <v>18</v>
      </c>
      <c r="E19" s="11">
        <v>0</v>
      </c>
      <c r="F19" s="11">
        <v>0</v>
      </c>
      <c r="G19" s="11">
        <v>0</v>
      </c>
      <c r="H19" s="11">
        <v>0</v>
      </c>
      <c r="I19" s="100">
        <v>64.5</v>
      </c>
      <c r="J19" s="38">
        <v>111.5</v>
      </c>
      <c r="K19" s="95">
        <f t="shared" si="23"/>
        <v>3.5833333333333335</v>
      </c>
      <c r="L19" s="98">
        <v>6.1944444444444446</v>
      </c>
      <c r="M19" s="98" t="e">
        <f>L19/L33</f>
        <v>#DIV/0!</v>
      </c>
      <c r="N19" s="99" t="e">
        <f>K19/K33</f>
        <v>#DIV/0!</v>
      </c>
      <c r="O19" s="77">
        <v>30791</v>
      </c>
      <c r="P19" s="34">
        <v>34620</v>
      </c>
      <c r="Q19" s="34">
        <f t="shared" si="2"/>
        <v>1710.6111111111111</v>
      </c>
      <c r="R19" s="77">
        <f t="shared" si="3"/>
        <v>1923.3333333333333</v>
      </c>
      <c r="S19" s="23" t="e">
        <f>R19/R33</f>
        <v>#DIV/0!</v>
      </c>
      <c r="T19" s="23" t="e">
        <f>Q19/Q33</f>
        <v>#DIV/0!</v>
      </c>
      <c r="U19" s="23" t="e">
        <f t="shared" si="4"/>
        <v>#DIV/0!</v>
      </c>
      <c r="V19" s="23" t="e">
        <f t="shared" si="5"/>
        <v>#DIV/0!</v>
      </c>
      <c r="W19" s="26">
        <f t="shared" si="24"/>
        <v>-0.3481483137309197</v>
      </c>
      <c r="X19" s="23">
        <v>-0.24099999999999999</v>
      </c>
      <c r="Y19" s="221">
        <v>19</v>
      </c>
      <c r="Z19" s="26">
        <v>-0.4192010463747225</v>
      </c>
      <c r="AA19" s="26">
        <f t="shared" si="25"/>
        <v>-0.37441639214139166</v>
      </c>
      <c r="AB19" s="37"/>
      <c r="AC19" s="37"/>
      <c r="AD19" s="37"/>
      <c r="AE19" s="37"/>
      <c r="AF19" s="36"/>
      <c r="AG19" s="37"/>
      <c r="AH19" s="60"/>
      <c r="AI19" s="36"/>
      <c r="AJ19" s="36"/>
      <c r="AK19" s="36"/>
      <c r="AL19" s="36"/>
      <c r="AU19">
        <v>129</v>
      </c>
      <c r="AV19">
        <v>129</v>
      </c>
      <c r="AW19">
        <f t="shared" si="11"/>
        <v>0</v>
      </c>
      <c r="AX19">
        <v>110</v>
      </c>
      <c r="AY19">
        <v>130</v>
      </c>
      <c r="AZ19">
        <v>324</v>
      </c>
      <c r="BA19">
        <f t="shared" si="26"/>
        <v>-194</v>
      </c>
      <c r="BB19" s="23">
        <f t="shared" si="13"/>
        <v>-0.58163718415698662</v>
      </c>
      <c r="BC19" s="119">
        <v>103.1966</v>
      </c>
      <c r="BD19">
        <f t="shared" si="14"/>
        <v>19</v>
      </c>
      <c r="BE19" s="119">
        <f t="shared" si="15"/>
        <v>25.803399999999996</v>
      </c>
      <c r="BF19" s="23">
        <v>-0.51332999999999995</v>
      </c>
      <c r="BG19" s="23">
        <f t="shared" si="27"/>
        <v>-0.51323691590879339</v>
      </c>
      <c r="BH19" s="23">
        <f t="shared" si="28"/>
        <v>-0.51468439075458872</v>
      </c>
      <c r="BI19" s="34">
        <v>30791</v>
      </c>
      <c r="BJ19" s="77">
        <v>30791</v>
      </c>
      <c r="BK19" s="119">
        <v>87899.28</v>
      </c>
      <c r="BL19" s="34">
        <v>25404</v>
      </c>
      <c r="BM19" s="34">
        <f>Y19*BL$34</f>
        <v>93708.019</v>
      </c>
      <c r="BN19" s="34">
        <f t="shared" si="29"/>
        <v>-68304.019</v>
      </c>
      <c r="BO19" s="36">
        <f t="shared" si="30"/>
        <v>-0.17554683970132628</v>
      </c>
      <c r="BP19" s="247">
        <f t="shared" si="31"/>
        <v>-0.4192010463747225</v>
      </c>
      <c r="BQ19" s="34">
        <v>110272.08</v>
      </c>
      <c r="BR19" s="119">
        <f t="shared" si="19"/>
        <v>-57108.28</v>
      </c>
      <c r="BS19" s="119">
        <f t="shared" si="20"/>
        <v>-79481.08</v>
      </c>
      <c r="BT19" s="23">
        <v>-0.10052</v>
      </c>
      <c r="BU19" s="23">
        <f t="shared" si="32"/>
        <v>-0.1005154104641091</v>
      </c>
      <c r="BV19" s="23">
        <f t="shared" si="33"/>
        <v>-0.16401439422159608</v>
      </c>
    </row>
    <row r="20" spans="1:74" x14ac:dyDescent="0.25">
      <c r="A20" s="7" t="s">
        <v>92</v>
      </c>
      <c r="B20" s="7" t="s">
        <v>98</v>
      </c>
      <c r="C20" s="10">
        <f t="shared" si="0"/>
        <v>6</v>
      </c>
      <c r="D20" s="11">
        <v>1</v>
      </c>
      <c r="E20" s="11">
        <v>0</v>
      </c>
      <c r="F20" s="11">
        <v>0</v>
      </c>
      <c r="G20" s="11">
        <v>0</v>
      </c>
      <c r="H20" s="11">
        <v>5</v>
      </c>
      <c r="I20" s="100">
        <v>22</v>
      </c>
      <c r="J20" s="38">
        <v>4.5</v>
      </c>
      <c r="K20" s="95">
        <f t="shared" si="23"/>
        <v>3.6666666666666665</v>
      </c>
      <c r="L20" s="98">
        <v>0.75</v>
      </c>
      <c r="M20" s="98" t="e">
        <f>L20/L33</f>
        <v>#DIV/0!</v>
      </c>
      <c r="N20" s="99" t="e">
        <f>K20/K33</f>
        <v>#DIV/0!</v>
      </c>
      <c r="O20" s="77">
        <v>0</v>
      </c>
      <c r="P20" s="34">
        <v>0</v>
      </c>
      <c r="Q20" s="34">
        <f t="shared" si="2"/>
        <v>0</v>
      </c>
      <c r="R20" s="77">
        <f t="shared" si="3"/>
        <v>0</v>
      </c>
      <c r="S20" s="23" t="e">
        <f>R20/R33</f>
        <v>#DIV/0!</v>
      </c>
      <c r="T20" s="23" t="e">
        <f>Q20/Q33</f>
        <v>#DIV/0!</v>
      </c>
      <c r="U20" s="23" t="e">
        <f t="shared" si="4"/>
        <v>#DIV/0!</v>
      </c>
      <c r="V20" s="23" t="e">
        <f t="shared" si="5"/>
        <v>#DIV/0!</v>
      </c>
      <c r="W20" s="26">
        <f t="shared" si="24"/>
        <v>-0.32953884286731672</v>
      </c>
      <c r="X20" s="23">
        <v>-0.36199999999999999</v>
      </c>
      <c r="Y20" s="249">
        <v>2</v>
      </c>
      <c r="Z20" s="26"/>
      <c r="AA20" s="26">
        <f t="shared" si="25"/>
        <v>-0.35013414647364777</v>
      </c>
      <c r="AB20" s="37"/>
      <c r="AC20" s="37"/>
      <c r="AD20" s="37"/>
      <c r="AE20" s="37"/>
      <c r="AF20" s="36"/>
      <c r="AG20" s="37"/>
      <c r="AH20" s="60"/>
      <c r="AI20" s="36"/>
      <c r="AJ20" s="36"/>
      <c r="AK20" s="36"/>
      <c r="AL20" s="36"/>
      <c r="AU20">
        <v>44</v>
      </c>
      <c r="AV20">
        <v>44</v>
      </c>
      <c r="AW20">
        <f t="shared" si="11"/>
        <v>0</v>
      </c>
      <c r="AX20">
        <v>37</v>
      </c>
      <c r="BB20" s="23"/>
      <c r="BC20" s="119">
        <v>34.398870000000002</v>
      </c>
      <c r="BD20">
        <f t="shared" si="14"/>
        <v>7</v>
      </c>
      <c r="BE20" s="119">
        <f t="shared" si="15"/>
        <v>9.6011299999999977</v>
      </c>
      <c r="BF20" s="23">
        <v>-0.52042999999999995</v>
      </c>
      <c r="BG20" s="23">
        <f t="shared" si="27"/>
        <v>-0.52058344830351166</v>
      </c>
      <c r="BH20" s="23">
        <f t="shared" si="28"/>
        <v>-0.5244129077080506</v>
      </c>
      <c r="BI20" s="34">
        <v>0</v>
      </c>
      <c r="BJ20" s="77">
        <v>0</v>
      </c>
      <c r="BK20" s="119">
        <v>31854.2</v>
      </c>
      <c r="BL20" s="34"/>
      <c r="BM20" s="34"/>
      <c r="BN20" s="34"/>
      <c r="BO20" s="36"/>
      <c r="BP20" s="247"/>
      <c r="BQ20" s="34">
        <v>46431.81</v>
      </c>
      <c r="BR20" s="119">
        <f t="shared" si="19"/>
        <v>-31854.2</v>
      </c>
      <c r="BS20" s="119">
        <f t="shared" si="20"/>
        <v>-46431.81</v>
      </c>
      <c r="BT20" s="23">
        <v>-4.2970000000000001E-2</v>
      </c>
      <c r="BU20" s="23">
        <f t="shared" si="32"/>
        <v>-4.297193471302433E-2</v>
      </c>
      <c r="BV20" s="23">
        <f t="shared" si="33"/>
        <v>-8.8716004622043557E-2</v>
      </c>
    </row>
    <row r="21" spans="1:74" x14ac:dyDescent="0.25">
      <c r="A21" s="9" t="s">
        <v>99</v>
      </c>
      <c r="B21" s="9" t="s">
        <v>103</v>
      </c>
      <c r="C21" s="10">
        <f t="shared" si="0"/>
        <v>146</v>
      </c>
      <c r="D21" s="8">
        <v>36</v>
      </c>
      <c r="E21" s="8">
        <v>12</v>
      </c>
      <c r="F21" s="8">
        <v>38</v>
      </c>
      <c r="G21" s="8">
        <v>37</v>
      </c>
      <c r="H21" s="8">
        <v>23</v>
      </c>
      <c r="I21" s="100">
        <v>2662.5</v>
      </c>
      <c r="J21" s="38">
        <v>2882.5</v>
      </c>
      <c r="K21" s="95">
        <f t="shared" si="23"/>
        <v>18.236301369863014</v>
      </c>
      <c r="L21" s="98">
        <v>19.743150684931507</v>
      </c>
      <c r="M21" s="98" t="e">
        <f>L21/L33</f>
        <v>#DIV/0!</v>
      </c>
      <c r="N21" s="99" t="e">
        <f>K21/K33</f>
        <v>#DIV/0!</v>
      </c>
      <c r="O21" s="77">
        <v>148434</v>
      </c>
      <c r="P21" s="34">
        <v>167241</v>
      </c>
      <c r="Q21" s="34">
        <f t="shared" si="2"/>
        <v>1016.6712328767123</v>
      </c>
      <c r="R21" s="77">
        <f t="shared" si="3"/>
        <v>1145.486301369863</v>
      </c>
      <c r="S21" s="23" t="e">
        <f>R21/R33</f>
        <v>#DIV/0!</v>
      </c>
      <c r="T21" s="23" t="e">
        <f>Q21/Q33</f>
        <v>#DIV/0!</v>
      </c>
      <c r="U21" s="23" t="e">
        <f t="shared" si="4"/>
        <v>#DIV/0!</v>
      </c>
      <c r="V21" s="23" t="e">
        <f t="shared" si="5"/>
        <v>#DIV/0!</v>
      </c>
      <c r="W21" s="25">
        <f t="shared" si="24"/>
        <v>0.90606002003420616</v>
      </c>
      <c r="X21" s="27">
        <v>1.3009999999999999</v>
      </c>
      <c r="Y21" s="221">
        <v>158</v>
      </c>
      <c r="Z21" s="25">
        <v>0.46242863030361203</v>
      </c>
      <c r="AA21" s="25">
        <f t="shared" si="25"/>
        <v>0.99935522974471591</v>
      </c>
      <c r="AB21" s="67">
        <f>AE21*AP$5</f>
        <v>825480.51601950754</v>
      </c>
      <c r="AC21" s="67">
        <f>(AH21*AR$5)</f>
        <v>857188.4135871341</v>
      </c>
      <c r="AD21" s="147">
        <f>AC21-AB21</f>
        <v>31707.897567626555</v>
      </c>
      <c r="AE21" s="67">
        <f>C21*AI21</f>
        <v>21.665854812703191</v>
      </c>
      <c r="AF21" s="74">
        <f>X21/AQ2</f>
        <v>0.2284861257463997</v>
      </c>
      <c r="AG21" s="67">
        <f>AJ21*AR$8</f>
        <v>457632.92976170022</v>
      </c>
      <c r="AH21" s="211">
        <f>C21*AL21</f>
        <v>22.756334525613955</v>
      </c>
      <c r="AI21" s="74">
        <f>W21/AS$2</f>
        <v>0.14839626584043281</v>
      </c>
      <c r="AJ21" s="74">
        <f>Y21*AK21</f>
        <v>11.066755709213526</v>
      </c>
      <c r="AK21" s="74">
        <f>Z21/AT$5</f>
        <v>7.0042757653250159E-2</v>
      </c>
      <c r="AL21" s="74">
        <f>AA21/AT$2</f>
        <v>0.1558653049699586</v>
      </c>
      <c r="AU21">
        <v>5325</v>
      </c>
      <c r="AV21">
        <v>5332</v>
      </c>
      <c r="AW21">
        <f t="shared" si="11"/>
        <v>-7</v>
      </c>
      <c r="AX21">
        <v>893</v>
      </c>
      <c r="AY21">
        <v>4612</v>
      </c>
      <c r="AZ21">
        <v>2692</v>
      </c>
      <c r="BA21">
        <f t="shared" ref="BA21:BA24" si="34">AY21-AZ21</f>
        <v>1920</v>
      </c>
      <c r="BB21" s="25">
        <f t="shared" si="13"/>
        <v>1.5804218806381543</v>
      </c>
      <c r="BC21" s="119">
        <v>837.03911000000005</v>
      </c>
      <c r="BD21">
        <f t="shared" si="14"/>
        <v>4432</v>
      </c>
      <c r="BE21" s="119">
        <f t="shared" si="15"/>
        <v>4494.9608900000003</v>
      </c>
      <c r="BF21" s="23">
        <v>2.18832</v>
      </c>
      <c r="BG21" s="23">
        <f t="shared" si="27"/>
        <v>2.1884503722488668</v>
      </c>
      <c r="BH21" s="23">
        <f t="shared" si="28"/>
        <v>2.1687836917521399</v>
      </c>
      <c r="BI21" s="34">
        <v>148434</v>
      </c>
      <c r="BJ21" s="77">
        <v>234293</v>
      </c>
      <c r="BK21" s="119">
        <v>607990.1</v>
      </c>
      <c r="BL21" s="34">
        <v>275499</v>
      </c>
      <c r="BM21" s="34">
        <f>Y21*BL$34</f>
        <v>779256.15800000005</v>
      </c>
      <c r="BN21" s="34">
        <f t="shared" ref="BN21:BN24" si="35">BL21-BM21</f>
        <v>-503757.15800000005</v>
      </c>
      <c r="BO21" s="36">
        <f t="shared" ref="BO21:BO24" si="36">(BN21-BN$31)/BN$32</f>
        <v>-1.2145612451982013</v>
      </c>
      <c r="BP21" s="231">
        <f t="shared" ref="BP21:BP24" si="37">(0.6*BB21)+(0.4*BO21)</f>
        <v>0.46242863030361203</v>
      </c>
      <c r="BQ21" s="34">
        <v>573070.71</v>
      </c>
      <c r="BR21" s="119">
        <f t="shared" si="19"/>
        <v>-459556.1</v>
      </c>
      <c r="BS21" s="119">
        <f t="shared" si="20"/>
        <v>-338777.70999999996</v>
      </c>
      <c r="BT21" s="23">
        <v>-1.01753</v>
      </c>
      <c r="BU21" s="23">
        <f t="shared" si="32"/>
        <v>-1.0175255082877848</v>
      </c>
      <c r="BV21" s="23">
        <f t="shared" si="33"/>
        <v>-0.75478746326641977</v>
      </c>
    </row>
    <row r="22" spans="1:74" x14ac:dyDescent="0.25">
      <c r="A22" s="9" t="s">
        <v>99</v>
      </c>
      <c r="B22" s="9" t="s">
        <v>105</v>
      </c>
      <c r="C22" s="10">
        <f t="shared" si="0"/>
        <v>13</v>
      </c>
      <c r="D22" s="8">
        <v>5</v>
      </c>
      <c r="E22" s="8">
        <v>1</v>
      </c>
      <c r="F22" s="8">
        <v>2</v>
      </c>
      <c r="G22" s="8">
        <v>4</v>
      </c>
      <c r="H22" s="8">
        <v>1</v>
      </c>
      <c r="I22" s="100">
        <v>172</v>
      </c>
      <c r="J22" s="38">
        <v>114</v>
      </c>
      <c r="K22" s="95">
        <f t="shared" si="23"/>
        <v>13.23076923076923</v>
      </c>
      <c r="L22" s="98">
        <v>8.7692307692307701</v>
      </c>
      <c r="M22" s="98" t="e">
        <f>L22/L33</f>
        <v>#DIV/0!</v>
      </c>
      <c r="N22" s="99" t="e">
        <f>K22/K33</f>
        <v>#DIV/0!</v>
      </c>
      <c r="O22" s="77">
        <v>323297</v>
      </c>
      <c r="P22" s="34">
        <v>0</v>
      </c>
      <c r="Q22" s="34">
        <f t="shared" si="2"/>
        <v>24869</v>
      </c>
      <c r="R22" s="77">
        <f t="shared" si="3"/>
        <v>0</v>
      </c>
      <c r="S22" s="23" t="e">
        <f>R22/R33</f>
        <v>#DIV/0!</v>
      </c>
      <c r="T22" s="23" t="e">
        <f>Q22/Q33</f>
        <v>#DIV/0!</v>
      </c>
      <c r="U22" s="23" t="e">
        <f t="shared" si="4"/>
        <v>#DIV/0!</v>
      </c>
      <c r="V22" s="23" t="e">
        <f t="shared" si="5"/>
        <v>#DIV/0!</v>
      </c>
      <c r="W22" s="26">
        <f t="shared" si="24"/>
        <v>-0.26541377263010596</v>
      </c>
      <c r="X22" s="23">
        <v>-0.32400000000000001</v>
      </c>
      <c r="Y22" s="221">
        <v>13</v>
      </c>
      <c r="Z22" s="25">
        <v>0.18422309456784083</v>
      </c>
      <c r="AA22" s="26">
        <f t="shared" si="25"/>
        <v>2.6566791721816252E-3</v>
      </c>
      <c r="AB22" s="61"/>
      <c r="AC22" s="61"/>
      <c r="AD22" s="61"/>
      <c r="AE22" s="61"/>
      <c r="AF22" s="36"/>
      <c r="AG22" s="67">
        <f>AJ22*AR$8</f>
        <v>15000.401767635412</v>
      </c>
      <c r="AH22" s="60"/>
      <c r="AI22" s="36"/>
      <c r="AJ22" s="74">
        <f>Y22*AK22</f>
        <v>0.36274876895095554</v>
      </c>
      <c r="AK22" s="74">
        <f>Z22/AT$5</f>
        <v>2.7903751457765812E-2</v>
      </c>
      <c r="AL22" s="36"/>
      <c r="AU22">
        <v>344</v>
      </c>
      <c r="AV22">
        <v>344</v>
      </c>
      <c r="AW22">
        <f t="shared" si="11"/>
        <v>0</v>
      </c>
      <c r="AX22">
        <v>80</v>
      </c>
      <c r="AY22">
        <v>502</v>
      </c>
      <c r="AZ22">
        <v>222</v>
      </c>
      <c r="BA22">
        <f t="shared" si="34"/>
        <v>280</v>
      </c>
      <c r="BB22" s="23">
        <f t="shared" si="13"/>
        <v>-9.6861405201027942E-2</v>
      </c>
      <c r="BC22" s="119">
        <v>74.530879999999996</v>
      </c>
      <c r="BD22">
        <f t="shared" si="14"/>
        <v>264</v>
      </c>
      <c r="BE22" s="119">
        <f t="shared" si="15"/>
        <v>269.46911999999998</v>
      </c>
      <c r="BF22" s="23">
        <v>-0.36298999999999998</v>
      </c>
      <c r="BG22" s="23">
        <f t="shared" si="27"/>
        <v>-0.36324521284996114</v>
      </c>
      <c r="BH22" s="23">
        <f t="shared" si="28"/>
        <v>-0.36837735550597828</v>
      </c>
      <c r="BI22" s="34">
        <v>0</v>
      </c>
      <c r="BJ22" s="77">
        <v>323296.88</v>
      </c>
      <c r="BK22" s="119">
        <v>65074.29</v>
      </c>
      <c r="BL22" s="34">
        <v>323297</v>
      </c>
      <c r="BM22" s="34">
        <f>Y22*BL$34</f>
        <v>64116.013000000006</v>
      </c>
      <c r="BN22" s="34">
        <f t="shared" si="35"/>
        <v>259180.98699999999</v>
      </c>
      <c r="BO22" s="231">
        <f t="shared" si="36"/>
        <v>0.60584984422114396</v>
      </c>
      <c r="BP22" s="231">
        <f t="shared" si="37"/>
        <v>0.18422309456784083</v>
      </c>
      <c r="BQ22" s="34">
        <v>85348.02</v>
      </c>
      <c r="BR22" s="119">
        <f t="shared" si="19"/>
        <v>-65074.29</v>
      </c>
      <c r="BS22" s="119">
        <f t="shared" si="20"/>
        <v>237948.86</v>
      </c>
      <c r="BT22" s="23">
        <v>-0.11867</v>
      </c>
      <c r="BU22" s="23">
        <f t="shared" si="32"/>
        <v>-0.11866661230032324</v>
      </c>
      <c r="BV22" s="23">
        <f t="shared" si="33"/>
        <v>0.55920773118942146</v>
      </c>
    </row>
    <row r="23" spans="1:74" x14ac:dyDescent="0.25">
      <c r="A23" s="9" t="s">
        <v>111</v>
      </c>
      <c r="B23" s="9" t="s">
        <v>113</v>
      </c>
      <c r="C23" s="10">
        <f t="shared" si="0"/>
        <v>36</v>
      </c>
      <c r="D23" s="11">
        <v>2</v>
      </c>
      <c r="E23" s="11">
        <v>16</v>
      </c>
      <c r="F23">
        <v>9</v>
      </c>
      <c r="G23">
        <v>0</v>
      </c>
      <c r="H23" s="11">
        <v>9</v>
      </c>
      <c r="I23" s="100">
        <v>176</v>
      </c>
      <c r="J23" s="38">
        <v>227</v>
      </c>
      <c r="K23" s="95">
        <f t="shared" si="23"/>
        <v>4.8888888888888893</v>
      </c>
      <c r="L23" s="98">
        <v>6.3055555555555554</v>
      </c>
      <c r="M23" s="98" t="e">
        <f>L23/L33</f>
        <v>#DIV/0!</v>
      </c>
      <c r="N23" s="99" t="e">
        <f>K23/K33</f>
        <v>#DIV/0!</v>
      </c>
      <c r="O23" s="77">
        <v>0</v>
      </c>
      <c r="P23" s="34">
        <v>136430</v>
      </c>
      <c r="Q23" s="34">
        <f t="shared" si="2"/>
        <v>0</v>
      </c>
      <c r="R23" s="77">
        <f t="shared" si="3"/>
        <v>3789.7222222222222</v>
      </c>
      <c r="S23" s="23" t="e">
        <f>R23/R33</f>
        <v>#DIV/0!</v>
      </c>
      <c r="T23" s="23" t="e">
        <f>Q23/Q33</f>
        <v>#DIV/0!</v>
      </c>
      <c r="U23" s="23" t="e">
        <f t="shared" si="4"/>
        <v>#DIV/0!</v>
      </c>
      <c r="V23" s="23" t="e">
        <f t="shared" si="5"/>
        <v>#DIV/0!</v>
      </c>
      <c r="W23" s="26">
        <f t="shared" si="24"/>
        <v>-0.40658718669437821</v>
      </c>
      <c r="X23" s="23">
        <v>-0.15</v>
      </c>
      <c r="Y23" s="221">
        <v>35</v>
      </c>
      <c r="Z23" s="26">
        <v>-0.40508034345416744</v>
      </c>
      <c r="AA23" s="26">
        <f t="shared" si="25"/>
        <v>-0.43226412326637359</v>
      </c>
      <c r="AB23" s="61"/>
      <c r="AC23" s="61"/>
      <c r="AD23" s="61"/>
      <c r="AE23" s="61"/>
      <c r="AF23" s="36"/>
      <c r="AG23" s="37"/>
      <c r="AH23" s="60"/>
      <c r="AI23" s="36"/>
      <c r="AJ23" s="36"/>
      <c r="AK23" s="36"/>
      <c r="AL23" s="36"/>
      <c r="AU23">
        <v>352</v>
      </c>
      <c r="AV23">
        <v>352</v>
      </c>
      <c r="AW23">
        <f t="shared" si="11"/>
        <v>0</v>
      </c>
      <c r="AX23">
        <v>220</v>
      </c>
      <c r="AY23">
        <v>564</v>
      </c>
      <c r="AZ23">
        <v>596</v>
      </c>
      <c r="BA23">
        <f t="shared" si="34"/>
        <v>-32</v>
      </c>
      <c r="BB23" s="23">
        <f t="shared" si="13"/>
        <v>-0.41595432299482354</v>
      </c>
      <c r="BC23" s="119">
        <v>206.39320000000001</v>
      </c>
      <c r="BD23">
        <f t="shared" si="14"/>
        <v>132</v>
      </c>
      <c r="BE23" s="119">
        <f t="shared" si="15"/>
        <v>145.60679999999999</v>
      </c>
      <c r="BF23" s="23">
        <v>-0.44422</v>
      </c>
      <c r="BG23" s="23">
        <f t="shared" si="27"/>
        <v>-0.44405706919186261</v>
      </c>
      <c r="BH23" s="23">
        <f t="shared" si="28"/>
        <v>-0.44274944534370619</v>
      </c>
      <c r="BI23" s="34">
        <v>0</v>
      </c>
      <c r="BJ23" s="77">
        <v>0</v>
      </c>
      <c r="BK23" s="119">
        <v>166767.28</v>
      </c>
      <c r="BL23" s="34">
        <v>14954</v>
      </c>
      <c r="BM23" s="34">
        <f>Y23*BL$34</f>
        <v>172620.035</v>
      </c>
      <c r="BN23" s="34">
        <f t="shared" si="35"/>
        <v>-157666.035</v>
      </c>
      <c r="BO23" s="36">
        <f t="shared" si="36"/>
        <v>-0.38876937414318324</v>
      </c>
      <c r="BP23" s="247">
        <f t="shared" si="37"/>
        <v>-0.40508034345416744</v>
      </c>
      <c r="BQ23" s="34">
        <v>190315.58</v>
      </c>
      <c r="BR23" s="119">
        <f t="shared" si="19"/>
        <v>-166767.28</v>
      </c>
      <c r="BS23" s="119">
        <f t="shared" si="20"/>
        <v>-190315.58</v>
      </c>
      <c r="BT23" s="23">
        <v>-0.35038000000000002</v>
      </c>
      <c r="BU23" s="23">
        <f t="shared" si="32"/>
        <v>-0.3503823629481515</v>
      </c>
      <c r="BV23" s="23">
        <f t="shared" si="33"/>
        <v>-0.41653614015037471</v>
      </c>
    </row>
    <row r="24" spans="1:74" x14ac:dyDescent="0.25">
      <c r="A24" s="9" t="s">
        <v>114</v>
      </c>
      <c r="B24" s="9" t="s">
        <v>113</v>
      </c>
      <c r="C24" s="10">
        <f t="shared" si="0"/>
        <v>64</v>
      </c>
      <c r="D24">
        <v>7</v>
      </c>
      <c r="E24">
        <v>17</v>
      </c>
      <c r="F24">
        <v>0</v>
      </c>
      <c r="G24">
        <v>24</v>
      </c>
      <c r="H24" s="15">
        <v>16</v>
      </c>
      <c r="I24" s="100">
        <v>406.5</v>
      </c>
      <c r="J24" s="38">
        <v>353.5</v>
      </c>
      <c r="K24" s="95">
        <f t="shared" si="23"/>
        <v>6.3515625</v>
      </c>
      <c r="L24" s="98">
        <v>5.5234375</v>
      </c>
      <c r="M24" s="98" t="e">
        <f>L24/L33</f>
        <v>#DIV/0!</v>
      </c>
      <c r="N24" s="99" t="e">
        <f>K24/K33</f>
        <v>#DIV/0!</v>
      </c>
      <c r="O24" s="77">
        <v>183895</v>
      </c>
      <c r="P24" s="34">
        <v>38496</v>
      </c>
      <c r="Q24" s="34">
        <f t="shared" si="2"/>
        <v>2873.359375</v>
      </c>
      <c r="R24" s="77">
        <f t="shared" si="3"/>
        <v>601.5</v>
      </c>
      <c r="S24" s="23" t="e">
        <f>R24/R33</f>
        <v>#DIV/0!</v>
      </c>
      <c r="T24" s="23" t="e">
        <f>Q24/Q33</f>
        <v>#DIV/0!</v>
      </c>
      <c r="U24" s="23" t="e">
        <f t="shared" si="4"/>
        <v>#DIV/0!</v>
      </c>
      <c r="V24" s="23" t="e">
        <f t="shared" si="5"/>
        <v>#DIV/0!</v>
      </c>
      <c r="W24" s="26">
        <f t="shared" si="24"/>
        <v>-0.23910028067387085</v>
      </c>
      <c r="X24" s="23">
        <v>-0.218</v>
      </c>
      <c r="Y24" s="221">
        <v>49</v>
      </c>
      <c r="Z24" s="26">
        <v>-0.20520271328325287</v>
      </c>
      <c r="AA24" s="26">
        <f t="shared" si="25"/>
        <v>-0.40609857862596122</v>
      </c>
      <c r="AB24" s="61"/>
      <c r="AC24" s="61"/>
      <c r="AD24" s="61"/>
      <c r="AE24" s="61"/>
      <c r="AF24" s="36"/>
      <c r="AG24" s="37"/>
      <c r="AH24" s="60"/>
      <c r="AI24" s="36"/>
      <c r="AJ24" s="36"/>
      <c r="AK24" s="36"/>
      <c r="AL24" s="36"/>
      <c r="AU24">
        <v>813</v>
      </c>
      <c r="AV24">
        <v>798</v>
      </c>
      <c r="AW24">
        <f t="shared" si="11"/>
        <v>15</v>
      </c>
      <c r="AX24">
        <v>391</v>
      </c>
      <c r="AY24">
        <v>878</v>
      </c>
      <c r="AZ24">
        <v>835</v>
      </c>
      <c r="BA24">
        <f t="shared" si="34"/>
        <v>43</v>
      </c>
      <c r="BB24" s="23">
        <f t="shared" si="13"/>
        <v>-0.33924929467900733</v>
      </c>
      <c r="BC24" s="119">
        <v>366.92124999999999</v>
      </c>
      <c r="BD24">
        <f t="shared" si="14"/>
        <v>422</v>
      </c>
      <c r="BE24" s="119">
        <f t="shared" si="15"/>
        <v>431.07875000000001</v>
      </c>
      <c r="BF24" s="23">
        <v>-0.26684000000000002</v>
      </c>
      <c r="BG24" s="23">
        <f t="shared" si="27"/>
        <v>-0.26651586965283669</v>
      </c>
      <c r="BH24" s="23">
        <f t="shared" si="28"/>
        <v>-0.27134021038386219</v>
      </c>
      <c r="BI24" s="34">
        <v>183895</v>
      </c>
      <c r="BJ24" s="77">
        <v>24916</v>
      </c>
      <c r="BK24" s="119">
        <v>283776.15999999997</v>
      </c>
      <c r="BL24" s="34">
        <v>245204</v>
      </c>
      <c r="BM24" s="34">
        <f>Y24*BL$34</f>
        <v>241668.049</v>
      </c>
      <c r="BN24" s="34">
        <f t="shared" si="35"/>
        <v>3535.9510000000009</v>
      </c>
      <c r="BO24" s="36">
        <f t="shared" si="36"/>
        <v>-4.1328411896211547E-3</v>
      </c>
      <c r="BP24" s="247">
        <f t="shared" si="37"/>
        <v>-0.20520271328325287</v>
      </c>
      <c r="BQ24" s="34">
        <v>299370.76</v>
      </c>
      <c r="BR24" s="119">
        <f t="shared" si="19"/>
        <v>-99881.159999999974</v>
      </c>
      <c r="BS24" s="119">
        <f t="shared" si="20"/>
        <v>-274454.76</v>
      </c>
      <c r="BT24" s="23">
        <v>-0.19797999999999999</v>
      </c>
      <c r="BU24" s="23">
        <f t="shared" si="32"/>
        <v>-0.19797689720542208</v>
      </c>
      <c r="BV24" s="23">
        <f t="shared" si="33"/>
        <v>-0.60823613098910967</v>
      </c>
    </row>
    <row r="25" spans="1:74" x14ac:dyDescent="0.25">
      <c r="A25" s="7" t="s">
        <v>114</v>
      </c>
      <c r="B25" s="7" t="s">
        <v>117</v>
      </c>
      <c r="C25" s="10">
        <f t="shared" si="0"/>
        <v>5</v>
      </c>
      <c r="D25">
        <v>0</v>
      </c>
      <c r="E25">
        <v>0</v>
      </c>
      <c r="F25">
        <v>0</v>
      </c>
      <c r="G25">
        <v>2</v>
      </c>
      <c r="H25" s="15">
        <v>3</v>
      </c>
      <c r="I25" s="100">
        <v>14</v>
      </c>
      <c r="J25" s="38">
        <v>1</v>
      </c>
      <c r="K25" s="95">
        <f t="shared" si="23"/>
        <v>2.8</v>
      </c>
      <c r="L25" s="98">
        <v>0.2</v>
      </c>
      <c r="M25" s="98" t="e">
        <f>L25/L33</f>
        <v>#DIV/0!</v>
      </c>
      <c r="N25" s="99" t="e">
        <f>K25/K33</f>
        <v>#DIV/0!</v>
      </c>
      <c r="O25" s="77">
        <v>0</v>
      </c>
      <c r="P25" s="34">
        <v>0</v>
      </c>
      <c r="Q25" s="34">
        <f t="shared" si="2"/>
        <v>0</v>
      </c>
      <c r="R25" s="77">
        <f t="shared" si="3"/>
        <v>0</v>
      </c>
      <c r="S25" s="23" t="e">
        <f>R25/R33</f>
        <v>#DIV/0!</v>
      </c>
      <c r="T25" s="23" t="e">
        <f>Q25/Q33</f>
        <v>#DIV/0!</v>
      </c>
      <c r="U25" s="23" t="e">
        <f t="shared" si="4"/>
        <v>#DIV/0!</v>
      </c>
      <c r="V25" s="23" t="e">
        <f t="shared" si="5"/>
        <v>#DIV/0!</v>
      </c>
      <c r="W25" s="26">
        <f t="shared" si="24"/>
        <v>-0.32871125466295514</v>
      </c>
      <c r="X25" s="23">
        <v>-0.35299999999999998</v>
      </c>
      <c r="Y25" s="249">
        <v>0</v>
      </c>
      <c r="Z25" s="26"/>
      <c r="AA25" s="26">
        <f t="shared" si="25"/>
        <v>-0.34817452456156389</v>
      </c>
      <c r="AB25" s="61"/>
      <c r="AC25" s="61"/>
      <c r="AD25" s="61"/>
      <c r="AE25" s="61"/>
      <c r="AF25" s="36"/>
      <c r="AG25" s="37"/>
      <c r="AH25" s="60"/>
      <c r="AI25" s="36"/>
      <c r="AJ25" s="36"/>
      <c r="AK25" s="36"/>
      <c r="AL25" s="36"/>
      <c r="AU25">
        <v>28</v>
      </c>
      <c r="AV25">
        <v>28</v>
      </c>
      <c r="AW25">
        <f t="shared" si="11"/>
        <v>0</v>
      </c>
      <c r="AX25">
        <v>31</v>
      </c>
      <c r="BB25" s="23"/>
      <c r="BC25" s="119">
        <v>28.66572</v>
      </c>
      <c r="BD25">
        <f t="shared" si="14"/>
        <v>-3</v>
      </c>
      <c r="BE25" s="119">
        <f t="shared" si="15"/>
        <v>-0.66572000000000031</v>
      </c>
      <c r="BF25" s="23">
        <v>-0.52647999999999995</v>
      </c>
      <c r="BG25" s="23">
        <f t="shared" si="27"/>
        <v>-0.52670555863244362</v>
      </c>
      <c r="BH25" s="23">
        <f t="shared" si="28"/>
        <v>-0.53057755156867326</v>
      </c>
      <c r="BI25" s="34">
        <v>0</v>
      </c>
      <c r="BJ25" s="77">
        <v>0</v>
      </c>
      <c r="BK25" s="119">
        <v>26915.98</v>
      </c>
      <c r="BL25" s="34"/>
      <c r="BM25" s="34"/>
      <c r="BN25" s="34"/>
      <c r="BO25" s="36"/>
      <c r="BP25" s="247"/>
      <c r="BQ25" s="34">
        <v>40222.97</v>
      </c>
      <c r="BR25" s="119">
        <f t="shared" si="19"/>
        <v>-26915.98</v>
      </c>
      <c r="BS25" s="119">
        <f t="shared" si="20"/>
        <v>-40222.97</v>
      </c>
      <c r="BT25" s="23">
        <v>-3.1719999999999998E-2</v>
      </c>
      <c r="BU25" s="23">
        <f t="shared" si="32"/>
        <v>-3.1719798708722373E-2</v>
      </c>
      <c r="BV25" s="23">
        <f t="shared" si="33"/>
        <v>-7.4569984050899762E-2</v>
      </c>
    </row>
    <row r="26" spans="1:74" x14ac:dyDescent="0.25">
      <c r="A26" s="9" t="s">
        <v>118</v>
      </c>
      <c r="B26" s="9" t="s">
        <v>119</v>
      </c>
      <c r="C26" s="10">
        <f t="shared" si="0"/>
        <v>40</v>
      </c>
      <c r="D26">
        <v>8</v>
      </c>
      <c r="E26">
        <v>17</v>
      </c>
      <c r="F26">
        <v>0</v>
      </c>
      <c r="G26">
        <v>15</v>
      </c>
      <c r="H26">
        <v>0</v>
      </c>
      <c r="I26" s="100">
        <v>156</v>
      </c>
      <c r="J26" s="38">
        <v>172.5</v>
      </c>
      <c r="K26" s="95">
        <f t="shared" si="23"/>
        <v>3.9</v>
      </c>
      <c r="L26" s="98">
        <v>4.3125</v>
      </c>
      <c r="M26" s="98" t="e">
        <f>L26/L33</f>
        <v>#DIV/0!</v>
      </c>
      <c r="N26" s="99" t="e">
        <f>K26/K33</f>
        <v>#DIV/0!</v>
      </c>
      <c r="O26" s="77">
        <v>21151</v>
      </c>
      <c r="P26" s="34">
        <v>105135</v>
      </c>
      <c r="Q26" s="34">
        <f t="shared" si="2"/>
        <v>528.77499999999998</v>
      </c>
      <c r="R26" s="77">
        <f t="shared" si="3"/>
        <v>2628.375</v>
      </c>
      <c r="S26" s="23" t="e">
        <f>R26/R33</f>
        <v>#DIV/0!</v>
      </c>
      <c r="T26" s="23" t="e">
        <f>Q26/Q33</f>
        <v>#DIV/0!</v>
      </c>
      <c r="U26" s="23" t="e">
        <f t="shared" si="4"/>
        <v>#DIV/0!</v>
      </c>
      <c r="V26" s="23" t="e">
        <f t="shared" si="5"/>
        <v>#DIV/0!</v>
      </c>
      <c r="W26" s="26">
        <f t="shared" si="24"/>
        <v>-0.42672581441382412</v>
      </c>
      <c r="X26" s="23">
        <v>-0.22</v>
      </c>
      <c r="Y26" s="221">
        <v>36</v>
      </c>
      <c r="Z26" s="26">
        <v>-0.59151816924152567</v>
      </c>
      <c r="AA26" s="26">
        <f t="shared" si="25"/>
        <v>-0.44669902070660833</v>
      </c>
      <c r="AB26" s="61"/>
      <c r="AC26" s="61"/>
      <c r="AD26" s="61"/>
      <c r="AE26" s="61"/>
      <c r="AF26" s="36"/>
      <c r="AG26" s="37"/>
      <c r="AH26" s="60"/>
      <c r="AI26" s="36"/>
      <c r="AJ26" s="36"/>
      <c r="AK26" s="36"/>
      <c r="AL26" s="36"/>
      <c r="AU26">
        <v>312</v>
      </c>
      <c r="AV26">
        <v>323</v>
      </c>
      <c r="AW26">
        <f t="shared" si="11"/>
        <v>-11</v>
      </c>
      <c r="AX26">
        <v>245</v>
      </c>
      <c r="AY26">
        <v>277</v>
      </c>
      <c r="AZ26">
        <v>613</v>
      </c>
      <c r="BA26">
        <f t="shared" ref="BA26:BA30" si="38">AY26-AZ26</f>
        <v>-336</v>
      </c>
      <c r="BB26" s="23">
        <f t="shared" si="13"/>
        <v>-0.72686537110159866</v>
      </c>
      <c r="BC26" s="119">
        <v>229.32578000000001</v>
      </c>
      <c r="BD26">
        <f t="shared" si="14"/>
        <v>67</v>
      </c>
      <c r="BE26" s="119">
        <f t="shared" si="15"/>
        <v>93.674219999999991</v>
      </c>
      <c r="BF26" s="23">
        <v>-0.48368</v>
      </c>
      <c r="BG26" s="23">
        <f t="shared" si="27"/>
        <v>-0.48385078632992012</v>
      </c>
      <c r="BH26" s="23">
        <f t="shared" si="28"/>
        <v>-0.47393192687049335</v>
      </c>
      <c r="BI26" s="34">
        <v>21151</v>
      </c>
      <c r="BJ26" s="77">
        <v>21150.959999999999</v>
      </c>
      <c r="BK26" s="119">
        <v>183817.48</v>
      </c>
      <c r="BL26" s="34">
        <v>20000</v>
      </c>
      <c r="BM26" s="34">
        <f>Y26*BL$34</f>
        <v>177552.03600000002</v>
      </c>
      <c r="BN26" s="34">
        <f t="shared" ref="BN26:BN30" si="39">BL26-BM26</f>
        <v>-157552.03600000002</v>
      </c>
      <c r="BO26" s="36">
        <f t="shared" ref="BO26:BO30" si="40">(BN26-BN$31)/BN$32</f>
        <v>-0.38849736645141597</v>
      </c>
      <c r="BP26" s="247">
        <f t="shared" ref="BP26:BP30" si="41">(0.6*BB26)+(0.4*BO26)</f>
        <v>-0.59151816924152567</v>
      </c>
      <c r="BQ26" s="34">
        <v>206776.13</v>
      </c>
      <c r="BR26" s="119">
        <f t="shared" si="19"/>
        <v>-162666.48000000001</v>
      </c>
      <c r="BS26" s="119">
        <f t="shared" si="20"/>
        <v>-185625.17</v>
      </c>
      <c r="BT26" s="23">
        <v>-0.34104000000000001</v>
      </c>
      <c r="BU26" s="23">
        <f t="shared" si="32"/>
        <v>-0.34103835653968018</v>
      </c>
      <c r="BV26" s="23">
        <f t="shared" si="33"/>
        <v>-0.40584966146078078</v>
      </c>
    </row>
    <row r="27" spans="1:74" x14ac:dyDescent="0.25">
      <c r="A27" s="7" t="s">
        <v>129</v>
      </c>
      <c r="B27" s="7" t="s">
        <v>133</v>
      </c>
      <c r="C27" s="10">
        <f t="shared" si="0"/>
        <v>32</v>
      </c>
      <c r="D27">
        <v>0</v>
      </c>
      <c r="E27">
        <v>0</v>
      </c>
      <c r="F27">
        <v>32</v>
      </c>
      <c r="G27">
        <v>0</v>
      </c>
      <c r="H27">
        <v>0</v>
      </c>
      <c r="I27" s="100">
        <v>679.5</v>
      </c>
      <c r="J27" s="38">
        <v>325</v>
      </c>
      <c r="K27" s="95">
        <f t="shared" si="23"/>
        <v>21.234375</v>
      </c>
      <c r="L27" s="98">
        <v>10.15625</v>
      </c>
      <c r="M27" s="98" t="e">
        <f>L27/L33</f>
        <v>#DIV/0!</v>
      </c>
      <c r="N27" s="99" t="e">
        <f>K27/K33</f>
        <v>#DIV/0!</v>
      </c>
      <c r="O27" s="77">
        <v>1928697</v>
      </c>
      <c r="P27" s="34">
        <v>1003351</v>
      </c>
      <c r="Q27" s="34">
        <f t="shared" si="2"/>
        <v>60271.78125</v>
      </c>
      <c r="R27" s="77">
        <f t="shared" si="3"/>
        <v>31354.71875</v>
      </c>
      <c r="S27" s="23" t="e">
        <f>R27/R33</f>
        <v>#DIV/0!</v>
      </c>
      <c r="T27" s="23" t="e">
        <f>Q27/Q33</f>
        <v>#DIV/0!</v>
      </c>
      <c r="U27" s="23" t="e">
        <f t="shared" si="4"/>
        <v>#DIV/0!</v>
      </c>
      <c r="V27" s="23" t="e">
        <f t="shared" si="5"/>
        <v>#DIV/0!</v>
      </c>
      <c r="W27" s="25">
        <f t="shared" si="24"/>
        <v>1.7456760849442232</v>
      </c>
      <c r="X27" s="27">
        <v>0.214</v>
      </c>
      <c r="Y27" s="221">
        <v>41</v>
      </c>
      <c r="Z27" s="25">
        <v>2.1044025685771941</v>
      </c>
      <c r="AA27" s="25">
        <f t="shared" si="25"/>
        <v>1.7132987594830682</v>
      </c>
      <c r="AB27" s="67">
        <f>AE27*AP$5</f>
        <v>348586.56456928095</v>
      </c>
      <c r="AC27" s="67">
        <f>(AH27*AR$5)</f>
        <v>322096.95977560454</v>
      </c>
      <c r="AD27" s="147">
        <f>AC27-AB27</f>
        <v>-26489.604793676408</v>
      </c>
      <c r="AE27" s="67">
        <f>C27*AI27</f>
        <v>9.1491267825860465</v>
      </c>
      <c r="AF27" s="74">
        <f>X27/AQ2</f>
        <v>3.758342114506498E-2</v>
      </c>
      <c r="AG27" s="67">
        <f>AJ27*AR$8</f>
        <v>540415.93403813324</v>
      </c>
      <c r="AH27" s="211">
        <f>C27*AL27</f>
        <v>8.5509160531738821</v>
      </c>
      <c r="AI27" s="74">
        <f>W27/AS$2</f>
        <v>0.28591021195581395</v>
      </c>
      <c r="AJ27" s="74">
        <f>Y27*AK27</f>
        <v>13.068664281831142</v>
      </c>
      <c r="AK27" s="74">
        <f>Z27/AT$5</f>
        <v>0.31874790931295466</v>
      </c>
      <c r="AL27" s="74">
        <f>AA27/AT$2</f>
        <v>0.26721612666168382</v>
      </c>
      <c r="AU27">
        <v>1359</v>
      </c>
      <c r="AV27">
        <v>1363</v>
      </c>
      <c r="AW27">
        <f t="shared" si="11"/>
        <v>-4</v>
      </c>
      <c r="AX27">
        <v>196</v>
      </c>
      <c r="AY27">
        <v>1826</v>
      </c>
      <c r="AZ27">
        <v>699</v>
      </c>
      <c r="BA27">
        <f t="shared" si="38"/>
        <v>1127</v>
      </c>
      <c r="BB27" s="25">
        <f t="shared" si="13"/>
        <v>0.76939404791225696</v>
      </c>
      <c r="BC27" s="119">
        <v>183.46063000000001</v>
      </c>
      <c r="BD27">
        <f t="shared" si="14"/>
        <v>1163</v>
      </c>
      <c r="BE27" s="119">
        <f t="shared" si="15"/>
        <v>1179.53937</v>
      </c>
      <c r="BF27" s="23">
        <v>0.18725</v>
      </c>
      <c r="BG27" s="23">
        <f t="shared" si="27"/>
        <v>0.18713250572101928</v>
      </c>
      <c r="BH27" s="23">
        <f t="shared" si="28"/>
        <v>0.17806668325935041</v>
      </c>
      <c r="BI27" s="34">
        <v>1928697</v>
      </c>
      <c r="BJ27" s="77">
        <v>1928697</v>
      </c>
      <c r="BK27" s="119">
        <v>149572.01999999999</v>
      </c>
      <c r="BL27" s="77">
        <v>1928697</v>
      </c>
      <c r="BM27" s="34">
        <f>Y27*BL$34</f>
        <v>202212.041</v>
      </c>
      <c r="BN27" s="34">
        <f t="shared" si="39"/>
        <v>1726484.959</v>
      </c>
      <c r="BO27" s="231">
        <f t="shared" si="40"/>
        <v>4.1069153495745994</v>
      </c>
      <c r="BP27" s="231">
        <f t="shared" si="41"/>
        <v>2.1044025685771941</v>
      </c>
      <c r="BQ27" s="34">
        <v>173460.51</v>
      </c>
      <c r="BR27" s="119">
        <f t="shared" si="19"/>
        <v>1779124.98</v>
      </c>
      <c r="BS27" s="119">
        <f t="shared" si="20"/>
        <v>1755236.49</v>
      </c>
      <c r="BT27" s="23">
        <v>4.0834900000000003</v>
      </c>
      <c r="BU27" s="23">
        <f t="shared" si="32"/>
        <v>4.083491453779029</v>
      </c>
      <c r="BV27" s="23">
        <f t="shared" si="33"/>
        <v>4.016146873818645</v>
      </c>
    </row>
    <row r="28" spans="1:74" x14ac:dyDescent="0.25">
      <c r="A28" s="7" t="s">
        <v>135</v>
      </c>
      <c r="B28" s="7" t="s">
        <v>113</v>
      </c>
      <c r="C28" s="10">
        <f t="shared" si="0"/>
        <v>33</v>
      </c>
      <c r="D28" s="8">
        <v>2</v>
      </c>
      <c r="E28">
        <v>0</v>
      </c>
      <c r="F28" s="8">
        <v>23</v>
      </c>
      <c r="G28" s="8">
        <v>7</v>
      </c>
      <c r="H28" s="8">
        <v>1</v>
      </c>
      <c r="I28" s="100">
        <v>442.5</v>
      </c>
      <c r="J28" s="38">
        <v>392.5</v>
      </c>
      <c r="K28" s="95">
        <f t="shared" si="23"/>
        <v>13.409090909090908</v>
      </c>
      <c r="L28" s="98">
        <v>11.893939393939394</v>
      </c>
      <c r="M28" s="98" t="e">
        <f>L28/L33</f>
        <v>#DIV/0!</v>
      </c>
      <c r="N28" s="99" t="e">
        <f>K28/K33</f>
        <v>#DIV/0!</v>
      </c>
      <c r="O28" s="77">
        <v>0</v>
      </c>
      <c r="P28" s="34">
        <v>0</v>
      </c>
      <c r="Q28" s="34">
        <f t="shared" si="2"/>
        <v>0</v>
      </c>
      <c r="R28" s="77">
        <f t="shared" si="3"/>
        <v>0</v>
      </c>
      <c r="S28" s="23" t="e">
        <f>R28/R33</f>
        <v>#DIV/0!</v>
      </c>
      <c r="T28" s="23" t="e">
        <f>Q28/Q33</f>
        <v>#DIV/0!</v>
      </c>
      <c r="U28" s="23" t="e">
        <f t="shared" si="4"/>
        <v>#DIV/0!</v>
      </c>
      <c r="V28" s="23" t="e">
        <f t="shared" si="5"/>
        <v>#DIV/0!</v>
      </c>
      <c r="W28" s="26">
        <f t="shared" si="24"/>
        <v>-0.19244928194394567</v>
      </c>
      <c r="X28" s="23">
        <v>-0.20599999999999999</v>
      </c>
      <c r="Y28" s="221">
        <v>35</v>
      </c>
      <c r="Z28" s="26">
        <v>-0.22176060701694147</v>
      </c>
      <c r="AA28" s="26">
        <f t="shared" si="25"/>
        <v>-0.22256242543859034</v>
      </c>
      <c r="AB28" s="37"/>
      <c r="AC28" s="37"/>
      <c r="AD28" s="37"/>
      <c r="AE28" s="37"/>
      <c r="AF28" s="36"/>
      <c r="AG28" s="37"/>
      <c r="AH28" s="59"/>
      <c r="AI28" s="36"/>
      <c r="AJ28" s="36"/>
      <c r="AK28" s="36"/>
      <c r="AL28" s="74"/>
      <c r="AU28">
        <v>885</v>
      </c>
      <c r="AV28">
        <v>885</v>
      </c>
      <c r="AW28">
        <f t="shared" si="11"/>
        <v>0</v>
      </c>
      <c r="AX28">
        <v>202</v>
      </c>
      <c r="AY28">
        <v>886</v>
      </c>
      <c r="AZ28">
        <v>596</v>
      </c>
      <c r="BA28">
        <f t="shared" si="38"/>
        <v>290</v>
      </c>
      <c r="BB28" s="23">
        <f t="shared" si="13"/>
        <v>-8.663406809225245E-2</v>
      </c>
      <c r="BC28" s="119">
        <v>189.19377</v>
      </c>
      <c r="BD28">
        <f t="shared" si="14"/>
        <v>683</v>
      </c>
      <c r="BE28" s="119">
        <f t="shared" si="15"/>
        <v>695.80623000000003</v>
      </c>
      <c r="BF28" s="23">
        <v>-0.10668</v>
      </c>
      <c r="BG28" s="23">
        <f t="shared" si="27"/>
        <v>-0.10672879006771331</v>
      </c>
      <c r="BH28" s="23">
        <f t="shared" si="28"/>
        <v>-0.11238681822169914</v>
      </c>
      <c r="BI28" s="34">
        <v>0</v>
      </c>
      <c r="BJ28" s="77">
        <v>0</v>
      </c>
      <c r="BK28" s="119">
        <v>153885.43</v>
      </c>
      <c r="BL28" s="34">
        <v>0</v>
      </c>
      <c r="BM28" s="34">
        <f>Y28*BL$34</f>
        <v>172620.035</v>
      </c>
      <c r="BN28" s="34">
        <f t="shared" si="39"/>
        <v>-172620.035</v>
      </c>
      <c r="BO28" s="36">
        <f t="shared" si="40"/>
        <v>-0.42445041540397499</v>
      </c>
      <c r="BP28" s="247">
        <f t="shared" si="41"/>
        <v>-0.22176060701694147</v>
      </c>
      <c r="BQ28" s="34">
        <v>177714.32</v>
      </c>
      <c r="BR28" s="119">
        <f t="shared" si="19"/>
        <v>-153885.43</v>
      </c>
      <c r="BS28" s="119">
        <f t="shared" si="20"/>
        <v>-177714.32</v>
      </c>
      <c r="BT28" s="23">
        <v>-0.32102999999999998</v>
      </c>
      <c r="BU28" s="23">
        <f t="shared" si="32"/>
        <v>-0.32103001975829421</v>
      </c>
      <c r="BV28" s="23">
        <f t="shared" si="33"/>
        <v>-0.38782583626392708</v>
      </c>
    </row>
    <row r="29" spans="1:74" x14ac:dyDescent="0.25">
      <c r="A29" s="9" t="s">
        <v>138</v>
      </c>
      <c r="B29" s="9" t="s">
        <v>107</v>
      </c>
      <c r="C29" s="10">
        <f t="shared" si="0"/>
        <v>23</v>
      </c>
      <c r="D29">
        <v>0</v>
      </c>
      <c r="E29">
        <v>6</v>
      </c>
      <c r="F29">
        <v>6</v>
      </c>
      <c r="G29">
        <v>6</v>
      </c>
      <c r="H29">
        <v>5</v>
      </c>
      <c r="I29" s="100">
        <v>22.5</v>
      </c>
      <c r="J29" s="38">
        <v>38.5</v>
      </c>
      <c r="K29" s="95">
        <f t="shared" si="23"/>
        <v>0.97826086956521741</v>
      </c>
      <c r="L29" s="98">
        <v>1.673913043478261</v>
      </c>
      <c r="M29" s="98" t="e">
        <f>L29/L33</f>
        <v>#DIV/0!</v>
      </c>
      <c r="N29" s="99" t="e">
        <f>K29/K33</f>
        <v>#DIV/0!</v>
      </c>
      <c r="O29" s="77">
        <v>0</v>
      </c>
      <c r="P29" s="34">
        <v>0</v>
      </c>
      <c r="Q29" s="34">
        <f t="shared" si="2"/>
        <v>0</v>
      </c>
      <c r="R29" s="77">
        <f t="shared" si="3"/>
        <v>0</v>
      </c>
      <c r="S29" s="23" t="e">
        <f>R29/R33</f>
        <v>#DIV/0!</v>
      </c>
      <c r="T29" s="23" t="e">
        <f>Q29/Q33</f>
        <v>#DIV/0!</v>
      </c>
      <c r="U29" s="23" t="e">
        <f t="shared" si="4"/>
        <v>#DIV/0!</v>
      </c>
      <c r="V29" s="23" t="e">
        <f t="shared" si="5"/>
        <v>#DIV/0!</v>
      </c>
      <c r="W29" s="26">
        <f t="shared" si="24"/>
        <v>-0.43881721813122399</v>
      </c>
      <c r="X29" s="23">
        <v>-0.39300000000000002</v>
      </c>
      <c r="Y29" s="221">
        <v>19</v>
      </c>
      <c r="Z29" s="26">
        <v>-0.4741291770587901</v>
      </c>
      <c r="AA29" s="26">
        <f t="shared" si="25"/>
        <v>-0.46482030297702592</v>
      </c>
      <c r="AB29" s="37"/>
      <c r="AC29" s="37"/>
      <c r="AD29" s="37"/>
      <c r="AE29" s="37"/>
      <c r="AF29" s="36"/>
      <c r="AG29" s="37"/>
      <c r="AH29" s="59"/>
      <c r="AI29" s="36"/>
      <c r="AJ29" s="36"/>
      <c r="AK29" s="36"/>
      <c r="AL29" s="36"/>
      <c r="AU29">
        <v>45</v>
      </c>
      <c r="AV29">
        <v>44</v>
      </c>
      <c r="AW29">
        <f t="shared" si="11"/>
        <v>1</v>
      </c>
      <c r="AX29">
        <v>141</v>
      </c>
      <c r="AY29">
        <v>80</v>
      </c>
      <c r="AZ29">
        <v>324</v>
      </c>
      <c r="BA29">
        <f t="shared" si="38"/>
        <v>-244</v>
      </c>
      <c r="BB29" s="23">
        <f t="shared" si="13"/>
        <v>-0.63277386970086413</v>
      </c>
      <c r="BC29" s="119">
        <v>131.86232999999999</v>
      </c>
      <c r="BD29">
        <f t="shared" si="14"/>
        <v>-96</v>
      </c>
      <c r="BE29" s="119">
        <f t="shared" si="15"/>
        <v>-87.862329999999986</v>
      </c>
      <c r="BF29" s="23">
        <v>-0.58348</v>
      </c>
      <c r="BG29" s="23">
        <f t="shared" si="27"/>
        <v>-0.58364118469151061</v>
      </c>
      <c r="BH29" s="23">
        <f t="shared" si="28"/>
        <v>-0.58293402375864467</v>
      </c>
      <c r="BI29" s="34">
        <v>0</v>
      </c>
      <c r="BJ29" s="77">
        <v>0</v>
      </c>
      <c r="BK29" s="119">
        <v>110240.4</v>
      </c>
      <c r="BL29" s="34">
        <v>0</v>
      </c>
      <c r="BM29" s="34">
        <f>Y29*BL$34</f>
        <v>93708.019</v>
      </c>
      <c r="BN29" s="34">
        <f t="shared" si="39"/>
        <v>-93708.019</v>
      </c>
      <c r="BO29" s="36">
        <f t="shared" si="40"/>
        <v>-0.23616213809567915</v>
      </c>
      <c r="BP29" s="247">
        <f t="shared" si="41"/>
        <v>-0.4741291770587901</v>
      </c>
      <c r="BQ29" s="34">
        <v>133745.95000000001</v>
      </c>
      <c r="BR29" s="119">
        <f t="shared" si="19"/>
        <v>-110240.4</v>
      </c>
      <c r="BS29" s="119">
        <f t="shared" si="20"/>
        <v>-133745.95000000001</v>
      </c>
      <c r="BT29" s="23">
        <v>-0.22158</v>
      </c>
      <c r="BU29" s="23">
        <f t="shared" si="32"/>
        <v>-0.22158126829079397</v>
      </c>
      <c r="BV29" s="23">
        <f t="shared" si="33"/>
        <v>-0.2876497218045978</v>
      </c>
    </row>
    <row r="30" spans="1:74" ht="15.75" thickBot="1" x14ac:dyDescent="0.3">
      <c r="A30" s="7" t="s">
        <v>139</v>
      </c>
      <c r="B30" s="7" t="s">
        <v>140</v>
      </c>
      <c r="C30" s="10">
        <f t="shared" si="0"/>
        <v>10</v>
      </c>
      <c r="D30">
        <v>0</v>
      </c>
      <c r="E30">
        <v>0</v>
      </c>
      <c r="F30">
        <v>0</v>
      </c>
      <c r="G30">
        <v>0</v>
      </c>
      <c r="H30">
        <v>10</v>
      </c>
      <c r="I30" s="101">
        <v>47</v>
      </c>
      <c r="J30" s="102">
        <v>48.5</v>
      </c>
      <c r="K30" s="103">
        <f t="shared" si="23"/>
        <v>4.7</v>
      </c>
      <c r="L30" s="104">
        <v>4.8499999999999996</v>
      </c>
      <c r="M30" s="104" t="e">
        <f>L30/L33</f>
        <v>#DIV/0!</v>
      </c>
      <c r="N30" s="105" t="e">
        <f>K30/K33</f>
        <v>#DIV/0!</v>
      </c>
      <c r="O30" s="77">
        <v>0</v>
      </c>
      <c r="P30" s="34">
        <v>0</v>
      </c>
      <c r="Q30" s="34">
        <f t="shared" si="2"/>
        <v>0</v>
      </c>
      <c r="R30" s="77">
        <f t="shared" si="3"/>
        <v>0</v>
      </c>
      <c r="S30" s="23" t="e">
        <f>R30/R33</f>
        <v>#DIV/0!</v>
      </c>
      <c r="T30" s="23" t="e">
        <f>Q30/Q33</f>
        <v>#DIV/0!</v>
      </c>
      <c r="U30" s="23" t="e">
        <f t="shared" si="4"/>
        <v>#DIV/0!</v>
      </c>
      <c r="V30" s="23" t="e">
        <f t="shared" si="5"/>
        <v>#DIV/0!</v>
      </c>
      <c r="W30" s="26">
        <f t="shared" si="24"/>
        <v>-0.33749902970084872</v>
      </c>
      <c r="X30" s="23">
        <v>-0.35199999999999998</v>
      </c>
      <c r="Y30" s="221">
        <v>10</v>
      </c>
      <c r="Z30" s="26">
        <v>-0.33665007955281145</v>
      </c>
      <c r="AA30" s="26">
        <f t="shared" si="25"/>
        <v>-0.36133266820260401</v>
      </c>
      <c r="AB30" s="37"/>
      <c r="AC30" s="37"/>
      <c r="AD30" s="37"/>
      <c r="AE30" s="37"/>
      <c r="AF30" s="36"/>
      <c r="AG30" s="37"/>
      <c r="AH30" s="59"/>
      <c r="AI30" s="36"/>
      <c r="AJ30" s="36"/>
      <c r="AK30" s="36"/>
      <c r="AL30" s="36"/>
      <c r="AU30">
        <v>94</v>
      </c>
      <c r="AV30">
        <v>94</v>
      </c>
      <c r="AW30">
        <f t="shared" si="11"/>
        <v>0</v>
      </c>
      <c r="AX30">
        <v>61</v>
      </c>
      <c r="AY30">
        <v>81</v>
      </c>
      <c r="AZ30">
        <v>170</v>
      </c>
      <c r="BA30">
        <f t="shared" si="38"/>
        <v>-89</v>
      </c>
      <c r="BB30" s="23">
        <f t="shared" si="13"/>
        <v>-0.47425014451484393</v>
      </c>
      <c r="BC30" s="119">
        <v>57.331449999999997</v>
      </c>
      <c r="BD30">
        <f t="shared" si="14"/>
        <v>33</v>
      </c>
      <c r="BE30" s="119">
        <f t="shared" si="15"/>
        <v>36.668550000000003</v>
      </c>
      <c r="BF30" s="23">
        <v>-0.50480999999999998</v>
      </c>
      <c r="BG30" s="23">
        <f t="shared" si="27"/>
        <v>-0.50466596144828868</v>
      </c>
      <c r="BH30" s="23">
        <f t="shared" si="28"/>
        <v>-0.50816050268354029</v>
      </c>
      <c r="BI30" s="34">
        <v>0</v>
      </c>
      <c r="BJ30" s="77">
        <v>0</v>
      </c>
      <c r="BK30" s="119">
        <v>51066.46</v>
      </c>
      <c r="BL30" s="34">
        <v>0</v>
      </c>
      <c r="BM30" s="34">
        <f>Y30*BL$34</f>
        <v>49320.01</v>
      </c>
      <c r="BN30" s="34">
        <f t="shared" si="39"/>
        <v>-49320.01</v>
      </c>
      <c r="BO30" s="36">
        <f t="shared" si="40"/>
        <v>-0.13024998210976274</v>
      </c>
      <c r="BP30" s="247">
        <f t="shared" si="41"/>
        <v>-0.33665007955281145</v>
      </c>
      <c r="BQ30" s="34">
        <v>69419.72</v>
      </c>
      <c r="BR30" s="119">
        <f t="shared" si="19"/>
        <v>-51066.46</v>
      </c>
      <c r="BS30" s="119">
        <f t="shared" si="20"/>
        <v>-69419.72</v>
      </c>
      <c r="BT30" s="23">
        <v>-8.6749999999999994E-2</v>
      </c>
      <c r="BU30" s="23">
        <f t="shared" si="32"/>
        <v>-8.6748632079688873E-2</v>
      </c>
      <c r="BV30" s="23">
        <f t="shared" si="33"/>
        <v>-0.14109091648119959</v>
      </c>
    </row>
    <row r="31" spans="1:74" x14ac:dyDescent="0.25">
      <c r="B31" s="220" t="s">
        <v>314</v>
      </c>
      <c r="C31" s="1">
        <f t="shared" ref="C31:J31" si="42">SUM(C3:C30)</f>
        <v>1325</v>
      </c>
      <c r="D31" s="1">
        <f t="shared" si="42"/>
        <v>209</v>
      </c>
      <c r="E31" s="1">
        <f t="shared" si="42"/>
        <v>199</v>
      </c>
      <c r="F31" s="1">
        <f t="shared" si="42"/>
        <v>443</v>
      </c>
      <c r="G31" s="1">
        <f t="shared" si="42"/>
        <v>273</v>
      </c>
      <c r="H31" s="1">
        <f t="shared" si="42"/>
        <v>201</v>
      </c>
      <c r="I31" s="76">
        <f>SUM(I3:I30)</f>
        <v>14327</v>
      </c>
      <c r="J31" s="17">
        <f t="shared" si="42"/>
        <v>14297.5</v>
      </c>
      <c r="K31" s="31">
        <f t="shared" si="23"/>
        <v>10.812830188679245</v>
      </c>
      <c r="L31" s="31">
        <v>10.790566037735848</v>
      </c>
      <c r="M31" s="31" t="e">
        <f>SUM(M3:M30)</f>
        <v>#DIV/0!</v>
      </c>
      <c r="N31" s="31" t="e">
        <f>SUM(N3:N30)</f>
        <v>#DIV/0!</v>
      </c>
      <c r="O31" s="35">
        <f>SUM(O3:O30)</f>
        <v>5671241</v>
      </c>
      <c r="P31" s="35">
        <f>SUM(P3:P30)</f>
        <v>5082907</v>
      </c>
      <c r="Q31" s="35">
        <f t="shared" si="2"/>
        <v>4280.181886792453</v>
      </c>
      <c r="R31" s="35">
        <f t="shared" si="3"/>
        <v>3836.1562264150944</v>
      </c>
      <c r="S31" s="31" t="e">
        <f>SUM(S3:S30)</f>
        <v>#DIV/0!</v>
      </c>
      <c r="T31" s="31" t="e">
        <f>SUM(T3:T30)</f>
        <v>#DIV/0!</v>
      </c>
      <c r="U31" s="31" t="e">
        <f>SUM(U3:U30)</f>
        <v>#DIV/0!</v>
      </c>
      <c r="V31" s="31" t="e">
        <f>SUM(V3:V30)</f>
        <v>#DIV/0!</v>
      </c>
      <c r="W31" s="31"/>
      <c r="X31" s="31"/>
      <c r="Y31" s="250">
        <f>SUM(Y3:Y14,Y16,Y18,Y19,Y21:Y24,Y26:Y30)</f>
        <v>1196</v>
      </c>
      <c r="Z31" s="250"/>
      <c r="AA31" s="31"/>
      <c r="AB31" s="50">
        <f>SUM(AB3:AB30)</f>
        <v>5749355.4246362336</v>
      </c>
      <c r="AC31" s="50">
        <f>SUM(AC3:AC30)</f>
        <v>5859135.9433210781</v>
      </c>
      <c r="AD31" s="50"/>
      <c r="AE31" s="50">
        <f t="shared" ref="AE31:AJ31" si="43">SUM(AE3:AE30)</f>
        <v>150.89962449683364</v>
      </c>
      <c r="AF31" s="50">
        <f t="shared" si="43"/>
        <v>1.0000000000000002</v>
      </c>
      <c r="AG31" s="50">
        <f t="shared" si="43"/>
        <v>5523063.2296676924</v>
      </c>
      <c r="AH31" s="210">
        <f t="shared" si="43"/>
        <v>155.54626665950585</v>
      </c>
      <c r="AI31" s="209">
        <f t="shared" si="43"/>
        <v>1</v>
      </c>
      <c r="AJ31" s="210">
        <f t="shared" si="43"/>
        <v>133.56204843279093</v>
      </c>
      <c r="AK31" s="209"/>
      <c r="AL31" s="209">
        <f>SUM(AL3:AL30)</f>
        <v>0.99999999999999989</v>
      </c>
      <c r="AU31" s="1">
        <f>SUM(AU3:AU30)</f>
        <v>28658</v>
      </c>
      <c r="AV31" s="1">
        <f>SUM(AV3:AV30)</f>
        <v>28765</v>
      </c>
      <c r="AW31">
        <f t="shared" si="11"/>
        <v>-107</v>
      </c>
      <c r="AY31" s="1">
        <f>SUM(AY26:AY30,AY3:AY14,AY16,AY18:AY19,AY21:AY24)</f>
        <v>29370</v>
      </c>
      <c r="AZ31" s="1"/>
      <c r="BA31" s="1">
        <f>AVERAGE(BA26:BA30,BA3:BA14,BA16,BA18:BA19,BA21:BA24)</f>
        <v>374.70833333333331</v>
      </c>
      <c r="BB31" s="1"/>
      <c r="BE31" s="119"/>
      <c r="BI31" s="55">
        <f>SUM(BI3:BI30)</f>
        <v>5347944</v>
      </c>
      <c r="BJ31" s="55">
        <f>SUM(BJ3:BJ30)</f>
        <v>5530171.4699999997</v>
      </c>
      <c r="BK31" s="156"/>
      <c r="BL31" s="55">
        <f>SUM(BL26:BL30,BL3:BL14,BL16,BL18:BL19,BL21:BL24)</f>
        <v>6025106</v>
      </c>
      <c r="BM31" s="55"/>
      <c r="BN31" s="55">
        <f>AVERAGE(BN26:BN30,BN3:BN14,BN16,BN18:BN19,BN21:BN24)</f>
        <v>5268.0334999999868</v>
      </c>
      <c r="BO31" s="55"/>
      <c r="BP31" s="116"/>
      <c r="BQ31" s="156"/>
    </row>
    <row r="32" spans="1:74" x14ac:dyDescent="0.25">
      <c r="L32" s="24"/>
      <c r="AA32" s="1"/>
      <c r="AW32" s="158">
        <f>(AU31/AV31)*100</f>
        <v>99.628020163393018</v>
      </c>
      <c r="AX32" s="1" t="s">
        <v>273</v>
      </c>
      <c r="AY32" s="1"/>
      <c r="AZ32" s="1"/>
      <c r="BA32" s="1">
        <f>STDEV(BA3:BA14,BA16,BA18:BA19,BA21:BA24,BA26:BA30)</f>
        <v>977.7716226269265</v>
      </c>
      <c r="BB32" s="1"/>
      <c r="BC32" s="1"/>
      <c r="BD32" s="119">
        <f>AVERAGE(BD3:BD12,BD14,BD15,BD18:BD30)</f>
        <v>857.33333333333337</v>
      </c>
      <c r="BE32" s="119">
        <f>AVERAGE(BE3:BE12,BE14,BE15,BE18:BE30)</f>
        <v>882.97983333333343</v>
      </c>
      <c r="BF32" s="119"/>
      <c r="BK32" s="1" t="s">
        <v>272</v>
      </c>
      <c r="BL32" s="1"/>
      <c r="BM32" s="1"/>
      <c r="BN32" s="1">
        <f>STDEV(BN3:BN14,BN16,BN18:BN19,BN21:BN24,BN26:BN30)</f>
        <v>419102.11898530769</v>
      </c>
      <c r="BO32" s="1"/>
      <c r="BP32" s="62"/>
      <c r="BQ32" s="1"/>
      <c r="BR32" s="119">
        <f>AVERAGE(BR3:BR12,BR14,BR15,BR18:BR30)</f>
        <v>-12995.125833333323</v>
      </c>
      <c r="BS32" s="119">
        <f>AVERAGE(BS3:BS12,BS14,BS15,BS18:BS30)</f>
        <v>-7493.4049999999806</v>
      </c>
    </row>
    <row r="33" spans="1:71" ht="18.75" x14ac:dyDescent="0.3">
      <c r="A33" s="14"/>
      <c r="K33" s="23"/>
      <c r="L33" s="23"/>
      <c r="Q33" s="36"/>
      <c r="R33" s="36"/>
      <c r="AV33" s="237" t="s">
        <v>360</v>
      </c>
      <c r="AX33" s="1" t="s">
        <v>269</v>
      </c>
      <c r="AY33" s="1">
        <f>AY31/Y31</f>
        <v>24.556856187290968</v>
      </c>
      <c r="AZ33" s="1"/>
      <c r="BA33" s="1"/>
      <c r="BB33" s="1"/>
      <c r="BC33" s="1"/>
      <c r="BD33">
        <f>STDEV(BD3:BD12,BD14,BD15,BD18:BD30)</f>
        <v>1633.4236828013213</v>
      </c>
      <c r="BE33">
        <f>STDEV(BE3:BE12,BE14,BE15,BE18:BE30)</f>
        <v>1665.4408968506127</v>
      </c>
      <c r="BJ33" s="237" t="s">
        <v>360</v>
      </c>
      <c r="BK33" s="1" t="s">
        <v>269</v>
      </c>
      <c r="BL33" s="1">
        <f>BL31/Y31</f>
        <v>5037.7140468227426</v>
      </c>
      <c r="BM33" s="1"/>
      <c r="BN33" s="1"/>
      <c r="BO33" s="1"/>
      <c r="BP33" s="62"/>
      <c r="BQ33" s="1"/>
      <c r="BR33">
        <f>STDEV(BR3:BR12,BR14,BR15,BR18:BR30)</f>
        <v>438869.56202022475</v>
      </c>
      <c r="BS33">
        <f>STDEV(BS3:BS12,BS14,BS15,BS18:BS30)</f>
        <v>438910.71476774849</v>
      </c>
    </row>
    <row r="34" spans="1:71" ht="18.75" x14ac:dyDescent="0.3">
      <c r="A34" s="14"/>
      <c r="AV34" s="237" t="s">
        <v>361</v>
      </c>
      <c r="AY34" s="1">
        <v>17.038920000000001</v>
      </c>
      <c r="AZ34" s="1"/>
      <c r="BA34" s="1"/>
      <c r="BB34" s="1"/>
      <c r="BJ34" s="237" t="s">
        <v>361</v>
      </c>
      <c r="BL34" s="1">
        <v>4932.0010000000002</v>
      </c>
    </row>
    <row r="35" spans="1:71" ht="18.75" x14ac:dyDescent="0.3">
      <c r="A35" s="14"/>
      <c r="B35" s="219"/>
      <c r="AV35" s="282" t="s">
        <v>416</v>
      </c>
      <c r="BJ35" s="282" t="s">
        <v>417</v>
      </c>
    </row>
    <row r="36" spans="1:71" ht="18.75" x14ac:dyDescent="0.3">
      <c r="A36" s="14"/>
      <c r="AA36" s="1"/>
    </row>
    <row r="37" spans="1:71" ht="18.75" x14ac:dyDescent="0.3">
      <c r="A37" s="14"/>
    </row>
    <row r="38" spans="1:71" ht="18.75" x14ac:dyDescent="0.3">
      <c r="A38" s="14"/>
      <c r="B38" s="219"/>
    </row>
    <row r="39" spans="1:71" ht="18.75" x14ac:dyDescent="0.3">
      <c r="A39" s="14"/>
      <c r="AA39" s="1"/>
    </row>
    <row r="40" spans="1:71" ht="18.75" x14ac:dyDescent="0.3">
      <c r="A40" s="14"/>
    </row>
    <row r="41" spans="1:71" ht="18.75" x14ac:dyDescent="0.3">
      <c r="A41" s="14"/>
      <c r="B41" s="219"/>
    </row>
    <row r="42" spans="1:71" ht="18.75" x14ac:dyDescent="0.3">
      <c r="A42" s="14"/>
      <c r="AA42" s="1"/>
    </row>
    <row r="43" spans="1:71" ht="18.75" x14ac:dyDescent="0.3">
      <c r="A43" s="14"/>
    </row>
    <row r="44" spans="1:71" ht="18.75" x14ac:dyDescent="0.3">
      <c r="A44" s="14"/>
      <c r="B44" s="219"/>
    </row>
    <row r="45" spans="1:71" ht="18.75" x14ac:dyDescent="0.3">
      <c r="A45" s="14"/>
      <c r="AA45" s="1"/>
    </row>
    <row r="46" spans="1:71" ht="18.75" x14ac:dyDescent="0.3">
      <c r="A46" s="14"/>
    </row>
    <row r="47" spans="1:71" ht="18.75" x14ac:dyDescent="0.3">
      <c r="A47" s="14"/>
      <c r="B47" s="219"/>
    </row>
    <row r="48" spans="1:71" ht="18.75" x14ac:dyDescent="0.3">
      <c r="A48" s="14"/>
      <c r="AA48" s="1"/>
    </row>
    <row r="49" spans="1:27" ht="18.75" x14ac:dyDescent="0.3">
      <c r="A49" s="14"/>
    </row>
    <row r="50" spans="1:27" ht="18.75" x14ac:dyDescent="0.3">
      <c r="A50" s="14"/>
      <c r="B50" s="219"/>
    </row>
    <row r="51" spans="1:27" ht="18.75" x14ac:dyDescent="0.3">
      <c r="A51" s="14"/>
      <c r="AA51" s="1"/>
    </row>
    <row r="52" spans="1:27" ht="18.75" x14ac:dyDescent="0.3">
      <c r="A52" s="14"/>
    </row>
    <row r="53" spans="1:27" ht="18.75" x14ac:dyDescent="0.3">
      <c r="A53" s="14"/>
    </row>
    <row r="54" spans="1:27" ht="18.75" x14ac:dyDescent="0.3">
      <c r="A54" s="14"/>
      <c r="AA54" s="1"/>
    </row>
    <row r="55" spans="1:27" ht="18.75" x14ac:dyDescent="0.3">
      <c r="A55" s="14"/>
    </row>
    <row r="56" spans="1:27" ht="18.75" x14ac:dyDescent="0.3">
      <c r="A56" s="14"/>
    </row>
    <row r="57" spans="1:27" ht="18.75" x14ac:dyDescent="0.3">
      <c r="A57" s="14"/>
    </row>
  </sheetData>
  <dataValidations disablePrompts="1" count="1">
    <dataValidation type="list" showInputMessage="1" showErrorMessage="1" sqref="D1:H1">
      <formula1>$A$33:$A$57</formula1>
    </dataValidation>
  </dataValidations>
  <pageMargins left="0.75" right="0.75" top="1" bottom="1" header="0.5" footer="0.5"/>
  <pageSetup paperSize="9" orientation="portrait" r:id="rId1"/>
  <ignoredErrors>
    <ignoredError sqref="C17:C31 C3:C6 C8:C15" formulaRange="1"/>
    <ignoredError sqref="R3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2"/>
  <sheetViews>
    <sheetView topLeftCell="Z1" workbookViewId="0">
      <pane ySplit="2" topLeftCell="A24" activePane="bottomLeft" state="frozen"/>
      <selection pane="bottomLeft" activeCell="Z6" sqref="Z6"/>
    </sheetView>
  </sheetViews>
  <sheetFormatPr defaultColWidth="8.7109375" defaultRowHeight="15" x14ac:dyDescent="0.25"/>
  <cols>
    <col min="1" max="1" width="43.85546875" customWidth="1"/>
    <col min="2" max="2" width="44" customWidth="1"/>
    <col min="3" max="3" width="9" style="1" customWidth="1"/>
    <col min="4" max="4" width="24.7109375" hidden="1" customWidth="1"/>
    <col min="5" max="5" width="17.28515625" hidden="1" customWidth="1"/>
    <col min="6" max="6" width="15.28515625" hidden="1" customWidth="1"/>
    <col min="7" max="7" width="10" hidden="1" customWidth="1"/>
    <col min="8" max="8" width="15.5703125" hidden="1" customWidth="1"/>
    <col min="9" max="9" width="17" hidden="1" customWidth="1"/>
    <col min="10" max="10" width="12.7109375" hidden="1" customWidth="1"/>
    <col min="11" max="11" width="8.7109375" hidden="1" customWidth="1"/>
    <col min="12" max="12" width="13.28515625" style="16" hidden="1" customWidth="1"/>
    <col min="13" max="14" width="16.42578125" hidden="1" customWidth="1"/>
    <col min="15" max="15" width="16.28515625" style="16" hidden="1" customWidth="1"/>
    <col min="16" max="17" width="13.85546875" style="16" hidden="1" customWidth="1"/>
    <col min="18" max="18" width="20.140625" style="16" hidden="1" customWidth="1"/>
    <col min="19" max="19" width="20.140625" hidden="1" customWidth="1"/>
    <col min="20" max="21" width="14.7109375" hidden="1" customWidth="1"/>
    <col min="22" max="23" width="13.85546875" hidden="1" customWidth="1"/>
    <col min="24" max="25" width="14" hidden="1" customWidth="1"/>
    <col min="26" max="26" width="14" customWidth="1"/>
    <col min="27" max="27" width="14" style="16" customWidth="1"/>
    <col min="28" max="28" width="21" bestFit="1" customWidth="1"/>
    <col min="29" max="29" width="15.140625" hidden="1" customWidth="1"/>
    <col min="30" max="30" width="14.140625" hidden="1" customWidth="1"/>
    <col min="31" max="31" width="12.85546875" hidden="1" customWidth="1"/>
    <col min="32" max="32" width="12.85546875" style="16" customWidth="1"/>
    <col min="33" max="33" width="15.42578125" bestFit="1" customWidth="1"/>
    <col min="34" max="34" width="11.140625" hidden="1" customWidth="1"/>
    <col min="35" max="35" width="12.42578125" style="16" hidden="1" customWidth="1"/>
    <col min="36" max="36" width="11.140625" hidden="1" customWidth="1"/>
    <col min="37" max="37" width="11.7109375" hidden="1" customWidth="1"/>
    <col min="38" max="38" width="11.7109375" customWidth="1"/>
    <col min="39" max="39" width="11.5703125" hidden="1" customWidth="1"/>
    <col min="40" max="40" width="12.7109375" bestFit="1" customWidth="1"/>
    <col min="41" max="41" width="11.140625" bestFit="1" customWidth="1"/>
    <col min="42" max="42" width="8.7109375" hidden="1" customWidth="1"/>
    <col min="43" max="43" width="12.140625" hidden="1" customWidth="1"/>
    <col min="44" max="44" width="12.42578125" bestFit="1" customWidth="1"/>
    <col min="45" max="45" width="11.140625" bestFit="1" customWidth="1"/>
    <col min="46" max="46" width="10" hidden="1" customWidth="1"/>
    <col min="47" max="47" width="16" bestFit="1" customWidth="1"/>
    <col min="48" max="48" width="7.140625" hidden="1" customWidth="1"/>
    <col min="49" max="49" width="0" hidden="1" customWidth="1"/>
    <col min="51" max="51" width="11" bestFit="1" customWidth="1"/>
    <col min="52" max="52" width="12" bestFit="1" customWidth="1"/>
    <col min="53" max="53" width="10.85546875" customWidth="1"/>
    <col min="54" max="54" width="15" hidden="1" customWidth="1"/>
    <col min="55" max="55" width="0" hidden="1" customWidth="1"/>
    <col min="56" max="56" width="15.7109375" hidden="1" customWidth="1"/>
    <col min="57" max="57" width="11.28515625" hidden="1" customWidth="1"/>
    <col min="58" max="58" width="18.28515625" hidden="1" customWidth="1"/>
    <col min="59" max="59" width="9.5703125" hidden="1" customWidth="1"/>
    <col min="60" max="60" width="15.85546875" bestFit="1" customWidth="1"/>
    <col min="61" max="61" width="0" hidden="1" customWidth="1"/>
    <col min="63" max="63" width="11.5703125" bestFit="1" customWidth="1"/>
    <col min="64" max="64" width="12.28515625" bestFit="1" customWidth="1"/>
    <col min="65" max="65" width="11.5703125" customWidth="1"/>
    <col min="66" max="66" width="11.5703125" style="16" customWidth="1"/>
    <col min="67" max="67" width="14.85546875" hidden="1" customWidth="1"/>
    <col min="68" max="68" width="11.7109375" hidden="1" customWidth="1"/>
    <col min="69" max="69" width="15.5703125" hidden="1" customWidth="1"/>
    <col min="70" max="70" width="0" hidden="1" customWidth="1"/>
    <col min="71" max="71" width="13.85546875" hidden="1" customWidth="1"/>
    <col min="72" max="72" width="19.28515625" hidden="1" customWidth="1"/>
  </cols>
  <sheetData>
    <row r="1" spans="1:72" ht="60" x14ac:dyDescent="0.25">
      <c r="C1" s="2" t="s">
        <v>142</v>
      </c>
      <c r="D1" s="4" t="s">
        <v>9</v>
      </c>
      <c r="E1" s="4" t="s">
        <v>15</v>
      </c>
      <c r="F1" s="4" t="s">
        <v>16</v>
      </c>
      <c r="G1" s="4" t="s">
        <v>19</v>
      </c>
      <c r="H1" s="4" t="s">
        <v>20</v>
      </c>
      <c r="I1" s="4" t="s">
        <v>21</v>
      </c>
      <c r="J1" s="4" t="s">
        <v>22</v>
      </c>
      <c r="K1" s="45" t="s">
        <v>27</v>
      </c>
      <c r="L1" s="85" t="s">
        <v>156</v>
      </c>
      <c r="M1" s="86" t="s">
        <v>156</v>
      </c>
      <c r="N1" s="87" t="s">
        <v>150</v>
      </c>
      <c r="O1" s="88" t="s">
        <v>150</v>
      </c>
      <c r="P1" s="88"/>
      <c r="Q1" s="89"/>
      <c r="R1" s="21" t="s">
        <v>151</v>
      </c>
      <c r="S1" s="21" t="s">
        <v>151</v>
      </c>
      <c r="T1" s="21"/>
      <c r="U1" s="21"/>
      <c r="V1" s="21"/>
      <c r="W1" s="21"/>
      <c r="AO1" s="66"/>
      <c r="AS1" t="s">
        <v>177</v>
      </c>
    </row>
    <row r="2" spans="1:72" x14ac:dyDescent="0.25">
      <c r="A2" s="84" t="s">
        <v>0</v>
      </c>
      <c r="B2" s="84" t="s">
        <v>1</v>
      </c>
      <c r="C2" s="6">
        <v>2019</v>
      </c>
      <c r="L2" s="90" t="s">
        <v>181</v>
      </c>
      <c r="M2" s="91" t="s">
        <v>189</v>
      </c>
      <c r="N2" s="91" t="s">
        <v>184</v>
      </c>
      <c r="O2" s="91" t="s">
        <v>183</v>
      </c>
      <c r="P2" s="92" t="s">
        <v>185</v>
      </c>
      <c r="Q2" s="93" t="s">
        <v>186</v>
      </c>
      <c r="R2" s="1" t="s">
        <v>168</v>
      </c>
      <c r="S2" s="1" t="s">
        <v>167</v>
      </c>
      <c r="T2" s="1" t="s">
        <v>187</v>
      </c>
      <c r="U2" s="1" t="s">
        <v>188</v>
      </c>
      <c r="V2" s="1" t="s">
        <v>185</v>
      </c>
      <c r="W2" s="1" t="s">
        <v>186</v>
      </c>
      <c r="X2" s="1" t="s">
        <v>172</v>
      </c>
      <c r="Y2" s="1" t="s">
        <v>173</v>
      </c>
      <c r="Z2" s="1" t="s">
        <v>342</v>
      </c>
      <c r="AA2" s="62" t="s">
        <v>370</v>
      </c>
      <c r="AB2" s="1" t="s">
        <v>245</v>
      </c>
      <c r="AC2" s="1" t="s">
        <v>171</v>
      </c>
      <c r="AD2" s="1" t="s">
        <v>170</v>
      </c>
      <c r="AE2" s="1" t="s">
        <v>246</v>
      </c>
      <c r="AF2" s="62" t="s">
        <v>411</v>
      </c>
      <c r="AG2" s="145" t="s">
        <v>296</v>
      </c>
      <c r="AH2" s="1" t="s">
        <v>174</v>
      </c>
      <c r="AI2" s="215" t="s">
        <v>295</v>
      </c>
      <c r="AJ2" s="1" t="s">
        <v>178</v>
      </c>
      <c r="AK2" s="1" t="s">
        <v>175</v>
      </c>
      <c r="AL2" s="1" t="s">
        <v>409</v>
      </c>
      <c r="AM2" s="1" t="s">
        <v>196</v>
      </c>
      <c r="AN2" s="1" t="s">
        <v>408</v>
      </c>
      <c r="AO2" s="1" t="s">
        <v>160</v>
      </c>
      <c r="AP2" s="1" t="s">
        <v>2</v>
      </c>
      <c r="AQ2" s="26"/>
      <c r="AR2" s="39" t="s">
        <v>180</v>
      </c>
      <c r="AS2" s="25">
        <f>SUM(AB3,AB10,AB11,AB18,AB21,AB22,AB23,AB27,AB35,AB36)</f>
        <v>9.3600398139600181</v>
      </c>
      <c r="AT2" s="1" t="s">
        <v>227</v>
      </c>
      <c r="AU2" s="1" t="s">
        <v>247</v>
      </c>
      <c r="AV2" s="1" t="s">
        <v>240</v>
      </c>
      <c r="AW2" s="1" t="s">
        <v>228</v>
      </c>
      <c r="AX2" s="1" t="s">
        <v>371</v>
      </c>
      <c r="AY2" s="1" t="s">
        <v>364</v>
      </c>
      <c r="AZ2" s="1" t="s">
        <v>365</v>
      </c>
      <c r="BA2" s="1" t="s">
        <v>366</v>
      </c>
      <c r="BB2" s="1" t="s">
        <v>241</v>
      </c>
      <c r="BC2" s="1" t="s">
        <v>229</v>
      </c>
      <c r="BD2" s="1" t="s">
        <v>242</v>
      </c>
      <c r="BE2" s="1" t="s">
        <v>230</v>
      </c>
      <c r="BF2" s="1" t="s">
        <v>243</v>
      </c>
      <c r="BG2" s="1" t="s">
        <v>231</v>
      </c>
      <c r="BH2" s="1" t="s">
        <v>281</v>
      </c>
      <c r="BI2" s="1" t="s">
        <v>232</v>
      </c>
      <c r="BJ2" s="1" t="s">
        <v>367</v>
      </c>
      <c r="BK2" s="1" t="s">
        <v>368</v>
      </c>
      <c r="BL2" s="1" t="s">
        <v>369</v>
      </c>
      <c r="BM2" s="1" t="s">
        <v>363</v>
      </c>
      <c r="BN2" s="62" t="s">
        <v>370</v>
      </c>
      <c r="BO2" s="1" t="s">
        <v>288</v>
      </c>
      <c r="BP2" s="1" t="s">
        <v>233</v>
      </c>
      <c r="BQ2" s="1" t="s">
        <v>289</v>
      </c>
      <c r="BR2" s="1" t="s">
        <v>234</v>
      </c>
      <c r="BS2" s="1" t="s">
        <v>290</v>
      </c>
      <c r="BT2" s="1" t="s">
        <v>244</v>
      </c>
    </row>
    <row r="3" spans="1:72" x14ac:dyDescent="0.25">
      <c r="A3" s="9" t="s">
        <v>3</v>
      </c>
      <c r="B3" s="9" t="s">
        <v>34</v>
      </c>
      <c r="C3" s="1">
        <f t="shared" ref="C3:C46" si="0">SUM(D3:K3)</f>
        <v>30</v>
      </c>
      <c r="D3">
        <v>0</v>
      </c>
      <c r="E3" s="8">
        <v>30</v>
      </c>
      <c r="F3">
        <v>0</v>
      </c>
      <c r="G3">
        <v>0</v>
      </c>
      <c r="H3">
        <v>0</v>
      </c>
      <c r="I3" s="8">
        <v>0</v>
      </c>
      <c r="J3">
        <v>0</v>
      </c>
      <c r="K3">
        <v>0</v>
      </c>
      <c r="L3" s="106">
        <v>208</v>
      </c>
      <c r="M3" s="71">
        <v>175.5</v>
      </c>
      <c r="N3" s="96">
        <f t="shared" ref="N3:N46" si="1">L3/C3</f>
        <v>6.9333333333333336</v>
      </c>
      <c r="O3" s="98">
        <v>5.85</v>
      </c>
      <c r="P3" s="107">
        <f>O3/O48</f>
        <v>5.3247724647931309E-2</v>
      </c>
      <c r="Q3" s="108">
        <f t="shared" ref="Q3:Q15" si="2">N3/N$48</f>
        <v>3.5920996111675305E-2</v>
      </c>
      <c r="R3" s="77">
        <v>398452</v>
      </c>
      <c r="S3" s="34">
        <v>430290</v>
      </c>
      <c r="T3" s="34">
        <f t="shared" ref="T3:T46" si="3">R3/C3</f>
        <v>13281.733333333334</v>
      </c>
      <c r="U3" s="34">
        <f t="shared" ref="U3:U46" si="4">S3/C3</f>
        <v>14343</v>
      </c>
      <c r="V3" s="48">
        <f>U3/U48</f>
        <v>0.1165028994213001</v>
      </c>
      <c r="W3" s="48">
        <f t="shared" ref="W3:W15" si="5">T3/T$48</f>
        <v>0.12245690644005019</v>
      </c>
      <c r="X3" s="48">
        <f>(0.6*P3)+(0.4*V3)</f>
        <v>7.8549794557278826E-2</v>
      </c>
      <c r="Y3" s="48">
        <f>(0.6*Q3)+(0.4*W3)</f>
        <v>7.0535360243025258E-2</v>
      </c>
      <c r="Z3" s="221">
        <v>34</v>
      </c>
      <c r="AA3" s="25">
        <v>0.8430554738410021</v>
      </c>
      <c r="AB3" s="25">
        <f t="shared" ref="AB3:AB15" si="6">(0.6*BF3)+(0.4*BS3)</f>
        <v>0.46599048281882866</v>
      </c>
      <c r="AC3" s="26">
        <v>0.39300000000000002</v>
      </c>
      <c r="AD3" s="73">
        <v>0.60099999999999998</v>
      </c>
      <c r="AE3" s="212">
        <v>0</v>
      </c>
      <c r="AF3" s="280">
        <f>AL3*AR$8</f>
        <v>216161.24592121033</v>
      </c>
      <c r="AG3" s="67">
        <f>AJ3*AR$3</f>
        <v>80374.206284261221</v>
      </c>
      <c r="AH3" s="70"/>
      <c r="AI3" s="70">
        <f>AG3-AE3</f>
        <v>80374.206284261221</v>
      </c>
      <c r="AJ3" s="67">
        <f>C3*AM3</f>
        <v>1.4935528867852501</v>
      </c>
      <c r="AK3" s="23" t="e">
        <f>AD3/AR2</f>
        <v>#VALUE!</v>
      </c>
      <c r="AL3" s="23">
        <f>Z3*AN3</f>
        <v>3.0891282501125574</v>
      </c>
      <c r="AM3" s="23">
        <f>AB3/AS$2</f>
        <v>4.9785096226175003E-2</v>
      </c>
      <c r="AN3" s="23">
        <f>AA3/AS$5</f>
        <v>9.0856713238604628E-2</v>
      </c>
      <c r="AO3" s="140">
        <v>5152235.8581983019</v>
      </c>
      <c r="AP3" s="51">
        <v>539</v>
      </c>
      <c r="AQ3" s="58"/>
      <c r="AR3" s="80">
        <f>AO3/AJ46</f>
        <v>53814.101258416165</v>
      </c>
      <c r="AT3">
        <v>416</v>
      </c>
      <c r="AU3">
        <v>419</v>
      </c>
      <c r="AV3">
        <f t="shared" ref="AV3:AV15" si="7">AT3-AU3</f>
        <v>-3</v>
      </c>
      <c r="AW3">
        <v>161</v>
      </c>
      <c r="AX3">
        <v>847</v>
      </c>
      <c r="AY3">
        <v>391</v>
      </c>
      <c r="AZ3">
        <f>AX3-AY3</f>
        <v>456</v>
      </c>
      <c r="BA3" s="25">
        <f>(AZ3-AZ$46)/AZ$47</f>
        <v>1.154653750919642</v>
      </c>
      <c r="BB3">
        <v>150</v>
      </c>
      <c r="BC3">
        <f>AT3-AW3</f>
        <v>255</v>
      </c>
      <c r="BD3">
        <v>269</v>
      </c>
      <c r="BE3" s="23">
        <v>0.185</v>
      </c>
      <c r="BF3" s="23">
        <v>0.109</v>
      </c>
      <c r="BG3" s="34">
        <v>398452</v>
      </c>
      <c r="BH3" s="77">
        <v>425272.83999999997</v>
      </c>
      <c r="BI3">
        <v>79541</v>
      </c>
      <c r="BJ3" s="34">
        <v>175164</v>
      </c>
      <c r="BK3" s="34">
        <f t="shared" ref="BK3:BK16" si="8">Z3*BJ$50</f>
        <v>73486.75</v>
      </c>
      <c r="BL3" s="34">
        <f>BJ3-BK3</f>
        <v>101677.25</v>
      </c>
      <c r="BM3" s="231">
        <f>(BL3-BL$46)/BL$47</f>
        <v>0.37565805822304221</v>
      </c>
      <c r="BN3" s="231">
        <f>(0.6*BA3)+(0.4*BM3)</f>
        <v>0.8430554738410021</v>
      </c>
      <c r="BO3" s="34">
        <v>83945.99</v>
      </c>
      <c r="BP3">
        <f>BG3-BI3</f>
        <v>318911</v>
      </c>
      <c r="BQ3" s="34">
        <f t="shared" ref="BQ3:BQ15" si="9">BH3-BO3</f>
        <v>341326.85</v>
      </c>
      <c r="BR3" s="23">
        <v>0.70499999999999996</v>
      </c>
      <c r="BS3" s="23">
        <f t="shared" ref="BS3:BS15" si="10">(BQ3-BQ$47)/BQ$48</f>
        <v>1.0014762070470715</v>
      </c>
      <c r="BT3" s="23">
        <f>(0.6*BF3)+(0.4*BR3)</f>
        <v>0.34739999999999999</v>
      </c>
    </row>
    <row r="4" spans="1:72" x14ac:dyDescent="0.25">
      <c r="A4" s="9" t="s">
        <v>3</v>
      </c>
      <c r="B4" s="9" t="s">
        <v>35</v>
      </c>
      <c r="C4" s="1">
        <f t="shared" si="0"/>
        <v>50</v>
      </c>
      <c r="D4">
        <v>0</v>
      </c>
      <c r="E4" s="8">
        <v>0</v>
      </c>
      <c r="F4">
        <v>0</v>
      </c>
      <c r="G4">
        <v>0</v>
      </c>
      <c r="H4">
        <v>0</v>
      </c>
      <c r="I4" s="8">
        <v>50</v>
      </c>
      <c r="J4">
        <v>0</v>
      </c>
      <c r="K4">
        <v>0</v>
      </c>
      <c r="L4" s="106">
        <v>405</v>
      </c>
      <c r="M4" s="71">
        <v>217</v>
      </c>
      <c r="N4" s="96">
        <f t="shared" si="1"/>
        <v>8.1</v>
      </c>
      <c r="O4" s="98">
        <v>4.34</v>
      </c>
      <c r="P4" s="107">
        <f>O4/O48</f>
        <v>3.9503440166157588E-2</v>
      </c>
      <c r="Q4" s="108">
        <f t="shared" si="2"/>
        <v>4.1965394495851439E-2</v>
      </c>
      <c r="R4" s="77">
        <v>0</v>
      </c>
      <c r="S4" s="34">
        <v>2135</v>
      </c>
      <c r="T4" s="34">
        <f t="shared" si="3"/>
        <v>0</v>
      </c>
      <c r="U4" s="34">
        <f t="shared" si="4"/>
        <v>42.7</v>
      </c>
      <c r="V4" s="48">
        <f>U4/U48</f>
        <v>3.4683635259635467E-4</v>
      </c>
      <c r="W4" s="48">
        <f t="shared" si="5"/>
        <v>0</v>
      </c>
      <c r="X4" s="48">
        <f t="shared" ref="X4:X45" si="11">(0.6*P4)+(0.4*V4)</f>
        <v>2.3840798640733095E-2</v>
      </c>
      <c r="Y4" s="48">
        <f t="shared" ref="Y4:Y45" si="12">(0.6*Q4)+(0.4*W4)</f>
        <v>2.5179236697510862E-2</v>
      </c>
      <c r="Z4" s="221">
        <v>86</v>
      </c>
      <c r="AA4" s="26">
        <v>-0.88224709612239804</v>
      </c>
      <c r="AB4" s="26">
        <f t="shared" si="6"/>
        <v>0.41499957057107395</v>
      </c>
      <c r="AC4" s="26">
        <v>0.59099999999999997</v>
      </c>
      <c r="AD4">
        <v>9.2999999999999999E-2</v>
      </c>
      <c r="AE4" s="213">
        <v>125899.75620189447</v>
      </c>
      <c r="AF4" s="212"/>
      <c r="AG4" s="70"/>
      <c r="AH4" s="69"/>
      <c r="AI4" s="70">
        <f>AG4-AE4</f>
        <v>-125899.75620189447</v>
      </c>
      <c r="AJ4" s="70"/>
      <c r="AK4" s="23"/>
      <c r="AL4" s="23"/>
      <c r="AM4" s="23"/>
      <c r="AN4" s="23"/>
      <c r="AP4" s="52">
        <f>AP3/C46</f>
        <v>0.23024348568987613</v>
      </c>
      <c r="AQ4" s="39" t="s">
        <v>163</v>
      </c>
      <c r="AS4" s="237" t="s">
        <v>412</v>
      </c>
      <c r="AT4">
        <v>910</v>
      </c>
      <c r="AU4">
        <v>871</v>
      </c>
      <c r="AV4">
        <f t="shared" si="7"/>
        <v>39</v>
      </c>
      <c r="AW4">
        <v>268</v>
      </c>
      <c r="AX4">
        <v>623</v>
      </c>
      <c r="AY4">
        <v>988</v>
      </c>
      <c r="AZ4">
        <f t="shared" ref="AZ4:AZ16" si="13">AX4-AY4</f>
        <v>-365</v>
      </c>
      <c r="BA4" s="23">
        <f t="shared" ref="BA4:BA16" si="14">(AZ4-AZ$46)/AZ$47</f>
        <v>-0.9154903327294841</v>
      </c>
      <c r="BB4">
        <v>251</v>
      </c>
      <c r="BC4">
        <f t="shared" ref="BC4:BC45" si="15">AT4-AW4</f>
        <v>642</v>
      </c>
      <c r="BD4">
        <v>620</v>
      </c>
      <c r="BE4" s="25">
        <v>1.2010000000000001</v>
      </c>
      <c r="BF4" s="23">
        <v>0.97099999999999997</v>
      </c>
      <c r="BG4" s="34">
        <v>0</v>
      </c>
      <c r="BH4" s="77">
        <v>0</v>
      </c>
      <c r="BI4">
        <v>139354</v>
      </c>
      <c r="BJ4" s="34">
        <v>0</v>
      </c>
      <c r="BK4" s="34">
        <f t="shared" si="8"/>
        <v>185878.25</v>
      </c>
      <c r="BL4" s="34">
        <f t="shared" ref="BL4:BL16" si="16">BJ4-BK4</f>
        <v>-185878.25</v>
      </c>
      <c r="BM4" s="36">
        <f t="shared" ref="BM4:BM16" si="17">(BL4-BL$46)/BL$47</f>
        <v>-0.83238224121176896</v>
      </c>
      <c r="BN4" s="247">
        <f t="shared" ref="BN4:BN45" si="18">(0.6*BA4)+(0.4*BM4)</f>
        <v>-0.88224709612239804</v>
      </c>
      <c r="BO4" s="34">
        <v>140448.95000000001</v>
      </c>
      <c r="BP4">
        <f t="shared" ref="BP4:BP15" si="19">BG4-BI4</f>
        <v>-139354</v>
      </c>
      <c r="BQ4" s="34">
        <f t="shared" si="9"/>
        <v>-140448.95000000001</v>
      </c>
      <c r="BR4" s="23">
        <v>-0.32100000000000001</v>
      </c>
      <c r="BS4" s="23">
        <f t="shared" si="10"/>
        <v>-0.41900107357231503</v>
      </c>
      <c r="BT4" s="23">
        <f t="shared" ref="BT4:BT45" si="20">(0.6*BF4)+(0.4*BR4)</f>
        <v>0.45419999999999999</v>
      </c>
    </row>
    <row r="5" spans="1:72" x14ac:dyDescent="0.25">
      <c r="A5" s="7" t="s">
        <v>43</v>
      </c>
      <c r="B5" s="7" t="s">
        <v>44</v>
      </c>
      <c r="C5" s="1">
        <f t="shared" si="0"/>
        <v>10</v>
      </c>
      <c r="D5">
        <v>10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s="106">
        <v>23</v>
      </c>
      <c r="M5" s="71">
        <v>11</v>
      </c>
      <c r="N5" s="96">
        <f t="shared" si="1"/>
        <v>2.2999999999999998</v>
      </c>
      <c r="O5" s="98">
        <v>1.1000000000000001</v>
      </c>
      <c r="P5" s="107">
        <f>O5/O48</f>
        <v>1.0012392668841786E-2</v>
      </c>
      <c r="Q5" s="108">
        <f t="shared" si="2"/>
        <v>1.1916099671661519E-2</v>
      </c>
      <c r="R5" s="77">
        <v>188988</v>
      </c>
      <c r="S5" s="34">
        <v>250887</v>
      </c>
      <c r="T5" s="34">
        <f t="shared" si="3"/>
        <v>18898.8</v>
      </c>
      <c r="U5" s="34">
        <f t="shared" si="4"/>
        <v>25088.7</v>
      </c>
      <c r="V5" s="48">
        <f>U5/U48</f>
        <v>0.20378625759681879</v>
      </c>
      <c r="W5" s="48">
        <f t="shared" si="5"/>
        <v>0.17424597568308509</v>
      </c>
      <c r="X5" s="48">
        <f>(0.6*P5)+(0.4*V5)</f>
        <v>8.752193864003259E-2</v>
      </c>
      <c r="Y5" s="48">
        <f t="shared" si="12"/>
        <v>7.6848050076230939E-2</v>
      </c>
      <c r="Z5" s="221">
        <v>11</v>
      </c>
      <c r="AA5" s="26">
        <v>-3.7367226589469088E-2</v>
      </c>
      <c r="AB5" s="26">
        <f t="shared" si="6"/>
        <v>-0.14838994661466756</v>
      </c>
      <c r="AC5" s="26">
        <v>-0.159</v>
      </c>
      <c r="AD5">
        <v>-6.5000000000000002E-2</v>
      </c>
      <c r="AE5" s="212"/>
      <c r="AF5" s="212"/>
      <c r="AG5" s="70"/>
      <c r="AH5" s="70"/>
      <c r="AI5" s="70"/>
      <c r="AJ5" s="70"/>
      <c r="AK5" s="23"/>
      <c r="AL5" s="23"/>
      <c r="AM5" s="23"/>
      <c r="AN5" s="23"/>
      <c r="AO5" s="237" t="s">
        <v>407</v>
      </c>
      <c r="AP5">
        <v>790</v>
      </c>
      <c r="AS5" s="25">
        <f>SUM(AA3,AA10,AA18,AA20:AA24,AA36,AA38)</f>
        <v>9.2789563235355015</v>
      </c>
      <c r="AT5">
        <v>46</v>
      </c>
      <c r="AU5">
        <v>46</v>
      </c>
      <c r="AV5">
        <f t="shared" si="7"/>
        <v>0</v>
      </c>
      <c r="AW5">
        <v>54</v>
      </c>
      <c r="AX5">
        <v>40</v>
      </c>
      <c r="AY5">
        <v>126</v>
      </c>
      <c r="AZ5">
        <f t="shared" si="13"/>
        <v>-86</v>
      </c>
      <c r="BA5" s="23">
        <f t="shared" si="14"/>
        <v>-0.21199435302411726</v>
      </c>
      <c r="BB5">
        <v>50</v>
      </c>
      <c r="BC5">
        <f t="shared" si="15"/>
        <v>-8</v>
      </c>
      <c r="BD5">
        <v>-4</v>
      </c>
      <c r="BE5" s="23">
        <v>-0.505</v>
      </c>
      <c r="BF5" s="23">
        <v>-0.56100000000000005</v>
      </c>
      <c r="BG5" s="34">
        <v>188988</v>
      </c>
      <c r="BH5" s="77">
        <v>188998.54</v>
      </c>
      <c r="BI5">
        <v>23814</v>
      </c>
      <c r="BJ5" s="34">
        <v>89489</v>
      </c>
      <c r="BK5" s="34">
        <f t="shared" si="8"/>
        <v>23775.125</v>
      </c>
      <c r="BL5" s="34">
        <f t="shared" si="16"/>
        <v>65713.875</v>
      </c>
      <c r="BM5" s="231">
        <f t="shared" si="17"/>
        <v>0.22457346306250311</v>
      </c>
      <c r="BN5" s="247">
        <f t="shared" si="18"/>
        <v>-3.7367226589469088E-2</v>
      </c>
      <c r="BO5" s="34">
        <v>27751.57</v>
      </c>
      <c r="BP5">
        <f t="shared" si="19"/>
        <v>165174</v>
      </c>
      <c r="BQ5" s="34">
        <f t="shared" si="9"/>
        <v>161246.97</v>
      </c>
      <c r="BR5" s="23">
        <v>0.36</v>
      </c>
      <c r="BS5" s="23">
        <f t="shared" si="10"/>
        <v>0.47052513346333108</v>
      </c>
      <c r="BT5" s="23">
        <f t="shared" si="20"/>
        <v>-0.19260000000000002</v>
      </c>
    </row>
    <row r="6" spans="1:72" x14ac:dyDescent="0.25">
      <c r="A6" s="9" t="s">
        <v>43</v>
      </c>
      <c r="B6" s="9" t="s">
        <v>45</v>
      </c>
      <c r="C6" s="1">
        <f t="shared" si="0"/>
        <v>87</v>
      </c>
      <c r="D6">
        <v>87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 s="106">
        <v>35.5</v>
      </c>
      <c r="M6" s="71">
        <v>29.5</v>
      </c>
      <c r="N6" s="96">
        <f t="shared" si="1"/>
        <v>0.40804597701149425</v>
      </c>
      <c r="O6" s="98">
        <v>0.33908045977011492</v>
      </c>
      <c r="P6" s="107">
        <f>O6/O48</f>
        <v>3.0863697359543637E-3</v>
      </c>
      <c r="Q6" s="108">
        <f t="shared" si="2"/>
        <v>2.1140506663867263E-3</v>
      </c>
      <c r="R6" s="77">
        <v>0</v>
      </c>
      <c r="S6" s="34">
        <v>0</v>
      </c>
      <c r="T6" s="34">
        <f t="shared" si="3"/>
        <v>0</v>
      </c>
      <c r="U6" s="34">
        <f t="shared" si="4"/>
        <v>0</v>
      </c>
      <c r="V6" s="48">
        <f>U6/U48</f>
        <v>0</v>
      </c>
      <c r="W6" s="48">
        <f t="shared" si="5"/>
        <v>0</v>
      </c>
      <c r="X6" s="48">
        <f t="shared" si="11"/>
        <v>1.851821841572618E-3</v>
      </c>
      <c r="Y6" s="48">
        <f t="shared" si="12"/>
        <v>1.2684303998320358E-3</v>
      </c>
      <c r="Z6" s="221">
        <v>70</v>
      </c>
      <c r="AA6" s="26">
        <v>-1.1680589266594472</v>
      </c>
      <c r="AB6" s="26">
        <f t="shared" si="6"/>
        <v>-1.0577332993277446</v>
      </c>
      <c r="AC6" s="26">
        <v>-1.147</v>
      </c>
      <c r="AD6">
        <v>-1.1100000000000001</v>
      </c>
      <c r="AE6" s="214"/>
      <c r="AF6" s="214"/>
      <c r="AG6" s="37"/>
      <c r="AH6" s="37"/>
      <c r="AI6" s="69"/>
      <c r="AJ6" s="37"/>
      <c r="AK6" s="23"/>
      <c r="AL6" s="23"/>
      <c r="AM6" s="23"/>
      <c r="AN6" s="23"/>
      <c r="AO6" s="140">
        <v>5134245.6637784392</v>
      </c>
      <c r="AT6">
        <v>71</v>
      </c>
      <c r="AU6">
        <v>71</v>
      </c>
      <c r="AV6">
        <f t="shared" si="7"/>
        <v>0</v>
      </c>
      <c r="AW6">
        <v>467</v>
      </c>
      <c r="AX6">
        <v>87</v>
      </c>
      <c r="AY6">
        <v>804</v>
      </c>
      <c r="AZ6">
        <f t="shared" si="13"/>
        <v>-717</v>
      </c>
      <c r="BA6" s="23">
        <f t="shared" si="14"/>
        <v>-1.803055153002922</v>
      </c>
      <c r="BB6">
        <v>436</v>
      </c>
      <c r="BC6">
        <f t="shared" si="15"/>
        <v>-396</v>
      </c>
      <c r="BD6">
        <v>-365</v>
      </c>
      <c r="BE6" s="23">
        <v>-1.5229999999999999</v>
      </c>
      <c r="BF6" s="23">
        <v>-1.4470000000000001</v>
      </c>
      <c r="BG6" s="34">
        <v>0</v>
      </c>
      <c r="BH6" s="77">
        <v>86356</v>
      </c>
      <c r="BI6">
        <v>255965</v>
      </c>
      <c r="BJ6" s="34">
        <v>112242</v>
      </c>
      <c r="BK6" s="34">
        <f t="shared" si="8"/>
        <v>151296.25</v>
      </c>
      <c r="BL6" s="34">
        <f t="shared" si="16"/>
        <v>-39054.25</v>
      </c>
      <c r="BM6" s="36">
        <f t="shared" si="17"/>
        <v>-0.21556458714423515</v>
      </c>
      <c r="BN6" s="247">
        <f t="shared" si="18"/>
        <v>-1.1680589266594472</v>
      </c>
      <c r="BO6" s="34">
        <v>245402.09</v>
      </c>
      <c r="BP6">
        <f t="shared" si="19"/>
        <v>-255965</v>
      </c>
      <c r="BQ6" s="34">
        <f t="shared" si="9"/>
        <v>-159046.09</v>
      </c>
      <c r="BR6" s="23">
        <v>-0.58399999999999996</v>
      </c>
      <c r="BS6" s="23">
        <f t="shared" si="10"/>
        <v>-0.4738332483193613</v>
      </c>
      <c r="BT6" s="23">
        <f t="shared" si="20"/>
        <v>-1.1017999999999999</v>
      </c>
    </row>
    <row r="7" spans="1:72" x14ac:dyDescent="0.25">
      <c r="A7" s="7" t="s">
        <v>43</v>
      </c>
      <c r="B7" s="7" t="s">
        <v>46</v>
      </c>
      <c r="C7" s="1">
        <f t="shared" si="0"/>
        <v>182</v>
      </c>
      <c r="D7">
        <v>0</v>
      </c>
      <c r="E7">
        <v>0</v>
      </c>
      <c r="F7">
        <v>57</v>
      </c>
      <c r="G7">
        <v>79</v>
      </c>
      <c r="H7">
        <v>0</v>
      </c>
      <c r="I7">
        <v>33</v>
      </c>
      <c r="J7">
        <v>13</v>
      </c>
      <c r="K7">
        <v>0</v>
      </c>
      <c r="L7" s="106">
        <v>715.5</v>
      </c>
      <c r="M7" s="71">
        <v>555</v>
      </c>
      <c r="N7" s="96">
        <f t="shared" si="1"/>
        <v>3.9313186813186811</v>
      </c>
      <c r="O7" s="98">
        <v>3.0494505494505493</v>
      </c>
      <c r="P7" s="107">
        <f>O7/O48</f>
        <v>2.7756633023012938E-2</v>
      </c>
      <c r="Q7" s="108">
        <f t="shared" si="2"/>
        <v>2.0367819672894926E-2</v>
      </c>
      <c r="R7" s="77">
        <v>104888</v>
      </c>
      <c r="S7" s="34">
        <v>39742</v>
      </c>
      <c r="T7" s="34">
        <f t="shared" si="3"/>
        <v>576.30769230769226</v>
      </c>
      <c r="U7" s="34">
        <f t="shared" si="4"/>
        <v>218.36263736263737</v>
      </c>
      <c r="V7" s="48">
        <f>U7/U48</f>
        <v>1.7736791729783985E-3</v>
      </c>
      <c r="W7" s="48">
        <f t="shared" si="5"/>
        <v>5.3135276387824108E-3</v>
      </c>
      <c r="X7" s="48">
        <f t="shared" si="11"/>
        <v>1.7363451482999122E-2</v>
      </c>
      <c r="Y7" s="48">
        <f t="shared" si="12"/>
        <v>1.4346102859249921E-2</v>
      </c>
      <c r="Z7" s="221">
        <v>172</v>
      </c>
      <c r="AA7" s="26">
        <v>-9.6044332343327043E-2</v>
      </c>
      <c r="AB7" s="26">
        <f t="shared" si="6"/>
        <v>0.1017063629518824</v>
      </c>
      <c r="AC7" s="26">
        <v>-1E-3</v>
      </c>
      <c r="AD7">
        <v>9.6000000000000002E-2</v>
      </c>
      <c r="AE7" s="214"/>
      <c r="AF7" s="214"/>
      <c r="AG7" s="37"/>
      <c r="AH7" s="37"/>
      <c r="AI7" s="69"/>
      <c r="AJ7" s="37"/>
      <c r="AK7" s="23"/>
      <c r="AL7" s="23"/>
      <c r="AM7" s="23"/>
      <c r="AN7" s="23"/>
      <c r="AR7" s="39" t="s">
        <v>410</v>
      </c>
      <c r="AT7">
        <v>1431</v>
      </c>
      <c r="AU7">
        <v>1452</v>
      </c>
      <c r="AV7">
        <f t="shared" si="7"/>
        <v>-21</v>
      </c>
      <c r="AW7">
        <v>977</v>
      </c>
      <c r="AX7">
        <v>1921</v>
      </c>
      <c r="AY7">
        <v>1976</v>
      </c>
      <c r="AZ7">
        <f t="shared" si="13"/>
        <v>-55</v>
      </c>
      <c r="BA7" s="23">
        <f t="shared" si="14"/>
        <v>-0.13382813305685429</v>
      </c>
      <c r="BB7">
        <v>912</v>
      </c>
      <c r="BC7">
        <f t="shared" si="15"/>
        <v>454</v>
      </c>
      <c r="BD7">
        <v>540</v>
      </c>
      <c r="BE7" s="25">
        <v>0.70699999999999996</v>
      </c>
      <c r="BF7" s="23">
        <v>0.77400000000000002</v>
      </c>
      <c r="BG7" s="34">
        <v>104888</v>
      </c>
      <c r="BH7" s="77">
        <v>210359</v>
      </c>
      <c r="BI7">
        <v>575521</v>
      </c>
      <c r="BJ7" s="34">
        <v>374643</v>
      </c>
      <c r="BK7" s="34">
        <f t="shared" si="8"/>
        <v>371756.5</v>
      </c>
      <c r="BL7" s="34">
        <f t="shared" si="16"/>
        <v>2886.5</v>
      </c>
      <c r="BM7" s="36">
        <f t="shared" si="17"/>
        <v>-3.9368631273036192E-2</v>
      </c>
      <c r="BN7" s="247">
        <f t="shared" si="18"/>
        <v>-9.6044332343327043E-2</v>
      </c>
      <c r="BO7" s="34">
        <v>516229.79</v>
      </c>
      <c r="BP7">
        <f t="shared" si="19"/>
        <v>-470633</v>
      </c>
      <c r="BQ7" s="34">
        <f t="shared" si="9"/>
        <v>-305870.78999999998</v>
      </c>
      <c r="BR7" s="23">
        <v>-1.0649999999999999</v>
      </c>
      <c r="BS7" s="23">
        <f t="shared" si="10"/>
        <v>-0.90673409262029392</v>
      </c>
      <c r="BT7" s="23">
        <f t="shared" si="20"/>
        <v>3.839999999999999E-2</v>
      </c>
    </row>
    <row r="8" spans="1:72" x14ac:dyDescent="0.25">
      <c r="A8" s="9" t="s">
        <v>43</v>
      </c>
      <c r="B8" s="9" t="s">
        <v>47</v>
      </c>
      <c r="C8" s="1">
        <f t="shared" si="0"/>
        <v>149</v>
      </c>
      <c r="D8">
        <v>149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s="106">
        <v>278</v>
      </c>
      <c r="M8" s="71">
        <v>160</v>
      </c>
      <c r="N8" s="96">
        <f t="shared" si="1"/>
        <v>1.8657718120805369</v>
      </c>
      <c r="O8" s="98">
        <v>1.0738255033557047</v>
      </c>
      <c r="P8" s="107">
        <f>O8/O48</f>
        <v>9.7741478158309067E-3</v>
      </c>
      <c r="Q8" s="108">
        <f t="shared" si="2"/>
        <v>9.6664012510122629E-3</v>
      </c>
      <c r="R8" s="77">
        <v>133101</v>
      </c>
      <c r="S8" s="34">
        <v>62295</v>
      </c>
      <c r="T8" s="34">
        <f t="shared" si="3"/>
        <v>893.29530201342277</v>
      </c>
      <c r="U8" s="34">
        <f t="shared" si="4"/>
        <v>418.08724832214767</v>
      </c>
      <c r="V8" s="48">
        <f>U8/U48</f>
        <v>3.395968531032789E-3</v>
      </c>
      <c r="W8" s="48">
        <f t="shared" si="5"/>
        <v>8.2361372929733636E-3</v>
      </c>
      <c r="X8" s="48">
        <f t="shared" si="11"/>
        <v>7.2228761019116593E-3</v>
      </c>
      <c r="Y8" s="48">
        <f t="shared" si="12"/>
        <v>9.0942956677967021E-3</v>
      </c>
      <c r="Z8" s="221">
        <v>152</v>
      </c>
      <c r="AA8" s="26">
        <v>-0.94817622882954744</v>
      </c>
      <c r="AB8" s="26">
        <f t="shared" si="6"/>
        <v>-1.2653309901327079</v>
      </c>
      <c r="AC8" s="26">
        <v>-0.97299999999999998</v>
      </c>
      <c r="AD8">
        <v>-1.18</v>
      </c>
      <c r="AE8" s="214"/>
      <c r="AF8" s="214"/>
      <c r="AG8" s="37"/>
      <c r="AH8" s="37"/>
      <c r="AI8" s="69"/>
      <c r="AJ8" s="37"/>
      <c r="AK8" s="23"/>
      <c r="AL8" s="23"/>
      <c r="AM8" s="23"/>
      <c r="AN8" s="23"/>
      <c r="AR8" s="80">
        <f>AO6/AL46</f>
        <v>69974.837047744499</v>
      </c>
      <c r="AT8">
        <v>556</v>
      </c>
      <c r="AU8">
        <v>361</v>
      </c>
      <c r="AV8">
        <f t="shared" si="7"/>
        <v>195</v>
      </c>
      <c r="AW8">
        <v>800</v>
      </c>
      <c r="AX8">
        <v>1151</v>
      </c>
      <c r="AY8">
        <v>1746</v>
      </c>
      <c r="AZ8">
        <f t="shared" si="13"/>
        <v>-595</v>
      </c>
      <c r="BA8" s="23">
        <f t="shared" si="14"/>
        <v>-1.4954332550672418</v>
      </c>
      <c r="BB8">
        <v>747</v>
      </c>
      <c r="BC8">
        <f t="shared" si="15"/>
        <v>-244</v>
      </c>
      <c r="BD8">
        <v>-386</v>
      </c>
      <c r="BE8" s="23">
        <v>-1.1240000000000001</v>
      </c>
      <c r="BF8" s="23">
        <v>-1.4990000000000001</v>
      </c>
      <c r="BG8" s="34">
        <v>133101</v>
      </c>
      <c r="BH8" s="77">
        <v>113376</v>
      </c>
      <c r="BI8">
        <v>462045</v>
      </c>
      <c r="BJ8" s="34">
        <v>310487</v>
      </c>
      <c r="BK8" s="34">
        <f t="shared" si="8"/>
        <v>328529</v>
      </c>
      <c r="BL8" s="34">
        <f t="shared" si="16"/>
        <v>-18042</v>
      </c>
      <c r="BM8" s="36">
        <f t="shared" si="17"/>
        <v>-0.12729068947300609</v>
      </c>
      <c r="BN8" s="247">
        <f t="shared" si="18"/>
        <v>-0.94817622882954744</v>
      </c>
      <c r="BO8" s="34">
        <v>421991.78</v>
      </c>
      <c r="BP8">
        <f t="shared" si="19"/>
        <v>-328944</v>
      </c>
      <c r="BQ8" s="34">
        <f t="shared" si="9"/>
        <v>-308615.78000000003</v>
      </c>
      <c r="BR8" s="23">
        <v>-0.747</v>
      </c>
      <c r="BS8" s="23">
        <f t="shared" si="10"/>
        <v>-0.91482747533176989</v>
      </c>
      <c r="BT8" s="23">
        <f t="shared" si="20"/>
        <v>-1.1981999999999999</v>
      </c>
    </row>
    <row r="9" spans="1:72" x14ac:dyDescent="0.25">
      <c r="A9" s="7" t="s">
        <v>43</v>
      </c>
      <c r="B9" s="7" t="s">
        <v>48</v>
      </c>
      <c r="C9" s="1">
        <f t="shared" si="0"/>
        <v>93</v>
      </c>
      <c r="D9">
        <v>0</v>
      </c>
      <c r="E9">
        <v>0</v>
      </c>
      <c r="F9">
        <v>0</v>
      </c>
      <c r="G9">
        <v>83</v>
      </c>
      <c r="H9">
        <v>0</v>
      </c>
      <c r="I9">
        <v>10</v>
      </c>
      <c r="J9">
        <v>0</v>
      </c>
      <c r="K9">
        <v>0</v>
      </c>
      <c r="L9" s="106">
        <v>109</v>
      </c>
      <c r="M9" s="71">
        <v>87.5</v>
      </c>
      <c r="N9" s="96">
        <f t="shared" si="1"/>
        <v>1.1720430107526882</v>
      </c>
      <c r="O9" s="98">
        <v>0.94086021505376349</v>
      </c>
      <c r="P9" s="107">
        <f>O9/O48</f>
        <v>8.5638744723720052E-3</v>
      </c>
      <c r="Q9" s="108">
        <f t="shared" si="2"/>
        <v>6.0722527546101246E-3</v>
      </c>
      <c r="R9" s="77">
        <v>54022</v>
      </c>
      <c r="S9" s="34">
        <v>28590</v>
      </c>
      <c r="T9" s="34">
        <f t="shared" si="3"/>
        <v>580.88172043010752</v>
      </c>
      <c r="U9" s="34">
        <f t="shared" si="4"/>
        <v>307.41935483870969</v>
      </c>
      <c r="V9" s="48">
        <f>U9/U48</f>
        <v>2.4970540456623553E-3</v>
      </c>
      <c r="W9" s="48">
        <f t="shared" si="5"/>
        <v>5.3556999456480384E-3</v>
      </c>
      <c r="X9" s="48">
        <f t="shared" si="11"/>
        <v>6.1371463016881454E-3</v>
      </c>
      <c r="Y9" s="48">
        <f t="shared" si="12"/>
        <v>5.7856316310252905E-3</v>
      </c>
      <c r="Z9" s="221">
        <v>92</v>
      </c>
      <c r="AA9" s="26">
        <v>-1.2566827097412459</v>
      </c>
      <c r="AB9" s="26">
        <f t="shared" si="6"/>
        <v>-0.94378277511316111</v>
      </c>
      <c r="AC9" s="26">
        <v>-0.93500000000000005</v>
      </c>
      <c r="AD9">
        <v>-0.9</v>
      </c>
      <c r="AE9" s="214"/>
      <c r="AF9" s="214"/>
      <c r="AG9" s="37"/>
      <c r="AH9" s="37"/>
      <c r="AI9" s="69"/>
      <c r="AJ9" s="37"/>
      <c r="AK9" s="23"/>
      <c r="AL9" s="23"/>
      <c r="AM9" s="23"/>
      <c r="AN9" s="23"/>
      <c r="AT9">
        <v>218</v>
      </c>
      <c r="AU9">
        <v>218</v>
      </c>
      <c r="AV9">
        <f t="shared" si="7"/>
        <v>0</v>
      </c>
      <c r="AW9">
        <v>499</v>
      </c>
      <c r="AX9">
        <v>315</v>
      </c>
      <c r="AY9">
        <v>1057</v>
      </c>
      <c r="AZ9">
        <f t="shared" si="13"/>
        <v>-742</v>
      </c>
      <c r="BA9" s="23">
        <f t="shared" si="14"/>
        <v>-1.8660924271700694</v>
      </c>
      <c r="BB9">
        <v>466</v>
      </c>
      <c r="BC9">
        <f t="shared" si="15"/>
        <v>-281</v>
      </c>
      <c r="BD9">
        <v>-248</v>
      </c>
      <c r="BE9" s="23">
        <v>-1.2210000000000001</v>
      </c>
      <c r="BF9" s="23">
        <v>-1.1599999999999999</v>
      </c>
      <c r="BG9" s="34">
        <v>54022</v>
      </c>
      <c r="BH9" s="77">
        <v>54021.57</v>
      </c>
      <c r="BI9">
        <v>275407</v>
      </c>
      <c r="BJ9" s="34">
        <v>129561</v>
      </c>
      <c r="BK9" s="34">
        <f t="shared" si="8"/>
        <v>198846.5</v>
      </c>
      <c r="BL9" s="34">
        <f t="shared" si="16"/>
        <v>-69285.5</v>
      </c>
      <c r="BM9" s="36">
        <f t="shared" si="17"/>
        <v>-0.34256813359801069</v>
      </c>
      <c r="BN9" s="247">
        <f t="shared" si="18"/>
        <v>-1.2566827097412459</v>
      </c>
      <c r="BO9" s="34">
        <v>262458.08</v>
      </c>
      <c r="BP9">
        <f t="shared" si="19"/>
        <v>-221385</v>
      </c>
      <c r="BQ9" s="34">
        <f t="shared" si="9"/>
        <v>-208436.51</v>
      </c>
      <c r="BR9" s="23">
        <v>-0.50600000000000001</v>
      </c>
      <c r="BS9" s="23">
        <f t="shared" si="10"/>
        <v>-0.61945693778290301</v>
      </c>
      <c r="BT9" s="23">
        <f t="shared" si="20"/>
        <v>-0.89839999999999998</v>
      </c>
    </row>
    <row r="10" spans="1:72" x14ac:dyDescent="0.25">
      <c r="A10" s="9" t="s">
        <v>43</v>
      </c>
      <c r="B10" s="9" t="s">
        <v>49</v>
      </c>
      <c r="C10" s="1">
        <f t="shared" si="0"/>
        <v>172</v>
      </c>
      <c r="D10">
        <v>0</v>
      </c>
      <c r="E10">
        <v>0</v>
      </c>
      <c r="F10">
        <v>0</v>
      </c>
      <c r="G10">
        <v>0</v>
      </c>
      <c r="H10">
        <v>73</v>
      </c>
      <c r="I10">
        <v>80</v>
      </c>
      <c r="J10">
        <v>19</v>
      </c>
      <c r="K10">
        <v>0</v>
      </c>
      <c r="L10" s="106">
        <v>404</v>
      </c>
      <c r="M10" s="71">
        <v>391</v>
      </c>
      <c r="N10" s="96">
        <f t="shared" si="1"/>
        <v>2.3488372093023258</v>
      </c>
      <c r="O10" s="98">
        <v>2.2732558139534884</v>
      </c>
      <c r="P10" s="107">
        <f>O10/O48</f>
        <v>2.0691572587299884E-2</v>
      </c>
      <c r="Q10" s="108">
        <f t="shared" si="2"/>
        <v>1.216912099937122E-2</v>
      </c>
      <c r="R10" s="77">
        <v>2958741</v>
      </c>
      <c r="S10" s="34">
        <v>2346863</v>
      </c>
      <c r="T10" s="34">
        <f t="shared" si="3"/>
        <v>17201.982558139534</v>
      </c>
      <c r="U10" s="34">
        <f t="shared" si="4"/>
        <v>13644.552325581395</v>
      </c>
      <c r="V10" s="48">
        <f>U10/U48</f>
        <v>0.11082966654367117</v>
      </c>
      <c r="W10" s="48">
        <f t="shared" si="5"/>
        <v>0.1586014050906108</v>
      </c>
      <c r="X10" s="48">
        <f t="shared" si="11"/>
        <v>5.6746810169848401E-2</v>
      </c>
      <c r="Y10" s="48">
        <f t="shared" si="12"/>
        <v>7.0742034635867049E-2</v>
      </c>
      <c r="Z10" s="221">
        <v>167</v>
      </c>
      <c r="AA10" s="25">
        <v>1.1869766153372554</v>
      </c>
      <c r="AB10" s="25">
        <f t="shared" si="6"/>
        <v>1.5846082819052993</v>
      </c>
      <c r="AC10" s="26">
        <v>1.6919999999999999</v>
      </c>
      <c r="AD10" s="73">
        <v>2.0009999999999999</v>
      </c>
      <c r="AE10" s="213">
        <v>1668493.8646040023</v>
      </c>
      <c r="AF10" s="280">
        <f>AL10*AR$8</f>
        <v>1494863.0234970332</v>
      </c>
      <c r="AG10" s="67">
        <f>AJ10*AR$3</f>
        <v>1566999.160682356</v>
      </c>
      <c r="AH10" s="67" t="e">
        <f>C10*AK10</f>
        <v>#VALUE!</v>
      </c>
      <c r="AI10" s="70">
        <f>AG10-AE10</f>
        <v>-101494.70392164635</v>
      </c>
      <c r="AJ10" s="67">
        <f>C10*AM10</f>
        <v>29.118746277255497</v>
      </c>
      <c r="AK10" s="23" t="e">
        <f>AD10/AR2</f>
        <v>#VALUE!</v>
      </c>
      <c r="AL10" s="23">
        <f>Z10*AN10</f>
        <v>21.362865375121544</v>
      </c>
      <c r="AM10" s="23">
        <f>AB10/AS$2</f>
        <v>0.16929503649567149</v>
      </c>
      <c r="AN10" s="23">
        <f>AA10/AS$5</f>
        <v>0.12792134955162601</v>
      </c>
      <c r="AT10">
        <v>808</v>
      </c>
      <c r="AU10">
        <v>806</v>
      </c>
      <c r="AV10">
        <f t="shared" si="7"/>
        <v>2</v>
      </c>
      <c r="AW10">
        <v>923</v>
      </c>
      <c r="AX10">
        <v>1366</v>
      </c>
      <c r="AY10">
        <v>1919</v>
      </c>
      <c r="AZ10">
        <f t="shared" si="13"/>
        <v>-553</v>
      </c>
      <c r="BA10" s="23">
        <f t="shared" si="14"/>
        <v>-1.3895306344664338</v>
      </c>
      <c r="BB10">
        <v>862</v>
      </c>
      <c r="BC10">
        <f t="shared" si="15"/>
        <v>-115</v>
      </c>
      <c r="BD10">
        <v>-56</v>
      </c>
      <c r="BE10" s="23">
        <v>-0.78500000000000003</v>
      </c>
      <c r="BF10" s="23">
        <v>-0.68899999999999995</v>
      </c>
      <c r="BG10" s="34">
        <v>2958741</v>
      </c>
      <c r="BH10" s="77">
        <v>2183454.36</v>
      </c>
      <c r="BI10">
        <v>540903</v>
      </c>
      <c r="BJ10" s="34">
        <v>1575696</v>
      </c>
      <c r="BK10" s="34">
        <f t="shared" si="8"/>
        <v>360949.625</v>
      </c>
      <c r="BL10" s="34">
        <f t="shared" si="16"/>
        <v>1214746.375</v>
      </c>
      <c r="BM10" s="231">
        <f t="shared" si="17"/>
        <v>5.0517374900427887</v>
      </c>
      <c r="BN10" s="231">
        <f t="shared" si="18"/>
        <v>1.1869766153372554</v>
      </c>
      <c r="BO10" s="34">
        <v>487658.05</v>
      </c>
      <c r="BP10">
        <f t="shared" si="19"/>
        <v>2417838</v>
      </c>
      <c r="BQ10" s="34">
        <f t="shared" si="9"/>
        <v>1695796.3099999998</v>
      </c>
      <c r="BR10" s="23">
        <v>5.4080000000000004</v>
      </c>
      <c r="BS10" s="23">
        <f t="shared" si="10"/>
        <v>4.995020704763248</v>
      </c>
      <c r="BT10" s="23">
        <f t="shared" si="20"/>
        <v>1.7498000000000002</v>
      </c>
    </row>
    <row r="11" spans="1:72" x14ac:dyDescent="0.25">
      <c r="A11" s="9" t="s">
        <v>43</v>
      </c>
      <c r="B11" s="9" t="s">
        <v>50</v>
      </c>
      <c r="C11" s="1">
        <f t="shared" si="0"/>
        <v>23</v>
      </c>
      <c r="D11">
        <v>0</v>
      </c>
      <c r="E11">
        <v>0</v>
      </c>
      <c r="F11">
        <v>0</v>
      </c>
      <c r="G11">
        <v>0</v>
      </c>
      <c r="H11">
        <v>0</v>
      </c>
      <c r="I11">
        <v>23</v>
      </c>
      <c r="J11">
        <v>0</v>
      </c>
      <c r="K11">
        <v>0</v>
      </c>
      <c r="L11" s="106">
        <v>367</v>
      </c>
      <c r="M11" s="71">
        <v>199.5</v>
      </c>
      <c r="N11" s="96">
        <f t="shared" si="1"/>
        <v>15.956521739130435</v>
      </c>
      <c r="O11" s="98">
        <v>8.6739130434782616</v>
      </c>
      <c r="P11" s="107">
        <f>O11/O48</f>
        <v>7.8951475787902611E-2</v>
      </c>
      <c r="Q11" s="108">
        <f t="shared" si="2"/>
        <v>8.2669349328918298E-2</v>
      </c>
      <c r="R11" s="77">
        <v>117508</v>
      </c>
      <c r="S11" s="34">
        <v>250597</v>
      </c>
      <c r="T11" s="34">
        <f t="shared" si="3"/>
        <v>5109.04347826087</v>
      </c>
      <c r="U11" s="34">
        <f t="shared" si="4"/>
        <v>10895.521739130434</v>
      </c>
      <c r="V11" s="48">
        <f>U11/U48</f>
        <v>8.8500304909468155E-2</v>
      </c>
      <c r="W11" s="48">
        <f t="shared" si="5"/>
        <v>4.7105121260443417E-2</v>
      </c>
      <c r="X11" s="48">
        <f t="shared" si="11"/>
        <v>8.2771007436528821E-2</v>
      </c>
      <c r="Y11" s="48">
        <f t="shared" si="12"/>
        <v>6.8443658101528346E-2</v>
      </c>
      <c r="Z11" s="221">
        <v>129</v>
      </c>
      <c r="AA11" s="26">
        <v>-0.37292084376058099</v>
      </c>
      <c r="AB11" s="25">
        <f t="shared" si="6"/>
        <v>0.67204125728969311</v>
      </c>
      <c r="AC11" s="26">
        <v>0.72</v>
      </c>
      <c r="AD11" s="73">
        <v>0.58599999999999997</v>
      </c>
      <c r="AE11" s="213">
        <v>80176.690184688632</v>
      </c>
      <c r="AF11" s="212"/>
      <c r="AG11" s="67">
        <f>AJ11*AR$3</f>
        <v>88867.337183832278</v>
      </c>
      <c r="AH11" s="67" t="e">
        <f>C11*AK11</f>
        <v>#VALUE!</v>
      </c>
      <c r="AI11" s="70">
        <f>AG11-AE11</f>
        <v>8690.6469991436461</v>
      </c>
      <c r="AJ11" s="67">
        <f>C11*AM11</f>
        <v>1.6513764070329804</v>
      </c>
      <c r="AK11" s="23" t="e">
        <f>AD11/AR2</f>
        <v>#VALUE!</v>
      </c>
      <c r="AL11" s="23"/>
      <c r="AM11" s="23">
        <f>AB11/AS$2</f>
        <v>7.1798974218825237E-2</v>
      </c>
      <c r="AN11" s="23"/>
      <c r="AT11">
        <v>734</v>
      </c>
      <c r="AU11">
        <v>734</v>
      </c>
      <c r="AV11">
        <f t="shared" si="7"/>
        <v>0</v>
      </c>
      <c r="AW11">
        <v>123</v>
      </c>
      <c r="AX11">
        <v>1237</v>
      </c>
      <c r="AY11">
        <v>1482</v>
      </c>
      <c r="AZ11">
        <f t="shared" si="13"/>
        <v>-245</v>
      </c>
      <c r="BA11" s="23">
        <f t="shared" si="14"/>
        <v>-0.61291141672717575</v>
      </c>
      <c r="BB11">
        <v>115</v>
      </c>
      <c r="BC11">
        <f t="shared" si="15"/>
        <v>611</v>
      </c>
      <c r="BD11">
        <v>619</v>
      </c>
      <c r="BE11" s="25">
        <v>1.119</v>
      </c>
      <c r="BF11" s="23">
        <v>0.96799999999999997</v>
      </c>
      <c r="BG11" s="34">
        <v>117508</v>
      </c>
      <c r="BH11" s="77">
        <v>143256</v>
      </c>
      <c r="BI11">
        <v>59418</v>
      </c>
      <c r="BJ11" s="34">
        <v>287996</v>
      </c>
      <c r="BK11" s="34">
        <f t="shared" si="8"/>
        <v>278817.375</v>
      </c>
      <c r="BL11" s="34">
        <f t="shared" si="16"/>
        <v>9178.625</v>
      </c>
      <c r="BM11" s="36">
        <f t="shared" si="17"/>
        <v>-1.2934984310688886E-2</v>
      </c>
      <c r="BN11" s="247">
        <f t="shared" si="18"/>
        <v>-0.37292084376058099</v>
      </c>
      <c r="BO11" s="34">
        <v>64230.02</v>
      </c>
      <c r="BP11">
        <f t="shared" si="19"/>
        <v>58090</v>
      </c>
      <c r="BQ11" s="34">
        <f t="shared" si="9"/>
        <v>79025.98000000001</v>
      </c>
      <c r="BR11" s="23">
        <v>0.12</v>
      </c>
      <c r="BS11" s="23">
        <f t="shared" si="10"/>
        <v>0.22810314322423281</v>
      </c>
      <c r="BT11" s="23">
        <f t="shared" si="20"/>
        <v>0.62880000000000003</v>
      </c>
    </row>
    <row r="12" spans="1:72" x14ac:dyDescent="0.25">
      <c r="A12" s="9" t="s">
        <v>43</v>
      </c>
      <c r="B12" s="9" t="s">
        <v>51</v>
      </c>
      <c r="C12" s="1">
        <f t="shared" si="0"/>
        <v>44</v>
      </c>
      <c r="D12">
        <v>0</v>
      </c>
      <c r="E12">
        <v>0</v>
      </c>
      <c r="F12">
        <v>0</v>
      </c>
      <c r="G12">
        <v>0</v>
      </c>
      <c r="H12">
        <v>0</v>
      </c>
      <c r="I12">
        <v>44</v>
      </c>
      <c r="J12">
        <v>0</v>
      </c>
      <c r="K12">
        <v>0</v>
      </c>
      <c r="L12" s="106">
        <v>77.5</v>
      </c>
      <c r="M12" s="71">
        <v>70.5</v>
      </c>
      <c r="N12" s="96">
        <f t="shared" si="1"/>
        <v>1.7613636363636365</v>
      </c>
      <c r="O12" s="98">
        <v>1.6022727272727273</v>
      </c>
      <c r="P12" s="107">
        <f>O12/O48</f>
        <v>1.4584167007300534E-2</v>
      </c>
      <c r="Q12" s="108">
        <f t="shared" si="2"/>
        <v>9.1254715864996817E-3</v>
      </c>
      <c r="R12" s="77">
        <v>0</v>
      </c>
      <c r="S12" s="34">
        <v>15127</v>
      </c>
      <c r="T12" s="34">
        <f t="shared" si="3"/>
        <v>0</v>
      </c>
      <c r="U12" s="34">
        <f t="shared" si="4"/>
        <v>343.79545454545456</v>
      </c>
      <c r="V12" s="48">
        <f>U12/U48</f>
        <v>2.7925236883782501E-3</v>
      </c>
      <c r="W12" s="48">
        <f t="shared" si="5"/>
        <v>0</v>
      </c>
      <c r="X12" s="48">
        <f t="shared" si="11"/>
        <v>9.86750967973162E-3</v>
      </c>
      <c r="Y12" s="48">
        <f t="shared" si="12"/>
        <v>5.4752829518998087E-3</v>
      </c>
      <c r="Z12" s="221">
        <v>41</v>
      </c>
      <c r="AA12" s="26">
        <v>-0.55626202023715499</v>
      </c>
      <c r="AB12" s="26">
        <f t="shared" si="6"/>
        <v>-0.56518332474258859</v>
      </c>
      <c r="AC12" s="26">
        <v>-0.53</v>
      </c>
      <c r="AD12">
        <v>-0.44500000000000001</v>
      </c>
      <c r="AE12" s="214"/>
      <c r="AF12" s="214"/>
      <c r="AG12" s="37"/>
      <c r="AH12" s="37"/>
      <c r="AI12" s="69"/>
      <c r="AJ12" s="37"/>
      <c r="AK12" s="23"/>
      <c r="AL12" s="23"/>
      <c r="AM12" s="23"/>
      <c r="AN12" s="23"/>
      <c r="AT12">
        <v>155</v>
      </c>
      <c r="AU12">
        <v>162</v>
      </c>
      <c r="AV12">
        <f t="shared" si="7"/>
        <v>-7</v>
      </c>
      <c r="AW12">
        <v>236</v>
      </c>
      <c r="AX12">
        <v>111</v>
      </c>
      <c r="AY12">
        <v>471</v>
      </c>
      <c r="AZ12">
        <f t="shared" si="13"/>
        <v>-360</v>
      </c>
      <c r="BA12" s="23">
        <f t="shared" si="14"/>
        <v>-0.90288287789605448</v>
      </c>
      <c r="BB12">
        <v>221</v>
      </c>
      <c r="BC12">
        <f t="shared" si="15"/>
        <v>-81</v>
      </c>
      <c r="BD12">
        <v>-59</v>
      </c>
      <c r="BE12" s="23">
        <v>-0.69599999999999995</v>
      </c>
      <c r="BF12" s="23">
        <v>-0.69599999999999995</v>
      </c>
      <c r="BG12" s="34">
        <v>0</v>
      </c>
      <c r="BH12" s="77">
        <v>0</v>
      </c>
      <c r="BI12">
        <v>121109</v>
      </c>
      <c r="BJ12" s="34">
        <v>92226</v>
      </c>
      <c r="BK12" s="34">
        <f t="shared" si="8"/>
        <v>88616.375</v>
      </c>
      <c r="BL12" s="34">
        <f t="shared" si="16"/>
        <v>3609.625</v>
      </c>
      <c r="BM12" s="36">
        <f t="shared" si="17"/>
        <v>-3.6330733748805924E-2</v>
      </c>
      <c r="BN12" s="247">
        <f t="shared" si="18"/>
        <v>-0.55626202023715499</v>
      </c>
      <c r="BO12" s="34">
        <v>123476.21</v>
      </c>
      <c r="BP12">
        <f t="shared" si="19"/>
        <v>-121109</v>
      </c>
      <c r="BQ12" s="34">
        <f t="shared" si="9"/>
        <v>-123476.21</v>
      </c>
      <c r="BR12" s="23">
        <v>-0.28100000000000003</v>
      </c>
      <c r="BS12" s="23">
        <f t="shared" si="10"/>
        <v>-0.36895831185647149</v>
      </c>
      <c r="BT12" s="23">
        <f t="shared" si="20"/>
        <v>-0.53</v>
      </c>
    </row>
    <row r="13" spans="1:72" x14ac:dyDescent="0.25">
      <c r="A13" s="9" t="s">
        <v>52</v>
      </c>
      <c r="B13" s="9" t="s">
        <v>57</v>
      </c>
      <c r="C13" s="1">
        <f t="shared" si="0"/>
        <v>13</v>
      </c>
      <c r="D13">
        <v>0</v>
      </c>
      <c r="E13">
        <v>0</v>
      </c>
      <c r="F13">
        <v>0</v>
      </c>
      <c r="G13">
        <v>0</v>
      </c>
      <c r="H13">
        <v>0</v>
      </c>
      <c r="I13" s="8">
        <v>13</v>
      </c>
      <c r="J13">
        <v>0</v>
      </c>
      <c r="K13">
        <v>0</v>
      </c>
      <c r="L13" s="106">
        <v>8</v>
      </c>
      <c r="M13" s="71">
        <v>10</v>
      </c>
      <c r="N13" s="96">
        <f t="shared" si="1"/>
        <v>0.61538461538461542</v>
      </c>
      <c r="O13" s="98">
        <v>0.76923076923076927</v>
      </c>
      <c r="P13" s="107">
        <f>O13/O48</f>
        <v>7.001673194994255E-3</v>
      </c>
      <c r="Q13" s="108">
        <f t="shared" si="2"/>
        <v>3.1882540927522462E-3</v>
      </c>
      <c r="R13" s="77">
        <v>0</v>
      </c>
      <c r="S13" s="34">
        <v>0</v>
      </c>
      <c r="T13" s="34">
        <f t="shared" si="3"/>
        <v>0</v>
      </c>
      <c r="U13" s="34">
        <f t="shared" si="4"/>
        <v>0</v>
      </c>
      <c r="V13" s="48">
        <f>U13/U48</f>
        <v>0</v>
      </c>
      <c r="W13" s="48">
        <f t="shared" si="5"/>
        <v>0</v>
      </c>
      <c r="X13" s="48">
        <f t="shared" si="11"/>
        <v>4.2010039169965525E-3</v>
      </c>
      <c r="Y13" s="48">
        <f t="shared" si="12"/>
        <v>1.9129524556513477E-3</v>
      </c>
      <c r="Z13" s="221">
        <v>11</v>
      </c>
      <c r="AA13" s="26">
        <v>-0.19077277667372672</v>
      </c>
      <c r="AB13" s="26">
        <f t="shared" si="6"/>
        <v>-0.44779166190660746</v>
      </c>
      <c r="AC13" s="26">
        <v>-0.40799999999999997</v>
      </c>
      <c r="AD13">
        <v>-0.372</v>
      </c>
      <c r="AE13" s="214"/>
      <c r="AF13" s="214"/>
      <c r="AG13" s="37"/>
      <c r="AH13" s="37"/>
      <c r="AI13" s="69"/>
      <c r="AJ13" s="37"/>
      <c r="AK13" s="23"/>
      <c r="AL13" s="23"/>
      <c r="AM13" s="23"/>
      <c r="AN13" s="23"/>
      <c r="AT13">
        <v>16</v>
      </c>
      <c r="AU13">
        <v>16</v>
      </c>
      <c r="AV13">
        <f t="shared" si="7"/>
        <v>0</v>
      </c>
      <c r="AW13">
        <v>70</v>
      </c>
      <c r="AX13">
        <v>38</v>
      </c>
      <c r="AY13">
        <v>126</v>
      </c>
      <c r="AZ13">
        <f t="shared" si="13"/>
        <v>-88</v>
      </c>
      <c r="BA13" s="23">
        <f t="shared" si="14"/>
        <v>-0.21703733495748906</v>
      </c>
      <c r="BB13">
        <v>65</v>
      </c>
      <c r="BC13">
        <f t="shared" si="15"/>
        <v>-54</v>
      </c>
      <c r="BD13">
        <v>-49</v>
      </c>
      <c r="BE13" s="23">
        <v>-0.625</v>
      </c>
      <c r="BF13" s="23">
        <v>-0.67200000000000004</v>
      </c>
      <c r="BG13" s="34">
        <v>0</v>
      </c>
      <c r="BH13" s="77">
        <v>0</v>
      </c>
      <c r="BI13">
        <v>31763</v>
      </c>
      <c r="BJ13" s="34">
        <v>0</v>
      </c>
      <c r="BK13" s="34">
        <f t="shared" si="8"/>
        <v>23775.125</v>
      </c>
      <c r="BL13" s="34">
        <f t="shared" si="16"/>
        <v>-23775.125</v>
      </c>
      <c r="BM13" s="36">
        <f t="shared" si="17"/>
        <v>-0.15137593924808326</v>
      </c>
      <c r="BN13" s="247">
        <f t="shared" si="18"/>
        <v>-0.19077277667372672</v>
      </c>
      <c r="BO13" s="34">
        <v>36148.36</v>
      </c>
      <c r="BP13">
        <f t="shared" si="19"/>
        <v>-31763</v>
      </c>
      <c r="BQ13" s="34">
        <f t="shared" si="9"/>
        <v>-36148.36</v>
      </c>
      <c r="BR13" s="23">
        <v>-8.1000000000000003E-2</v>
      </c>
      <c r="BS13" s="23">
        <f t="shared" si="10"/>
        <v>-0.11147915476651865</v>
      </c>
      <c r="BT13" s="23">
        <f t="shared" si="20"/>
        <v>-0.43559999999999999</v>
      </c>
    </row>
    <row r="14" spans="1:72" x14ac:dyDescent="0.25">
      <c r="A14" s="9" t="s">
        <v>60</v>
      </c>
      <c r="B14" s="9" t="s">
        <v>61</v>
      </c>
      <c r="C14" s="1">
        <f t="shared" si="0"/>
        <v>72</v>
      </c>
      <c r="D14">
        <v>0</v>
      </c>
      <c r="E14" s="8">
        <v>0</v>
      </c>
      <c r="F14">
        <v>0</v>
      </c>
      <c r="G14" s="8">
        <v>72</v>
      </c>
      <c r="H14">
        <v>0</v>
      </c>
      <c r="I14">
        <v>0</v>
      </c>
      <c r="J14">
        <v>0</v>
      </c>
      <c r="K14">
        <v>0</v>
      </c>
      <c r="L14" s="106">
        <v>71.5</v>
      </c>
      <c r="M14" s="71">
        <v>71.5</v>
      </c>
      <c r="N14" s="96">
        <f t="shared" si="1"/>
        <v>0.99305555555555558</v>
      </c>
      <c r="O14" s="98">
        <v>0.99305555555555558</v>
      </c>
      <c r="P14" s="107">
        <f>O14/O48</f>
        <v>9.0389656038155006E-3</v>
      </c>
      <c r="Q14" s="108">
        <f t="shared" si="2"/>
        <v>5.1449343389118277E-3</v>
      </c>
      <c r="R14" s="77">
        <v>183762</v>
      </c>
      <c r="S14" s="34">
        <v>156335</v>
      </c>
      <c r="T14" s="34">
        <f t="shared" si="3"/>
        <v>2552.25</v>
      </c>
      <c r="U14" s="34">
        <f t="shared" si="4"/>
        <v>2171.3194444444443</v>
      </c>
      <c r="V14" s="48">
        <f>U14/U48</f>
        <v>1.7636827082731947E-2</v>
      </c>
      <c r="W14" s="48">
        <f t="shared" si="5"/>
        <v>2.3531615310874443E-2</v>
      </c>
      <c r="X14" s="48">
        <f t="shared" si="11"/>
        <v>1.2478110195382079E-2</v>
      </c>
      <c r="Y14" s="48">
        <f t="shared" si="12"/>
        <v>1.2499606727696873E-2</v>
      </c>
      <c r="Z14" s="221">
        <v>46</v>
      </c>
      <c r="AA14" s="26">
        <v>-0.55382811598858317</v>
      </c>
      <c r="AB14" s="26">
        <f t="shared" si="6"/>
        <v>-0.51363994223646325</v>
      </c>
      <c r="AC14" s="26">
        <v>-0.69799999999999995</v>
      </c>
      <c r="AD14">
        <v>-0.59899999999999998</v>
      </c>
      <c r="AE14" s="214"/>
      <c r="AF14" s="214"/>
      <c r="AG14" s="37"/>
      <c r="AH14" s="37"/>
      <c r="AI14" s="69"/>
      <c r="AJ14" s="37"/>
      <c r="AK14" s="23"/>
      <c r="AL14" s="23"/>
      <c r="AM14" s="23"/>
      <c r="AN14" s="23"/>
      <c r="AT14">
        <v>143</v>
      </c>
      <c r="AU14">
        <v>147</v>
      </c>
      <c r="AV14">
        <f t="shared" si="7"/>
        <v>-4</v>
      </c>
      <c r="AW14">
        <v>386</v>
      </c>
      <c r="AX14">
        <v>272</v>
      </c>
      <c r="AY14">
        <v>529</v>
      </c>
      <c r="AZ14">
        <f t="shared" si="13"/>
        <v>-257</v>
      </c>
      <c r="BA14" s="23">
        <f t="shared" si="14"/>
        <v>-0.6431693083274066</v>
      </c>
      <c r="BB14">
        <v>361</v>
      </c>
      <c r="BC14">
        <f t="shared" si="15"/>
        <v>-243</v>
      </c>
      <c r="BD14">
        <v>-214</v>
      </c>
      <c r="BE14" s="23">
        <v>-1.121</v>
      </c>
      <c r="BF14" s="23">
        <v>-1.077</v>
      </c>
      <c r="BG14" s="34">
        <v>183762</v>
      </c>
      <c r="BH14" s="77">
        <v>316863</v>
      </c>
      <c r="BI14">
        <v>207951</v>
      </c>
      <c r="BJ14" s="34">
        <v>11750</v>
      </c>
      <c r="BK14" s="34">
        <f t="shared" si="8"/>
        <v>99423.25</v>
      </c>
      <c r="BL14" s="34">
        <f t="shared" si="16"/>
        <v>-87673.25</v>
      </c>
      <c r="BM14" s="36">
        <f t="shared" si="17"/>
        <v>-0.41981632748034797</v>
      </c>
      <c r="BN14" s="247">
        <f t="shared" si="18"/>
        <v>-0.55382811598858317</v>
      </c>
      <c r="BO14" s="34">
        <v>202802.32</v>
      </c>
      <c r="BP14">
        <f t="shared" si="19"/>
        <v>-24189</v>
      </c>
      <c r="BQ14" s="34">
        <f t="shared" si="9"/>
        <v>114060.68</v>
      </c>
      <c r="BR14" s="23">
        <v>-6.4000000000000001E-2</v>
      </c>
      <c r="BS14" s="23">
        <f t="shared" si="10"/>
        <v>0.33140014440884191</v>
      </c>
      <c r="BT14" s="23">
        <f t="shared" si="20"/>
        <v>-0.67179999999999995</v>
      </c>
    </row>
    <row r="15" spans="1:72" x14ac:dyDescent="0.25">
      <c r="A15" s="9" t="s">
        <v>60</v>
      </c>
      <c r="B15" s="9" t="s">
        <v>64</v>
      </c>
      <c r="C15" s="1">
        <f t="shared" si="0"/>
        <v>10</v>
      </c>
      <c r="D15">
        <v>0</v>
      </c>
      <c r="E15" s="8">
        <v>10</v>
      </c>
      <c r="F15">
        <v>0</v>
      </c>
      <c r="G15" s="8">
        <v>0</v>
      </c>
      <c r="H15">
        <v>0</v>
      </c>
      <c r="I15">
        <v>0</v>
      </c>
      <c r="J15">
        <v>0</v>
      </c>
      <c r="K15">
        <v>0</v>
      </c>
      <c r="L15" s="106">
        <v>13</v>
      </c>
      <c r="M15" s="71">
        <v>3.5</v>
      </c>
      <c r="N15" s="96">
        <f t="shared" si="1"/>
        <v>1.3</v>
      </c>
      <c r="O15" s="98">
        <v>0.35</v>
      </c>
      <c r="P15" s="107">
        <f>O15/O48</f>
        <v>3.1857613037223858E-3</v>
      </c>
      <c r="Q15" s="108">
        <f t="shared" si="2"/>
        <v>6.7351867709391196E-3</v>
      </c>
      <c r="R15" s="77">
        <v>0</v>
      </c>
      <c r="S15" s="34">
        <v>36077</v>
      </c>
      <c r="T15" s="34">
        <f t="shared" si="3"/>
        <v>0</v>
      </c>
      <c r="U15" s="34">
        <f t="shared" si="4"/>
        <v>3607.7</v>
      </c>
      <c r="V15" s="48">
        <f>U15/U48</f>
        <v>2.9304016610348208E-2</v>
      </c>
      <c r="W15" s="48">
        <f t="shared" si="5"/>
        <v>0</v>
      </c>
      <c r="X15" s="48">
        <f t="shared" si="11"/>
        <v>1.3633063426372716E-2</v>
      </c>
      <c r="Y15" s="48">
        <f t="shared" si="12"/>
        <v>4.0411120625634712E-3</v>
      </c>
      <c r="Z15" s="221">
        <v>6</v>
      </c>
      <c r="AA15" s="26">
        <v>-9.091630130073855E-2</v>
      </c>
      <c r="AB15" s="26">
        <f t="shared" si="6"/>
        <v>-0.40068875733968479</v>
      </c>
      <c r="AC15" s="26">
        <v>-0.36</v>
      </c>
      <c r="AD15">
        <v>-0.32800000000000001</v>
      </c>
      <c r="AE15" s="214"/>
      <c r="AF15" s="214"/>
      <c r="AG15" s="37"/>
      <c r="AH15" s="37"/>
      <c r="AI15" s="69"/>
      <c r="AJ15" s="37"/>
      <c r="AK15" s="23"/>
      <c r="AL15" s="23"/>
      <c r="AM15" s="23"/>
      <c r="AN15" s="23"/>
      <c r="AT15">
        <v>26</v>
      </c>
      <c r="AU15">
        <v>26</v>
      </c>
      <c r="AV15">
        <f t="shared" si="7"/>
        <v>0</v>
      </c>
      <c r="AW15">
        <v>54</v>
      </c>
      <c r="AX15">
        <v>35</v>
      </c>
      <c r="AY15">
        <v>69</v>
      </c>
      <c r="AZ15">
        <f t="shared" si="13"/>
        <v>-34</v>
      </c>
      <c r="BA15" s="23">
        <f t="shared" si="14"/>
        <v>-8.0876822756450334E-2</v>
      </c>
      <c r="BB15">
        <v>50</v>
      </c>
      <c r="BC15">
        <f t="shared" si="15"/>
        <v>-28</v>
      </c>
      <c r="BD15">
        <v>-24</v>
      </c>
      <c r="BE15" s="23">
        <v>-0.55700000000000005</v>
      </c>
      <c r="BF15" s="23">
        <v>-0.61</v>
      </c>
      <c r="BG15" s="34">
        <v>0</v>
      </c>
      <c r="BH15" s="77">
        <v>0</v>
      </c>
      <c r="BI15">
        <v>23814</v>
      </c>
      <c r="BJ15" s="34">
        <v>0</v>
      </c>
      <c r="BK15" s="34">
        <f t="shared" si="8"/>
        <v>12968.25</v>
      </c>
      <c r="BL15" s="34">
        <f t="shared" si="16"/>
        <v>-12968.25</v>
      </c>
      <c r="BM15" s="36">
        <f t="shared" si="17"/>
        <v>-0.10597551911717087</v>
      </c>
      <c r="BN15" s="247">
        <f t="shared" si="18"/>
        <v>-9.091630130073855E-2</v>
      </c>
      <c r="BO15" s="34">
        <v>27751.57</v>
      </c>
      <c r="BP15">
        <f t="shared" si="19"/>
        <v>-23814</v>
      </c>
      <c r="BQ15" s="34">
        <f t="shared" si="9"/>
        <v>-27751.57</v>
      </c>
      <c r="BR15" s="23">
        <v>-6.3E-2</v>
      </c>
      <c r="BS15" s="23">
        <f t="shared" si="10"/>
        <v>-8.6721893349211959E-2</v>
      </c>
      <c r="BT15" s="23">
        <f t="shared" si="20"/>
        <v>-0.39119999999999999</v>
      </c>
    </row>
    <row r="16" spans="1:72" x14ac:dyDescent="0.25">
      <c r="A16" s="9" t="s">
        <v>60</v>
      </c>
      <c r="B16" s="246" t="s">
        <v>67</v>
      </c>
      <c r="C16" s="1">
        <v>0</v>
      </c>
      <c r="E16" s="8"/>
      <c r="G16" s="8"/>
      <c r="L16" s="106"/>
      <c r="M16" s="71"/>
      <c r="N16" s="96"/>
      <c r="O16" s="98"/>
      <c r="P16" s="107"/>
      <c r="Q16" s="108"/>
      <c r="R16" s="77"/>
      <c r="S16" s="34"/>
      <c r="T16" s="34"/>
      <c r="U16" s="34"/>
      <c r="V16" s="48"/>
      <c r="W16" s="48"/>
      <c r="X16" s="48"/>
      <c r="Y16" s="48"/>
      <c r="Z16" s="221">
        <v>5</v>
      </c>
      <c r="AA16" s="26">
        <v>-6.4590848990092431E-2</v>
      </c>
      <c r="AB16" s="26"/>
      <c r="AC16" s="26"/>
      <c r="AE16" s="214"/>
      <c r="AF16" s="214"/>
      <c r="AG16" s="37"/>
      <c r="AH16" s="37"/>
      <c r="AI16" s="69"/>
      <c r="AJ16" s="37"/>
      <c r="AK16" s="23"/>
      <c r="AL16" s="23"/>
      <c r="AM16" s="23"/>
      <c r="AN16" s="23"/>
      <c r="AX16">
        <v>38</v>
      </c>
      <c r="AY16">
        <v>57</v>
      </c>
      <c r="AZ16">
        <f t="shared" si="13"/>
        <v>-19</v>
      </c>
      <c r="BA16" s="23">
        <f t="shared" si="14"/>
        <v>-4.3054458256161783E-2</v>
      </c>
      <c r="BE16" s="23"/>
      <c r="BF16" s="23"/>
      <c r="BG16" s="34"/>
      <c r="BH16" s="77"/>
      <c r="BJ16" s="34">
        <v>0</v>
      </c>
      <c r="BK16" s="34">
        <f t="shared" si="8"/>
        <v>10806.875</v>
      </c>
      <c r="BL16" s="34">
        <f t="shared" si="16"/>
        <v>-10806.875</v>
      </c>
      <c r="BM16" s="36">
        <f t="shared" si="17"/>
        <v>-9.6895435090988399E-2</v>
      </c>
      <c r="BN16" s="247">
        <f t="shared" si="18"/>
        <v>-6.4590848990092431E-2</v>
      </c>
      <c r="BO16" s="34"/>
      <c r="BQ16" s="34"/>
      <c r="BR16" s="23"/>
      <c r="BS16" s="23"/>
      <c r="BT16" s="23"/>
    </row>
    <row r="17" spans="1:72" x14ac:dyDescent="0.25">
      <c r="A17" s="7" t="s">
        <v>68</v>
      </c>
      <c r="B17" s="7" t="s">
        <v>69</v>
      </c>
      <c r="C17" s="53">
        <f t="shared" si="0"/>
        <v>3</v>
      </c>
      <c r="D17" s="8">
        <v>0</v>
      </c>
      <c r="E17" s="8">
        <v>1</v>
      </c>
      <c r="F17" s="8">
        <v>0</v>
      </c>
      <c r="G17" s="8">
        <v>1</v>
      </c>
      <c r="H17" s="8">
        <v>0</v>
      </c>
      <c r="I17" s="8">
        <v>0</v>
      </c>
      <c r="J17" s="8">
        <v>1</v>
      </c>
      <c r="K17">
        <v>0</v>
      </c>
      <c r="L17" s="106"/>
      <c r="M17" s="71">
        <v>0</v>
      </c>
      <c r="N17" s="96">
        <f t="shared" si="1"/>
        <v>0</v>
      </c>
      <c r="O17" s="98">
        <v>0</v>
      </c>
      <c r="P17" s="107">
        <f>O17/O48</f>
        <v>0</v>
      </c>
      <c r="Q17" s="108">
        <f t="shared" ref="Q17:Q27" si="21">N17/N$48</f>
        <v>0</v>
      </c>
      <c r="R17" s="77">
        <v>0</v>
      </c>
      <c r="S17" s="34">
        <v>0</v>
      </c>
      <c r="T17" s="34">
        <f t="shared" si="3"/>
        <v>0</v>
      </c>
      <c r="U17" s="34">
        <f t="shared" si="4"/>
        <v>0</v>
      </c>
      <c r="V17" s="48">
        <f>U17/U48</f>
        <v>0</v>
      </c>
      <c r="W17" s="48">
        <f t="shared" ref="W17:W27" si="22">T17/T$48</f>
        <v>0</v>
      </c>
      <c r="X17" s="48">
        <f t="shared" si="11"/>
        <v>0</v>
      </c>
      <c r="Y17" s="48">
        <f t="shared" si="12"/>
        <v>0</v>
      </c>
      <c r="Z17" s="249">
        <v>0</v>
      </c>
      <c r="AA17" s="26"/>
      <c r="AB17" s="26"/>
      <c r="AC17" s="26"/>
      <c r="AE17" s="214"/>
      <c r="AF17" s="214"/>
      <c r="AG17" s="37"/>
      <c r="AH17" s="37"/>
      <c r="AI17" s="69"/>
      <c r="AJ17" s="37"/>
      <c r="AK17" s="23"/>
      <c r="AL17" s="23"/>
      <c r="AM17" s="23"/>
      <c r="AN17" s="23"/>
      <c r="BA17" s="23"/>
      <c r="BE17" s="23"/>
      <c r="BG17" s="34"/>
      <c r="BH17" s="77">
        <v>0</v>
      </c>
      <c r="BJ17" s="34"/>
      <c r="BK17" s="34"/>
      <c r="BL17" s="34"/>
      <c r="BM17" s="36"/>
      <c r="BN17" s="247"/>
      <c r="BT17" s="23">
        <f t="shared" si="20"/>
        <v>0</v>
      </c>
    </row>
    <row r="18" spans="1:72" x14ac:dyDescent="0.25">
      <c r="A18" s="9" t="s">
        <v>68</v>
      </c>
      <c r="B18" s="9" t="s">
        <v>70</v>
      </c>
      <c r="C18" s="1">
        <f t="shared" si="0"/>
        <v>50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50</v>
      </c>
      <c r="K18">
        <v>0</v>
      </c>
      <c r="L18" s="106">
        <v>560.5</v>
      </c>
      <c r="M18" s="71">
        <v>444.5</v>
      </c>
      <c r="N18" s="96">
        <f t="shared" si="1"/>
        <v>11.21</v>
      </c>
      <c r="O18" s="98">
        <v>8.89</v>
      </c>
      <c r="P18" s="107">
        <f>O18/O48</f>
        <v>8.0918337114548614E-2</v>
      </c>
      <c r="Q18" s="108">
        <f t="shared" si="21"/>
        <v>5.8078033617098103E-2</v>
      </c>
      <c r="R18" s="77">
        <v>0</v>
      </c>
      <c r="S18" s="34">
        <v>0</v>
      </c>
      <c r="T18" s="34">
        <f t="shared" si="3"/>
        <v>0</v>
      </c>
      <c r="U18" s="34">
        <f t="shared" si="4"/>
        <v>0</v>
      </c>
      <c r="V18" s="48">
        <f>U18/U48</f>
        <v>0</v>
      </c>
      <c r="W18" s="48">
        <f t="shared" si="22"/>
        <v>0</v>
      </c>
      <c r="X18" s="48">
        <f t="shared" si="11"/>
        <v>4.8551002268729167E-2</v>
      </c>
      <c r="Y18" s="48">
        <f t="shared" si="12"/>
        <v>3.4846820170258863E-2</v>
      </c>
      <c r="Z18" s="221">
        <v>48</v>
      </c>
      <c r="AA18" s="25">
        <v>1.4343383762921953</v>
      </c>
      <c r="AB18" s="25">
        <f t="shared" ref="AB18:AB30" si="23">(0.6*BF18)+(0.4*BS18)</f>
        <v>0.79059957057107388</v>
      </c>
      <c r="AC18" s="26">
        <v>0.92400000000000004</v>
      </c>
      <c r="AD18" s="73">
        <v>1.05</v>
      </c>
      <c r="AE18" s="213">
        <v>229901.49228060603</v>
      </c>
      <c r="AF18" s="280">
        <f>AL18*AR$8</f>
        <v>519201.12039909442</v>
      </c>
      <c r="AG18" s="67">
        <f>AJ18*AR$3</f>
        <v>227271.4977243891</v>
      </c>
      <c r="AH18" s="67" t="e">
        <f>C18*AK18</f>
        <v>#VALUE!</v>
      </c>
      <c r="AI18" s="70">
        <f>AG18-AE18</f>
        <v>-2629.9945562169305</v>
      </c>
      <c r="AJ18" s="67">
        <f>C18*AM18</f>
        <v>4.2232703401108154</v>
      </c>
      <c r="AK18" s="23" t="e">
        <f>AD18/AR2</f>
        <v>#VALUE!</v>
      </c>
      <c r="AL18" s="23">
        <f>Z18*AN18</f>
        <v>7.4198260732617145</v>
      </c>
      <c r="AM18" s="23">
        <f>AB18/AS$2</f>
        <v>8.44654068022163E-2</v>
      </c>
      <c r="AN18" s="23">
        <f>AA18/AS$5</f>
        <v>0.15457970985961905</v>
      </c>
      <c r="AT18">
        <v>1121</v>
      </c>
      <c r="AU18">
        <v>1126</v>
      </c>
      <c r="AV18">
        <f t="shared" ref="AV18:AV30" si="24">AT18-AU18</f>
        <v>-5</v>
      </c>
      <c r="AW18">
        <v>268</v>
      </c>
      <c r="AX18">
        <v>1627</v>
      </c>
      <c r="AY18">
        <v>552</v>
      </c>
      <c r="AZ18">
        <f t="shared" ref="AZ18:AZ30" si="25">AX18-AY18</f>
        <v>1075</v>
      </c>
      <c r="BA18" s="25">
        <f t="shared" ref="BA18:BA30" si="26">(AZ18-AZ$46)/AZ$47</f>
        <v>2.7154566592982157</v>
      </c>
      <c r="BB18">
        <v>251</v>
      </c>
      <c r="BC18">
        <f t="shared" si="15"/>
        <v>853</v>
      </c>
      <c r="BD18">
        <v>875</v>
      </c>
      <c r="BE18" s="25">
        <v>1.754</v>
      </c>
      <c r="BF18" s="23">
        <v>1.597</v>
      </c>
      <c r="BG18" s="34">
        <v>0</v>
      </c>
      <c r="BH18" s="77">
        <v>0</v>
      </c>
      <c r="BI18">
        <v>139354</v>
      </c>
      <c r="BJ18" s="34">
        <v>0</v>
      </c>
      <c r="BK18" s="34">
        <f t="shared" ref="BK18:BK30" si="27">Z18*BJ$50</f>
        <v>103746</v>
      </c>
      <c r="BL18" s="34">
        <f t="shared" ref="BL18:BL30" si="28">BJ18-BK18</f>
        <v>-103746</v>
      </c>
      <c r="BM18" s="36">
        <f t="shared" ref="BM18:BM30" si="29">(BL18-BL$46)/BL$47</f>
        <v>-0.48733904821683488</v>
      </c>
      <c r="BN18" s="231">
        <f t="shared" si="18"/>
        <v>1.4343383762921953</v>
      </c>
      <c r="BO18" s="34">
        <v>140448.95000000001</v>
      </c>
      <c r="BP18">
        <f t="shared" ref="BP18:BP30" si="30">BG17-BI18</f>
        <v>-139354</v>
      </c>
      <c r="BQ18" s="34">
        <f t="shared" ref="BQ18:BQ27" si="31">BH18-BO18</f>
        <v>-140448.95000000001</v>
      </c>
      <c r="BR18" s="23">
        <v>-0.32200000000000001</v>
      </c>
      <c r="BS18" s="23">
        <f t="shared" ref="BS18:BS27" si="32">(BQ18-BQ$47)/BQ$48</f>
        <v>-0.41900107357231503</v>
      </c>
      <c r="BT18" s="23">
        <f t="shared" si="20"/>
        <v>0.82939999999999992</v>
      </c>
    </row>
    <row r="19" spans="1:72" x14ac:dyDescent="0.25">
      <c r="A19" s="7" t="s">
        <v>68</v>
      </c>
      <c r="B19" s="7" t="s">
        <v>71</v>
      </c>
      <c r="C19" s="1">
        <f t="shared" si="0"/>
        <v>24</v>
      </c>
      <c r="D19" s="8">
        <v>0</v>
      </c>
      <c r="E19" s="8">
        <v>0</v>
      </c>
      <c r="F19" s="8">
        <v>0</v>
      </c>
      <c r="G19" s="8">
        <v>20</v>
      </c>
      <c r="H19" s="8">
        <v>0</v>
      </c>
      <c r="I19" s="8">
        <v>0</v>
      </c>
      <c r="J19" s="8">
        <v>4</v>
      </c>
      <c r="K19">
        <v>0</v>
      </c>
      <c r="L19" s="106">
        <v>87.5</v>
      </c>
      <c r="M19" s="71">
        <v>63.5</v>
      </c>
      <c r="N19" s="96">
        <f t="shared" si="1"/>
        <v>3.6458333333333335</v>
      </c>
      <c r="O19" s="98">
        <v>2.6458333333333335</v>
      </c>
      <c r="P19" s="107">
        <f>O19/O48</f>
        <v>2.4082838426948992E-2</v>
      </c>
      <c r="Q19" s="108">
        <f t="shared" si="21"/>
        <v>1.8888744950550415E-2</v>
      </c>
      <c r="R19" s="77">
        <v>0</v>
      </c>
      <c r="S19" s="34">
        <v>0</v>
      </c>
      <c r="T19" s="34">
        <f t="shared" si="3"/>
        <v>0</v>
      </c>
      <c r="U19" s="34">
        <f t="shared" si="4"/>
        <v>0</v>
      </c>
      <c r="V19" s="48">
        <f>U19/U48</f>
        <v>0</v>
      </c>
      <c r="W19" s="48">
        <f t="shared" si="22"/>
        <v>0</v>
      </c>
      <c r="X19" s="48">
        <f t="shared" si="11"/>
        <v>1.4449703056169395E-2</v>
      </c>
      <c r="Y19" s="48">
        <f t="shared" si="12"/>
        <v>1.1333246970330248E-2</v>
      </c>
      <c r="Z19" s="221">
        <v>19</v>
      </c>
      <c r="AA19" s="26">
        <v>6.0056451744624512E-2</v>
      </c>
      <c r="AB19" s="26">
        <f t="shared" si="23"/>
        <v>-0.32462910582796978</v>
      </c>
      <c r="AC19" s="26">
        <v>-0.27800000000000002</v>
      </c>
      <c r="AD19">
        <v>-0.26900000000000002</v>
      </c>
      <c r="AE19" s="214"/>
      <c r="AF19" s="214"/>
      <c r="AG19" s="37"/>
      <c r="AH19" s="37"/>
      <c r="AI19" s="69"/>
      <c r="AJ19" s="37"/>
      <c r="AK19" s="23"/>
      <c r="AL19" s="23"/>
      <c r="AM19" s="23"/>
      <c r="AN19" s="23"/>
      <c r="AT19">
        <v>175</v>
      </c>
      <c r="AU19">
        <v>179</v>
      </c>
      <c r="AV19">
        <f t="shared" si="24"/>
        <v>-4</v>
      </c>
      <c r="AW19">
        <v>129</v>
      </c>
      <c r="AX19">
        <v>315</v>
      </c>
      <c r="AY19">
        <v>218</v>
      </c>
      <c r="AZ19">
        <f t="shared" si="25"/>
        <v>97</v>
      </c>
      <c r="BA19" s="23">
        <f t="shared" si="26"/>
        <v>0.24943849387940289</v>
      </c>
      <c r="BB19">
        <v>120</v>
      </c>
      <c r="BC19">
        <f t="shared" si="15"/>
        <v>46</v>
      </c>
      <c r="BD19">
        <v>59</v>
      </c>
      <c r="BE19" s="23">
        <v>-0.36299999999999999</v>
      </c>
      <c r="BF19" s="23">
        <v>-0.40600000000000003</v>
      </c>
      <c r="BG19" s="34">
        <v>0</v>
      </c>
      <c r="BH19" s="77">
        <v>0</v>
      </c>
      <c r="BI19">
        <v>62260</v>
      </c>
      <c r="BJ19" s="34">
        <v>0</v>
      </c>
      <c r="BK19" s="34">
        <f t="shared" si="27"/>
        <v>41066.125</v>
      </c>
      <c r="BL19" s="34">
        <f t="shared" si="28"/>
        <v>-41066.125</v>
      </c>
      <c r="BM19" s="36">
        <f t="shared" si="29"/>
        <v>-0.22401661145754306</v>
      </c>
      <c r="BN19" s="247">
        <f t="shared" si="18"/>
        <v>6.0056451744624512E-2</v>
      </c>
      <c r="BO19" s="34">
        <v>67044.100000000006</v>
      </c>
      <c r="BP19">
        <f t="shared" si="30"/>
        <v>-62260</v>
      </c>
      <c r="BQ19" s="34">
        <f t="shared" si="31"/>
        <v>-67044.100000000006</v>
      </c>
      <c r="BR19" s="23">
        <v>-0.15</v>
      </c>
      <c r="BS19" s="23">
        <f t="shared" si="32"/>
        <v>-0.20257276456992432</v>
      </c>
      <c r="BT19" s="23">
        <f t="shared" si="20"/>
        <v>-0.30359999999999998</v>
      </c>
    </row>
    <row r="20" spans="1:72" x14ac:dyDescent="0.25">
      <c r="A20" s="9" t="s">
        <v>68</v>
      </c>
      <c r="B20" s="9" t="s">
        <v>72</v>
      </c>
      <c r="C20" s="1">
        <f t="shared" si="0"/>
        <v>38</v>
      </c>
      <c r="D20" s="8">
        <v>0</v>
      </c>
      <c r="E20" s="8">
        <v>38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>
        <v>0</v>
      </c>
      <c r="L20" s="106">
        <v>213.5</v>
      </c>
      <c r="M20" s="71">
        <v>144.5</v>
      </c>
      <c r="N20" s="96">
        <f t="shared" si="1"/>
        <v>5.6184210526315788</v>
      </c>
      <c r="O20" s="98">
        <v>3.8026315789473686</v>
      </c>
      <c r="P20" s="107">
        <f>O20/O48</f>
        <v>3.4612218675780813E-2</v>
      </c>
      <c r="Q20" s="108">
        <f t="shared" si="21"/>
        <v>2.9108550113269273E-2</v>
      </c>
      <c r="R20" s="77">
        <v>342370</v>
      </c>
      <c r="S20" s="34">
        <v>37350</v>
      </c>
      <c r="T20" s="34">
        <f t="shared" si="3"/>
        <v>9009.7368421052633</v>
      </c>
      <c r="U20" s="34">
        <f t="shared" si="4"/>
        <v>982.89473684210532</v>
      </c>
      <c r="V20" s="48">
        <f>U20/U48</f>
        <v>7.9836914639922624E-3</v>
      </c>
      <c r="W20" s="48">
        <f t="shared" si="22"/>
        <v>8.3069315866640722E-2</v>
      </c>
      <c r="X20" s="48">
        <f t="shared" si="11"/>
        <v>2.3960807791065391E-2</v>
      </c>
      <c r="Y20" s="48">
        <f t="shared" si="12"/>
        <v>5.0692856414617855E-2</v>
      </c>
      <c r="Z20" s="221">
        <v>35</v>
      </c>
      <c r="AA20" s="25">
        <v>0.80118021522175498</v>
      </c>
      <c r="AB20" s="26">
        <f t="shared" si="23"/>
        <v>0.30319374080545819</v>
      </c>
      <c r="AC20" s="26">
        <v>0.27100000000000002</v>
      </c>
      <c r="AD20">
        <v>-4.2999999999999997E-2</v>
      </c>
      <c r="AE20" s="214"/>
      <c r="AF20" s="280">
        <f>AL20*AR$8</f>
        <v>211466.23141588751</v>
      </c>
      <c r="AG20" s="37"/>
      <c r="AH20" s="37"/>
      <c r="AI20" s="69"/>
      <c r="AJ20" s="37"/>
      <c r="AK20" s="23"/>
      <c r="AL20" s="23">
        <f>Z20*AN20</f>
        <v>3.0220324953611835</v>
      </c>
      <c r="AM20" s="23"/>
      <c r="AN20" s="23">
        <f>AA20/AS$5</f>
        <v>8.63437855817481E-2</v>
      </c>
      <c r="AT20">
        <v>427</v>
      </c>
      <c r="AU20">
        <v>434</v>
      </c>
      <c r="AV20">
        <f t="shared" si="24"/>
        <v>-7</v>
      </c>
      <c r="AW20">
        <v>204</v>
      </c>
      <c r="AX20">
        <v>647</v>
      </c>
      <c r="AY20">
        <v>402</v>
      </c>
      <c r="AZ20">
        <f t="shared" si="25"/>
        <v>245</v>
      </c>
      <c r="BA20" s="25">
        <f t="shared" si="26"/>
        <v>0.62261915694891656</v>
      </c>
      <c r="BB20">
        <v>191</v>
      </c>
      <c r="BC20">
        <f t="shared" si="15"/>
        <v>223</v>
      </c>
      <c r="BD20">
        <v>243</v>
      </c>
      <c r="BE20" s="23">
        <v>0.10100000000000001</v>
      </c>
      <c r="BF20" s="23">
        <v>4.4999999999999998E-2</v>
      </c>
      <c r="BG20" s="34">
        <v>342370</v>
      </c>
      <c r="BH20" s="77">
        <v>342370.32</v>
      </c>
      <c r="BI20">
        <v>103106</v>
      </c>
      <c r="BJ20" s="34">
        <v>342370</v>
      </c>
      <c r="BK20" s="34">
        <f t="shared" si="27"/>
        <v>75648.125</v>
      </c>
      <c r="BL20" s="34">
        <f t="shared" si="28"/>
        <v>266721.875</v>
      </c>
      <c r="BM20" s="231">
        <f t="shared" si="29"/>
        <v>1.0690218026310125</v>
      </c>
      <c r="BN20" s="231">
        <f t="shared" si="18"/>
        <v>0.80118021522175498</v>
      </c>
      <c r="BO20" s="34">
        <v>106520.94</v>
      </c>
      <c r="BP20">
        <f t="shared" si="30"/>
        <v>-103106</v>
      </c>
      <c r="BQ20" s="34">
        <f t="shared" si="31"/>
        <v>235849.38</v>
      </c>
      <c r="BR20" s="23">
        <v>0.52600000000000002</v>
      </c>
      <c r="BS20" s="23">
        <f t="shared" si="32"/>
        <v>0.69048435201364544</v>
      </c>
      <c r="BT20" s="23">
        <f t="shared" si="20"/>
        <v>0.23740000000000003</v>
      </c>
    </row>
    <row r="21" spans="1:72" x14ac:dyDescent="0.25">
      <c r="A21" s="9" t="s">
        <v>83</v>
      </c>
      <c r="B21" s="9" t="s">
        <v>84</v>
      </c>
      <c r="C21" s="1">
        <f t="shared" si="0"/>
        <v>126</v>
      </c>
      <c r="D21">
        <v>0</v>
      </c>
      <c r="E21">
        <v>0</v>
      </c>
      <c r="F21">
        <v>0</v>
      </c>
      <c r="G21">
        <v>115</v>
      </c>
      <c r="H21">
        <v>11</v>
      </c>
      <c r="I21">
        <v>0</v>
      </c>
      <c r="J21">
        <v>0</v>
      </c>
      <c r="K21">
        <v>0</v>
      </c>
      <c r="L21" s="106">
        <v>454.5</v>
      </c>
      <c r="M21" s="71">
        <v>591.5</v>
      </c>
      <c r="N21" s="96">
        <f t="shared" si="1"/>
        <v>3.6071428571428572</v>
      </c>
      <c r="O21" s="98">
        <v>4.6944444444444446</v>
      </c>
      <c r="P21" s="107">
        <f>O21/O48</f>
        <v>4.2729655581673277E-2</v>
      </c>
      <c r="Q21" s="108">
        <f t="shared" si="21"/>
        <v>1.8688292963320086E-2</v>
      </c>
      <c r="R21" s="77">
        <v>140274</v>
      </c>
      <c r="S21" s="34">
        <v>114111</v>
      </c>
      <c r="T21" s="34">
        <f t="shared" si="3"/>
        <v>1113.2857142857142</v>
      </c>
      <c r="U21" s="34">
        <f t="shared" si="4"/>
        <v>905.64285714285711</v>
      </c>
      <c r="V21" s="48">
        <f>U21/U48</f>
        <v>7.3562029350437942E-3</v>
      </c>
      <c r="W21" s="48">
        <f t="shared" si="22"/>
        <v>1.026443771560917E-2</v>
      </c>
      <c r="X21" s="48">
        <f t="shared" si="11"/>
        <v>2.8580274523021483E-2</v>
      </c>
      <c r="Y21" s="48">
        <f t="shared" si="12"/>
        <v>1.531875086423572E-2</v>
      </c>
      <c r="Z21" s="221">
        <v>118</v>
      </c>
      <c r="AA21" s="25">
        <v>0.83807746091189661</v>
      </c>
      <c r="AB21" s="25">
        <f t="shared" si="23"/>
        <v>0.85854581006859587</v>
      </c>
      <c r="AC21" s="26">
        <v>-0.14599999999999999</v>
      </c>
      <c r="AD21" s="73">
        <v>0.95</v>
      </c>
      <c r="AE21" s="213">
        <v>623498.16911546397</v>
      </c>
      <c r="AF21" s="280">
        <f>AL21*AR$8</f>
        <v>745776.91094526032</v>
      </c>
      <c r="AG21" s="67">
        <f>AJ21*AR$3</f>
        <v>621945.62006330281</v>
      </c>
      <c r="AH21" s="67" t="e">
        <f>C21*AK21</f>
        <v>#VALUE!</v>
      </c>
      <c r="AI21" s="70">
        <f>AG21-AE21</f>
        <v>-1552.5490521611646</v>
      </c>
      <c r="AJ21" s="67">
        <f>C21*AM21</f>
        <v>11.557298282781126</v>
      </c>
      <c r="AK21" s="23" t="e">
        <f>AD21/AR2</f>
        <v>#VALUE!</v>
      </c>
      <c r="AL21" s="23">
        <f>Z21*AN21</f>
        <v>10.657787033307553</v>
      </c>
      <c r="AM21" s="23">
        <f>AB21/AS$2</f>
        <v>9.1724589545881946E-2</v>
      </c>
      <c r="AN21" s="23">
        <f>AA21/AS$5</f>
        <v>9.0320229095826723E-2</v>
      </c>
      <c r="AT21">
        <v>909</v>
      </c>
      <c r="AU21">
        <v>1614</v>
      </c>
      <c r="AV21">
        <f t="shared" si="24"/>
        <v>-705</v>
      </c>
      <c r="AW21">
        <v>676</v>
      </c>
      <c r="AX21">
        <v>2142</v>
      </c>
      <c r="AY21">
        <v>1356</v>
      </c>
      <c r="AZ21">
        <f t="shared" si="25"/>
        <v>786</v>
      </c>
      <c r="BA21" s="25">
        <f t="shared" si="26"/>
        <v>1.9867457699259896</v>
      </c>
      <c r="BB21">
        <v>632</v>
      </c>
      <c r="BC21">
        <f t="shared" si="15"/>
        <v>233</v>
      </c>
      <c r="BD21">
        <v>982</v>
      </c>
      <c r="BE21" s="23">
        <v>0.128</v>
      </c>
      <c r="BF21" s="23">
        <v>1.859</v>
      </c>
      <c r="BG21" s="34">
        <v>140274</v>
      </c>
      <c r="BH21" s="77">
        <v>140273.79</v>
      </c>
      <c r="BI21">
        <v>384372</v>
      </c>
      <c r="BJ21" s="34">
        <v>56657</v>
      </c>
      <c r="BK21" s="34">
        <f t="shared" si="27"/>
        <v>255042.25</v>
      </c>
      <c r="BL21" s="34">
        <f t="shared" si="28"/>
        <v>-198385.25</v>
      </c>
      <c r="BM21" s="36">
        <f t="shared" si="29"/>
        <v>-0.88492500260924245</v>
      </c>
      <c r="BN21" s="231">
        <f t="shared" si="18"/>
        <v>0.83807746091189661</v>
      </c>
      <c r="BO21" s="34">
        <v>356402.06</v>
      </c>
      <c r="BP21">
        <f t="shared" si="30"/>
        <v>-42002</v>
      </c>
      <c r="BQ21" s="34">
        <f t="shared" si="31"/>
        <v>-216128.27</v>
      </c>
      <c r="BR21" s="23">
        <v>-0.55700000000000005</v>
      </c>
      <c r="BS21" s="23">
        <f t="shared" si="32"/>
        <v>-0.64213547482850997</v>
      </c>
      <c r="BT21" s="23">
        <f t="shared" si="20"/>
        <v>0.89259999999999995</v>
      </c>
    </row>
    <row r="22" spans="1:72" x14ac:dyDescent="0.25">
      <c r="A22" s="7" t="s">
        <v>83</v>
      </c>
      <c r="B22" s="7" t="s">
        <v>85</v>
      </c>
      <c r="C22" s="1">
        <f t="shared" si="0"/>
        <v>68</v>
      </c>
      <c r="D22">
        <v>0</v>
      </c>
      <c r="E22">
        <v>0</v>
      </c>
      <c r="F22">
        <v>0</v>
      </c>
      <c r="G22">
        <v>68</v>
      </c>
      <c r="H22">
        <v>0</v>
      </c>
      <c r="I22">
        <v>0</v>
      </c>
      <c r="J22">
        <v>0</v>
      </c>
      <c r="K22">
        <v>0</v>
      </c>
      <c r="L22" s="106">
        <v>563.5</v>
      </c>
      <c r="M22" s="71">
        <v>514.5</v>
      </c>
      <c r="N22" s="96">
        <f t="shared" si="1"/>
        <v>8.2867647058823533</v>
      </c>
      <c r="O22" s="98">
        <v>7.5661764705882355</v>
      </c>
      <c r="P22" s="107">
        <f>O22/O48</f>
        <v>6.8868663477528055E-2</v>
      </c>
      <c r="Q22" s="108">
        <f t="shared" si="21"/>
        <v>4.2933006169956947E-2</v>
      </c>
      <c r="R22" s="77">
        <v>115346</v>
      </c>
      <c r="S22" s="34">
        <v>115346</v>
      </c>
      <c r="T22" s="34">
        <f t="shared" si="3"/>
        <v>1696.2647058823529</v>
      </c>
      <c r="U22" s="34">
        <f t="shared" si="4"/>
        <v>1696.2647058823529</v>
      </c>
      <c r="V22" s="48">
        <f>U22/U48</f>
        <v>1.377813263761507E-2</v>
      </c>
      <c r="W22" s="48">
        <f t="shared" si="22"/>
        <v>1.5639474394842635E-2</v>
      </c>
      <c r="X22" s="48">
        <f t="shared" si="11"/>
        <v>4.6832451141562863E-2</v>
      </c>
      <c r="Y22" s="48">
        <f t="shared" si="12"/>
        <v>3.2015593459911222E-2</v>
      </c>
      <c r="Z22" s="221">
        <v>65</v>
      </c>
      <c r="AA22" s="25">
        <v>0.63663041401807963</v>
      </c>
      <c r="AB22" s="25">
        <f t="shared" si="23"/>
        <v>0.74708223574348742</v>
      </c>
      <c r="AC22" s="26">
        <v>0.83399999999999996</v>
      </c>
      <c r="AD22" s="73">
        <v>1.2689999999999999</v>
      </c>
      <c r="AE22" s="213">
        <v>287710.04788478365</v>
      </c>
      <c r="AF22" s="280">
        <f>AL22*AR$8</f>
        <v>312063.88038398034</v>
      </c>
      <c r="AG22" s="67">
        <f>AJ22*AR$3</f>
        <v>292075.89625246736</v>
      </c>
      <c r="AH22" s="67" t="e">
        <f>C22*AK22</f>
        <v>#VALUE!</v>
      </c>
      <c r="AI22" s="70">
        <f>AG22-AE22</f>
        <v>4365.8483676837059</v>
      </c>
      <c r="AJ22" s="67">
        <f>C22*AM22</f>
        <v>5.427497429529005</v>
      </c>
      <c r="AK22" s="23" t="e">
        <f>AD22/AR2</f>
        <v>#VALUE!</v>
      </c>
      <c r="AL22" s="23">
        <f>Z22*AN22</f>
        <v>4.4596585508453011</v>
      </c>
      <c r="AM22" s="23">
        <f>AB22/AS$2</f>
        <v>7.9816138669544193E-2</v>
      </c>
      <c r="AN22" s="23">
        <f>AA22/AS$5</f>
        <v>6.8610131551466169E-2</v>
      </c>
      <c r="AT22">
        <v>1127</v>
      </c>
      <c r="AU22">
        <v>1135</v>
      </c>
      <c r="AV22">
        <f t="shared" si="24"/>
        <v>-8</v>
      </c>
      <c r="AW22">
        <v>365</v>
      </c>
      <c r="AX22">
        <v>1321</v>
      </c>
      <c r="AY22">
        <v>747</v>
      </c>
      <c r="AZ22">
        <f t="shared" si="25"/>
        <v>574</v>
      </c>
      <c r="BA22" s="25">
        <f t="shared" si="26"/>
        <v>1.4521896849885783</v>
      </c>
      <c r="BB22">
        <v>341</v>
      </c>
      <c r="BC22">
        <f t="shared" si="15"/>
        <v>762</v>
      </c>
      <c r="BD22">
        <v>794</v>
      </c>
      <c r="BE22" s="25">
        <v>1.5149999999999999</v>
      </c>
      <c r="BF22" s="23">
        <v>1.3979999999999999</v>
      </c>
      <c r="BG22" s="34">
        <v>115346</v>
      </c>
      <c r="BH22" s="77">
        <v>115346</v>
      </c>
      <c r="BI22">
        <v>195304</v>
      </c>
      <c r="BJ22" s="34">
        <v>13090</v>
      </c>
      <c r="BK22" s="34">
        <f t="shared" si="27"/>
        <v>140489.375</v>
      </c>
      <c r="BL22" s="34">
        <f t="shared" si="28"/>
        <v>-127399.375</v>
      </c>
      <c r="BM22" s="36">
        <f t="shared" si="29"/>
        <v>-0.58670849243766832</v>
      </c>
      <c r="BN22" s="231">
        <f t="shared" si="18"/>
        <v>0.63663041401807963</v>
      </c>
      <c r="BO22" s="34">
        <v>191453.14</v>
      </c>
      <c r="BP22">
        <f t="shared" si="30"/>
        <v>-55030</v>
      </c>
      <c r="BQ22" s="34">
        <f t="shared" si="31"/>
        <v>-76107.140000000014</v>
      </c>
      <c r="BR22" s="23">
        <v>-0.189</v>
      </c>
      <c r="BS22" s="23">
        <f t="shared" si="32"/>
        <v>-0.22929441064128103</v>
      </c>
      <c r="BT22" s="23">
        <f t="shared" si="20"/>
        <v>0.76319999999999988</v>
      </c>
    </row>
    <row r="23" spans="1:72" x14ac:dyDescent="0.25">
      <c r="A23" s="7" t="s">
        <v>83</v>
      </c>
      <c r="B23" s="7" t="s">
        <v>86</v>
      </c>
      <c r="C23" s="1">
        <f t="shared" si="0"/>
        <v>116</v>
      </c>
      <c r="D23">
        <v>0</v>
      </c>
      <c r="E23">
        <v>10</v>
      </c>
      <c r="F23">
        <v>58</v>
      </c>
      <c r="G23">
        <v>0</v>
      </c>
      <c r="H23">
        <v>0</v>
      </c>
      <c r="I23">
        <v>17</v>
      </c>
      <c r="J23">
        <v>24</v>
      </c>
      <c r="K23">
        <v>7</v>
      </c>
      <c r="L23" s="106">
        <v>785</v>
      </c>
      <c r="M23" s="71">
        <v>565</v>
      </c>
      <c r="N23" s="96">
        <f t="shared" si="1"/>
        <v>6.7672413793103452</v>
      </c>
      <c r="O23" s="98">
        <v>4.8706896551724137</v>
      </c>
      <c r="P23" s="107">
        <f>O23/O48</f>
        <v>4.4333870359683447E-2</v>
      </c>
      <c r="Q23" s="108">
        <f t="shared" si="21"/>
        <v>3.5060488164371413E-2</v>
      </c>
      <c r="R23" s="77">
        <v>498786</v>
      </c>
      <c r="S23" s="34">
        <v>238025</v>
      </c>
      <c r="T23" s="34">
        <f t="shared" si="3"/>
        <v>4299.8793103448279</v>
      </c>
      <c r="U23" s="34">
        <f t="shared" si="4"/>
        <v>2051.9396551724139</v>
      </c>
      <c r="V23" s="48">
        <f>U23/U48</f>
        <v>1.666714908074524E-2</v>
      </c>
      <c r="W23" s="48">
        <f t="shared" si="22"/>
        <v>3.9644668748838319E-2</v>
      </c>
      <c r="X23" s="48">
        <f t="shared" si="11"/>
        <v>3.326718184810816E-2</v>
      </c>
      <c r="Y23" s="48">
        <f t="shared" si="12"/>
        <v>3.6894160398158175E-2</v>
      </c>
      <c r="Z23" s="221">
        <v>103</v>
      </c>
      <c r="AA23" s="25">
        <v>1.3262075586140631</v>
      </c>
      <c r="AB23" s="25">
        <f t="shared" si="23"/>
        <v>1.3605638281332735</v>
      </c>
      <c r="AC23" s="26">
        <v>1.329</v>
      </c>
      <c r="AD23" s="73">
        <v>1.0820000000000001</v>
      </c>
      <c r="AE23" s="213">
        <v>829188.76684367401</v>
      </c>
      <c r="AF23" s="280">
        <f>AL23*AR$8</f>
        <v>1030128.7042080945</v>
      </c>
      <c r="AG23" s="67">
        <f>AJ23*AR$3</f>
        <v>907392.75091055152</v>
      </c>
      <c r="AH23" s="67" t="e">
        <f>C23*AK23</f>
        <v>#VALUE!</v>
      </c>
      <c r="AI23" s="70">
        <f>AG23-AE23</f>
        <v>78203.984066877514</v>
      </c>
      <c r="AJ23" s="67">
        <f>C23*AM23</f>
        <v>16.861616745269743</v>
      </c>
      <c r="AK23" s="23" t="e">
        <f>AD23/AR2</f>
        <v>#VALUE!</v>
      </c>
      <c r="AL23" s="23">
        <f>Z23*AN23</f>
        <v>14.7214162643241</v>
      </c>
      <c r="AM23" s="23">
        <f>AB23/AS$2</f>
        <v>0.1453587650454288</v>
      </c>
      <c r="AN23" s="23">
        <f>AA23/AS$5</f>
        <v>0.14292637149829224</v>
      </c>
      <c r="AT23">
        <v>1570</v>
      </c>
      <c r="AU23">
        <v>1595</v>
      </c>
      <c r="AV23">
        <f t="shared" si="24"/>
        <v>-25</v>
      </c>
      <c r="AW23">
        <v>623</v>
      </c>
      <c r="AX23">
        <v>1630</v>
      </c>
      <c r="AY23">
        <v>1183</v>
      </c>
      <c r="AZ23">
        <f t="shared" si="25"/>
        <v>447</v>
      </c>
      <c r="BA23" s="25">
        <f t="shared" si="26"/>
        <v>1.1319603322194689</v>
      </c>
      <c r="BB23">
        <v>582</v>
      </c>
      <c r="BC23">
        <f t="shared" si="15"/>
        <v>947</v>
      </c>
      <c r="BD23">
        <v>1013</v>
      </c>
      <c r="BE23" s="25">
        <v>2.0009999999999999</v>
      </c>
      <c r="BF23" s="23">
        <v>1.9350000000000001</v>
      </c>
      <c r="BG23" s="34">
        <v>498786</v>
      </c>
      <c r="BH23" s="77">
        <v>498786</v>
      </c>
      <c r="BI23">
        <v>351018</v>
      </c>
      <c r="BJ23" s="34">
        <v>619919</v>
      </c>
      <c r="BK23" s="34">
        <f t="shared" si="27"/>
        <v>222621.625</v>
      </c>
      <c r="BL23" s="34">
        <f t="shared" si="28"/>
        <v>397297.375</v>
      </c>
      <c r="BM23" s="231">
        <f t="shared" si="29"/>
        <v>1.6175783982059546</v>
      </c>
      <c r="BN23" s="231">
        <f t="shared" si="18"/>
        <v>1.3262075586140631</v>
      </c>
      <c r="BO23" s="34">
        <v>327912.03000000003</v>
      </c>
      <c r="BP23">
        <f t="shared" si="30"/>
        <v>-235672</v>
      </c>
      <c r="BQ23" s="34">
        <f t="shared" si="31"/>
        <v>170873.96999999997</v>
      </c>
      <c r="BR23" s="23">
        <v>0.32100000000000001</v>
      </c>
      <c r="BS23" s="23">
        <f t="shared" si="32"/>
        <v>0.49890957033318384</v>
      </c>
      <c r="BT23" s="23">
        <f t="shared" si="20"/>
        <v>1.2894000000000001</v>
      </c>
    </row>
    <row r="24" spans="1:72" x14ac:dyDescent="0.25">
      <c r="A24" s="7" t="s">
        <v>83</v>
      </c>
      <c r="B24" s="7" t="s">
        <v>87</v>
      </c>
      <c r="C24" s="1">
        <f t="shared" si="0"/>
        <v>78</v>
      </c>
      <c r="D24">
        <v>72</v>
      </c>
      <c r="E24">
        <v>6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 s="106">
        <v>354.5</v>
      </c>
      <c r="M24" s="71">
        <v>307.5</v>
      </c>
      <c r="N24" s="96">
        <f t="shared" si="1"/>
        <v>4.5448717948717947</v>
      </c>
      <c r="O24" s="98">
        <v>3.9423076923076925</v>
      </c>
      <c r="P24" s="107">
        <f>O24/O48</f>
        <v>3.5883575124345556E-2</v>
      </c>
      <c r="Q24" s="108">
        <f t="shared" si="21"/>
        <v>2.354658491418065E-2</v>
      </c>
      <c r="R24" s="77">
        <v>44627</v>
      </c>
      <c r="S24" s="34">
        <v>58996</v>
      </c>
      <c r="T24" s="34">
        <f t="shared" si="3"/>
        <v>572.14102564102564</v>
      </c>
      <c r="U24" s="34">
        <f t="shared" si="4"/>
        <v>756.35897435897436</v>
      </c>
      <c r="V24" s="48">
        <f>U24/U48</f>
        <v>6.1436250098404303E-3</v>
      </c>
      <c r="W24" s="48">
        <f t="shared" si="22"/>
        <v>5.2751111838392657E-3</v>
      </c>
      <c r="X24" s="48">
        <f t="shared" si="11"/>
        <v>2.3987595078543505E-2</v>
      </c>
      <c r="Y24" s="48">
        <f t="shared" si="12"/>
        <v>1.6237995422044096E-2</v>
      </c>
      <c r="Z24" s="221">
        <v>61</v>
      </c>
      <c r="AA24" s="25">
        <v>0.63781498477882825</v>
      </c>
      <c r="AB24" s="26">
        <f t="shared" si="23"/>
        <v>-4.6669526621697183E-2</v>
      </c>
      <c r="AC24" s="26">
        <v>-1E-3</v>
      </c>
      <c r="AD24">
        <v>0.22500000000000001</v>
      </c>
      <c r="AE24" s="214"/>
      <c r="AF24" s="280">
        <f>AL24*AR$8</f>
        <v>293404.87036365998</v>
      </c>
      <c r="AG24" s="37"/>
      <c r="AH24" s="37"/>
      <c r="AI24" s="69"/>
      <c r="AJ24" s="37"/>
      <c r="AK24" s="23"/>
      <c r="AL24" s="23">
        <f>Z24*AN24</f>
        <v>4.1930054108374275</v>
      </c>
      <c r="AM24" s="23"/>
      <c r="AN24" s="23">
        <f>AA24/AS$5</f>
        <v>6.8737793620285703E-2</v>
      </c>
      <c r="AT24">
        <v>709</v>
      </c>
      <c r="AU24">
        <v>719</v>
      </c>
      <c r="AV24">
        <f t="shared" si="24"/>
        <v>-10</v>
      </c>
      <c r="AW24">
        <v>419</v>
      </c>
      <c r="AX24">
        <v>1138</v>
      </c>
      <c r="AY24">
        <v>701</v>
      </c>
      <c r="AZ24">
        <f t="shared" si="25"/>
        <v>437</v>
      </c>
      <c r="BA24" s="25">
        <f t="shared" si="26"/>
        <v>1.1067454225526099</v>
      </c>
      <c r="BB24">
        <v>391</v>
      </c>
      <c r="BC24">
        <f t="shared" si="15"/>
        <v>290</v>
      </c>
      <c r="BD24">
        <v>328</v>
      </c>
      <c r="BE24" s="23">
        <v>0.27700000000000002</v>
      </c>
      <c r="BF24" s="23">
        <v>0.254</v>
      </c>
      <c r="BG24" s="34">
        <v>44627</v>
      </c>
      <c r="BH24" s="77">
        <v>52702.94</v>
      </c>
      <c r="BI24">
        <v>227049</v>
      </c>
      <c r="BJ24" s="34">
        <v>128491</v>
      </c>
      <c r="BK24" s="34">
        <f t="shared" si="27"/>
        <v>131843.875</v>
      </c>
      <c r="BL24" s="34">
        <f t="shared" si="28"/>
        <v>-3352.875</v>
      </c>
      <c r="BM24" s="36">
        <f t="shared" si="29"/>
        <v>-6.5580671881844146E-2</v>
      </c>
      <c r="BN24" s="231">
        <f t="shared" si="18"/>
        <v>0.63781498477882825</v>
      </c>
      <c r="BO24" s="34">
        <v>219834.91</v>
      </c>
      <c r="BP24">
        <f t="shared" si="30"/>
        <v>271737</v>
      </c>
      <c r="BQ24" s="34">
        <f t="shared" si="31"/>
        <v>-167131.97</v>
      </c>
      <c r="BR24" s="23">
        <v>-0.41899999999999998</v>
      </c>
      <c r="BS24" s="23">
        <f t="shared" si="32"/>
        <v>-0.49767381655424292</v>
      </c>
      <c r="BT24" s="23">
        <f t="shared" si="20"/>
        <v>-1.5199999999999991E-2</v>
      </c>
    </row>
    <row r="25" spans="1:72" x14ac:dyDescent="0.25">
      <c r="A25" s="7" t="s">
        <v>83</v>
      </c>
      <c r="B25" s="7" t="s">
        <v>88</v>
      </c>
      <c r="C25" s="1">
        <f t="shared" si="0"/>
        <v>59</v>
      </c>
      <c r="D25">
        <v>33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26</v>
      </c>
      <c r="L25" s="106">
        <v>223.5</v>
      </c>
      <c r="M25" s="71">
        <v>120</v>
      </c>
      <c r="N25" s="96">
        <f t="shared" si="1"/>
        <v>3.7881355932203391</v>
      </c>
      <c r="O25" s="98">
        <v>2.0338983050847457</v>
      </c>
      <c r="P25" s="107">
        <f>O25/O48</f>
        <v>1.8512898617272944E-2</v>
      </c>
      <c r="Q25" s="108">
        <f t="shared" si="21"/>
        <v>1.9626000564600954E-2</v>
      </c>
      <c r="R25" s="77">
        <v>269200</v>
      </c>
      <c r="S25" s="34">
        <v>630858</v>
      </c>
      <c r="T25" s="34">
        <f t="shared" si="3"/>
        <v>4562.7118644067796</v>
      </c>
      <c r="U25" s="34">
        <f t="shared" si="4"/>
        <v>10692.508474576271</v>
      </c>
      <c r="V25" s="48">
        <f>U25/U48</f>
        <v>8.6851303031092397E-2</v>
      </c>
      <c r="W25" s="48">
        <f t="shared" si="22"/>
        <v>4.2067971541809406E-2</v>
      </c>
      <c r="X25" s="48">
        <f t="shared" si="11"/>
        <v>4.5848260382800723E-2</v>
      </c>
      <c r="Y25" s="48">
        <f t="shared" si="12"/>
        <v>2.8602788955484335E-2</v>
      </c>
      <c r="Z25" s="221">
        <v>49</v>
      </c>
      <c r="AA25" s="26">
        <v>-0.18657796335061549</v>
      </c>
      <c r="AB25" s="26">
        <f t="shared" si="23"/>
        <v>2.7426387194640675E-2</v>
      </c>
      <c r="AC25" s="26">
        <v>2E-3</v>
      </c>
      <c r="AD25">
        <v>0.26</v>
      </c>
      <c r="AE25" s="212"/>
      <c r="AF25" s="212"/>
      <c r="AG25" s="70"/>
      <c r="AH25" s="70"/>
      <c r="AI25" s="70"/>
      <c r="AJ25" s="70"/>
      <c r="AK25" s="23"/>
      <c r="AL25" s="23"/>
      <c r="AM25" s="23"/>
      <c r="AN25" s="23"/>
      <c r="AT25">
        <v>447</v>
      </c>
      <c r="AU25">
        <v>458</v>
      </c>
      <c r="AV25">
        <f t="shared" si="24"/>
        <v>-11</v>
      </c>
      <c r="AW25">
        <v>317</v>
      </c>
      <c r="AX25">
        <v>569</v>
      </c>
      <c r="AY25">
        <v>563</v>
      </c>
      <c r="AZ25">
        <f t="shared" si="25"/>
        <v>6</v>
      </c>
      <c r="BA25" s="23">
        <f t="shared" si="26"/>
        <v>1.9982815910985777E-2</v>
      </c>
      <c r="BB25">
        <v>296</v>
      </c>
      <c r="BC25">
        <f t="shared" si="15"/>
        <v>130</v>
      </c>
      <c r="BD25">
        <v>162</v>
      </c>
      <c r="BE25" s="23">
        <v>-0.14299999999999999</v>
      </c>
      <c r="BF25" s="23">
        <v>-0.154</v>
      </c>
      <c r="BG25" s="34">
        <v>269200</v>
      </c>
      <c r="BH25" s="77">
        <v>269200</v>
      </c>
      <c r="BI25">
        <v>167120</v>
      </c>
      <c r="BJ25" s="34">
        <v>0</v>
      </c>
      <c r="BK25" s="34">
        <f t="shared" si="27"/>
        <v>105907.375</v>
      </c>
      <c r="BL25" s="34">
        <f t="shared" si="28"/>
        <v>-105907.375</v>
      </c>
      <c r="BM25" s="36">
        <f t="shared" si="29"/>
        <v>-0.49641913224301737</v>
      </c>
      <c r="BN25" s="247">
        <f t="shared" si="18"/>
        <v>-0.18657796335061549</v>
      </c>
      <c r="BO25" s="34">
        <v>165936.35</v>
      </c>
      <c r="BP25">
        <f t="shared" si="30"/>
        <v>-122493</v>
      </c>
      <c r="BQ25" s="34">
        <f t="shared" si="31"/>
        <v>103263.65</v>
      </c>
      <c r="BR25" s="23">
        <v>0.219</v>
      </c>
      <c r="BS25" s="23">
        <f t="shared" si="32"/>
        <v>0.29956596798660168</v>
      </c>
      <c r="BT25" s="23">
        <f t="shared" si="20"/>
        <v>-4.7999999999999848E-3</v>
      </c>
    </row>
    <row r="26" spans="1:72" x14ac:dyDescent="0.25">
      <c r="A26" s="9" t="s">
        <v>83</v>
      </c>
      <c r="B26" s="9" t="s">
        <v>90</v>
      </c>
      <c r="C26" s="1">
        <f t="shared" si="0"/>
        <v>48</v>
      </c>
      <c r="D26">
        <v>0</v>
      </c>
      <c r="E26">
        <v>8</v>
      </c>
      <c r="F26">
        <v>21</v>
      </c>
      <c r="G26">
        <v>0</v>
      </c>
      <c r="H26">
        <v>0</v>
      </c>
      <c r="I26">
        <v>0</v>
      </c>
      <c r="J26">
        <v>19</v>
      </c>
      <c r="K26">
        <v>0</v>
      </c>
      <c r="L26" s="106">
        <v>375.5</v>
      </c>
      <c r="M26" s="71">
        <v>249.5</v>
      </c>
      <c r="N26" s="96">
        <f t="shared" si="1"/>
        <v>7.822916666666667</v>
      </c>
      <c r="O26" s="98">
        <v>5.197916666666667</v>
      </c>
      <c r="P26" s="107">
        <f>O26/O48</f>
        <v>4.7312347933258059E-2</v>
      </c>
      <c r="Q26" s="108">
        <f t="shared" si="21"/>
        <v>4.0529849879609607E-2</v>
      </c>
      <c r="R26" s="77">
        <v>10000</v>
      </c>
      <c r="S26" s="34">
        <v>146028</v>
      </c>
      <c r="T26" s="34">
        <f t="shared" si="3"/>
        <v>208.33333333333334</v>
      </c>
      <c r="U26" s="34">
        <f t="shared" si="4"/>
        <v>3042.25</v>
      </c>
      <c r="V26" s="48">
        <f>U26/U48</f>
        <v>2.4711074793589225E-2</v>
      </c>
      <c r="W26" s="48">
        <f t="shared" si="22"/>
        <v>1.9208227471572831E-3</v>
      </c>
      <c r="X26" s="48">
        <f t="shared" si="11"/>
        <v>3.8271838677390521E-2</v>
      </c>
      <c r="Y26" s="48">
        <f t="shared" si="12"/>
        <v>2.5086239026628675E-2</v>
      </c>
      <c r="Z26" s="221">
        <v>56</v>
      </c>
      <c r="AA26" s="26">
        <v>8.9656871163224461E-2</v>
      </c>
      <c r="AB26" s="26">
        <f t="shared" si="23"/>
        <v>0.25226774063572699</v>
      </c>
      <c r="AC26" s="26">
        <v>0.371</v>
      </c>
      <c r="AD26" s="73">
        <v>0.40600000000000003</v>
      </c>
      <c r="AE26" s="212"/>
      <c r="AF26" s="212"/>
      <c r="AG26" s="70"/>
      <c r="AH26" s="67" t="e">
        <f>C26*AK26</f>
        <v>#VALUE!</v>
      </c>
      <c r="AI26" s="70"/>
      <c r="AJ26" s="70"/>
      <c r="AK26" s="23" t="e">
        <f>AD26/AR2</f>
        <v>#VALUE!</v>
      </c>
      <c r="AL26" s="23"/>
      <c r="AM26" s="23"/>
      <c r="AN26" s="23"/>
      <c r="AT26">
        <v>751</v>
      </c>
      <c r="AU26">
        <v>738</v>
      </c>
      <c r="AV26">
        <f t="shared" si="24"/>
        <v>13</v>
      </c>
      <c r="AW26">
        <v>258</v>
      </c>
      <c r="AX26">
        <v>795</v>
      </c>
      <c r="AY26">
        <v>643</v>
      </c>
      <c r="AZ26">
        <f t="shared" si="25"/>
        <v>152</v>
      </c>
      <c r="BA26" s="23">
        <f t="shared" si="26"/>
        <v>0.38812049704712759</v>
      </c>
      <c r="BB26">
        <v>241</v>
      </c>
      <c r="BC26">
        <f t="shared" si="15"/>
        <v>493</v>
      </c>
      <c r="BD26">
        <v>497</v>
      </c>
      <c r="BE26" s="25">
        <v>0.81</v>
      </c>
      <c r="BF26" s="23">
        <v>0.66900000000000004</v>
      </c>
      <c r="BG26" s="34">
        <v>10000</v>
      </c>
      <c r="BH26" s="77">
        <v>10000</v>
      </c>
      <c r="BI26">
        <v>133247</v>
      </c>
      <c r="BJ26" s="34">
        <v>48069</v>
      </c>
      <c r="BK26" s="34">
        <f t="shared" si="27"/>
        <v>121037</v>
      </c>
      <c r="BL26" s="34">
        <f t="shared" si="28"/>
        <v>-72968</v>
      </c>
      <c r="BM26" s="36">
        <f t="shared" si="29"/>
        <v>-0.3580385676626302</v>
      </c>
      <c r="BN26" s="247">
        <f t="shared" si="18"/>
        <v>8.9656871163224461E-2</v>
      </c>
      <c r="BO26" s="34">
        <v>134789.57</v>
      </c>
      <c r="BP26">
        <f t="shared" si="30"/>
        <v>135953</v>
      </c>
      <c r="BQ26" s="34">
        <f t="shared" si="31"/>
        <v>-124789.57</v>
      </c>
      <c r="BR26" s="23">
        <v>-0.28599999999999998</v>
      </c>
      <c r="BS26" s="23">
        <f t="shared" si="32"/>
        <v>-0.37283064841068253</v>
      </c>
      <c r="BT26" s="23">
        <f t="shared" si="20"/>
        <v>0.28700000000000003</v>
      </c>
    </row>
    <row r="27" spans="1:72" x14ac:dyDescent="0.25">
      <c r="A27" s="7" t="s">
        <v>83</v>
      </c>
      <c r="B27" s="7" t="s">
        <v>49</v>
      </c>
      <c r="C27" s="1">
        <f t="shared" si="0"/>
        <v>133</v>
      </c>
      <c r="D27">
        <v>0</v>
      </c>
      <c r="E27">
        <v>0</v>
      </c>
      <c r="F27">
        <v>0</v>
      </c>
      <c r="G27">
        <v>0</v>
      </c>
      <c r="H27">
        <v>68</v>
      </c>
      <c r="I27">
        <v>65</v>
      </c>
      <c r="J27">
        <v>0</v>
      </c>
      <c r="K27">
        <v>0</v>
      </c>
      <c r="L27" s="106">
        <v>1029</v>
      </c>
      <c r="M27" s="71">
        <v>636.5</v>
      </c>
      <c r="N27" s="96">
        <f t="shared" si="1"/>
        <v>7.7368421052631575</v>
      </c>
      <c r="O27" s="98">
        <v>4.7857142857142856</v>
      </c>
      <c r="P27" s="107">
        <f>O27/O48</f>
        <v>4.3560409663142827E-2</v>
      </c>
      <c r="Q27" s="108">
        <f t="shared" si="21"/>
        <v>4.0083905074010141E-2</v>
      </c>
      <c r="R27" s="77">
        <v>48373</v>
      </c>
      <c r="S27" s="34">
        <v>69085</v>
      </c>
      <c r="T27" s="34">
        <f t="shared" si="3"/>
        <v>363.70676691729324</v>
      </c>
      <c r="U27" s="34">
        <f t="shared" si="4"/>
        <v>519.43609022556393</v>
      </c>
      <c r="V27" s="48">
        <f>U27/U48</f>
        <v>4.2191877972071563E-3</v>
      </c>
      <c r="W27" s="48">
        <f t="shared" si="22"/>
        <v>3.3533579097108903E-3</v>
      </c>
      <c r="X27" s="48">
        <f t="shared" si="11"/>
        <v>2.7823920916768555E-2</v>
      </c>
      <c r="Y27" s="48">
        <f t="shared" si="12"/>
        <v>2.5391686208290441E-2</v>
      </c>
      <c r="Z27" s="221">
        <v>131</v>
      </c>
      <c r="AA27" s="26">
        <v>0.36244719452117774</v>
      </c>
      <c r="AB27" s="25">
        <f t="shared" si="23"/>
        <v>1.367188385582768</v>
      </c>
      <c r="AC27" s="26">
        <v>1.4990000000000001</v>
      </c>
      <c r="AD27" s="73">
        <v>1.0129999999999999</v>
      </c>
      <c r="AE27" s="213">
        <v>1025915.0358277861</v>
      </c>
      <c r="AF27" s="212"/>
      <c r="AG27" s="67">
        <f>AJ27*AR$3</f>
        <v>1045438.2765348408</v>
      </c>
      <c r="AH27" s="67" t="e">
        <f>C27*AK27</f>
        <v>#VALUE!</v>
      </c>
      <c r="AI27" s="70">
        <f>AG27-AE27</f>
        <v>19523.240707054734</v>
      </c>
      <c r="AJ27" s="67">
        <f>C27*AM27</f>
        <v>19.426846348592345</v>
      </c>
      <c r="AK27" s="23" t="e">
        <f>AD27/AR2</f>
        <v>#VALUE!</v>
      </c>
      <c r="AL27" s="23"/>
      <c r="AM27" s="23">
        <f>AB27/AS$2</f>
        <v>0.14606651389919056</v>
      </c>
      <c r="AN27" s="23"/>
      <c r="AT27">
        <v>2058</v>
      </c>
      <c r="AU27">
        <v>2058</v>
      </c>
      <c r="AV27">
        <f t="shared" si="24"/>
        <v>0</v>
      </c>
      <c r="AW27">
        <v>714</v>
      </c>
      <c r="AX27">
        <v>1980</v>
      </c>
      <c r="AY27">
        <v>1505</v>
      </c>
      <c r="AZ27">
        <f t="shared" si="25"/>
        <v>475</v>
      </c>
      <c r="BA27" s="25">
        <f t="shared" si="26"/>
        <v>1.202562079286674</v>
      </c>
      <c r="BB27">
        <v>667</v>
      </c>
      <c r="BC27">
        <f t="shared" si="15"/>
        <v>1344</v>
      </c>
      <c r="BD27">
        <v>1391</v>
      </c>
      <c r="BE27" s="25">
        <v>3.0419999999999998</v>
      </c>
      <c r="BF27" s="23">
        <v>2.863</v>
      </c>
      <c r="BG27" s="34">
        <v>48373</v>
      </c>
      <c r="BH27" s="77">
        <v>80729</v>
      </c>
      <c r="BI27">
        <v>407876</v>
      </c>
      <c r="BJ27" s="34">
        <v>81708</v>
      </c>
      <c r="BK27" s="34">
        <f t="shared" si="27"/>
        <v>283140.125</v>
      </c>
      <c r="BL27" s="34">
        <f t="shared" si="28"/>
        <v>-201432.125</v>
      </c>
      <c r="BM27" s="36">
        <f t="shared" si="29"/>
        <v>-0.89772513262706666</v>
      </c>
      <c r="BN27" s="247">
        <f t="shared" si="18"/>
        <v>0.36244719452117774</v>
      </c>
      <c r="BO27" s="34">
        <v>376355.3</v>
      </c>
      <c r="BP27">
        <f t="shared" si="30"/>
        <v>-397876</v>
      </c>
      <c r="BQ27" s="34">
        <f t="shared" si="31"/>
        <v>-295626.3</v>
      </c>
      <c r="BR27" s="23">
        <v>-0.81599999999999995</v>
      </c>
      <c r="BS27" s="23">
        <f t="shared" si="32"/>
        <v>-0.87652903604308008</v>
      </c>
      <c r="BT27" s="23">
        <f t="shared" si="20"/>
        <v>1.3914</v>
      </c>
    </row>
    <row r="28" spans="1:72" x14ac:dyDescent="0.25">
      <c r="A28" s="7" t="s">
        <v>83</v>
      </c>
      <c r="B28" s="248" t="s">
        <v>91</v>
      </c>
      <c r="C28" s="1">
        <v>0</v>
      </c>
      <c r="L28" s="106"/>
      <c r="M28" s="71"/>
      <c r="N28" s="96"/>
      <c r="O28" s="98"/>
      <c r="P28" s="107"/>
      <c r="Q28" s="108"/>
      <c r="R28" s="77"/>
      <c r="S28" s="34"/>
      <c r="T28" s="34"/>
      <c r="U28" s="34"/>
      <c r="V28" s="48"/>
      <c r="W28" s="48"/>
      <c r="X28" s="48"/>
      <c r="Y28" s="48"/>
      <c r="Z28" s="221">
        <v>12</v>
      </c>
      <c r="AA28" s="26">
        <v>-0.25794638264468445</v>
      </c>
      <c r="AB28" s="26"/>
      <c r="AC28" s="26"/>
      <c r="AD28" s="73"/>
      <c r="AE28" s="213"/>
      <c r="AF28" s="212"/>
      <c r="AG28" s="67"/>
      <c r="AH28" s="67"/>
      <c r="AI28" s="70"/>
      <c r="AJ28" s="67"/>
      <c r="AK28" s="23"/>
      <c r="AL28" s="23"/>
      <c r="AM28" s="23"/>
      <c r="AN28" s="23"/>
      <c r="AX28">
        <v>8</v>
      </c>
      <c r="AY28">
        <v>138</v>
      </c>
      <c r="AZ28">
        <f t="shared" si="25"/>
        <v>-130</v>
      </c>
      <c r="BA28" s="23">
        <f t="shared" si="26"/>
        <v>-0.32293995555829696</v>
      </c>
      <c r="BE28" s="25"/>
      <c r="BF28" s="23"/>
      <c r="BG28" s="34"/>
      <c r="BH28" s="77"/>
      <c r="BJ28" s="34">
        <v>0</v>
      </c>
      <c r="BK28" s="34">
        <f t="shared" si="27"/>
        <v>25936.5</v>
      </c>
      <c r="BL28" s="34">
        <f t="shared" si="28"/>
        <v>-25936.5</v>
      </c>
      <c r="BM28" s="36">
        <f t="shared" si="29"/>
        <v>-0.16045602327426572</v>
      </c>
      <c r="BN28" s="247">
        <f t="shared" si="18"/>
        <v>-0.25794638264468445</v>
      </c>
      <c r="BO28" s="34"/>
      <c r="BQ28" s="34"/>
      <c r="BR28" s="23"/>
      <c r="BS28" s="23"/>
      <c r="BT28" s="23"/>
    </row>
    <row r="29" spans="1:72" x14ac:dyDescent="0.25">
      <c r="A29" s="9" t="s">
        <v>92</v>
      </c>
      <c r="B29" s="9" t="s">
        <v>93</v>
      </c>
      <c r="C29" s="1">
        <f t="shared" si="0"/>
        <v>62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62</v>
      </c>
      <c r="J29" s="11">
        <v>0</v>
      </c>
      <c r="K29">
        <v>0</v>
      </c>
      <c r="L29" s="109">
        <v>90</v>
      </c>
      <c r="M29" s="110">
        <v>45.5</v>
      </c>
      <c r="N29" s="96">
        <f t="shared" si="1"/>
        <v>1.4516129032258065</v>
      </c>
      <c r="O29" s="98">
        <v>0.7338709677419355</v>
      </c>
      <c r="P29" s="107">
        <f>O29/O48</f>
        <v>6.679822088450164E-3</v>
      </c>
      <c r="Q29" s="108">
        <f t="shared" ref="Q29:Q45" si="33">N29/N$48</f>
        <v>7.5206800171776769E-3</v>
      </c>
      <c r="R29" s="77">
        <v>45066</v>
      </c>
      <c r="S29" s="34">
        <v>0</v>
      </c>
      <c r="T29" s="34">
        <f t="shared" si="3"/>
        <v>726.87096774193549</v>
      </c>
      <c r="U29" s="34">
        <f t="shared" si="4"/>
        <v>0</v>
      </c>
      <c r="V29" s="48">
        <f>U29/U48</f>
        <v>0</v>
      </c>
      <c r="W29" s="48">
        <f t="shared" ref="W29:W45" si="34">T29/T$48</f>
        <v>6.7017133876172991E-3</v>
      </c>
      <c r="X29" s="48">
        <f t="shared" si="11"/>
        <v>4.0078932530700981E-3</v>
      </c>
      <c r="Y29" s="48">
        <f t="shared" si="12"/>
        <v>7.1930933653535263E-3</v>
      </c>
      <c r="Z29" s="221">
        <v>60</v>
      </c>
      <c r="AA29" s="26">
        <v>-0.34352710292943506</v>
      </c>
      <c r="AB29" s="26">
        <f t="shared" si="23"/>
        <v>-0.67833767983562787</v>
      </c>
      <c r="AC29" s="26">
        <v>-0.65300000000000002</v>
      </c>
      <c r="AD29">
        <v>-0.76600000000000001</v>
      </c>
      <c r="AE29" s="214"/>
      <c r="AF29" s="214"/>
      <c r="AG29" s="37"/>
      <c r="AH29" s="37"/>
      <c r="AI29" s="69"/>
      <c r="AJ29" s="37"/>
      <c r="AK29" s="23"/>
      <c r="AL29" s="23"/>
      <c r="AM29" s="23"/>
      <c r="AN29" s="23"/>
      <c r="AT29">
        <v>180</v>
      </c>
      <c r="AU29">
        <v>180</v>
      </c>
      <c r="AV29">
        <f t="shared" si="24"/>
        <v>0</v>
      </c>
      <c r="AW29">
        <v>333</v>
      </c>
      <c r="AX29">
        <v>401</v>
      </c>
      <c r="AY29">
        <v>689</v>
      </c>
      <c r="AZ29">
        <f t="shared" si="25"/>
        <v>-288</v>
      </c>
      <c r="BA29" s="23">
        <f t="shared" si="26"/>
        <v>-0.72133552829466951</v>
      </c>
      <c r="BB29">
        <v>311</v>
      </c>
      <c r="BC29">
        <f t="shared" si="15"/>
        <v>-153</v>
      </c>
      <c r="BD29">
        <v>-131</v>
      </c>
      <c r="BE29" s="23">
        <v>-0.88500000000000001</v>
      </c>
      <c r="BF29" s="23">
        <v>-0.873</v>
      </c>
      <c r="BG29" s="34">
        <v>45066</v>
      </c>
      <c r="BH29" s="77">
        <v>45066</v>
      </c>
      <c r="BI29">
        <v>176471</v>
      </c>
      <c r="BJ29" s="34">
        <v>195066</v>
      </c>
      <c r="BK29" s="34">
        <f t="shared" si="27"/>
        <v>129682.5</v>
      </c>
      <c r="BL29" s="34">
        <f t="shared" si="28"/>
        <v>65383.5</v>
      </c>
      <c r="BM29" s="231">
        <f t="shared" si="29"/>
        <v>0.22318553511841657</v>
      </c>
      <c r="BN29" s="247">
        <f t="shared" si="18"/>
        <v>-0.34352710292943506</v>
      </c>
      <c r="BO29" s="34">
        <v>174438.89</v>
      </c>
      <c r="BP29">
        <f>BG27-BI29</f>
        <v>-128098</v>
      </c>
      <c r="BQ29" s="34">
        <f>BH29-BO29</f>
        <v>-129372.89000000001</v>
      </c>
      <c r="BR29" s="23">
        <v>-0.30399999999999999</v>
      </c>
      <c r="BS29" s="23">
        <f>(BQ29-BQ$47)/BQ$48</f>
        <v>-0.38634419958906979</v>
      </c>
      <c r="BT29" s="23">
        <f t="shared" si="20"/>
        <v>-0.64539999999999997</v>
      </c>
    </row>
    <row r="30" spans="1:72" x14ac:dyDescent="0.25">
      <c r="A30" s="7" t="s">
        <v>92</v>
      </c>
      <c r="B30" s="7" t="s">
        <v>84</v>
      </c>
      <c r="C30" s="1">
        <f t="shared" si="0"/>
        <v>124</v>
      </c>
      <c r="D30" s="11">
        <v>0</v>
      </c>
      <c r="E30" s="11">
        <v>0</v>
      </c>
      <c r="F30" s="11">
        <v>0</v>
      </c>
      <c r="G30" s="11">
        <v>124</v>
      </c>
      <c r="H30" s="11">
        <v>0</v>
      </c>
      <c r="I30" s="11">
        <v>0</v>
      </c>
      <c r="J30" s="11">
        <v>0</v>
      </c>
      <c r="K30">
        <v>0</v>
      </c>
      <c r="L30" s="109">
        <v>410</v>
      </c>
      <c r="M30" s="110">
        <v>278</v>
      </c>
      <c r="N30" s="96">
        <f t="shared" si="1"/>
        <v>3.306451612903226</v>
      </c>
      <c r="O30" s="98">
        <v>2.2419354838709675</v>
      </c>
      <c r="P30" s="107">
        <f>O30/O48</f>
        <v>2.0406489457023575E-2</v>
      </c>
      <c r="Q30" s="108">
        <f t="shared" si="33"/>
        <v>1.7130437816904709E-2</v>
      </c>
      <c r="R30" s="77">
        <v>0</v>
      </c>
      <c r="S30" s="34">
        <v>0</v>
      </c>
      <c r="T30" s="34">
        <f t="shared" si="3"/>
        <v>0</v>
      </c>
      <c r="U30" s="34">
        <f t="shared" si="4"/>
        <v>0</v>
      </c>
      <c r="V30" s="48">
        <f>U30/U48</f>
        <v>0</v>
      </c>
      <c r="W30" s="48">
        <f t="shared" si="34"/>
        <v>0</v>
      </c>
      <c r="X30" s="48">
        <f t="shared" si="11"/>
        <v>1.2243893674214145E-2</v>
      </c>
      <c r="Y30" s="48">
        <f t="shared" si="12"/>
        <v>1.0278262690142825E-2</v>
      </c>
      <c r="Z30" s="221">
        <v>120</v>
      </c>
      <c r="AA30" s="26">
        <v>-0.43083629847409388</v>
      </c>
      <c r="AB30" s="26">
        <f t="shared" si="23"/>
        <v>-0.4251668935113182</v>
      </c>
      <c r="AC30" s="26">
        <v>-0.39</v>
      </c>
      <c r="AD30">
        <v>-0.47199999999999998</v>
      </c>
      <c r="AE30" s="214"/>
      <c r="AF30" s="214"/>
      <c r="AG30" s="37"/>
      <c r="AH30" s="37"/>
      <c r="AI30" s="69"/>
      <c r="AJ30" s="37"/>
      <c r="AK30" s="23"/>
      <c r="AL30" s="23"/>
      <c r="AM30" s="23"/>
      <c r="AN30" s="23"/>
      <c r="AT30">
        <v>820</v>
      </c>
      <c r="AU30">
        <v>840</v>
      </c>
      <c r="AV30">
        <f t="shared" si="24"/>
        <v>-20</v>
      </c>
      <c r="AW30">
        <v>666</v>
      </c>
      <c r="AX30">
        <v>1394</v>
      </c>
      <c r="AY30">
        <v>1379</v>
      </c>
      <c r="AZ30">
        <f t="shared" si="25"/>
        <v>15</v>
      </c>
      <c r="BA30" s="23">
        <f t="shared" si="26"/>
        <v>4.2676234611158902E-2</v>
      </c>
      <c r="BB30">
        <v>622</v>
      </c>
      <c r="BC30">
        <f t="shared" si="15"/>
        <v>154</v>
      </c>
      <c r="BD30">
        <v>218</v>
      </c>
      <c r="BE30" s="23">
        <v>-0.08</v>
      </c>
      <c r="BF30" s="23">
        <v>-1.6E-2</v>
      </c>
      <c r="BG30" s="34">
        <v>0</v>
      </c>
      <c r="BH30" s="77">
        <v>0</v>
      </c>
      <c r="BI30">
        <v>377680</v>
      </c>
      <c r="BJ30" s="34">
        <v>0</v>
      </c>
      <c r="BK30" s="34">
        <f t="shared" si="27"/>
        <v>259365</v>
      </c>
      <c r="BL30" s="34">
        <f t="shared" si="28"/>
        <v>-259365</v>
      </c>
      <c r="BM30" s="36">
        <f t="shared" si="29"/>
        <v>-1.141105098101973</v>
      </c>
      <c r="BN30" s="247">
        <f t="shared" si="18"/>
        <v>-0.43083629847409388</v>
      </c>
      <c r="BO30" s="34">
        <v>350702.65</v>
      </c>
      <c r="BP30">
        <f t="shared" si="30"/>
        <v>-332614</v>
      </c>
      <c r="BQ30" s="34">
        <f>BH30-BO30</f>
        <v>-350702.65</v>
      </c>
      <c r="BR30" s="23">
        <v>-0.85599999999999998</v>
      </c>
      <c r="BS30" s="23">
        <f>(BQ30-BQ$47)/BQ$48</f>
        <v>-1.0389172337782955</v>
      </c>
      <c r="BT30" s="23">
        <f t="shared" si="20"/>
        <v>-0.35200000000000004</v>
      </c>
    </row>
    <row r="31" spans="1:72" x14ac:dyDescent="0.25">
      <c r="A31" s="7" t="s">
        <v>92</v>
      </c>
      <c r="B31" s="7" t="s">
        <v>95</v>
      </c>
      <c r="C31" s="53">
        <f t="shared" si="0"/>
        <v>1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1</v>
      </c>
      <c r="J31" s="11">
        <v>0</v>
      </c>
      <c r="K31">
        <v>0</v>
      </c>
      <c r="L31" s="109">
        <v>0</v>
      </c>
      <c r="M31" s="110">
        <v>0</v>
      </c>
      <c r="N31" s="96">
        <f t="shared" si="1"/>
        <v>0</v>
      </c>
      <c r="O31" s="98">
        <v>0</v>
      </c>
      <c r="P31" s="107">
        <f>O31/O48</f>
        <v>0</v>
      </c>
      <c r="Q31" s="108">
        <f t="shared" si="33"/>
        <v>0</v>
      </c>
      <c r="R31" s="77">
        <v>0</v>
      </c>
      <c r="S31" s="34">
        <v>0</v>
      </c>
      <c r="T31" s="34">
        <f t="shared" si="3"/>
        <v>0</v>
      </c>
      <c r="U31" s="34">
        <f t="shared" si="4"/>
        <v>0</v>
      </c>
      <c r="V31" s="48">
        <f>U31/U48</f>
        <v>0</v>
      </c>
      <c r="W31" s="48">
        <f t="shared" si="34"/>
        <v>0</v>
      </c>
      <c r="X31" s="48">
        <f t="shared" si="11"/>
        <v>0</v>
      </c>
      <c r="Y31" s="48">
        <f t="shared" si="12"/>
        <v>0</v>
      </c>
      <c r="Z31" s="249">
        <v>1</v>
      </c>
      <c r="AA31" s="26"/>
      <c r="AB31" s="26"/>
      <c r="AC31" s="26"/>
      <c r="AE31" s="214"/>
      <c r="AF31" s="214"/>
      <c r="AG31" s="37"/>
      <c r="AH31" s="37"/>
      <c r="AI31" s="69"/>
      <c r="AJ31" s="37"/>
      <c r="AK31" s="23"/>
      <c r="AL31" s="23"/>
      <c r="AM31" s="23"/>
      <c r="AN31" s="23"/>
      <c r="BA31" s="23"/>
      <c r="BE31" s="23"/>
      <c r="BG31" s="34"/>
      <c r="BH31" s="77">
        <v>0</v>
      </c>
      <c r="BJ31" s="34"/>
      <c r="BK31" s="34"/>
      <c r="BL31" s="34"/>
      <c r="BM31" s="36"/>
      <c r="BN31" s="247"/>
      <c r="BT31" s="23">
        <f t="shared" si="20"/>
        <v>0</v>
      </c>
    </row>
    <row r="32" spans="1:72" x14ac:dyDescent="0.25">
      <c r="A32" s="7" t="s">
        <v>92</v>
      </c>
      <c r="B32" s="7" t="s">
        <v>87</v>
      </c>
      <c r="C32" s="1">
        <f t="shared" si="0"/>
        <v>56</v>
      </c>
      <c r="D32" s="11">
        <v>41</v>
      </c>
      <c r="E32" s="11">
        <v>5</v>
      </c>
      <c r="F32" s="11">
        <v>0</v>
      </c>
      <c r="G32" s="11">
        <v>0</v>
      </c>
      <c r="H32" s="11">
        <v>0</v>
      </c>
      <c r="I32" s="11">
        <v>0</v>
      </c>
      <c r="J32" s="11">
        <v>10</v>
      </c>
      <c r="K32">
        <v>0</v>
      </c>
      <c r="L32" s="109">
        <v>150</v>
      </c>
      <c r="M32" s="110">
        <v>89.5</v>
      </c>
      <c r="N32" s="96">
        <f t="shared" si="1"/>
        <v>2.6785714285714284</v>
      </c>
      <c r="O32" s="98">
        <v>1.5982142857142858</v>
      </c>
      <c r="P32" s="107">
        <f>O32/O48</f>
        <v>1.4547226361385387E-2</v>
      </c>
      <c r="Q32" s="108">
        <f t="shared" si="33"/>
        <v>1.387744526979214E-2</v>
      </c>
      <c r="R32" s="77">
        <v>142297</v>
      </c>
      <c r="S32" s="34">
        <v>169696</v>
      </c>
      <c r="T32" s="34">
        <f t="shared" si="3"/>
        <v>2541.0178571428573</v>
      </c>
      <c r="U32" s="34">
        <f t="shared" si="4"/>
        <v>3030.2857142857142</v>
      </c>
      <c r="V32" s="48">
        <f>U32/U48</f>
        <v>2.4613893313060804E-2</v>
      </c>
      <c r="W32" s="48">
        <f t="shared" si="34"/>
        <v>2.3428055524477708E-2</v>
      </c>
      <c r="X32" s="48">
        <f t="shared" si="11"/>
        <v>1.8573893142055556E-2</v>
      </c>
      <c r="Y32" s="48">
        <f t="shared" si="12"/>
        <v>1.7697689371666367E-2</v>
      </c>
      <c r="Z32" s="221">
        <v>67</v>
      </c>
      <c r="AA32" s="26">
        <v>-0.52823844251534979</v>
      </c>
      <c r="AB32" s="26">
        <f t="shared" ref="AB32:AB45" si="35">(0.6*BF32)+(0.4*BS32)</f>
        <v>-0.26492891322578394</v>
      </c>
      <c r="AC32" s="26">
        <v>-0.31</v>
      </c>
      <c r="AD32">
        <v>-0.33</v>
      </c>
      <c r="AE32" s="214"/>
      <c r="AF32" s="214"/>
      <c r="AG32" s="37"/>
      <c r="AH32" s="37"/>
      <c r="AI32" s="69"/>
      <c r="AJ32" s="37"/>
      <c r="AK32" s="23"/>
      <c r="AL32" s="23"/>
      <c r="AM32" s="23"/>
      <c r="AN32" s="23"/>
      <c r="AT32">
        <v>300</v>
      </c>
      <c r="AU32">
        <v>312</v>
      </c>
      <c r="AV32">
        <f t="shared" ref="AV32:AV45" si="36">AT32-AU32</f>
        <v>-12</v>
      </c>
      <c r="AW32">
        <v>301</v>
      </c>
      <c r="AX32">
        <v>470</v>
      </c>
      <c r="AY32">
        <v>770</v>
      </c>
      <c r="AZ32">
        <f t="shared" ref="AZ32:AZ39" si="37">AX32-AY32</f>
        <v>-300</v>
      </c>
      <c r="BA32" s="23">
        <f t="shared" ref="BA32:BA39" si="38">(AZ32-AZ$46)/AZ$47</f>
        <v>-0.75159341989490036</v>
      </c>
      <c r="BB32">
        <v>281</v>
      </c>
      <c r="BC32">
        <f t="shared" si="15"/>
        <v>-1</v>
      </c>
      <c r="BD32">
        <v>31</v>
      </c>
      <c r="BE32" s="23">
        <v>-0.48599999999999999</v>
      </c>
      <c r="BF32" s="23">
        <v>-0.47499999999999998</v>
      </c>
      <c r="BG32" s="34">
        <v>142297</v>
      </c>
      <c r="BH32" s="77">
        <v>176117</v>
      </c>
      <c r="BI32">
        <v>157815</v>
      </c>
      <c r="BJ32" s="34">
        <v>111080</v>
      </c>
      <c r="BK32" s="34">
        <f t="shared" ref="BK32:BK39" si="39">Z32*BJ$50</f>
        <v>144812.125</v>
      </c>
      <c r="BL32" s="34">
        <f t="shared" ref="BL32:BL39" si="40">BJ32-BK32</f>
        <v>-33732.125</v>
      </c>
      <c r="BM32" s="36">
        <f t="shared" ref="BM32:BM39" si="41">(BL32-BL$46)/BL$47</f>
        <v>-0.19320597644602389</v>
      </c>
      <c r="BN32" s="247">
        <f t="shared" si="18"/>
        <v>-0.52823844251534979</v>
      </c>
      <c r="BO32" s="34">
        <v>157437.04999999999</v>
      </c>
      <c r="BP32">
        <f t="shared" ref="BP32:BP45" si="42">BG30-BI32</f>
        <v>-157815</v>
      </c>
      <c r="BQ32" s="34">
        <f t="shared" ref="BQ32:BQ45" si="43">BH32-BO32</f>
        <v>18679.950000000012</v>
      </c>
      <c r="BR32" s="23">
        <v>-4.4999999999999998E-2</v>
      </c>
      <c r="BS32" s="23">
        <f t="shared" ref="BS32:BS45" si="44">(BQ32-BQ$47)/BQ$48</f>
        <v>5.017771693554017E-2</v>
      </c>
      <c r="BT32" s="23">
        <f t="shared" si="20"/>
        <v>-0.30299999999999999</v>
      </c>
    </row>
    <row r="33" spans="1:72" x14ac:dyDescent="0.25">
      <c r="A33" s="9" t="s">
        <v>92</v>
      </c>
      <c r="B33" s="9" t="s">
        <v>97</v>
      </c>
      <c r="C33" s="1">
        <f t="shared" si="0"/>
        <v>89</v>
      </c>
      <c r="D33" s="11">
        <v>0</v>
      </c>
      <c r="E33" s="11">
        <v>0</v>
      </c>
      <c r="F33" s="11">
        <v>0</v>
      </c>
      <c r="G33" s="11">
        <v>0</v>
      </c>
      <c r="H33" s="11">
        <v>51</v>
      </c>
      <c r="I33" s="11">
        <v>38</v>
      </c>
      <c r="J33" s="11">
        <v>0</v>
      </c>
      <c r="K33">
        <v>0</v>
      </c>
      <c r="L33" s="109">
        <v>183.5</v>
      </c>
      <c r="M33" s="110">
        <v>131</v>
      </c>
      <c r="N33" s="96">
        <f t="shared" si="1"/>
        <v>2.0617977528089888</v>
      </c>
      <c r="O33" s="98">
        <v>1.4719101123595506</v>
      </c>
      <c r="P33" s="107">
        <f>O33/O48</f>
        <v>1.3397583652893503E-2</v>
      </c>
      <c r="Q33" s="108">
        <f t="shared" si="33"/>
        <v>1.0681994576208543E-2</v>
      </c>
      <c r="R33" s="77">
        <v>120238</v>
      </c>
      <c r="S33" s="34">
        <v>793658</v>
      </c>
      <c r="T33" s="34">
        <f t="shared" si="3"/>
        <v>1350.9887640449438</v>
      </c>
      <c r="U33" s="34">
        <f t="shared" si="4"/>
        <v>8917.5056179775274</v>
      </c>
      <c r="V33" s="48">
        <f>U33/U48</f>
        <v>7.2433609433180959E-2</v>
      </c>
      <c r="W33" s="48">
        <f t="shared" si="34"/>
        <v>1.245604775583087E-2</v>
      </c>
      <c r="X33" s="48">
        <f t="shared" si="11"/>
        <v>3.7011993965008483E-2</v>
      </c>
      <c r="Y33" s="48">
        <f t="shared" si="12"/>
        <v>1.1391615848057474E-2</v>
      </c>
      <c r="Z33" s="221">
        <v>84</v>
      </c>
      <c r="AA33" s="26">
        <v>-0.84013252942085681</v>
      </c>
      <c r="AB33" s="26">
        <f t="shared" si="35"/>
        <v>-0.60327791972394407</v>
      </c>
      <c r="AC33" s="26">
        <v>-0.59599999999999997</v>
      </c>
      <c r="AD33">
        <v>0.15</v>
      </c>
      <c r="AE33" s="214"/>
      <c r="AF33" s="214"/>
      <c r="AG33" s="37"/>
      <c r="AH33" s="37"/>
      <c r="AI33" s="69"/>
      <c r="AJ33" s="37"/>
      <c r="AK33" s="23"/>
      <c r="AL33" s="23"/>
      <c r="AM33" s="23"/>
      <c r="AN33" s="23"/>
      <c r="AT33">
        <v>367</v>
      </c>
      <c r="AU33">
        <v>367</v>
      </c>
      <c r="AV33">
        <f t="shared" si="36"/>
        <v>0</v>
      </c>
      <c r="AW33">
        <v>478</v>
      </c>
      <c r="AX33">
        <v>620</v>
      </c>
      <c r="AY33">
        <v>965</v>
      </c>
      <c r="AZ33">
        <f t="shared" si="37"/>
        <v>-345</v>
      </c>
      <c r="BA33" s="23">
        <f t="shared" si="38"/>
        <v>-0.86506051339576595</v>
      </c>
      <c r="BB33">
        <v>446</v>
      </c>
      <c r="BC33">
        <f t="shared" si="15"/>
        <v>-111</v>
      </c>
      <c r="BD33">
        <v>-79</v>
      </c>
      <c r="BE33" s="23">
        <v>-0.77500000000000002</v>
      </c>
      <c r="BF33" s="23">
        <v>-0.745</v>
      </c>
      <c r="BG33" s="34">
        <v>120238</v>
      </c>
      <c r="BH33" s="77">
        <v>120238</v>
      </c>
      <c r="BI33">
        <v>262431</v>
      </c>
      <c r="BJ33" s="34">
        <v>2733</v>
      </c>
      <c r="BK33" s="34">
        <f t="shared" si="39"/>
        <v>181555.5</v>
      </c>
      <c r="BL33" s="34">
        <f t="shared" si="40"/>
        <v>-178822.5</v>
      </c>
      <c r="BM33" s="36">
        <f t="shared" si="41"/>
        <v>-0.80274055345849293</v>
      </c>
      <c r="BN33" s="247">
        <f t="shared" si="18"/>
        <v>-0.84013252942085681</v>
      </c>
      <c r="BO33" s="34">
        <v>251086.46</v>
      </c>
      <c r="BP33">
        <f t="shared" si="42"/>
        <v>-262431</v>
      </c>
      <c r="BQ33" s="34">
        <f t="shared" si="43"/>
        <v>-130848.45999999999</v>
      </c>
      <c r="BR33" s="23">
        <v>-0.32900000000000001</v>
      </c>
      <c r="BS33" s="23">
        <f t="shared" si="44"/>
        <v>-0.39069479930986006</v>
      </c>
      <c r="BT33" s="23">
        <f t="shared" si="20"/>
        <v>-0.5786</v>
      </c>
    </row>
    <row r="34" spans="1:72" x14ac:dyDescent="0.25">
      <c r="A34" s="9" t="s">
        <v>92</v>
      </c>
      <c r="B34" s="46" t="s">
        <v>96</v>
      </c>
      <c r="C34" s="1">
        <f t="shared" si="0"/>
        <v>77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>
        <v>77</v>
      </c>
      <c r="L34" s="109">
        <v>146.5</v>
      </c>
      <c r="M34" s="110">
        <v>206</v>
      </c>
      <c r="N34" s="96">
        <f t="shared" si="1"/>
        <v>1.9025974025974026</v>
      </c>
      <c r="O34" s="98">
        <v>2.6753246753246751</v>
      </c>
      <c r="P34" s="107">
        <f>O34/O48</f>
        <v>2.4351273787265731E-2</v>
      </c>
      <c r="Q34" s="108">
        <f t="shared" si="33"/>
        <v>9.8571914279978121E-3</v>
      </c>
      <c r="R34" s="77">
        <v>36623</v>
      </c>
      <c r="S34" s="34">
        <v>133816</v>
      </c>
      <c r="T34" s="34">
        <f t="shared" si="3"/>
        <v>475.6233766233766</v>
      </c>
      <c r="U34" s="34">
        <f t="shared" si="4"/>
        <v>1737.8701298701299</v>
      </c>
      <c r="V34" s="48">
        <f>U34/U48</f>
        <v>1.4116078152934636E-2</v>
      </c>
      <c r="W34" s="48">
        <f t="shared" si="34"/>
        <v>4.3852233643100992E-3</v>
      </c>
      <c r="X34" s="48">
        <f t="shared" si="11"/>
        <v>2.0257195533533293E-2</v>
      </c>
      <c r="Y34" s="48">
        <f t="shared" si="12"/>
        <v>7.6684042025227271E-3</v>
      </c>
      <c r="Z34" s="221">
        <v>74</v>
      </c>
      <c r="AA34" s="26">
        <v>-0.33391969976544122</v>
      </c>
      <c r="AB34" s="26">
        <f t="shared" si="35"/>
        <v>-0.56006503496414162</v>
      </c>
      <c r="AC34" s="26">
        <v>-0.65100000000000002</v>
      </c>
      <c r="AD34">
        <v>-0.111</v>
      </c>
      <c r="AE34" s="214"/>
      <c r="AF34" s="214"/>
      <c r="AG34" s="37"/>
      <c r="AH34" s="37"/>
      <c r="AI34" s="69"/>
      <c r="AJ34" s="37"/>
      <c r="AK34" s="23"/>
      <c r="AL34" s="23"/>
      <c r="AM34" s="23"/>
      <c r="AN34" s="23"/>
      <c r="AT34">
        <v>293</v>
      </c>
      <c r="AU34">
        <v>385</v>
      </c>
      <c r="AV34">
        <f t="shared" si="36"/>
        <v>-92</v>
      </c>
      <c r="AW34">
        <v>413</v>
      </c>
      <c r="AX34">
        <v>702</v>
      </c>
      <c r="AY34">
        <v>850</v>
      </c>
      <c r="AZ34">
        <f t="shared" si="37"/>
        <v>-148</v>
      </c>
      <c r="BA34" s="23">
        <f t="shared" si="38"/>
        <v>-0.36832679295864318</v>
      </c>
      <c r="BB34">
        <v>386</v>
      </c>
      <c r="BC34">
        <f t="shared" si="15"/>
        <v>-120</v>
      </c>
      <c r="BD34">
        <v>-1</v>
      </c>
      <c r="BE34" s="23">
        <v>-0.79900000000000004</v>
      </c>
      <c r="BF34" s="23">
        <v>-0.55400000000000005</v>
      </c>
      <c r="BG34" s="34">
        <v>36623</v>
      </c>
      <c r="BH34" s="77">
        <v>25617</v>
      </c>
      <c r="BI34">
        <v>223856</v>
      </c>
      <c r="BJ34" s="34">
        <v>105000</v>
      </c>
      <c r="BK34" s="34">
        <f t="shared" si="39"/>
        <v>159941.75</v>
      </c>
      <c r="BL34" s="34">
        <f t="shared" si="40"/>
        <v>-54941.75</v>
      </c>
      <c r="BM34" s="36">
        <f t="shared" si="41"/>
        <v>-0.28230905997563838</v>
      </c>
      <c r="BN34" s="247">
        <f t="shared" si="18"/>
        <v>-0.33391969976544122</v>
      </c>
      <c r="BO34" s="34">
        <v>216995.44</v>
      </c>
      <c r="BP34">
        <f t="shared" si="42"/>
        <v>-81559</v>
      </c>
      <c r="BQ34" s="34">
        <f t="shared" si="43"/>
        <v>-191378.44</v>
      </c>
      <c r="BR34" s="23">
        <v>-0.43</v>
      </c>
      <c r="BS34" s="23">
        <f t="shared" si="44"/>
        <v>-0.56916258741035386</v>
      </c>
      <c r="BT34" s="23">
        <f t="shared" si="20"/>
        <v>-0.50440000000000007</v>
      </c>
    </row>
    <row r="35" spans="1:72" x14ac:dyDescent="0.25">
      <c r="A35" s="7" t="s">
        <v>92</v>
      </c>
      <c r="B35" s="7" t="s">
        <v>98</v>
      </c>
      <c r="C35" s="1">
        <f t="shared" si="0"/>
        <v>55</v>
      </c>
      <c r="D35" s="11">
        <v>2</v>
      </c>
      <c r="E35" s="11">
        <v>8</v>
      </c>
      <c r="F35" s="11">
        <v>13</v>
      </c>
      <c r="G35" s="11">
        <v>13</v>
      </c>
      <c r="H35" s="11">
        <v>2</v>
      </c>
      <c r="I35" s="11">
        <v>7</v>
      </c>
      <c r="J35" s="11">
        <v>8</v>
      </c>
      <c r="K35" s="33">
        <v>2</v>
      </c>
      <c r="L35" s="100">
        <v>174</v>
      </c>
      <c r="M35" s="110">
        <v>87.5</v>
      </c>
      <c r="N35" s="96">
        <f t="shared" si="1"/>
        <v>3.1636363636363636</v>
      </c>
      <c r="O35" s="98">
        <v>1.5909090909090908</v>
      </c>
      <c r="P35" s="107">
        <f>O35/O48</f>
        <v>1.4480733198738117E-2</v>
      </c>
      <c r="Q35" s="108">
        <f t="shared" si="33"/>
        <v>1.6390524449558137E-2</v>
      </c>
      <c r="R35" s="77">
        <v>874663</v>
      </c>
      <c r="S35" s="34">
        <v>562411</v>
      </c>
      <c r="T35" s="34">
        <f t="shared" si="3"/>
        <v>15902.963636363636</v>
      </c>
      <c r="U35" s="34">
        <f t="shared" si="4"/>
        <v>10225.654545454545</v>
      </c>
      <c r="V35" s="48">
        <f>U35/U48</f>
        <v>8.3059220736669534E-2</v>
      </c>
      <c r="W35" s="48">
        <f t="shared" si="34"/>
        <v>0.1466245166397234</v>
      </c>
      <c r="X35" s="48">
        <f t="shared" si="11"/>
        <v>4.1912128213910681E-2</v>
      </c>
      <c r="Y35" s="48">
        <f t="shared" si="12"/>
        <v>6.8484121325624245E-2</v>
      </c>
      <c r="Z35" s="221">
        <v>70</v>
      </c>
      <c r="AA35" s="26">
        <v>0.39831298396719544</v>
      </c>
      <c r="AB35" s="25">
        <f t="shared" si="35"/>
        <v>0.6342541848779728</v>
      </c>
      <c r="AC35" s="26">
        <v>0.434</v>
      </c>
      <c r="AD35">
        <v>9.4E-2</v>
      </c>
      <c r="AE35" s="213">
        <v>130562.09415723543</v>
      </c>
      <c r="AF35" s="212"/>
      <c r="AG35" s="67">
        <f>AJ35*AR$3</f>
        <v>200560.04871614298</v>
      </c>
      <c r="AH35" s="70"/>
      <c r="AI35" s="70">
        <f>AG35-AE35</f>
        <v>69997.954558907542</v>
      </c>
      <c r="AJ35" s="67">
        <f>C35*AM35</f>
        <v>3.7269051052818005</v>
      </c>
      <c r="AK35" s="23"/>
      <c r="AL35" s="23"/>
      <c r="AM35" s="23">
        <f>AB35/AS$2</f>
        <v>6.7761911005123646E-2</v>
      </c>
      <c r="AN35" s="23"/>
      <c r="AT35">
        <v>348</v>
      </c>
      <c r="AU35">
        <v>356</v>
      </c>
      <c r="AV35">
        <f t="shared" si="36"/>
        <v>-8</v>
      </c>
      <c r="AW35">
        <v>295</v>
      </c>
      <c r="AX35">
        <v>585</v>
      </c>
      <c r="AY35">
        <v>804</v>
      </c>
      <c r="AZ35">
        <f t="shared" si="37"/>
        <v>-219</v>
      </c>
      <c r="BA35" s="23">
        <f t="shared" si="38"/>
        <v>-0.54735265159334223</v>
      </c>
      <c r="BB35">
        <v>276</v>
      </c>
      <c r="BC35">
        <f t="shared" si="15"/>
        <v>53</v>
      </c>
      <c r="BD35">
        <v>80</v>
      </c>
      <c r="BE35" s="23">
        <v>-0.34499999999999997</v>
      </c>
      <c r="BF35" s="23">
        <v>-0.35499999999999998</v>
      </c>
      <c r="BG35" s="34">
        <v>874663</v>
      </c>
      <c r="BH35" s="77">
        <v>874663</v>
      </c>
      <c r="BI35">
        <v>154724</v>
      </c>
      <c r="BJ35" s="34">
        <v>596018</v>
      </c>
      <c r="BK35" s="34">
        <f t="shared" si="39"/>
        <v>151296.25</v>
      </c>
      <c r="BL35" s="34">
        <f t="shared" si="40"/>
        <v>444721.75</v>
      </c>
      <c r="BM35" s="231">
        <f t="shared" si="41"/>
        <v>1.8168114373080018</v>
      </c>
      <c r="BN35" s="247">
        <f t="shared" si="18"/>
        <v>0.39831298396719544</v>
      </c>
      <c r="BO35" s="34">
        <v>154604.71</v>
      </c>
      <c r="BP35">
        <f t="shared" si="42"/>
        <v>-34486</v>
      </c>
      <c r="BQ35" s="34">
        <f t="shared" si="43"/>
        <v>720058.29</v>
      </c>
      <c r="BR35" s="23">
        <v>1.603</v>
      </c>
      <c r="BS35" s="23">
        <f t="shared" si="44"/>
        <v>2.1181354621949318</v>
      </c>
      <c r="BT35" s="23">
        <f t="shared" si="20"/>
        <v>0.42820000000000003</v>
      </c>
    </row>
    <row r="36" spans="1:72" x14ac:dyDescent="0.25">
      <c r="A36" s="9" t="s">
        <v>99</v>
      </c>
      <c r="B36" s="117" t="s">
        <v>192</v>
      </c>
      <c r="C36" s="1">
        <f t="shared" si="0"/>
        <v>24</v>
      </c>
      <c r="D36">
        <v>0</v>
      </c>
      <c r="E36" s="8">
        <v>8</v>
      </c>
      <c r="F36">
        <v>0</v>
      </c>
      <c r="G36">
        <v>0</v>
      </c>
      <c r="H36">
        <v>0</v>
      </c>
      <c r="I36" s="8">
        <v>16</v>
      </c>
      <c r="J36">
        <v>0</v>
      </c>
      <c r="K36">
        <v>0</v>
      </c>
      <c r="L36" s="109">
        <v>485</v>
      </c>
      <c r="M36" s="110">
        <v>230.5</v>
      </c>
      <c r="N36" s="96">
        <f t="shared" si="1"/>
        <v>20.208333333333332</v>
      </c>
      <c r="O36" s="98">
        <v>9.6041666666666661</v>
      </c>
      <c r="P36" s="107">
        <f>O36/O48</f>
        <v>8.7418807203334517E-2</v>
      </c>
      <c r="Q36" s="108">
        <f t="shared" si="33"/>
        <v>0.10469761486876515</v>
      </c>
      <c r="R36" s="77">
        <v>42900</v>
      </c>
      <c r="S36" s="34">
        <v>91221</v>
      </c>
      <c r="T36" s="34">
        <f t="shared" si="3"/>
        <v>1787.5</v>
      </c>
      <c r="U36" s="34">
        <f t="shared" si="4"/>
        <v>3800.875</v>
      </c>
      <c r="V36" s="48">
        <f>U36/U48</f>
        <v>3.0873105894020359E-2</v>
      </c>
      <c r="W36" s="48">
        <f t="shared" si="34"/>
        <v>1.648065917060949E-2</v>
      </c>
      <c r="X36" s="48">
        <f t="shared" si="11"/>
        <v>6.4800526679608852E-2</v>
      </c>
      <c r="Y36" s="48">
        <f t="shared" si="12"/>
        <v>6.9410832589502883E-2</v>
      </c>
      <c r="Z36" s="221">
        <v>25</v>
      </c>
      <c r="AA36" s="25">
        <v>0.62625163412610796</v>
      </c>
      <c r="AB36" s="25">
        <f t="shared" si="35"/>
        <v>0.87916577696902554</v>
      </c>
      <c r="AC36" s="26">
        <v>1.012</v>
      </c>
      <c r="AD36" s="73">
        <v>0.53300000000000003</v>
      </c>
      <c r="AE36" s="213">
        <v>118202.74072365975</v>
      </c>
      <c r="AF36" s="280">
        <f>AL36*AR$8</f>
        <v>118067.84761370919</v>
      </c>
      <c r="AG36" s="67">
        <f>AJ36*AR$3</f>
        <v>121311.06384615818</v>
      </c>
      <c r="AH36" s="67" t="e">
        <f>C36*AK36</f>
        <v>#VALUE!</v>
      </c>
      <c r="AI36" s="70">
        <f>AG36-AE36</f>
        <v>3108.3231224984338</v>
      </c>
      <c r="AJ36" s="67">
        <f>C36*AM36</f>
        <v>2.2542616342066282</v>
      </c>
      <c r="AK36" s="23" t="e">
        <f>AD36/AR2</f>
        <v>#VALUE!</v>
      </c>
      <c r="AL36" s="23">
        <f>Z36*AN36</f>
        <v>1.6872900687592938</v>
      </c>
      <c r="AM36" s="23">
        <f>AB36/AS$2</f>
        <v>9.3927568091942831E-2</v>
      </c>
      <c r="AN36" s="23">
        <f>AA36/AS$5</f>
        <v>6.7491602750371749E-2</v>
      </c>
      <c r="AT36">
        <v>970</v>
      </c>
      <c r="AU36">
        <v>962</v>
      </c>
      <c r="AV36">
        <f t="shared" si="36"/>
        <v>8</v>
      </c>
      <c r="AW36">
        <v>129</v>
      </c>
      <c r="AX36">
        <v>725</v>
      </c>
      <c r="AY36">
        <v>287</v>
      </c>
      <c r="AZ36">
        <f t="shared" si="37"/>
        <v>438</v>
      </c>
      <c r="BA36" s="25">
        <f t="shared" si="38"/>
        <v>1.1092669135192956</v>
      </c>
      <c r="BB36">
        <v>120</v>
      </c>
      <c r="BC36">
        <f t="shared" si="15"/>
        <v>841</v>
      </c>
      <c r="BD36">
        <v>842</v>
      </c>
      <c r="BE36" s="25">
        <v>1.7230000000000001</v>
      </c>
      <c r="BF36" s="23">
        <v>1.516</v>
      </c>
      <c r="BG36" s="34">
        <v>42900</v>
      </c>
      <c r="BH36" s="77">
        <v>42900</v>
      </c>
      <c r="BI36">
        <v>62260</v>
      </c>
      <c r="BJ36" s="34">
        <v>42900</v>
      </c>
      <c r="BK36" s="34">
        <f t="shared" si="39"/>
        <v>54034.375</v>
      </c>
      <c r="BL36" s="34">
        <f t="shared" si="40"/>
        <v>-11134.375</v>
      </c>
      <c r="BM36" s="36">
        <f t="shared" si="41"/>
        <v>-9.8271284963673503E-2</v>
      </c>
      <c r="BN36" s="231">
        <f t="shared" si="18"/>
        <v>0.62625163412610796</v>
      </c>
      <c r="BO36" s="34">
        <v>67044.100000000006</v>
      </c>
      <c r="BP36">
        <f t="shared" si="42"/>
        <v>-25637</v>
      </c>
      <c r="BQ36" s="34">
        <f t="shared" si="43"/>
        <v>-24144.100000000006</v>
      </c>
      <c r="BR36" s="23">
        <v>-5.2999999999999999E-2</v>
      </c>
      <c r="BS36" s="23">
        <f t="shared" si="44"/>
        <v>-7.6085557577435931E-2</v>
      </c>
      <c r="BT36" s="23">
        <f t="shared" si="20"/>
        <v>0.88839999999999997</v>
      </c>
    </row>
    <row r="37" spans="1:72" x14ac:dyDescent="0.25">
      <c r="A37" s="9" t="s">
        <v>111</v>
      </c>
      <c r="B37" s="117" t="s">
        <v>190</v>
      </c>
      <c r="C37" s="1">
        <f t="shared" si="0"/>
        <v>32</v>
      </c>
      <c r="D37">
        <v>0</v>
      </c>
      <c r="E37" s="11">
        <v>21</v>
      </c>
      <c r="F37">
        <v>0</v>
      </c>
      <c r="G37">
        <v>0</v>
      </c>
      <c r="H37">
        <v>0</v>
      </c>
      <c r="I37">
        <v>11</v>
      </c>
      <c r="J37">
        <v>0</v>
      </c>
      <c r="K37">
        <v>0</v>
      </c>
      <c r="L37" s="109">
        <v>109.5</v>
      </c>
      <c r="M37" s="110">
        <v>23</v>
      </c>
      <c r="N37" s="96">
        <f t="shared" si="1"/>
        <v>3.421875</v>
      </c>
      <c r="O37" s="98">
        <v>0.71875</v>
      </c>
      <c r="P37" s="107">
        <f>O37/O48</f>
        <v>6.5421883915727569E-3</v>
      </c>
      <c r="Q37" s="108">
        <f t="shared" si="33"/>
        <v>1.772843633215946E-2</v>
      </c>
      <c r="R37" s="77">
        <v>0</v>
      </c>
      <c r="S37" s="34">
        <v>0</v>
      </c>
      <c r="T37" s="34">
        <f t="shared" si="3"/>
        <v>0</v>
      </c>
      <c r="U37" s="34">
        <f t="shared" si="4"/>
        <v>0</v>
      </c>
      <c r="V37" s="48">
        <f>U37/U48</f>
        <v>0</v>
      </c>
      <c r="W37" s="48">
        <f t="shared" si="34"/>
        <v>0</v>
      </c>
      <c r="X37" s="48">
        <f t="shared" si="11"/>
        <v>3.9253130349436536E-3</v>
      </c>
      <c r="Y37" s="48">
        <f t="shared" si="12"/>
        <v>1.0637061799295676E-2</v>
      </c>
      <c r="Z37" s="221">
        <v>34</v>
      </c>
      <c r="AA37" s="26">
        <v>-0.25312902559444395</v>
      </c>
      <c r="AB37" s="26">
        <f t="shared" si="35"/>
        <v>-0.34401418109681142</v>
      </c>
      <c r="AC37" s="26">
        <v>-0.29699999999999999</v>
      </c>
      <c r="AD37">
        <v>-0.52900000000000003</v>
      </c>
      <c r="AE37" s="214"/>
      <c r="AF37" s="214"/>
      <c r="AG37" s="37"/>
      <c r="AH37" s="37"/>
      <c r="AI37" s="69"/>
      <c r="AJ37" s="37"/>
      <c r="AK37" s="23"/>
      <c r="AL37" s="23"/>
      <c r="AM37" s="23"/>
      <c r="AN37" s="23"/>
      <c r="AT37">
        <v>219</v>
      </c>
      <c r="AU37">
        <v>224</v>
      </c>
      <c r="AV37">
        <f t="shared" si="36"/>
        <v>-5</v>
      </c>
      <c r="AW37">
        <v>172</v>
      </c>
      <c r="AX37">
        <v>317</v>
      </c>
      <c r="AY37">
        <v>391</v>
      </c>
      <c r="AZ37">
        <f t="shared" si="37"/>
        <v>-74</v>
      </c>
      <c r="BA37" s="23">
        <f t="shared" si="38"/>
        <v>-0.18173646142388644</v>
      </c>
      <c r="BB37">
        <v>160</v>
      </c>
      <c r="BC37">
        <f t="shared" si="15"/>
        <v>47</v>
      </c>
      <c r="BD37">
        <v>64</v>
      </c>
      <c r="BE37" s="23">
        <v>-0.36</v>
      </c>
      <c r="BF37" s="23">
        <v>-0.39400000000000002</v>
      </c>
      <c r="BG37" s="34">
        <v>0</v>
      </c>
      <c r="BH37" s="77">
        <v>0</v>
      </c>
      <c r="BI37">
        <v>85380</v>
      </c>
      <c r="BJ37" s="34">
        <v>0</v>
      </c>
      <c r="BK37" s="34">
        <f t="shared" si="39"/>
        <v>73486.75</v>
      </c>
      <c r="BL37" s="34">
        <f t="shared" si="40"/>
        <v>-73486.75</v>
      </c>
      <c r="BM37" s="36">
        <f t="shared" si="41"/>
        <v>-0.36021787185028026</v>
      </c>
      <c r="BN37" s="247">
        <f t="shared" si="18"/>
        <v>-0.25312902559444395</v>
      </c>
      <c r="BO37" s="34">
        <v>89585.9</v>
      </c>
      <c r="BP37">
        <f t="shared" si="42"/>
        <v>789283</v>
      </c>
      <c r="BQ37" s="34">
        <f t="shared" si="43"/>
        <v>-89585.9</v>
      </c>
      <c r="BR37" s="23">
        <v>-0.20100000000000001</v>
      </c>
      <c r="BS37" s="23">
        <f t="shared" si="44"/>
        <v>-0.26903545274202856</v>
      </c>
      <c r="BT37" s="23">
        <f t="shared" si="20"/>
        <v>-0.31680000000000003</v>
      </c>
    </row>
    <row r="38" spans="1:72" x14ac:dyDescent="0.25">
      <c r="A38" s="9" t="s">
        <v>114</v>
      </c>
      <c r="B38" s="117" t="s">
        <v>191</v>
      </c>
      <c r="C38" s="1">
        <f t="shared" si="0"/>
        <v>33</v>
      </c>
      <c r="D38">
        <v>0</v>
      </c>
      <c r="E38">
        <v>16</v>
      </c>
      <c r="F38">
        <v>0</v>
      </c>
      <c r="G38">
        <v>0</v>
      </c>
      <c r="H38">
        <v>0</v>
      </c>
      <c r="I38" s="12">
        <v>17</v>
      </c>
      <c r="J38">
        <v>0</v>
      </c>
      <c r="K38">
        <v>0</v>
      </c>
      <c r="L38" s="109">
        <v>208.5</v>
      </c>
      <c r="M38" s="110">
        <v>38.5</v>
      </c>
      <c r="N38" s="96">
        <f t="shared" si="1"/>
        <v>6.3181818181818183</v>
      </c>
      <c r="O38" s="98">
        <v>1.1666666666666667</v>
      </c>
      <c r="P38" s="107">
        <f>O38/O48</f>
        <v>1.0619204345741288E-2</v>
      </c>
      <c r="Q38" s="108">
        <f t="shared" si="33"/>
        <v>3.273394969092789E-2</v>
      </c>
      <c r="R38" s="77">
        <v>121617</v>
      </c>
      <c r="S38" s="34">
        <v>119784</v>
      </c>
      <c r="T38" s="34">
        <f t="shared" si="3"/>
        <v>3685.3636363636365</v>
      </c>
      <c r="U38" s="34">
        <f t="shared" si="4"/>
        <v>3629.818181818182</v>
      </c>
      <c r="V38" s="48">
        <f>U38/U48</f>
        <v>2.9483674444256435E-2</v>
      </c>
      <c r="W38" s="48">
        <f t="shared" si="34"/>
        <v>3.3978865460513062E-2</v>
      </c>
      <c r="X38" s="48">
        <f t="shared" si="11"/>
        <v>1.8164992385147349E-2</v>
      </c>
      <c r="Y38" s="48">
        <f t="shared" si="12"/>
        <v>3.3231915998761956E-2</v>
      </c>
      <c r="Z38" s="221">
        <v>27</v>
      </c>
      <c r="AA38" s="25">
        <v>0.94842359039431823</v>
      </c>
      <c r="AB38" s="26">
        <f t="shared" si="35"/>
        <v>0.11109005481337905</v>
      </c>
      <c r="AC38" s="26">
        <v>0.113</v>
      </c>
      <c r="AD38">
        <v>-0.34399999999999997</v>
      </c>
      <c r="AE38" s="214"/>
      <c r="AF38" s="280">
        <f>AL38*AR$8</f>
        <v>193111.82903050794</v>
      </c>
      <c r="AG38" s="37"/>
      <c r="AH38" s="37"/>
      <c r="AI38" s="69"/>
      <c r="AJ38" s="37"/>
      <c r="AK38" s="23"/>
      <c r="AL38" s="23">
        <f>Z38*AN38</f>
        <v>2.7597324578083104</v>
      </c>
      <c r="AM38" s="23"/>
      <c r="AN38" s="23">
        <f>AA38/AS$5</f>
        <v>0.10221231325215964</v>
      </c>
      <c r="AT38">
        <v>417</v>
      </c>
      <c r="AU38">
        <v>443</v>
      </c>
      <c r="AV38">
        <f t="shared" si="36"/>
        <v>-26</v>
      </c>
      <c r="AW38">
        <v>177</v>
      </c>
      <c r="AX38">
        <v>893</v>
      </c>
      <c r="AY38">
        <v>310</v>
      </c>
      <c r="AZ38">
        <f t="shared" si="37"/>
        <v>583</v>
      </c>
      <c r="BA38" s="25">
        <f t="shared" si="38"/>
        <v>1.4748831036887515</v>
      </c>
      <c r="BB38">
        <v>165</v>
      </c>
      <c r="BC38">
        <f t="shared" si="15"/>
        <v>240</v>
      </c>
      <c r="BD38">
        <v>278</v>
      </c>
      <c r="BE38" s="23">
        <v>0.14599999999999999</v>
      </c>
      <c r="BF38" s="23">
        <v>0.13100000000000001</v>
      </c>
      <c r="BG38" s="34">
        <v>121617</v>
      </c>
      <c r="BH38" s="77">
        <v>121617</v>
      </c>
      <c r="BI38">
        <v>88314</v>
      </c>
      <c r="BJ38" s="34">
        <v>108399</v>
      </c>
      <c r="BK38" s="34">
        <f t="shared" si="39"/>
        <v>58357.125</v>
      </c>
      <c r="BL38" s="34">
        <f t="shared" si="40"/>
        <v>50041.875</v>
      </c>
      <c r="BM38" s="231">
        <f t="shared" si="41"/>
        <v>0.15873432045266828</v>
      </c>
      <c r="BN38" s="231">
        <f t="shared" si="18"/>
        <v>0.94842359039431823</v>
      </c>
      <c r="BO38" s="34">
        <v>92406.86</v>
      </c>
      <c r="BP38">
        <f t="shared" si="42"/>
        <v>-45414</v>
      </c>
      <c r="BQ38" s="34">
        <f t="shared" si="43"/>
        <v>29210.14</v>
      </c>
      <c r="BR38" s="23">
        <v>6.5000000000000002E-2</v>
      </c>
      <c r="BS38" s="23">
        <f t="shared" si="44"/>
        <v>8.1225137033447622E-2</v>
      </c>
      <c r="BT38" s="23">
        <f t="shared" si="20"/>
        <v>0.1046</v>
      </c>
    </row>
    <row r="39" spans="1:72" x14ac:dyDescent="0.25">
      <c r="A39" s="9" t="s">
        <v>118</v>
      </c>
      <c r="B39" s="9" t="s">
        <v>119</v>
      </c>
      <c r="C39" s="1">
        <f t="shared" si="0"/>
        <v>17</v>
      </c>
      <c r="D39">
        <v>0</v>
      </c>
      <c r="E39">
        <v>17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 s="109">
        <v>149.5</v>
      </c>
      <c r="M39" s="110">
        <v>8</v>
      </c>
      <c r="N39" s="96">
        <f t="shared" si="1"/>
        <v>8.7941176470588243</v>
      </c>
      <c r="O39" s="98">
        <v>0.47058823529411764</v>
      </c>
      <c r="P39" s="107">
        <f>O39/O48</f>
        <v>4.2833765428200148E-3</v>
      </c>
      <c r="Q39" s="108">
        <f t="shared" si="33"/>
        <v>4.5561557568117576E-2</v>
      </c>
      <c r="R39" s="77">
        <v>0</v>
      </c>
      <c r="S39" s="34">
        <v>720</v>
      </c>
      <c r="T39" s="34">
        <f t="shared" si="3"/>
        <v>0</v>
      </c>
      <c r="U39" s="34">
        <f t="shared" si="4"/>
        <v>42.352941176470587</v>
      </c>
      <c r="V39" s="48">
        <f>U39/U48</f>
        <v>3.4401732176522293E-4</v>
      </c>
      <c r="W39" s="48">
        <f t="shared" si="34"/>
        <v>0</v>
      </c>
      <c r="X39" s="48">
        <f t="shared" si="11"/>
        <v>2.707632854398098E-3</v>
      </c>
      <c r="Y39" s="48">
        <f t="shared" si="12"/>
        <v>2.7336934540870547E-2</v>
      </c>
      <c r="Z39" s="221">
        <v>16</v>
      </c>
      <c r="AA39" s="26">
        <v>0.16323912195674756</v>
      </c>
      <c r="AB39" s="26">
        <f t="shared" si="35"/>
        <v>-7.2221940709726373E-2</v>
      </c>
      <c r="AC39" s="26">
        <v>-5.0000000000000001E-3</v>
      </c>
      <c r="AD39">
        <v>-0.42499999999999999</v>
      </c>
      <c r="AE39" s="214"/>
      <c r="AF39" s="214"/>
      <c r="AG39" s="37"/>
      <c r="AH39" s="37"/>
      <c r="AI39" s="69"/>
      <c r="AJ39" s="37"/>
      <c r="AK39" s="23"/>
      <c r="AL39" s="23"/>
      <c r="AM39" s="23"/>
      <c r="AN39" s="23"/>
      <c r="AT39">
        <v>299</v>
      </c>
      <c r="AU39">
        <v>300</v>
      </c>
      <c r="AV39">
        <f t="shared" si="36"/>
        <v>-1</v>
      </c>
      <c r="AW39">
        <v>91</v>
      </c>
      <c r="AX39">
        <v>342</v>
      </c>
      <c r="AY39">
        <v>184</v>
      </c>
      <c r="AZ39">
        <f t="shared" si="37"/>
        <v>158</v>
      </c>
      <c r="BA39" s="23">
        <f t="shared" si="38"/>
        <v>0.40324944284724301</v>
      </c>
      <c r="BB39">
        <v>85</v>
      </c>
      <c r="BC39">
        <f t="shared" si="15"/>
        <v>208</v>
      </c>
      <c r="BD39">
        <v>215</v>
      </c>
      <c r="BE39" s="23">
        <v>6.2E-2</v>
      </c>
      <c r="BF39" s="23">
        <v>-2.4E-2</v>
      </c>
      <c r="BG39" s="34">
        <v>0</v>
      </c>
      <c r="BH39" s="77">
        <v>0</v>
      </c>
      <c r="BI39">
        <v>42639</v>
      </c>
      <c r="BJ39" s="34">
        <v>0</v>
      </c>
      <c r="BK39" s="34">
        <f t="shared" si="39"/>
        <v>34582</v>
      </c>
      <c r="BL39" s="34">
        <f t="shared" si="40"/>
        <v>-34582</v>
      </c>
      <c r="BM39" s="36">
        <f t="shared" si="41"/>
        <v>-0.19677635937899565</v>
      </c>
      <c r="BN39" s="247">
        <f t="shared" si="18"/>
        <v>0.16323912195674756</v>
      </c>
      <c r="BO39" s="34">
        <v>47366.47</v>
      </c>
      <c r="BP39">
        <f t="shared" si="42"/>
        <v>-42639</v>
      </c>
      <c r="BQ39" s="34">
        <f t="shared" si="43"/>
        <v>-47366.47</v>
      </c>
      <c r="BR39" s="23">
        <v>-0.106</v>
      </c>
      <c r="BS39" s="23">
        <f t="shared" si="44"/>
        <v>-0.14455485177431593</v>
      </c>
      <c r="BT39" s="23">
        <f t="shared" si="20"/>
        <v>-5.6800000000000003E-2</v>
      </c>
    </row>
    <row r="40" spans="1:72" x14ac:dyDescent="0.25">
      <c r="A40" s="7" t="s">
        <v>118</v>
      </c>
      <c r="B40" s="118" t="s">
        <v>193</v>
      </c>
      <c r="C40" s="1">
        <f t="shared" si="0"/>
        <v>8</v>
      </c>
      <c r="D40">
        <v>0</v>
      </c>
      <c r="E40">
        <v>8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 s="109">
        <v>135.5</v>
      </c>
      <c r="M40" s="110">
        <v>14</v>
      </c>
      <c r="N40" s="96">
        <f t="shared" si="1"/>
        <v>16.9375</v>
      </c>
      <c r="O40" s="98">
        <v>1.75</v>
      </c>
      <c r="P40" s="107">
        <f>O40/O48</f>
        <v>1.5928806518611931E-2</v>
      </c>
      <c r="Q40" s="108">
        <f t="shared" si="33"/>
        <v>8.7751712255985645E-2</v>
      </c>
      <c r="R40" s="77">
        <v>0</v>
      </c>
      <c r="S40" s="34">
        <v>0</v>
      </c>
      <c r="T40" s="34">
        <f t="shared" si="3"/>
        <v>0</v>
      </c>
      <c r="U40" s="34">
        <f t="shared" si="4"/>
        <v>0</v>
      </c>
      <c r="V40" s="48">
        <f>U40/U48</f>
        <v>0</v>
      </c>
      <c r="W40" s="48">
        <f t="shared" si="34"/>
        <v>0</v>
      </c>
      <c r="X40" s="48">
        <f t="shared" si="11"/>
        <v>9.5572839111671588E-3</v>
      </c>
      <c r="Y40" s="48">
        <f t="shared" si="12"/>
        <v>5.2651027353591388E-2</v>
      </c>
      <c r="Z40" s="249">
        <v>2</v>
      </c>
      <c r="AA40" s="26"/>
      <c r="AB40" s="26">
        <f t="shared" si="35"/>
        <v>-1.8498956657400228E-2</v>
      </c>
      <c r="AC40" s="26">
        <v>4.8000000000000001E-2</v>
      </c>
      <c r="AD40">
        <v>-0.30099999999999999</v>
      </c>
      <c r="AE40" s="214"/>
      <c r="AF40" s="214"/>
      <c r="AG40" s="37"/>
      <c r="AH40" s="37"/>
      <c r="AI40" s="69"/>
      <c r="AJ40" s="37"/>
      <c r="AK40" s="23"/>
      <c r="AL40" s="23"/>
      <c r="AM40" s="23"/>
      <c r="AN40" s="23"/>
      <c r="AT40">
        <v>271</v>
      </c>
      <c r="AU40">
        <v>271</v>
      </c>
      <c r="AV40">
        <f t="shared" si="36"/>
        <v>0</v>
      </c>
      <c r="AW40">
        <v>43</v>
      </c>
      <c r="BA40" s="23"/>
      <c r="BB40">
        <v>40</v>
      </c>
      <c r="BC40">
        <f t="shared" si="15"/>
        <v>228</v>
      </c>
      <c r="BD40">
        <v>231</v>
      </c>
      <c r="BE40" s="23">
        <v>0.114</v>
      </c>
      <c r="BF40" s="23">
        <v>1.6E-2</v>
      </c>
      <c r="BG40" s="34">
        <v>0</v>
      </c>
      <c r="BH40" s="77">
        <v>0</v>
      </c>
      <c r="BI40">
        <v>18640</v>
      </c>
      <c r="BJ40" s="34"/>
      <c r="BK40" s="34"/>
      <c r="BL40" s="34"/>
      <c r="BM40" s="36"/>
      <c r="BN40" s="247"/>
      <c r="BO40" s="34">
        <v>22164</v>
      </c>
      <c r="BP40">
        <f t="shared" si="42"/>
        <v>102977</v>
      </c>
      <c r="BQ40" s="34">
        <f t="shared" si="43"/>
        <v>-22164</v>
      </c>
      <c r="BR40" s="23">
        <v>-5.1999999999999998E-2</v>
      </c>
      <c r="BS40" s="23">
        <f t="shared" si="44"/>
        <v>-7.0247391643500565E-2</v>
      </c>
      <c r="BT40" s="23">
        <f t="shared" si="20"/>
        <v>-1.12E-2</v>
      </c>
    </row>
    <row r="41" spans="1:72" x14ac:dyDescent="0.25">
      <c r="A41" s="9" t="s">
        <v>129</v>
      </c>
      <c r="B41" s="9" t="s">
        <v>132</v>
      </c>
      <c r="C41" s="1">
        <f t="shared" si="0"/>
        <v>17</v>
      </c>
      <c r="D41">
        <v>0</v>
      </c>
      <c r="E41">
        <v>0</v>
      </c>
      <c r="F41">
        <v>0</v>
      </c>
      <c r="G41">
        <v>17</v>
      </c>
      <c r="H41">
        <v>0</v>
      </c>
      <c r="I41">
        <v>0</v>
      </c>
      <c r="J41">
        <v>0</v>
      </c>
      <c r="K41">
        <v>0</v>
      </c>
      <c r="L41" s="109">
        <v>82</v>
      </c>
      <c r="M41" s="110">
        <v>49</v>
      </c>
      <c r="N41" s="96">
        <f t="shared" si="1"/>
        <v>4.8235294117647056</v>
      </c>
      <c r="O41" s="98">
        <v>2.8823529411764706</v>
      </c>
      <c r="P41" s="107">
        <f>O41/O48</f>
        <v>2.6235681324772591E-2</v>
      </c>
      <c r="Q41" s="108">
        <f t="shared" si="33"/>
        <v>2.499028575642569E-2</v>
      </c>
      <c r="R41" s="77">
        <v>0</v>
      </c>
      <c r="S41" s="34">
        <v>0</v>
      </c>
      <c r="T41" s="34">
        <f t="shared" si="3"/>
        <v>0</v>
      </c>
      <c r="U41" s="34">
        <f t="shared" si="4"/>
        <v>0</v>
      </c>
      <c r="V41" s="48">
        <f>U41/U48</f>
        <v>0</v>
      </c>
      <c r="W41" s="48">
        <f t="shared" si="34"/>
        <v>0</v>
      </c>
      <c r="X41" s="48">
        <f t="shared" si="11"/>
        <v>1.5741408794863555E-2</v>
      </c>
      <c r="Y41" s="48">
        <f t="shared" si="12"/>
        <v>1.4994171453855414E-2</v>
      </c>
      <c r="Z41" s="221">
        <v>20</v>
      </c>
      <c r="AA41" s="26">
        <v>-0.15386792848745276</v>
      </c>
      <c r="AB41" s="26">
        <f t="shared" si="35"/>
        <v>-0.27202194070972635</v>
      </c>
      <c r="AC41" s="26">
        <v>-0.218</v>
      </c>
      <c r="AD41">
        <v>-0.253</v>
      </c>
      <c r="AE41" s="214"/>
      <c r="AF41" s="214"/>
      <c r="AG41" s="37"/>
      <c r="AH41" s="37"/>
      <c r="AI41" s="69"/>
      <c r="AJ41" s="37"/>
      <c r="AK41" s="23"/>
      <c r="AL41" s="23"/>
      <c r="AM41" s="23"/>
      <c r="AN41" s="23"/>
      <c r="AT41">
        <v>164</v>
      </c>
      <c r="AU41">
        <v>164</v>
      </c>
      <c r="AV41">
        <f t="shared" si="36"/>
        <v>0</v>
      </c>
      <c r="AW41">
        <v>91</v>
      </c>
      <c r="AX41">
        <v>188</v>
      </c>
      <c r="AY41">
        <v>230</v>
      </c>
      <c r="AZ41">
        <f t="shared" ref="AZ41:AZ45" si="45">AX41-AY41</f>
        <v>-42</v>
      </c>
      <c r="BA41" s="23">
        <f t="shared" ref="BA41:BA45" si="46">(AZ41-AZ$46)/AZ$47</f>
        <v>-0.10104875048993756</v>
      </c>
      <c r="BB41">
        <v>85</v>
      </c>
      <c r="BC41">
        <f t="shared" si="15"/>
        <v>73</v>
      </c>
      <c r="BD41">
        <v>79</v>
      </c>
      <c r="BE41" s="23">
        <v>-0.29199999999999998</v>
      </c>
      <c r="BF41" s="23">
        <v>-0.35699999999999998</v>
      </c>
      <c r="BG41" s="34">
        <v>0</v>
      </c>
      <c r="BH41" s="77">
        <v>0</v>
      </c>
      <c r="BI41">
        <v>42639</v>
      </c>
      <c r="BJ41" s="34">
        <v>0</v>
      </c>
      <c r="BK41" s="34">
        <f>Z41*BJ$50</f>
        <v>43227.5</v>
      </c>
      <c r="BL41" s="34">
        <f t="shared" ref="BL41:BL45" si="47">BJ41-BK41</f>
        <v>-43227.5</v>
      </c>
      <c r="BM41" s="36">
        <f t="shared" ref="BM41:BM45" si="48">(BL41-BL$46)/BL$47</f>
        <v>-0.23309669548372555</v>
      </c>
      <c r="BN41" s="247">
        <f t="shared" si="18"/>
        <v>-0.15386792848745276</v>
      </c>
      <c r="BO41" s="34">
        <v>47366.47</v>
      </c>
      <c r="BP41">
        <f t="shared" si="42"/>
        <v>-42639</v>
      </c>
      <c r="BQ41" s="34">
        <f t="shared" si="43"/>
        <v>-47366.47</v>
      </c>
      <c r="BR41" s="23">
        <v>-0.106</v>
      </c>
      <c r="BS41" s="23">
        <f t="shared" si="44"/>
        <v>-0.14455485177431593</v>
      </c>
      <c r="BT41" s="23">
        <f t="shared" si="20"/>
        <v>-0.25659999999999999</v>
      </c>
    </row>
    <row r="42" spans="1:72" x14ac:dyDescent="0.25">
      <c r="A42" s="7" t="s">
        <v>129</v>
      </c>
      <c r="B42" s="7" t="s">
        <v>134</v>
      </c>
      <c r="C42" s="1">
        <f t="shared" si="0"/>
        <v>27</v>
      </c>
      <c r="D42">
        <v>0</v>
      </c>
      <c r="E42">
        <v>0</v>
      </c>
      <c r="F42">
        <v>27</v>
      </c>
      <c r="G42">
        <v>0</v>
      </c>
      <c r="H42">
        <v>0</v>
      </c>
      <c r="I42">
        <v>0</v>
      </c>
      <c r="J42">
        <v>0</v>
      </c>
      <c r="K42">
        <v>0</v>
      </c>
      <c r="L42" s="109">
        <v>82.5</v>
      </c>
      <c r="M42" s="110">
        <v>37.5</v>
      </c>
      <c r="N42" s="96">
        <f t="shared" si="1"/>
        <v>3.0555555555555554</v>
      </c>
      <c r="O42" s="98">
        <v>1.3888888888888888</v>
      </c>
      <c r="P42" s="107">
        <f>O42/O48</f>
        <v>1.2641909935406294E-2</v>
      </c>
      <c r="Q42" s="108">
        <f t="shared" si="33"/>
        <v>1.5830567196651775E-2</v>
      </c>
      <c r="R42" s="77">
        <v>0</v>
      </c>
      <c r="S42" s="34">
        <v>0</v>
      </c>
      <c r="T42" s="34">
        <f t="shared" si="3"/>
        <v>0</v>
      </c>
      <c r="U42" s="34">
        <f t="shared" si="4"/>
        <v>0</v>
      </c>
      <c r="V42" s="48">
        <f>U42/U48</f>
        <v>0</v>
      </c>
      <c r="W42" s="48">
        <f t="shared" si="34"/>
        <v>0</v>
      </c>
      <c r="X42" s="48">
        <f t="shared" si="11"/>
        <v>7.5851459612437762E-3</v>
      </c>
      <c r="Y42" s="48">
        <f t="shared" si="12"/>
        <v>9.498340317991065E-3</v>
      </c>
      <c r="Z42" s="221">
        <v>24</v>
      </c>
      <c r="AA42" s="26">
        <v>-0.29094052391027958</v>
      </c>
      <c r="AB42" s="26">
        <f t="shared" si="35"/>
        <v>-0.37779169820417807</v>
      </c>
      <c r="AC42" s="26">
        <v>-0.32600000000000001</v>
      </c>
      <c r="AD42">
        <v>-0.41199999999999998</v>
      </c>
      <c r="AE42" s="214"/>
      <c r="AF42" s="214"/>
      <c r="AG42" s="37"/>
      <c r="AH42" s="37"/>
      <c r="AI42" s="69"/>
      <c r="AJ42" s="37"/>
      <c r="AK42" s="23"/>
      <c r="AL42" s="23"/>
      <c r="AM42" s="23"/>
      <c r="AN42" s="23"/>
      <c r="AT42">
        <v>165</v>
      </c>
      <c r="AU42">
        <v>165</v>
      </c>
      <c r="AV42">
        <f t="shared" si="36"/>
        <v>0</v>
      </c>
      <c r="AW42">
        <v>145</v>
      </c>
      <c r="AX42">
        <v>153</v>
      </c>
      <c r="AY42">
        <v>276</v>
      </c>
      <c r="AZ42">
        <f t="shared" si="45"/>
        <v>-123</v>
      </c>
      <c r="BA42" s="23">
        <f t="shared" si="46"/>
        <v>-0.30528951879149568</v>
      </c>
      <c r="BB42">
        <v>135</v>
      </c>
      <c r="BC42">
        <f t="shared" si="15"/>
        <v>20</v>
      </c>
      <c r="BD42">
        <v>30</v>
      </c>
      <c r="BE42" s="23">
        <v>-0.43099999999999999</v>
      </c>
      <c r="BF42" s="23">
        <v>-0.47799999999999998</v>
      </c>
      <c r="BG42" s="34">
        <v>0</v>
      </c>
      <c r="BH42" s="77">
        <v>0</v>
      </c>
      <c r="BI42">
        <v>70853</v>
      </c>
      <c r="BJ42" s="34">
        <v>0</v>
      </c>
      <c r="BK42" s="34">
        <f>Z42*BJ$50</f>
        <v>51873</v>
      </c>
      <c r="BL42" s="34">
        <f t="shared" si="47"/>
        <v>-51873</v>
      </c>
      <c r="BM42" s="36">
        <f t="shared" si="48"/>
        <v>-0.26941703158845542</v>
      </c>
      <c r="BN42" s="247">
        <f t="shared" si="18"/>
        <v>-0.29094052391027958</v>
      </c>
      <c r="BO42" s="34">
        <v>75491.5</v>
      </c>
      <c r="BP42">
        <f t="shared" si="42"/>
        <v>-70853</v>
      </c>
      <c r="BQ42" s="34">
        <f t="shared" si="43"/>
        <v>-75491.5</v>
      </c>
      <c r="BR42" s="23">
        <v>-0.16900000000000001</v>
      </c>
      <c r="BS42" s="23">
        <f t="shared" si="44"/>
        <v>-0.22747924551044518</v>
      </c>
      <c r="BT42" s="23">
        <f t="shared" si="20"/>
        <v>-0.35439999999999999</v>
      </c>
    </row>
    <row r="43" spans="1:72" x14ac:dyDescent="0.25">
      <c r="A43" s="7" t="s">
        <v>135</v>
      </c>
      <c r="B43" s="118" t="s">
        <v>194</v>
      </c>
      <c r="C43" s="1">
        <f t="shared" si="0"/>
        <v>18</v>
      </c>
      <c r="D43">
        <v>0</v>
      </c>
      <c r="E43" s="8">
        <v>6</v>
      </c>
      <c r="F43">
        <v>0</v>
      </c>
      <c r="G43">
        <v>0</v>
      </c>
      <c r="H43">
        <v>0</v>
      </c>
      <c r="I43" s="8">
        <v>12</v>
      </c>
      <c r="J43">
        <v>0</v>
      </c>
      <c r="K43">
        <v>0</v>
      </c>
      <c r="L43" s="109">
        <v>24.5</v>
      </c>
      <c r="M43" s="110">
        <v>11</v>
      </c>
      <c r="N43" s="96">
        <f t="shared" si="1"/>
        <v>1.3611111111111112</v>
      </c>
      <c r="O43" s="98">
        <v>0.61111111111111116</v>
      </c>
      <c r="P43" s="107">
        <f>O43/O48</f>
        <v>5.5624403715787696E-3</v>
      </c>
      <c r="Q43" s="108">
        <f t="shared" si="33"/>
        <v>7.0517981148721558E-3</v>
      </c>
      <c r="R43" s="77">
        <v>0</v>
      </c>
      <c r="S43" s="34">
        <v>0</v>
      </c>
      <c r="T43" s="34">
        <f t="shared" si="3"/>
        <v>0</v>
      </c>
      <c r="U43" s="34">
        <f t="shared" si="4"/>
        <v>0</v>
      </c>
      <c r="V43" s="48">
        <f>U43/U48</f>
        <v>0</v>
      </c>
      <c r="W43" s="48">
        <f t="shared" si="34"/>
        <v>0</v>
      </c>
      <c r="X43" s="48">
        <f t="shared" si="11"/>
        <v>3.3374642229472618E-3</v>
      </c>
      <c r="Y43" s="48">
        <f t="shared" si="12"/>
        <v>4.2310788689232937E-3</v>
      </c>
      <c r="Z43" s="221">
        <v>16</v>
      </c>
      <c r="AA43" s="26">
        <v>-0.28003898998663412</v>
      </c>
      <c r="AB43" s="26">
        <f t="shared" si="35"/>
        <v>-0.45053341706666616</v>
      </c>
      <c r="AC43" s="26">
        <v>-0.442</v>
      </c>
      <c r="AD43">
        <v>-0.42499999999999999</v>
      </c>
      <c r="AE43" s="214"/>
      <c r="AF43" s="214"/>
      <c r="AG43" s="37"/>
      <c r="AH43" s="37"/>
      <c r="AI43" s="69"/>
      <c r="AJ43" s="37"/>
      <c r="AK43" s="23"/>
      <c r="AL43" s="23"/>
      <c r="AM43" s="23"/>
      <c r="AN43" s="23"/>
      <c r="AT43">
        <v>29</v>
      </c>
      <c r="AU43">
        <v>50</v>
      </c>
      <c r="AV43">
        <f t="shared" si="36"/>
        <v>-21</v>
      </c>
      <c r="AW43">
        <v>97</v>
      </c>
      <c r="AX43">
        <v>49</v>
      </c>
      <c r="AY43">
        <v>184</v>
      </c>
      <c r="AZ43">
        <f t="shared" si="45"/>
        <v>-135</v>
      </c>
      <c r="BA43" s="23">
        <f t="shared" si="46"/>
        <v>-0.33554741039172647</v>
      </c>
      <c r="BB43">
        <v>90</v>
      </c>
      <c r="BC43">
        <f t="shared" si="15"/>
        <v>-68</v>
      </c>
      <c r="BD43">
        <v>-40</v>
      </c>
      <c r="BE43" s="23">
        <v>-0.66200000000000003</v>
      </c>
      <c r="BF43" s="23">
        <v>-0.64900000000000002</v>
      </c>
      <c r="BG43" s="34">
        <v>0</v>
      </c>
      <c r="BH43" s="77">
        <v>0</v>
      </c>
      <c r="BI43">
        <v>45400</v>
      </c>
      <c r="BJ43" s="34">
        <v>0</v>
      </c>
      <c r="BK43" s="34">
        <f>Z43*BJ$50</f>
        <v>34582</v>
      </c>
      <c r="BL43" s="34">
        <f t="shared" si="47"/>
        <v>-34582</v>
      </c>
      <c r="BM43" s="36">
        <f t="shared" si="48"/>
        <v>-0.19677635937899565</v>
      </c>
      <c r="BN43" s="247">
        <f t="shared" si="18"/>
        <v>-0.28003898998663412</v>
      </c>
      <c r="BO43" s="34">
        <v>50174.31</v>
      </c>
      <c r="BP43">
        <f t="shared" si="42"/>
        <v>-45400</v>
      </c>
      <c r="BQ43" s="34">
        <f t="shared" si="43"/>
        <v>-50174.31</v>
      </c>
      <c r="BR43" s="23">
        <v>-0.112</v>
      </c>
      <c r="BS43" s="23">
        <f t="shared" si="44"/>
        <v>-0.15283354266666532</v>
      </c>
      <c r="BT43" s="23">
        <f t="shared" si="20"/>
        <v>-0.43420000000000003</v>
      </c>
    </row>
    <row r="44" spans="1:72" x14ac:dyDescent="0.25">
      <c r="A44" s="9" t="s">
        <v>138</v>
      </c>
      <c r="B44" s="117" t="s">
        <v>195</v>
      </c>
      <c r="C44" s="1">
        <f t="shared" si="0"/>
        <v>9</v>
      </c>
      <c r="D44">
        <v>0</v>
      </c>
      <c r="E44">
        <v>1</v>
      </c>
      <c r="F44">
        <v>0</v>
      </c>
      <c r="G44">
        <v>0</v>
      </c>
      <c r="H44">
        <v>0</v>
      </c>
      <c r="I44">
        <v>8</v>
      </c>
      <c r="J44">
        <v>0</v>
      </c>
      <c r="K44">
        <v>0</v>
      </c>
      <c r="L44" s="109">
        <v>8</v>
      </c>
      <c r="M44" s="110">
        <v>3.5</v>
      </c>
      <c r="N44" s="96">
        <f t="shared" si="1"/>
        <v>0.88888888888888884</v>
      </c>
      <c r="O44" s="98">
        <v>0.3888888888888889</v>
      </c>
      <c r="P44" s="107">
        <f>O44/O48</f>
        <v>3.5397347819137621E-3</v>
      </c>
      <c r="Q44" s="108">
        <f t="shared" si="33"/>
        <v>4.605255911753244E-3</v>
      </c>
      <c r="R44" s="77">
        <v>0</v>
      </c>
      <c r="S44" s="34">
        <v>0</v>
      </c>
      <c r="T44" s="34">
        <f t="shared" si="3"/>
        <v>0</v>
      </c>
      <c r="U44" s="34">
        <f t="shared" si="4"/>
        <v>0</v>
      </c>
      <c r="V44" s="48">
        <f>U44/U48</f>
        <v>0</v>
      </c>
      <c r="W44" s="48">
        <f t="shared" si="34"/>
        <v>0</v>
      </c>
      <c r="X44" s="48">
        <f t="shared" si="11"/>
        <v>2.1238408691482574E-3</v>
      </c>
      <c r="Y44" s="48">
        <f t="shared" si="12"/>
        <v>2.7631535470519462E-3</v>
      </c>
      <c r="Z44" s="221">
        <v>6</v>
      </c>
      <c r="AA44" s="26">
        <v>-0.11814840374094629</v>
      </c>
      <c r="AB44" s="26">
        <f t="shared" si="35"/>
        <v>-0.40459248303494205</v>
      </c>
      <c r="AC44" s="26">
        <v>-0.36399999999999999</v>
      </c>
      <c r="AD44">
        <v>-0.35499999999999998</v>
      </c>
      <c r="AE44" s="214"/>
      <c r="AF44" s="214"/>
      <c r="AG44" s="37"/>
      <c r="AH44" s="37"/>
      <c r="AI44" s="69"/>
      <c r="AJ44" s="37"/>
      <c r="AK44" s="23"/>
      <c r="AL44" s="23"/>
      <c r="AM44" s="23"/>
      <c r="AN44" s="23"/>
      <c r="AT44">
        <v>16</v>
      </c>
      <c r="AU44">
        <v>16</v>
      </c>
      <c r="AV44">
        <f t="shared" si="36"/>
        <v>0</v>
      </c>
      <c r="AW44">
        <v>48</v>
      </c>
      <c r="AX44">
        <v>17</v>
      </c>
      <c r="AY44">
        <v>69</v>
      </c>
      <c r="AZ44">
        <f t="shared" si="45"/>
        <v>-52</v>
      </c>
      <c r="BA44" s="23">
        <f t="shared" si="46"/>
        <v>-0.12626366015679658</v>
      </c>
      <c r="BB44">
        <v>45</v>
      </c>
      <c r="BC44">
        <f t="shared" si="15"/>
        <v>-32</v>
      </c>
      <c r="BD44">
        <v>-29</v>
      </c>
      <c r="BE44" s="23">
        <v>-0.56799999999999995</v>
      </c>
      <c r="BF44" s="23">
        <v>-0.622</v>
      </c>
      <c r="BG44" s="34">
        <v>0</v>
      </c>
      <c r="BH44" s="77">
        <v>0</v>
      </c>
      <c r="BI44">
        <v>21213</v>
      </c>
      <c r="BJ44" s="34">
        <v>0</v>
      </c>
      <c r="BK44" s="34">
        <f>Z44*BJ$50</f>
        <v>12968.25</v>
      </c>
      <c r="BL44" s="34">
        <f t="shared" si="47"/>
        <v>-12968.25</v>
      </c>
      <c r="BM44" s="36">
        <f t="shared" si="48"/>
        <v>-0.10597551911717087</v>
      </c>
      <c r="BN44" s="247">
        <f t="shared" si="18"/>
        <v>-0.11814840374094629</v>
      </c>
      <c r="BO44" s="34">
        <v>24956.62</v>
      </c>
      <c r="BP44">
        <f t="shared" si="42"/>
        <v>-21213</v>
      </c>
      <c r="BQ44" s="34">
        <f t="shared" si="43"/>
        <v>-24956.62</v>
      </c>
      <c r="BR44">
        <v>-5.8000000000000003E-2</v>
      </c>
      <c r="BS44" s="23">
        <f t="shared" si="44"/>
        <v>-7.8481207587355176E-2</v>
      </c>
      <c r="BT44" s="23">
        <f t="shared" si="20"/>
        <v>-0.39639999999999997</v>
      </c>
    </row>
    <row r="45" spans="1:72" ht="15.75" thickBot="1" x14ac:dyDescent="0.3">
      <c r="A45" s="7" t="s">
        <v>139</v>
      </c>
      <c r="B45" s="7" t="s">
        <v>140</v>
      </c>
      <c r="C45" s="1">
        <f t="shared" si="0"/>
        <v>14</v>
      </c>
      <c r="D45">
        <v>0</v>
      </c>
      <c r="E45">
        <v>0</v>
      </c>
      <c r="F45">
        <v>0</v>
      </c>
      <c r="G45">
        <v>0</v>
      </c>
      <c r="H45">
        <v>0</v>
      </c>
      <c r="I45">
        <v>14</v>
      </c>
      <c r="J45">
        <v>0</v>
      </c>
      <c r="K45">
        <v>0</v>
      </c>
      <c r="L45" s="111">
        <v>27</v>
      </c>
      <c r="M45" s="112">
        <v>11</v>
      </c>
      <c r="N45" s="113">
        <f t="shared" si="1"/>
        <v>1.9285714285714286</v>
      </c>
      <c r="O45" s="104">
        <v>0.7857142857142857</v>
      </c>
      <c r="P45" s="114">
        <f>O45/O48</f>
        <v>7.1517090491727033E-3</v>
      </c>
      <c r="Q45" s="115">
        <f t="shared" si="33"/>
        <v>9.9917605942503422E-3</v>
      </c>
      <c r="R45" s="77">
        <v>14977</v>
      </c>
      <c r="S45" s="34">
        <v>0</v>
      </c>
      <c r="T45" s="34">
        <f t="shared" si="3"/>
        <v>1069.7857142857142</v>
      </c>
      <c r="U45" s="34">
        <f t="shared" si="4"/>
        <v>0</v>
      </c>
      <c r="V45" s="48">
        <f>U45/U48</f>
        <v>0</v>
      </c>
      <c r="W45" s="48">
        <f t="shared" si="34"/>
        <v>9.8633699260027297E-3</v>
      </c>
      <c r="X45" s="48">
        <f t="shared" si="11"/>
        <v>4.2910254295036214E-3</v>
      </c>
      <c r="Y45" s="48">
        <f t="shared" si="12"/>
        <v>9.9404043269512975E-3</v>
      </c>
      <c r="Z45" s="221">
        <v>14</v>
      </c>
      <c r="AA45" s="26">
        <v>-0.11749822883192643</v>
      </c>
      <c r="AB45" s="26">
        <f t="shared" si="35"/>
        <v>-0.38483328232862113</v>
      </c>
      <c r="AC45" s="26">
        <v>-0.34499999999999997</v>
      </c>
      <c r="AD45">
        <v>-0.38</v>
      </c>
      <c r="AE45" s="214"/>
      <c r="AF45" s="214"/>
      <c r="AG45" s="37"/>
      <c r="AH45" s="37"/>
      <c r="AI45" s="69"/>
      <c r="AJ45" s="37"/>
      <c r="AK45" s="23"/>
      <c r="AL45" s="23"/>
      <c r="AM45" s="23"/>
      <c r="AN45" s="23"/>
      <c r="AT45">
        <v>54</v>
      </c>
      <c r="AU45">
        <v>54</v>
      </c>
      <c r="AV45">
        <f t="shared" si="36"/>
        <v>0</v>
      </c>
      <c r="AW45">
        <v>75</v>
      </c>
      <c r="AX45">
        <v>112</v>
      </c>
      <c r="AY45">
        <v>161</v>
      </c>
      <c r="AZ45">
        <f t="shared" si="45"/>
        <v>-49</v>
      </c>
      <c r="BA45" s="23">
        <f t="shared" si="46"/>
        <v>-0.11869918725673886</v>
      </c>
      <c r="BB45">
        <v>70</v>
      </c>
      <c r="BC45">
        <f t="shared" si="15"/>
        <v>-21</v>
      </c>
      <c r="BD45">
        <v>-16</v>
      </c>
      <c r="BE45" s="23">
        <v>-0.53900000000000003</v>
      </c>
      <c r="BF45" s="23">
        <v>-0.59099999999999997</v>
      </c>
      <c r="BG45" s="34">
        <v>14977</v>
      </c>
      <c r="BH45" s="77">
        <v>14977</v>
      </c>
      <c r="BI45">
        <v>34455</v>
      </c>
      <c r="BJ45" s="34">
        <v>14977</v>
      </c>
      <c r="BK45" s="34">
        <f>Z45*BJ$50</f>
        <v>30259.25</v>
      </c>
      <c r="BL45" s="34">
        <f t="shared" si="47"/>
        <v>-15282.25</v>
      </c>
      <c r="BM45" s="36">
        <f t="shared" si="48"/>
        <v>-0.11569679119470774</v>
      </c>
      <c r="BN45" s="247">
        <f t="shared" si="18"/>
        <v>-0.11749822883192643</v>
      </c>
      <c r="BO45" s="34">
        <v>38950.720000000001</v>
      </c>
      <c r="BP45">
        <f t="shared" si="42"/>
        <v>-34455</v>
      </c>
      <c r="BQ45" s="34">
        <f t="shared" si="43"/>
        <v>-23973.72</v>
      </c>
      <c r="BR45">
        <v>-5.3999999999999999E-2</v>
      </c>
      <c r="BS45" s="23">
        <f t="shared" si="44"/>
        <v>-7.5583205821552923E-2</v>
      </c>
      <c r="BT45" s="23">
        <f t="shared" si="20"/>
        <v>-0.37619999999999998</v>
      </c>
    </row>
    <row r="46" spans="1:72" x14ac:dyDescent="0.25">
      <c r="C46" s="1">
        <f t="shared" si="0"/>
        <v>2341</v>
      </c>
      <c r="D46" s="1">
        <f t="shared" ref="D46:K46" si="49">SUM(D3:D45)</f>
        <v>394</v>
      </c>
      <c r="E46" s="1">
        <f t="shared" si="49"/>
        <v>193</v>
      </c>
      <c r="F46" s="1">
        <f t="shared" si="49"/>
        <v>176</v>
      </c>
      <c r="G46" s="1">
        <f t="shared" si="49"/>
        <v>592</v>
      </c>
      <c r="H46" s="1">
        <f t="shared" si="49"/>
        <v>205</v>
      </c>
      <c r="I46" s="1">
        <f t="shared" si="49"/>
        <v>521</v>
      </c>
      <c r="J46" s="1">
        <f t="shared" si="49"/>
        <v>148</v>
      </c>
      <c r="K46" s="17">
        <f t="shared" si="49"/>
        <v>112</v>
      </c>
      <c r="L46" s="18">
        <f>SUM(L3:L45)</f>
        <v>9828</v>
      </c>
      <c r="M46" s="1">
        <f>SUM(M3:M45)</f>
        <v>6882</v>
      </c>
      <c r="N46" s="54">
        <f t="shared" si="1"/>
        <v>4.1982058949167023</v>
      </c>
      <c r="O46" s="81">
        <v>2.9397693293464333</v>
      </c>
      <c r="P46" s="82">
        <f>SUM(P3:P45)</f>
        <v>0.99999999999999944</v>
      </c>
      <c r="Q46" s="82">
        <f>SUM(Q3:Q45)</f>
        <v>1.0000000000000002</v>
      </c>
      <c r="R46" s="116">
        <f>SUM(R3:R45)</f>
        <v>7006819</v>
      </c>
      <c r="S46" s="55">
        <f>SUM(S3:S45)</f>
        <v>6900043</v>
      </c>
      <c r="T46" s="55">
        <f t="shared" si="3"/>
        <v>2993.0879965826571</v>
      </c>
      <c r="U46" s="55">
        <f t="shared" si="4"/>
        <v>2947.476719350705</v>
      </c>
      <c r="V46" s="82">
        <f>SUM(V3:V45)</f>
        <v>1.0000000000000002</v>
      </c>
      <c r="W46" s="82">
        <f>SUM(W3:W45)</f>
        <v>1</v>
      </c>
      <c r="X46" s="57">
        <f>SUM(X3:X45)</f>
        <v>1.0000000000000002</v>
      </c>
      <c r="Y46" s="57">
        <f>SUM(Y3:Y45)</f>
        <v>1</v>
      </c>
      <c r="Z46" s="156">
        <f>SUM(Z3:Z16,Z18:Z30,Z32:Z39,Z41:Z45)</f>
        <v>2376</v>
      </c>
      <c r="AA46" s="222"/>
      <c r="AB46" s="82"/>
      <c r="AC46" s="82"/>
      <c r="AD46" s="57"/>
      <c r="AE46" s="82"/>
      <c r="AF46" s="70">
        <f>SUM(AF3:AF45)</f>
        <v>5134245.6637784382</v>
      </c>
      <c r="AG46" s="61">
        <f t="shared" ref="AG46:AK46" si="50">SUM(AG3:AG45)</f>
        <v>5152235.8581983009</v>
      </c>
      <c r="AH46" s="61" t="e">
        <f t="shared" si="50"/>
        <v>#VALUE!</v>
      </c>
      <c r="AI46" s="70"/>
      <c r="AJ46" s="61">
        <f>SUM(AJ3:AJ45)</f>
        <v>95.741371456845187</v>
      </c>
      <c r="AK46" s="60" t="e">
        <f t="shared" si="50"/>
        <v>#VALUE!</v>
      </c>
      <c r="AL46" s="61">
        <f>SUM(AL3:AL45)</f>
        <v>73.372741979739004</v>
      </c>
      <c r="AM46" s="60">
        <f>SUM(AM3:AM45)</f>
        <v>0.99999999999999989</v>
      </c>
      <c r="AN46" s="60"/>
      <c r="AT46" s="1">
        <f>SUM(AT3:AT45)</f>
        <v>19736</v>
      </c>
      <c r="AU46" s="1">
        <f>SUM(AU3:AU45)</f>
        <v>20474</v>
      </c>
      <c r="AV46" s="1">
        <f>SUM(AV3:AV45)</f>
        <v>-738</v>
      </c>
      <c r="AX46" s="1">
        <f>SUM(AX41:AX45,AX3:AX16,AX18:AX30,AX32:AX39)</f>
        <v>27221</v>
      </c>
      <c r="AY46" s="1"/>
      <c r="AZ46" s="1">
        <f>AVERAGE(AZ3:AZ16,AZ18:AZ30,AZ32:AZ39,AZ41:AZ45)</f>
        <v>-1.925</v>
      </c>
      <c r="BA46" s="1"/>
      <c r="BG46" s="55">
        <f>SUM(BG3:BG45)</f>
        <v>7006819</v>
      </c>
      <c r="BH46" s="55">
        <f>SUM(BH3:BH45)</f>
        <v>6652560.3599999994</v>
      </c>
      <c r="BJ46" s="55">
        <f>SUM(BJ41:BJ45,BJ3:BJ16,BJ18:BJ30,BJ32:BJ39)</f>
        <v>5625731</v>
      </c>
      <c r="BK46" s="55"/>
      <c r="BL46" s="55">
        <f>AVERAGE(BL41:BL45,BL3:BL16,BL18:BL30,BL32:BL39)</f>
        <v>12257.6</v>
      </c>
      <c r="BM46" s="55"/>
      <c r="BN46" s="116"/>
    </row>
    <row r="47" spans="1:72" x14ac:dyDescent="0.25">
      <c r="C47" s="1">
        <v>797</v>
      </c>
      <c r="N47" s="83" t="s">
        <v>158</v>
      </c>
      <c r="O47" s="83" t="s">
        <v>158</v>
      </c>
      <c r="S47" s="34"/>
      <c r="T47" s="39" t="s">
        <v>158</v>
      </c>
      <c r="U47" s="39" t="s">
        <v>158</v>
      </c>
      <c r="AB47" s="26"/>
      <c r="AC47" s="16"/>
      <c r="AU47" s="158">
        <f>(AT46/AU46)*100</f>
        <v>96.395428348148869</v>
      </c>
      <c r="AZ47">
        <f>STDEV(AZ3:AZ16,AZ18:AZ30,AZ32:AZ39,AZ41:AZ45)</f>
        <v>396.59075253969297</v>
      </c>
      <c r="BL47" s="34">
        <f>STDEV(BL3:BL16,BL18:BL30,BL32:BL39,BL41:BL45)</f>
        <v>238034.6915036978</v>
      </c>
      <c r="BM47" s="34"/>
      <c r="BN47" s="77"/>
      <c r="BP47" s="1" t="s">
        <v>272</v>
      </c>
      <c r="BQ47" s="34">
        <f>AVERAGE(BQ3:BQ15,BQ18:BQ30,BQ32:BQ45)</f>
        <v>1661.4379487179447</v>
      </c>
    </row>
    <row r="48" spans="1:72" ht="18.75" x14ac:dyDescent="0.3">
      <c r="A48" s="14"/>
      <c r="C48" s="1">
        <f>C47/C46</f>
        <v>0.34045279794959421</v>
      </c>
      <c r="N48" s="54">
        <f>SUM(N3:N45)</f>
        <v>193.01617671676456</v>
      </c>
      <c r="O48" s="81">
        <f>SUM(O3:O45)</f>
        <v>109.86384936970775</v>
      </c>
      <c r="S48" s="34"/>
      <c r="T48" s="56">
        <f>SUM(T3:T45)</f>
        <v>108460.46759996764</v>
      </c>
      <c r="U48" s="56">
        <f>SUM(U3:U45)</f>
        <v>123112.81582900832</v>
      </c>
      <c r="AB48" s="16"/>
      <c r="AC48" s="16"/>
      <c r="BP48" s="1" t="s">
        <v>269</v>
      </c>
      <c r="BQ48">
        <f>STDEV(BQ3:BQ15,BQ18:BQ30,BQ32:BQ45)</f>
        <v>339164.7346798295</v>
      </c>
    </row>
    <row r="49" spans="1:62" ht="18.75" x14ac:dyDescent="0.3">
      <c r="A49" s="14"/>
      <c r="AB49" s="16"/>
      <c r="AU49" s="237" t="s">
        <v>360</v>
      </c>
      <c r="AX49">
        <f>AX46/Z46</f>
        <v>11.456649831649832</v>
      </c>
      <c r="BH49" s="237" t="s">
        <v>360</v>
      </c>
      <c r="BJ49">
        <f>BJ46/Z46</f>
        <v>2367.7319023569025</v>
      </c>
    </row>
    <row r="50" spans="1:62" ht="18.75" x14ac:dyDescent="0.3">
      <c r="A50" s="14"/>
      <c r="AB50" s="16"/>
      <c r="AU50" s="237" t="s">
        <v>361</v>
      </c>
      <c r="AX50">
        <v>11.48911</v>
      </c>
      <c r="BH50" s="237" t="s">
        <v>361</v>
      </c>
      <c r="BJ50">
        <v>2161.375</v>
      </c>
    </row>
    <row r="51" spans="1:62" ht="18.75" x14ac:dyDescent="0.3">
      <c r="A51" s="14"/>
      <c r="AU51" s="282" t="s">
        <v>416</v>
      </c>
      <c r="BH51" s="282" t="s">
        <v>417</v>
      </c>
    </row>
    <row r="52" spans="1:62" ht="18.75" x14ac:dyDescent="0.3">
      <c r="A52" s="14"/>
    </row>
    <row r="53" spans="1:62" ht="18.75" x14ac:dyDescent="0.3">
      <c r="A53" s="14"/>
    </row>
    <row r="54" spans="1:62" ht="18.75" x14ac:dyDescent="0.3">
      <c r="A54" s="14"/>
    </row>
    <row r="55" spans="1:62" ht="18.75" x14ac:dyDescent="0.3">
      <c r="A55" s="14"/>
    </row>
    <row r="56" spans="1:62" ht="18.75" x14ac:dyDescent="0.3">
      <c r="A56" s="14"/>
    </row>
    <row r="57" spans="1:62" ht="18.75" x14ac:dyDescent="0.3">
      <c r="A57" s="14"/>
    </row>
    <row r="58" spans="1:62" ht="18.75" x14ac:dyDescent="0.3">
      <c r="A58" s="14"/>
    </row>
    <row r="59" spans="1:62" ht="18.75" x14ac:dyDescent="0.3">
      <c r="A59" s="14"/>
    </row>
    <row r="60" spans="1:62" ht="18.75" x14ac:dyDescent="0.3">
      <c r="A60" s="14"/>
    </row>
    <row r="61" spans="1:62" ht="18.75" x14ac:dyDescent="0.3">
      <c r="A61" s="14"/>
    </row>
    <row r="62" spans="1:62" ht="18.75" x14ac:dyDescent="0.3">
      <c r="A62" s="14"/>
    </row>
    <row r="63" spans="1:62" ht="18.75" x14ac:dyDescent="0.3">
      <c r="A63" s="14"/>
    </row>
    <row r="64" spans="1:62" ht="18.75" x14ac:dyDescent="0.3">
      <c r="A64" s="14"/>
    </row>
    <row r="65" spans="1:1" ht="18.75" x14ac:dyDescent="0.3">
      <c r="A65" s="14"/>
    </row>
    <row r="66" spans="1:1" ht="18.75" x14ac:dyDescent="0.3">
      <c r="A66" s="14"/>
    </row>
    <row r="67" spans="1:1" ht="18.75" x14ac:dyDescent="0.3">
      <c r="A67" s="14"/>
    </row>
    <row r="68" spans="1:1" ht="18.75" x14ac:dyDescent="0.3">
      <c r="A68" s="14"/>
    </row>
    <row r="69" spans="1:1" ht="18.75" x14ac:dyDescent="0.3">
      <c r="A69" s="14"/>
    </row>
    <row r="70" spans="1:1" ht="18.75" x14ac:dyDescent="0.3">
      <c r="A70" s="14"/>
    </row>
    <row r="71" spans="1:1" ht="18.75" x14ac:dyDescent="0.3">
      <c r="A71" s="14"/>
    </row>
    <row r="72" spans="1:1" ht="18.75" x14ac:dyDescent="0.3">
      <c r="A72" s="14"/>
    </row>
  </sheetData>
  <dataValidations disablePrompts="1" count="1">
    <dataValidation type="list" showInputMessage="1" showErrorMessage="1" sqref="D1:J1">
      <formula1>$A$48:$A$72</formula1>
    </dataValidation>
  </dataValidations>
  <pageMargins left="0.75" right="0.75" top="1" bottom="1" header="0.5" footer="0.5"/>
  <pageSetup paperSize="9" orientation="portrait" r:id="rId1"/>
  <ignoredErrors>
    <ignoredError sqref="C29:C45 O48 C3:C15 C17:C2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40"/>
  <sheetViews>
    <sheetView workbookViewId="0">
      <pane ySplit="2" topLeftCell="A3" activePane="bottomLeft" state="frozen"/>
      <selection pane="bottomLeft" activeCell="X29" sqref="X29:X30"/>
    </sheetView>
  </sheetViews>
  <sheetFormatPr defaultColWidth="8.7109375" defaultRowHeight="15" x14ac:dyDescent="0.25"/>
  <cols>
    <col min="1" max="1" width="44.140625" customWidth="1"/>
    <col min="2" max="2" width="47.140625" bestFit="1" customWidth="1"/>
    <col min="3" max="3" width="9" style="1" customWidth="1"/>
    <col min="4" max="4" width="16.85546875" hidden="1" customWidth="1"/>
    <col min="5" max="5" width="16.85546875" style="16" hidden="1" customWidth="1"/>
    <col min="6" max="6" width="13.28515625" hidden="1" customWidth="1"/>
    <col min="7" max="8" width="16.28515625" hidden="1" customWidth="1"/>
    <col min="9" max="9" width="13.85546875" hidden="1" customWidth="1"/>
    <col min="10" max="10" width="15.140625" hidden="1" customWidth="1"/>
    <col min="11" max="12" width="20.140625" hidden="1" customWidth="1"/>
    <col min="13" max="14" width="14.7109375" hidden="1" customWidth="1"/>
    <col min="15" max="16" width="13.85546875" hidden="1" customWidth="1"/>
    <col min="17" max="17" width="14" hidden="1" customWidth="1"/>
    <col min="18" max="18" width="14" style="16" hidden="1" customWidth="1"/>
    <col min="19" max="19" width="15.140625" style="16" hidden="1" customWidth="1"/>
    <col min="20" max="20" width="14.140625" hidden="1" customWidth="1"/>
    <col min="21" max="21" width="22.5703125" hidden="1" customWidth="1"/>
    <col min="22" max="22" width="8.5703125" bestFit="1" customWidth="1"/>
    <col min="23" max="23" width="7.140625" customWidth="1"/>
    <col min="24" max="24" width="24.28515625" bestFit="1" customWidth="1"/>
    <col min="25" max="25" width="13.7109375" hidden="1" customWidth="1"/>
    <col min="26" max="26" width="11.140625" hidden="1" customWidth="1"/>
    <col min="27" max="27" width="12.85546875" hidden="1" customWidth="1"/>
    <col min="28" max="28" width="16.42578125" bestFit="1" customWidth="1"/>
    <col min="29" max="29" width="16.42578125" hidden="1" customWidth="1"/>
    <col min="30" max="30" width="11.7109375" hidden="1" customWidth="1"/>
    <col min="31" max="31" width="19.140625" hidden="1" customWidth="1"/>
    <col min="32" max="32" width="19.140625" style="16" customWidth="1"/>
    <col min="33" max="33" width="19.140625" customWidth="1"/>
    <col min="34" max="34" width="21.42578125" hidden="1" customWidth="1"/>
    <col min="35" max="35" width="12.7109375" style="16" hidden="1" customWidth="1"/>
    <col min="36" max="36" width="11.7109375" hidden="1" customWidth="1"/>
    <col min="37" max="37" width="20.140625" hidden="1" customWidth="1"/>
    <col min="38" max="38" width="13.85546875" bestFit="1" customWidth="1"/>
    <col min="39" max="39" width="22.85546875" hidden="1" customWidth="1"/>
    <col min="40" max="40" width="11.140625" bestFit="1" customWidth="1"/>
    <col min="41" max="41" width="0" hidden="1" customWidth="1"/>
    <col min="42" max="42" width="12.140625" hidden="1" customWidth="1"/>
    <col min="43" max="43" width="13.140625" hidden="1" customWidth="1"/>
    <col min="44" max="44" width="20.42578125" hidden="1" customWidth="1"/>
    <col min="45" max="45" width="22.140625" bestFit="1" customWidth="1"/>
    <col min="46" max="46" width="12.28515625" hidden="1" customWidth="1"/>
    <col min="47" max="47" width="17.42578125" hidden="1" customWidth="1"/>
    <col min="48" max="48" width="20.140625" bestFit="1" customWidth="1"/>
    <col min="49" max="49" width="9.140625" hidden="1" customWidth="1"/>
    <col min="50" max="50" width="16" bestFit="1" customWidth="1"/>
    <col min="51" max="51" width="6.42578125" hidden="1" customWidth="1"/>
    <col min="52" max="52" width="0" hidden="1" customWidth="1"/>
    <col min="54" max="54" width="11" bestFit="1" customWidth="1"/>
    <col min="55" max="55" width="12" bestFit="1" customWidth="1"/>
    <col min="56" max="56" width="10.85546875" customWidth="1"/>
    <col min="57" max="57" width="15" hidden="1" customWidth="1"/>
    <col min="58" max="58" width="9.7109375" hidden="1" customWidth="1"/>
    <col min="59" max="59" width="15.7109375" hidden="1" customWidth="1"/>
    <col min="60" max="60" width="12.28515625" hidden="1" customWidth="1"/>
    <col min="61" max="61" width="18.28515625" hidden="1" customWidth="1"/>
    <col min="62" max="62" width="9.5703125" hidden="1" customWidth="1"/>
    <col min="63" max="63" width="16.85546875" bestFit="1" customWidth="1"/>
    <col min="64" max="64" width="0" hidden="1" customWidth="1"/>
    <col min="66" max="66" width="10.85546875" bestFit="1" customWidth="1"/>
    <col min="67" max="67" width="11.5703125" bestFit="1" customWidth="1"/>
    <col min="68" max="68" width="11.5703125" customWidth="1"/>
    <col min="69" max="69" width="11.5703125" style="16" customWidth="1"/>
    <col min="70" max="70" width="14.85546875" hidden="1" customWidth="1"/>
    <col min="71" max="71" width="11.7109375" hidden="1" customWidth="1"/>
    <col min="72" max="72" width="15.85546875" hidden="1" customWidth="1"/>
    <col min="73" max="73" width="0" hidden="1" customWidth="1"/>
    <col min="74" max="74" width="13.85546875" hidden="1" customWidth="1"/>
  </cols>
  <sheetData>
    <row r="1" spans="1:74" ht="75" x14ac:dyDescent="0.25">
      <c r="C1" s="2" t="s">
        <v>142</v>
      </c>
      <c r="D1" s="4" t="s">
        <v>23</v>
      </c>
      <c r="E1" s="85" t="s">
        <v>156</v>
      </c>
      <c r="F1" s="86" t="s">
        <v>156</v>
      </c>
      <c r="G1" s="88" t="s">
        <v>150</v>
      </c>
      <c r="H1" s="88" t="s">
        <v>150</v>
      </c>
      <c r="I1" s="88"/>
      <c r="J1" s="89"/>
      <c r="K1" s="21" t="s">
        <v>151</v>
      </c>
      <c r="L1" s="21" t="s">
        <v>151</v>
      </c>
      <c r="M1" s="21"/>
      <c r="N1" s="21"/>
      <c r="O1" s="21"/>
      <c r="P1" s="21"/>
      <c r="AN1" s="66"/>
      <c r="AT1" t="s">
        <v>177</v>
      </c>
      <c r="AU1" s="204" t="s">
        <v>275</v>
      </c>
      <c r="AV1" s="217" t="s">
        <v>298</v>
      </c>
    </row>
    <row r="2" spans="1:74" x14ac:dyDescent="0.25">
      <c r="A2" s="5" t="s">
        <v>0</v>
      </c>
      <c r="B2" s="5" t="s">
        <v>1</v>
      </c>
      <c r="C2" s="6">
        <v>2019</v>
      </c>
      <c r="E2" s="90" t="s">
        <v>181</v>
      </c>
      <c r="F2" s="91" t="s">
        <v>189</v>
      </c>
      <c r="G2" s="91" t="s">
        <v>184</v>
      </c>
      <c r="H2" s="91" t="s">
        <v>183</v>
      </c>
      <c r="I2" s="92" t="s">
        <v>186</v>
      </c>
      <c r="J2" s="93" t="s">
        <v>185</v>
      </c>
      <c r="K2" s="1" t="s">
        <v>168</v>
      </c>
      <c r="L2" s="1" t="s">
        <v>167</v>
      </c>
      <c r="M2" s="1" t="s">
        <v>187</v>
      </c>
      <c r="N2" s="1" t="s">
        <v>188</v>
      </c>
      <c r="O2" s="1" t="s">
        <v>185</v>
      </c>
      <c r="P2" s="1" t="s">
        <v>186</v>
      </c>
      <c r="Q2" s="1" t="s">
        <v>172</v>
      </c>
      <c r="R2" s="1" t="s">
        <v>173</v>
      </c>
      <c r="S2" s="1" t="s">
        <v>171</v>
      </c>
      <c r="T2" s="1" t="s">
        <v>170</v>
      </c>
      <c r="U2" s="1" t="s">
        <v>245</v>
      </c>
      <c r="V2" s="1" t="s">
        <v>342</v>
      </c>
      <c r="W2" s="1" t="s">
        <v>370</v>
      </c>
      <c r="X2" s="1" t="s">
        <v>297</v>
      </c>
      <c r="Y2" s="1" t="s">
        <v>155</v>
      </c>
      <c r="Z2" s="1" t="s">
        <v>174</v>
      </c>
      <c r="AA2" s="1" t="s">
        <v>246</v>
      </c>
      <c r="AB2" s="1" t="s">
        <v>296</v>
      </c>
      <c r="AC2" s="215" t="s">
        <v>295</v>
      </c>
      <c r="AD2" s="1" t="s">
        <v>178</v>
      </c>
      <c r="AE2" s="1" t="s">
        <v>276</v>
      </c>
      <c r="AF2" s="62" t="s">
        <v>411</v>
      </c>
      <c r="AG2" s="1" t="s">
        <v>409</v>
      </c>
      <c r="AH2" s="1" t="s">
        <v>300</v>
      </c>
      <c r="AI2" s="1" t="s">
        <v>196</v>
      </c>
      <c r="AJ2" s="1" t="s">
        <v>175</v>
      </c>
      <c r="AK2" s="1" t="s">
        <v>274</v>
      </c>
      <c r="AL2" s="1" t="s">
        <v>414</v>
      </c>
      <c r="AM2" s="1" t="s">
        <v>299</v>
      </c>
      <c r="AN2" s="1" t="s">
        <v>160</v>
      </c>
      <c r="AO2" s="1" t="s">
        <v>2</v>
      </c>
      <c r="AP2" s="16"/>
      <c r="AQ2" s="39" t="s">
        <v>180</v>
      </c>
      <c r="AR2" s="39" t="s">
        <v>277</v>
      </c>
      <c r="AS2" s="39" t="s">
        <v>301</v>
      </c>
      <c r="AT2" s="25">
        <f>SUM(S3,S4,S5)</f>
        <v>3.2829999999999999</v>
      </c>
      <c r="AU2" s="25">
        <f>SUM(U3:U5)</f>
        <v>3.2814825692683858</v>
      </c>
      <c r="AV2" s="25">
        <f>SUM(X3:X5)</f>
        <v>3.2823540098818498</v>
      </c>
      <c r="AW2" s="1" t="s">
        <v>227</v>
      </c>
      <c r="AX2" s="1" t="s">
        <v>247</v>
      </c>
      <c r="AY2" s="1" t="s">
        <v>240</v>
      </c>
      <c r="AZ2" s="1" t="s">
        <v>228</v>
      </c>
      <c r="BA2" s="1" t="s">
        <v>371</v>
      </c>
      <c r="BB2" s="1" t="s">
        <v>364</v>
      </c>
      <c r="BC2" s="1" t="s">
        <v>365</v>
      </c>
      <c r="BD2" s="1" t="s">
        <v>366</v>
      </c>
      <c r="BE2" s="1" t="s">
        <v>241</v>
      </c>
      <c r="BF2" s="1" t="s">
        <v>229</v>
      </c>
      <c r="BG2" s="1" t="s">
        <v>242</v>
      </c>
      <c r="BH2" s="1" t="s">
        <v>230</v>
      </c>
      <c r="BI2" s="1" t="s">
        <v>243</v>
      </c>
      <c r="BJ2" s="1" t="s">
        <v>231</v>
      </c>
      <c r="BK2" s="1" t="s">
        <v>281</v>
      </c>
      <c r="BL2" s="1" t="s">
        <v>232</v>
      </c>
      <c r="BM2" s="1" t="s">
        <v>367</v>
      </c>
      <c r="BN2" s="1" t="s">
        <v>368</v>
      </c>
      <c r="BO2" s="1" t="s">
        <v>369</v>
      </c>
      <c r="BP2" s="1" t="s">
        <v>363</v>
      </c>
      <c r="BQ2" s="62" t="s">
        <v>370</v>
      </c>
      <c r="BR2" s="1" t="s">
        <v>288</v>
      </c>
      <c r="BS2" s="1" t="s">
        <v>233</v>
      </c>
      <c r="BT2" s="1" t="s">
        <v>289</v>
      </c>
      <c r="BU2" s="1" t="s">
        <v>234</v>
      </c>
      <c r="BV2" s="1" t="s">
        <v>290</v>
      </c>
    </row>
    <row r="3" spans="1:74" x14ac:dyDescent="0.25">
      <c r="A3" s="7" t="s">
        <v>3</v>
      </c>
      <c r="B3" s="7" t="s">
        <v>32</v>
      </c>
      <c r="C3" s="237">
        <f t="shared" ref="C3:C13" si="0">SUM(D3:D3)</f>
        <v>223</v>
      </c>
      <c r="D3" s="8">
        <v>223</v>
      </c>
      <c r="E3" s="94">
        <v>2043.5</v>
      </c>
      <c r="F3" s="71">
        <v>1646.5</v>
      </c>
      <c r="G3" s="96">
        <f t="shared" ref="G3:G14" si="1">E3/C3</f>
        <v>9.1636771300448423</v>
      </c>
      <c r="H3" s="120">
        <f t="shared" ref="H3:H14" si="2">F3/C3</f>
        <v>7.383408071748879</v>
      </c>
      <c r="I3" s="120">
        <f t="shared" ref="I3:I13" si="3">G3/G$15</f>
        <v>0.21513520586820442</v>
      </c>
      <c r="J3" s="97">
        <f>H3/H15</f>
        <v>0.18851584302927257</v>
      </c>
      <c r="K3" s="34">
        <v>10909</v>
      </c>
      <c r="L3" s="34">
        <v>51903</v>
      </c>
      <c r="M3" s="34">
        <f t="shared" ref="M3:M14" si="4">K3/C3</f>
        <v>48.91928251121076</v>
      </c>
      <c r="N3" s="34">
        <f t="shared" ref="N3:N14" si="5">L3/C3</f>
        <v>232.74887892376682</v>
      </c>
      <c r="O3" s="40">
        <f>N3/N15</f>
        <v>2.4195965168803138E-2</v>
      </c>
      <c r="P3" s="40">
        <f t="shared" ref="P3:P13" si="6">M3/M$15</f>
        <v>2.9624409307545461E-3</v>
      </c>
      <c r="Q3" s="48">
        <f t="shared" ref="Q3:Q13" si="7">(0.6*J3)+(0.4*O3)</f>
        <v>0.12278789188508479</v>
      </c>
      <c r="R3" s="48">
        <f t="shared" ref="R3:R13" si="8">(0.6*I3)+(0.4*P3)</f>
        <v>0.13026609989322446</v>
      </c>
      <c r="S3" s="25">
        <v>1.2669999999999999</v>
      </c>
      <c r="T3" s="73">
        <v>1.147</v>
      </c>
      <c r="U3" s="26">
        <f t="shared" ref="U3:U13" si="9">(0.6*BI3)+(0.4*BU3)</f>
        <v>1.3030877059192811</v>
      </c>
      <c r="V3" s="221">
        <v>224</v>
      </c>
      <c r="W3" s="25">
        <v>1.0978461448797798</v>
      </c>
      <c r="X3" s="25">
        <f>(0.6*BI3)+(0.4*BV3)</f>
        <v>1.3035220815603161</v>
      </c>
      <c r="Y3" s="67">
        <f>AD3*AQ$3</f>
        <v>771539.22319424397</v>
      </c>
      <c r="Z3" s="67" t="e">
        <f>AJ3*C3</f>
        <v>#VALUE!</v>
      </c>
      <c r="AA3" s="67">
        <f>AE3*AR$3</f>
        <v>804902.14973116189</v>
      </c>
      <c r="AB3" s="67">
        <f>AH3*AS$3</f>
        <v>804808.26417449617</v>
      </c>
      <c r="AC3" s="70">
        <f>AB3-Y3</f>
        <v>33269.040980252204</v>
      </c>
      <c r="AD3" s="67">
        <f>AI3*C3</f>
        <v>86.061833688699352</v>
      </c>
      <c r="AE3" s="67">
        <f>AK3*C3</f>
        <v>88.554046009998189</v>
      </c>
      <c r="AF3" s="67">
        <f>AG3*AS$6</f>
        <v>2126203.4883188563</v>
      </c>
      <c r="AG3" s="67">
        <f>AL3*V3</f>
        <v>137.12702455144097</v>
      </c>
      <c r="AH3" s="67">
        <f>AM3*C3</f>
        <v>88.560046635071487</v>
      </c>
      <c r="AI3" s="127">
        <f>S3/AT$2</f>
        <v>0.38592750533049036</v>
      </c>
      <c r="AJ3" s="59" t="e">
        <f>T3/AQ2</f>
        <v>#VALUE!</v>
      </c>
      <c r="AK3" s="59">
        <f>U3/AU$2</f>
        <v>0.39710334533631475</v>
      </c>
      <c r="AL3" s="23">
        <f>W3/AV$6</f>
        <v>0.61217421674750427</v>
      </c>
      <c r="AM3" s="59">
        <f t="shared" ref="AM3:AM5" si="10">X3/AV$2</f>
        <v>0.39713025396893042</v>
      </c>
      <c r="AN3" s="140">
        <v>2244684.0333812442</v>
      </c>
      <c r="AO3">
        <v>347</v>
      </c>
      <c r="AP3" s="136"/>
      <c r="AQ3" s="64">
        <f>AN3/AD14</f>
        <v>8964.9405564031531</v>
      </c>
      <c r="AR3" s="64">
        <f>AN3/AE14</f>
        <v>9089.3887518169922</v>
      </c>
      <c r="AS3" s="64">
        <f>AN3/AH14</f>
        <v>9087.7127412868431</v>
      </c>
      <c r="AW3">
        <v>4087</v>
      </c>
      <c r="AX3">
        <v>4094</v>
      </c>
      <c r="AY3">
        <f t="shared" ref="AY3:AY13" si="11">AW3-AX3</f>
        <v>-7</v>
      </c>
      <c r="AZ3">
        <v>1729</v>
      </c>
      <c r="BA3">
        <v>4785</v>
      </c>
      <c r="BB3" s="119">
        <v>2030</v>
      </c>
      <c r="BC3" s="119">
        <f>BA3-BB3</f>
        <v>2755</v>
      </c>
      <c r="BD3" s="25">
        <f>(BC3-BC$16)/BC$17</f>
        <v>2.3536739653374714</v>
      </c>
      <c r="BE3">
        <v>1722</v>
      </c>
      <c r="BF3">
        <f>AW3-AZ3</f>
        <v>2358</v>
      </c>
      <c r="BG3">
        <f>AX3-BE3</f>
        <v>2372</v>
      </c>
      <c r="BH3" s="23">
        <v>2.198</v>
      </c>
      <c r="BI3" s="23">
        <f t="shared" ref="BI3:BI13" si="12">(BG3-BG$16)/BG$17</f>
        <v>2.2591661765321351</v>
      </c>
      <c r="BJ3" s="34">
        <v>10909</v>
      </c>
      <c r="BK3" s="205">
        <v>10908.529999999999</v>
      </c>
      <c r="BL3" s="119">
        <v>50675.199999999997</v>
      </c>
      <c r="BM3" s="34">
        <v>25652</v>
      </c>
      <c r="BN3" s="34">
        <f>V3*BM$18</f>
        <v>457323.32800000004</v>
      </c>
      <c r="BO3" s="34">
        <f>BM3-BN3</f>
        <v>-431671.32800000004</v>
      </c>
      <c r="BP3" s="36">
        <f>(BO3-BO$16)/BO$17</f>
        <v>-0.78589558580675756</v>
      </c>
      <c r="BQ3" s="231">
        <f>(0.6*BD3)+(0.4*BP3)</f>
        <v>1.0978461448797798</v>
      </c>
      <c r="BR3" s="119">
        <v>50543</v>
      </c>
      <c r="BS3" s="119">
        <f>BJ3-BL3</f>
        <v>-39766.199999999997</v>
      </c>
      <c r="BT3" s="119">
        <f>BK3-BR3</f>
        <v>-39634.47</v>
      </c>
      <c r="BU3" s="23">
        <v>-0.13103000000000001</v>
      </c>
      <c r="BV3" s="23">
        <f>(BT3-BT$15)/BT$16</f>
        <v>-0.1299440608974122</v>
      </c>
    </row>
    <row r="4" spans="1:74" x14ac:dyDescent="0.25">
      <c r="A4" s="9" t="s">
        <v>3</v>
      </c>
      <c r="B4" s="9" t="s">
        <v>36</v>
      </c>
      <c r="C4" s="237">
        <f t="shared" si="0"/>
        <v>434</v>
      </c>
      <c r="D4" s="8">
        <v>434</v>
      </c>
      <c r="E4" s="94">
        <v>2655.5</v>
      </c>
      <c r="F4" s="71">
        <v>2229.5</v>
      </c>
      <c r="G4" s="96">
        <f t="shared" si="1"/>
        <v>6.1186635944700463</v>
      </c>
      <c r="H4" s="120">
        <f t="shared" si="2"/>
        <v>5.137096774193548</v>
      </c>
      <c r="I4" s="120">
        <f t="shared" si="3"/>
        <v>0.14364757000426526</v>
      </c>
      <c r="J4" s="97">
        <f>H4/H15</f>
        <v>0.13116221123081803</v>
      </c>
      <c r="K4" s="34">
        <v>10264</v>
      </c>
      <c r="L4" s="34">
        <v>10264</v>
      </c>
      <c r="M4" s="34">
        <f t="shared" si="4"/>
        <v>23.649769585253456</v>
      </c>
      <c r="N4" s="34">
        <f t="shared" si="5"/>
        <v>23.649769585253456</v>
      </c>
      <c r="O4" s="40">
        <f>N4/N15</f>
        <v>2.4585682379266666E-3</v>
      </c>
      <c r="P4" s="40">
        <f t="shared" si="6"/>
        <v>1.432176471644142E-3</v>
      </c>
      <c r="Q4" s="48">
        <f t="shared" si="7"/>
        <v>7.9680754033661483E-2</v>
      </c>
      <c r="R4" s="48">
        <f t="shared" si="8"/>
        <v>8.6761412591216808E-2</v>
      </c>
      <c r="S4" s="25">
        <v>1.052</v>
      </c>
      <c r="T4">
        <v>0.189</v>
      </c>
      <c r="U4" s="26">
        <f t="shared" si="9"/>
        <v>1.0047502238290769</v>
      </c>
      <c r="V4" s="221">
        <v>452</v>
      </c>
      <c r="W4" s="26">
        <v>0.15747074021105256</v>
      </c>
      <c r="X4" s="25">
        <f t="shared" ref="X4:X13" si="13">(0.6*BI4)+(0.4*BV4)</f>
        <v>1.0054118620566259</v>
      </c>
      <c r="Y4" s="67">
        <f>AD4*AQ$3</f>
        <v>1246757.5327310006</v>
      </c>
      <c r="Z4" s="37"/>
      <c r="AA4" s="67">
        <f>AE4*AR$3</f>
        <v>1207848.3711232648</v>
      </c>
      <c r="AB4" s="67">
        <f>AH4*AS$3</f>
        <v>1208100.0605390852</v>
      </c>
      <c r="AC4" s="70">
        <f>AB4-Y4</f>
        <v>-38657.472191915382</v>
      </c>
      <c r="AD4" s="67">
        <f>AI4*C4</f>
        <v>139.07036247334756</v>
      </c>
      <c r="AE4" s="67">
        <f>AK4*C4</f>
        <v>132.88554424320478</v>
      </c>
      <c r="AF4" s="70"/>
      <c r="AG4" s="70"/>
      <c r="AH4" s="67">
        <f>AM4*C4</f>
        <v>132.93774736634282</v>
      </c>
      <c r="AI4" s="127">
        <f>S4/AT$2</f>
        <v>0.32043862321047822</v>
      </c>
      <c r="AJ4" s="59"/>
      <c r="AK4" s="59">
        <f>U4/AU$2</f>
        <v>0.30618788996130131</v>
      </c>
      <c r="AL4" s="23"/>
      <c r="AM4" s="59">
        <f t="shared" si="10"/>
        <v>0.30630817365516777</v>
      </c>
      <c r="AO4" s="52">
        <f>AO3/C14</f>
        <v>0.26407914764079149</v>
      </c>
      <c r="AP4" s="39" t="s">
        <v>163</v>
      </c>
      <c r="AW4">
        <v>5311</v>
      </c>
      <c r="AX4">
        <v>5194</v>
      </c>
      <c r="AY4">
        <f t="shared" si="11"/>
        <v>117</v>
      </c>
      <c r="AZ4">
        <v>3365</v>
      </c>
      <c r="BA4">
        <v>6034</v>
      </c>
      <c r="BB4" s="119">
        <v>4096</v>
      </c>
      <c r="BC4" s="119">
        <f t="shared" ref="BC4:BC13" si="14">BA4-BB4</f>
        <v>1938</v>
      </c>
      <c r="BD4" s="25">
        <f t="shared" ref="BD4:BD13" si="15">(BC4-BC$16)/BC$17</f>
        <v>1.5310048642761827</v>
      </c>
      <c r="BE4">
        <v>3351</v>
      </c>
      <c r="BF4">
        <f t="shared" ref="BF4:BF13" si="16">AW4-AZ4</f>
        <v>1946</v>
      </c>
      <c r="BG4">
        <f t="shared" ref="BG4:BG13" si="17">AX4-BE4</f>
        <v>1843</v>
      </c>
      <c r="BH4" s="23">
        <v>1.744</v>
      </c>
      <c r="BI4" s="23">
        <f t="shared" si="12"/>
        <v>1.6657437063817948</v>
      </c>
      <c r="BJ4" s="34">
        <v>10264</v>
      </c>
      <c r="BK4" s="205">
        <v>10264.41</v>
      </c>
      <c r="BL4" s="119">
        <v>25872.75</v>
      </c>
      <c r="BM4" s="34">
        <v>29182</v>
      </c>
      <c r="BN4" s="34">
        <f t="shared" ref="BN4:BN13" si="18">V4*BM$18</f>
        <v>922813.14400000009</v>
      </c>
      <c r="BO4" s="34">
        <f t="shared" ref="BO4:BO13" si="19">BM4-BN4</f>
        <v>-893631.14400000009</v>
      </c>
      <c r="BP4" s="36">
        <f t="shared" ref="BP4:BP13" si="20">(BO4-BO$16)/BO$17</f>
        <v>-1.9028304458866423</v>
      </c>
      <c r="BQ4" s="247">
        <f t="shared" ref="BQ4:BQ13" si="21">(0.6*BD4)+(0.4*BP4)</f>
        <v>0.15747074021105256</v>
      </c>
      <c r="BR4" s="119">
        <v>25670</v>
      </c>
      <c r="BS4" s="119">
        <f t="shared" ref="BS4:BS13" si="22">BJ4-BL4</f>
        <v>-15608.75</v>
      </c>
      <c r="BT4" s="119">
        <f t="shared" ref="BT4:BT13" si="23">BK4-BR4</f>
        <v>-15405.59</v>
      </c>
      <c r="BU4" s="23">
        <v>1.3259999999999999E-2</v>
      </c>
      <c r="BV4" s="23">
        <f t="shared" ref="BV4:BV13" si="24">(BT4-BT$15)/BT$16</f>
        <v>1.4914095568872477E-2</v>
      </c>
    </row>
    <row r="5" spans="1:74" x14ac:dyDescent="0.25">
      <c r="A5" s="7" t="s">
        <v>3</v>
      </c>
      <c r="B5" s="7" t="s">
        <v>41</v>
      </c>
      <c r="C5" s="237">
        <f t="shared" si="0"/>
        <v>86</v>
      </c>
      <c r="D5" s="8">
        <v>86</v>
      </c>
      <c r="E5" s="94">
        <v>500.5</v>
      </c>
      <c r="F5" s="71">
        <v>519.5</v>
      </c>
      <c r="G5" s="96">
        <f t="shared" si="1"/>
        <v>5.8197674418604652</v>
      </c>
      <c r="H5" s="120">
        <f t="shared" si="2"/>
        <v>6.0406976744186043</v>
      </c>
      <c r="I5" s="120">
        <f t="shared" si="3"/>
        <v>0.13663039945009475</v>
      </c>
      <c r="J5" s="97">
        <f>H5/H15</f>
        <v>0.15423327594952424</v>
      </c>
      <c r="K5" s="34">
        <v>513058</v>
      </c>
      <c r="L5" s="34">
        <v>111160</v>
      </c>
      <c r="M5" s="34">
        <f t="shared" si="4"/>
        <v>5965.7906976744189</v>
      </c>
      <c r="N5" s="77">
        <f t="shared" si="5"/>
        <v>1292.5581395348838</v>
      </c>
      <c r="O5" s="40">
        <f>N5/N15</f>
        <v>0.13437096611357927</v>
      </c>
      <c r="P5" s="40">
        <f t="shared" si="6"/>
        <v>0.36127477019016491</v>
      </c>
      <c r="Q5" s="48">
        <f t="shared" si="7"/>
        <v>0.14628835201514626</v>
      </c>
      <c r="R5" s="48">
        <f t="shared" si="8"/>
        <v>0.22648814774612283</v>
      </c>
      <c r="S5" s="25">
        <v>0.96399999999999997</v>
      </c>
      <c r="T5" s="73">
        <v>0.60299999999999998</v>
      </c>
      <c r="U5" s="26">
        <f t="shared" si="9"/>
        <v>0.97364463952002789</v>
      </c>
      <c r="V5" s="221">
        <v>97</v>
      </c>
      <c r="W5" s="25">
        <v>0.18771072146527915</v>
      </c>
      <c r="X5" s="25">
        <f t="shared" si="13"/>
        <v>0.97342006626490785</v>
      </c>
      <c r="Y5" s="67">
        <f>AD5*AQ$3</f>
        <v>226387.27745599966</v>
      </c>
      <c r="Z5" s="67" t="e">
        <f>AJ5*C5</f>
        <v>#VALUE!</v>
      </c>
      <c r="AA5" s="67">
        <f>AE5*AR$3</f>
        <v>231933.51252681727</v>
      </c>
      <c r="AB5" s="67">
        <f>AH5*AS$3</f>
        <v>231775.70866766275</v>
      </c>
      <c r="AC5" s="70">
        <f>AB5-Y5</f>
        <v>5388.4312116630899</v>
      </c>
      <c r="AD5" s="67">
        <f>AI5*C5</f>
        <v>25.252512945476695</v>
      </c>
      <c r="AE5" s="67">
        <f>AK5*C5</f>
        <v>25.516953764405024</v>
      </c>
      <c r="AF5" s="67">
        <f>AG5*AS$6</f>
        <v>157425.88374740604</v>
      </c>
      <c r="AG5" s="67">
        <f>AL5*V5</f>
        <v>10.152999533798852</v>
      </c>
      <c r="AH5" s="67">
        <f>AM5*C5</f>
        <v>25.50429522432756</v>
      </c>
      <c r="AI5" s="127">
        <f>S5/AT$2</f>
        <v>0.29363387145903136</v>
      </c>
      <c r="AJ5" s="59" t="e">
        <f>T5/AQ2</f>
        <v>#VALUE!</v>
      </c>
      <c r="AK5" s="59">
        <f>U5/AU$2</f>
        <v>0.296708764702384</v>
      </c>
      <c r="AL5" s="23">
        <f>W5/AV$6</f>
        <v>0.10467009828658611</v>
      </c>
      <c r="AM5" s="59">
        <f t="shared" si="10"/>
        <v>0.29656157237590186</v>
      </c>
      <c r="AS5" s="39" t="s">
        <v>410</v>
      </c>
      <c r="AV5" s="237" t="s">
        <v>413</v>
      </c>
      <c r="AW5">
        <v>1001</v>
      </c>
      <c r="AX5">
        <v>1005</v>
      </c>
      <c r="AY5">
        <f t="shared" si="11"/>
        <v>-4</v>
      </c>
      <c r="AZ5">
        <v>667</v>
      </c>
      <c r="BA5">
        <v>1060</v>
      </c>
      <c r="BB5" s="119">
        <v>879</v>
      </c>
      <c r="BC5" s="119">
        <f t="shared" si="14"/>
        <v>181</v>
      </c>
      <c r="BD5" s="23">
        <f t="shared" si="15"/>
        <v>-0.23818682552147249</v>
      </c>
      <c r="BE5">
        <v>664</v>
      </c>
      <c r="BF5">
        <f t="shared" si="16"/>
        <v>334</v>
      </c>
      <c r="BG5">
        <f t="shared" si="17"/>
        <v>341</v>
      </c>
      <c r="BH5" s="23">
        <v>-3.5000000000000003E-2</v>
      </c>
      <c r="BI5" s="23">
        <f t="shared" si="12"/>
        <v>-1.9172267466620357E-2</v>
      </c>
      <c r="BJ5" s="34">
        <v>513058</v>
      </c>
      <c r="BK5" s="205">
        <v>513058</v>
      </c>
      <c r="BL5" s="119">
        <v>118530.66</v>
      </c>
      <c r="BM5" s="34">
        <v>433270</v>
      </c>
      <c r="BN5" s="34">
        <f t="shared" si="18"/>
        <v>198037.334</v>
      </c>
      <c r="BO5" s="34">
        <f t="shared" si="19"/>
        <v>235232.666</v>
      </c>
      <c r="BP5" s="231">
        <f t="shared" si="20"/>
        <v>0.82655704194540658</v>
      </c>
      <c r="BQ5" s="231">
        <f t="shared" si="21"/>
        <v>0.18771072146527915</v>
      </c>
      <c r="BR5" s="119">
        <v>119114</v>
      </c>
      <c r="BS5" s="119">
        <f t="shared" si="22"/>
        <v>394527.33999999997</v>
      </c>
      <c r="BT5" s="119">
        <f t="shared" si="23"/>
        <v>393944</v>
      </c>
      <c r="BU5" s="23">
        <v>2.4628700000000001</v>
      </c>
      <c r="BV5" s="23">
        <f t="shared" si="24"/>
        <v>2.4623085668622</v>
      </c>
    </row>
    <row r="6" spans="1:74" x14ac:dyDescent="0.25">
      <c r="A6" s="9" t="s">
        <v>80</v>
      </c>
      <c r="B6" s="9" t="s">
        <v>81</v>
      </c>
      <c r="C6" s="245">
        <f t="shared" si="0"/>
        <v>48</v>
      </c>
      <c r="D6">
        <v>48</v>
      </c>
      <c r="E6" s="94">
        <v>127</v>
      </c>
      <c r="F6" s="71">
        <v>135</v>
      </c>
      <c r="G6" s="96">
        <f t="shared" si="1"/>
        <v>2.6458333333333335</v>
      </c>
      <c r="H6" s="120">
        <f t="shared" si="2"/>
        <v>2.8125</v>
      </c>
      <c r="I6" s="120">
        <f t="shared" si="3"/>
        <v>6.2116101514899054E-2</v>
      </c>
      <c r="J6" s="97">
        <f>H6/H15</f>
        <v>7.1809766352822282E-2</v>
      </c>
      <c r="K6" s="34">
        <v>0</v>
      </c>
      <c r="L6" s="34">
        <v>0</v>
      </c>
      <c r="M6" s="34">
        <f t="shared" si="4"/>
        <v>0</v>
      </c>
      <c r="N6" s="77">
        <f t="shared" si="5"/>
        <v>0</v>
      </c>
      <c r="O6" s="40">
        <f>N6/N15</f>
        <v>0</v>
      </c>
      <c r="P6" s="40">
        <f t="shared" si="6"/>
        <v>0</v>
      </c>
      <c r="Q6" s="48">
        <f t="shared" si="7"/>
        <v>4.3085859811693369E-2</v>
      </c>
      <c r="R6" s="48">
        <f t="shared" si="8"/>
        <v>3.7269660908939434E-2</v>
      </c>
      <c r="S6" s="26">
        <v>-0.64300000000000002</v>
      </c>
      <c r="T6">
        <v>-0.36699999999999999</v>
      </c>
      <c r="U6" s="26">
        <f t="shared" si="9"/>
        <v>-0.64186894610816436</v>
      </c>
      <c r="V6" s="221">
        <v>35</v>
      </c>
      <c r="W6" s="26">
        <v>-0.20797979118425666</v>
      </c>
      <c r="X6" s="26">
        <f t="shared" si="13"/>
        <v>-0.64550952641041559</v>
      </c>
      <c r="Y6" s="75"/>
      <c r="Z6" s="37"/>
      <c r="AA6" s="69"/>
      <c r="AB6" s="69"/>
      <c r="AC6" s="69"/>
      <c r="AD6" s="37"/>
      <c r="AE6" s="37"/>
      <c r="AF6" s="69"/>
      <c r="AG6" s="37"/>
      <c r="AH6" s="37"/>
      <c r="AI6" s="127"/>
      <c r="AJ6" s="59"/>
      <c r="AK6" s="59"/>
      <c r="AL6" s="23"/>
      <c r="AM6" s="59"/>
      <c r="AN6" s="237" t="s">
        <v>407</v>
      </c>
      <c r="AS6" s="64">
        <f>AN7/AG14</f>
        <v>15505.357133460195</v>
      </c>
      <c r="AV6" s="25">
        <f>W3+W5+W8</f>
        <v>1.7933557390127628</v>
      </c>
      <c r="AW6">
        <v>254</v>
      </c>
      <c r="AX6">
        <v>254</v>
      </c>
      <c r="AY6">
        <f t="shared" si="11"/>
        <v>0</v>
      </c>
      <c r="AZ6">
        <v>372</v>
      </c>
      <c r="BA6">
        <v>334</v>
      </c>
      <c r="BB6" s="119">
        <v>317</v>
      </c>
      <c r="BC6" s="119">
        <f t="shared" si="14"/>
        <v>17</v>
      </c>
      <c r="BD6" s="23">
        <f t="shared" si="15"/>
        <v>-0.40332480908824281</v>
      </c>
      <c r="BE6">
        <v>371</v>
      </c>
      <c r="BF6">
        <f t="shared" si="16"/>
        <v>-118</v>
      </c>
      <c r="BG6">
        <f t="shared" si="17"/>
        <v>-117</v>
      </c>
      <c r="BH6" s="23">
        <v>-0.53400000000000003</v>
      </c>
      <c r="BI6" s="23">
        <f t="shared" si="12"/>
        <v>-0.53294824351360714</v>
      </c>
      <c r="BJ6" s="34">
        <v>0</v>
      </c>
      <c r="BK6" s="205">
        <v>0</v>
      </c>
      <c r="BL6" s="119">
        <v>152650.23000000001</v>
      </c>
      <c r="BM6" s="34">
        <v>0</v>
      </c>
      <c r="BN6" s="34">
        <f t="shared" si="18"/>
        <v>71456.77</v>
      </c>
      <c r="BO6" s="34">
        <f t="shared" si="19"/>
        <v>-71456.77</v>
      </c>
      <c r="BP6" s="36">
        <f t="shared" si="20"/>
        <v>8.5037735671722514E-2</v>
      </c>
      <c r="BQ6" s="247">
        <f t="shared" si="21"/>
        <v>-0.20797979118425666</v>
      </c>
      <c r="BR6" s="119">
        <v>154108</v>
      </c>
      <c r="BS6" s="119">
        <f t="shared" si="22"/>
        <v>-152650.23000000001</v>
      </c>
      <c r="BT6" s="119">
        <f t="shared" si="23"/>
        <v>-154108</v>
      </c>
      <c r="BU6" s="23">
        <v>-0.80525000000000002</v>
      </c>
      <c r="BV6" s="23">
        <f t="shared" si="24"/>
        <v>-0.8143514507556282</v>
      </c>
    </row>
    <row r="7" spans="1:74" x14ac:dyDescent="0.25">
      <c r="A7" s="7" t="s">
        <v>99</v>
      </c>
      <c r="B7" s="7" t="s">
        <v>102</v>
      </c>
      <c r="C7" s="245">
        <f t="shared" si="0"/>
        <v>293</v>
      </c>
      <c r="D7" s="8">
        <v>293</v>
      </c>
      <c r="E7" s="94">
        <v>1239</v>
      </c>
      <c r="F7" s="71">
        <v>1080</v>
      </c>
      <c r="G7" s="96">
        <f t="shared" si="1"/>
        <v>4.2286689419795218</v>
      </c>
      <c r="H7" s="120">
        <f t="shared" si="2"/>
        <v>3.6860068259385668</v>
      </c>
      <c r="I7" s="120">
        <f t="shared" si="3"/>
        <v>9.9276256733064838E-2</v>
      </c>
      <c r="J7" s="97">
        <f>H7/H15</f>
        <v>9.4112458291753437E-2</v>
      </c>
      <c r="K7" s="34">
        <v>56571</v>
      </c>
      <c r="L7" s="34">
        <v>46292</v>
      </c>
      <c r="M7" s="34">
        <f t="shared" si="4"/>
        <v>193.07508532423208</v>
      </c>
      <c r="N7" s="77">
        <f t="shared" si="5"/>
        <v>157.99317406143345</v>
      </c>
      <c r="O7" s="40">
        <f>N7/N15</f>
        <v>1.6424557463716898E-2</v>
      </c>
      <c r="P7" s="40">
        <f t="shared" si="6"/>
        <v>1.169218978921764E-2</v>
      </c>
      <c r="Q7" s="48">
        <f t="shared" si="7"/>
        <v>6.3037297960538821E-2</v>
      </c>
      <c r="R7" s="48">
        <f t="shared" si="8"/>
        <v>6.4242629955525959E-2</v>
      </c>
      <c r="S7" s="26">
        <v>-0.02</v>
      </c>
      <c r="T7">
        <v>-0.30299999999999999</v>
      </c>
      <c r="U7" s="26">
        <f t="shared" si="9"/>
        <v>-3.0209049939294838E-2</v>
      </c>
      <c r="V7" s="221">
        <v>315</v>
      </c>
      <c r="W7" s="26">
        <v>-0.24938174028637727</v>
      </c>
      <c r="X7" s="26">
        <f t="shared" si="13"/>
        <v>-2.9512527853035958E-2</v>
      </c>
      <c r="Y7" s="75"/>
      <c r="Z7" s="37"/>
      <c r="AA7" s="69"/>
      <c r="AB7" s="69"/>
      <c r="AC7" s="69"/>
      <c r="AD7" s="37"/>
      <c r="AE7" s="37"/>
      <c r="AF7" s="69"/>
      <c r="AG7" s="37"/>
      <c r="AH7" s="37"/>
      <c r="AI7" s="127"/>
      <c r="AJ7" s="59"/>
      <c r="AK7" s="59"/>
      <c r="AL7" s="23"/>
      <c r="AM7" s="59"/>
      <c r="AN7" s="140">
        <v>2485589.1529754973</v>
      </c>
      <c r="AW7">
        <v>2478</v>
      </c>
      <c r="AX7">
        <v>2448</v>
      </c>
      <c r="AY7">
        <f t="shared" si="11"/>
        <v>30</v>
      </c>
      <c r="AZ7">
        <v>2272</v>
      </c>
      <c r="BA7">
        <v>3366</v>
      </c>
      <c r="BB7" s="119">
        <v>2854</v>
      </c>
      <c r="BC7" s="119">
        <f t="shared" si="14"/>
        <v>512</v>
      </c>
      <c r="BD7" s="25">
        <f t="shared" si="15"/>
        <v>9.5109958384631002E-2</v>
      </c>
      <c r="BE7">
        <v>2262</v>
      </c>
      <c r="BF7">
        <f t="shared" si="16"/>
        <v>206</v>
      </c>
      <c r="BG7">
        <f t="shared" si="17"/>
        <v>186</v>
      </c>
      <c r="BH7" s="23">
        <v>-0.17599999999999999</v>
      </c>
      <c r="BI7" s="23">
        <f t="shared" si="12"/>
        <v>-0.1930484165654914</v>
      </c>
      <c r="BJ7" s="34">
        <v>56571</v>
      </c>
      <c r="BK7" s="205">
        <v>56571</v>
      </c>
      <c r="BL7" s="119">
        <v>38560.949999999997</v>
      </c>
      <c r="BM7" s="34">
        <v>219619</v>
      </c>
      <c r="BN7" s="34">
        <f t="shared" si="18"/>
        <v>643110.93000000005</v>
      </c>
      <c r="BO7" s="34">
        <f t="shared" si="19"/>
        <v>-423491.93000000005</v>
      </c>
      <c r="BP7" s="36">
        <f t="shared" si="20"/>
        <v>-0.76611928829288967</v>
      </c>
      <c r="BQ7" s="247">
        <f t="shared" si="21"/>
        <v>-0.24938174028637727</v>
      </c>
      <c r="BR7" s="119">
        <v>38378</v>
      </c>
      <c r="BS7" s="119">
        <f t="shared" si="22"/>
        <v>18010.050000000003</v>
      </c>
      <c r="BT7" s="119">
        <f t="shared" si="23"/>
        <v>18193</v>
      </c>
      <c r="BU7" s="23">
        <v>0.21404999999999999</v>
      </c>
      <c r="BV7" s="23">
        <f t="shared" si="24"/>
        <v>0.21579130521564718</v>
      </c>
    </row>
    <row r="8" spans="1:74" x14ac:dyDescent="0.25">
      <c r="A8" s="9" t="s">
        <v>106</v>
      </c>
      <c r="B8" s="9" t="s">
        <v>109</v>
      </c>
      <c r="C8" s="245">
        <f t="shared" si="0"/>
        <v>38</v>
      </c>
      <c r="D8" s="8">
        <v>38</v>
      </c>
      <c r="E8" s="94">
        <v>178.5</v>
      </c>
      <c r="F8" s="71">
        <v>225</v>
      </c>
      <c r="G8" s="96">
        <f t="shared" si="1"/>
        <v>4.6973684210526319</v>
      </c>
      <c r="H8" s="120">
        <f t="shared" si="2"/>
        <v>5.9210526315789478</v>
      </c>
      <c r="I8" s="120">
        <f t="shared" si="3"/>
        <v>0.11027989179023105</v>
      </c>
      <c r="J8" s="97">
        <f>H8/H15</f>
        <v>0.15117845547962586</v>
      </c>
      <c r="K8" s="34">
        <v>329494</v>
      </c>
      <c r="L8" s="34">
        <v>257811</v>
      </c>
      <c r="M8" s="34">
        <f t="shared" si="4"/>
        <v>8670.894736842105</v>
      </c>
      <c r="N8" s="77">
        <f t="shared" si="5"/>
        <v>6784.5</v>
      </c>
      <c r="O8" s="40">
        <f>N8/N15</f>
        <v>0.70529888885742842</v>
      </c>
      <c r="P8" s="40">
        <f t="shared" si="6"/>
        <v>0.52508974285954757</v>
      </c>
      <c r="Q8" s="48">
        <f t="shared" si="7"/>
        <v>0.37282662883074685</v>
      </c>
      <c r="R8" s="48">
        <f t="shared" si="8"/>
        <v>0.27620383221795763</v>
      </c>
      <c r="S8" s="26">
        <v>0.27</v>
      </c>
      <c r="T8" s="73">
        <v>0.753</v>
      </c>
      <c r="U8" s="26">
        <f t="shared" si="9"/>
        <v>0.28171443295705256</v>
      </c>
      <c r="V8" s="221">
        <v>46</v>
      </c>
      <c r="W8" s="25">
        <v>0.50779887266770385</v>
      </c>
      <c r="X8" s="26">
        <f t="shared" si="13"/>
        <v>0.27826478582989411</v>
      </c>
      <c r="Y8" s="135"/>
      <c r="Z8" s="67" t="e">
        <f>AJ8*C8</f>
        <v>#VALUE!</v>
      </c>
      <c r="AA8" s="70"/>
      <c r="AB8" s="70"/>
      <c r="AC8" s="70"/>
      <c r="AD8" s="70"/>
      <c r="AE8" s="70"/>
      <c r="AF8" s="67">
        <f>AG8*AS$6</f>
        <v>201959.7809092348</v>
      </c>
      <c r="AG8" s="67">
        <f>AL8*V8</f>
        <v>13.025161508431841</v>
      </c>
      <c r="AH8" s="70"/>
      <c r="AI8" s="127"/>
      <c r="AJ8" s="59" t="e">
        <f>T8/AQ2</f>
        <v>#VALUE!</v>
      </c>
      <c r="AK8" s="59"/>
      <c r="AL8" s="23">
        <f>W8/AV$6</f>
        <v>0.28315568496590959</v>
      </c>
      <c r="AM8" s="59"/>
      <c r="AW8">
        <v>357</v>
      </c>
      <c r="AX8">
        <v>370</v>
      </c>
      <c r="AY8">
        <f t="shared" si="11"/>
        <v>-13</v>
      </c>
      <c r="AZ8">
        <v>295</v>
      </c>
      <c r="BA8">
        <v>285</v>
      </c>
      <c r="BB8" s="119">
        <v>417</v>
      </c>
      <c r="BC8" s="119">
        <f t="shared" si="14"/>
        <v>-132</v>
      </c>
      <c r="BD8" s="23">
        <f t="shared" si="15"/>
        <v>-0.55335870879219873</v>
      </c>
      <c r="BE8">
        <v>293</v>
      </c>
      <c r="BF8">
        <f t="shared" si="16"/>
        <v>62</v>
      </c>
      <c r="BG8">
        <f t="shared" si="17"/>
        <v>77</v>
      </c>
      <c r="BH8" s="23">
        <v>-0.33500000000000002</v>
      </c>
      <c r="BI8" s="23">
        <f t="shared" si="12"/>
        <v>-0.31532261173824588</v>
      </c>
      <c r="BJ8" s="34">
        <v>329494</v>
      </c>
      <c r="BK8" s="205">
        <v>329493.82999999996</v>
      </c>
      <c r="BL8" s="119">
        <v>150212.88</v>
      </c>
      <c r="BM8" s="34">
        <v>855646</v>
      </c>
      <c r="BN8" s="34">
        <f t="shared" si="18"/>
        <v>93914.612000000008</v>
      </c>
      <c r="BO8" s="34">
        <f t="shared" si="19"/>
        <v>761731.38800000004</v>
      </c>
      <c r="BP8" s="231">
        <f t="shared" si="20"/>
        <v>2.0995352448575577</v>
      </c>
      <c r="BQ8" s="231">
        <f t="shared" si="21"/>
        <v>0.50779887266770385</v>
      </c>
      <c r="BR8" s="119">
        <v>151927</v>
      </c>
      <c r="BS8" s="119">
        <f t="shared" si="22"/>
        <v>179281.12</v>
      </c>
      <c r="BT8" s="119">
        <f t="shared" si="23"/>
        <v>177566.82999999996</v>
      </c>
      <c r="BU8" s="23">
        <v>1.17727</v>
      </c>
      <c r="BV8" s="23">
        <f t="shared" si="24"/>
        <v>1.168645882182104</v>
      </c>
    </row>
    <row r="9" spans="1:74" x14ac:dyDescent="0.25">
      <c r="A9" s="7" t="s">
        <v>114</v>
      </c>
      <c r="B9" s="7" t="s">
        <v>115</v>
      </c>
      <c r="C9" s="245">
        <f t="shared" si="0"/>
        <v>18</v>
      </c>
      <c r="D9">
        <v>18</v>
      </c>
      <c r="E9" s="94">
        <v>46.5</v>
      </c>
      <c r="F9" s="71">
        <v>31</v>
      </c>
      <c r="G9" s="96">
        <f t="shared" si="1"/>
        <v>2.5833333333333335</v>
      </c>
      <c r="H9" s="120">
        <f t="shared" si="2"/>
        <v>1.7222222222222223</v>
      </c>
      <c r="I9" s="120">
        <f t="shared" si="3"/>
        <v>6.0648792030295134E-2</v>
      </c>
      <c r="J9" s="97">
        <f>H9/H15</f>
        <v>4.3972400137036856E-2</v>
      </c>
      <c r="K9" s="34">
        <v>0</v>
      </c>
      <c r="L9" s="34">
        <v>0</v>
      </c>
      <c r="M9" s="34">
        <f t="shared" si="4"/>
        <v>0</v>
      </c>
      <c r="N9" s="77">
        <f t="shared" si="5"/>
        <v>0</v>
      </c>
      <c r="O9" s="40">
        <f>N9/N15</f>
        <v>0</v>
      </c>
      <c r="P9" s="40">
        <f t="shared" si="6"/>
        <v>0</v>
      </c>
      <c r="Q9" s="40">
        <f t="shared" si="7"/>
        <v>2.6383440082222112E-2</v>
      </c>
      <c r="R9" s="48">
        <f t="shared" si="8"/>
        <v>3.6389275218177079E-2</v>
      </c>
      <c r="S9" s="26">
        <v>-0.443</v>
      </c>
      <c r="T9">
        <v>-0.32800000000000001</v>
      </c>
      <c r="U9" s="26">
        <f t="shared" si="9"/>
        <v>-0.4463074634316741</v>
      </c>
      <c r="V9" s="221">
        <v>17</v>
      </c>
      <c r="W9" s="26">
        <v>-0.1781571391777326</v>
      </c>
      <c r="X9" s="26">
        <f t="shared" si="13"/>
        <v>-0.45001246642527287</v>
      </c>
      <c r="Z9" s="37"/>
      <c r="AA9" s="37"/>
      <c r="AB9" s="37"/>
      <c r="AC9" s="37"/>
      <c r="AD9" s="37"/>
      <c r="AE9" s="37"/>
      <c r="AF9" s="69"/>
      <c r="AG9" s="37"/>
      <c r="AH9" s="37"/>
      <c r="AI9" s="69"/>
      <c r="AJ9" s="59"/>
      <c r="AK9" s="59"/>
      <c r="AL9" s="59"/>
      <c r="AM9" s="59"/>
      <c r="AW9">
        <v>93</v>
      </c>
      <c r="AX9">
        <v>87</v>
      </c>
      <c r="AY9">
        <f t="shared" si="11"/>
        <v>6</v>
      </c>
      <c r="AZ9">
        <v>140</v>
      </c>
      <c r="BA9">
        <v>144</v>
      </c>
      <c r="BB9" s="119">
        <v>154</v>
      </c>
      <c r="BC9" s="119">
        <f t="shared" si="14"/>
        <v>-10</v>
      </c>
      <c r="BD9" s="23">
        <f t="shared" si="15"/>
        <v>-0.43051216004130866</v>
      </c>
      <c r="BE9">
        <v>139</v>
      </c>
      <c r="BF9">
        <f t="shared" si="16"/>
        <v>-47</v>
      </c>
      <c r="BG9">
        <f t="shared" si="17"/>
        <v>-52</v>
      </c>
      <c r="BH9" s="23">
        <v>-0.45500000000000002</v>
      </c>
      <c r="BI9" s="23">
        <f t="shared" si="12"/>
        <v>-0.46003243905279018</v>
      </c>
      <c r="BJ9" s="34">
        <v>0</v>
      </c>
      <c r="BK9" s="205">
        <v>0</v>
      </c>
      <c r="BL9" s="119">
        <v>89105.64</v>
      </c>
      <c r="BM9" s="34">
        <v>10954</v>
      </c>
      <c r="BN9" s="34">
        <f t="shared" si="18"/>
        <v>34707.574000000001</v>
      </c>
      <c r="BO9" s="34">
        <f t="shared" si="19"/>
        <v>-23753.574000000001</v>
      </c>
      <c r="BP9" s="36">
        <f t="shared" si="20"/>
        <v>0.20037539211763147</v>
      </c>
      <c r="BQ9" s="247">
        <f t="shared" si="21"/>
        <v>-0.1781571391777326</v>
      </c>
      <c r="BR9" s="119">
        <v>90655</v>
      </c>
      <c r="BS9" s="119">
        <f t="shared" si="22"/>
        <v>-89105.64</v>
      </c>
      <c r="BT9" s="119">
        <f t="shared" si="23"/>
        <v>-90655</v>
      </c>
      <c r="BU9" s="23">
        <v>-0.42571999999999999</v>
      </c>
      <c r="BV9" s="23">
        <f t="shared" si="24"/>
        <v>-0.43498250748399692</v>
      </c>
    </row>
    <row r="10" spans="1:74" x14ac:dyDescent="0.25">
      <c r="A10" s="7" t="s">
        <v>118</v>
      </c>
      <c r="B10" s="7" t="s">
        <v>122</v>
      </c>
      <c r="C10" s="245">
        <f t="shared" si="0"/>
        <v>77</v>
      </c>
      <c r="D10" s="8">
        <v>77</v>
      </c>
      <c r="E10" s="94">
        <v>128.5</v>
      </c>
      <c r="F10" s="71">
        <v>77.5</v>
      </c>
      <c r="G10" s="96">
        <f t="shared" si="1"/>
        <v>1.6688311688311688</v>
      </c>
      <c r="H10" s="120">
        <f t="shared" si="2"/>
        <v>1.0064935064935066</v>
      </c>
      <c r="I10" s="120">
        <f t="shared" si="3"/>
        <v>3.917906883565777E-2</v>
      </c>
      <c r="J10" s="97">
        <f>H10/H15</f>
        <v>2.5698155924242318E-2</v>
      </c>
      <c r="K10" s="34">
        <v>12500</v>
      </c>
      <c r="L10" s="34">
        <v>12500</v>
      </c>
      <c r="M10" s="34">
        <f t="shared" si="4"/>
        <v>162.33766233766235</v>
      </c>
      <c r="N10" s="77">
        <f t="shared" si="5"/>
        <v>162.33766233766235</v>
      </c>
      <c r="O10" s="40">
        <f>N10/N15</f>
        <v>1.6876199110688432E-2</v>
      </c>
      <c r="P10" s="40">
        <f t="shared" si="6"/>
        <v>9.8308010834355745E-3</v>
      </c>
      <c r="Q10" s="40">
        <f t="shared" si="7"/>
        <v>2.2169373198820765E-2</v>
      </c>
      <c r="R10" s="48">
        <f t="shared" si="8"/>
        <v>2.7439761734768892E-2</v>
      </c>
      <c r="S10" s="26">
        <v>-0.7</v>
      </c>
      <c r="T10">
        <v>-0.64300000000000002</v>
      </c>
      <c r="U10" s="26">
        <f t="shared" si="9"/>
        <v>-0.70076118720823066</v>
      </c>
      <c r="V10" s="221">
        <v>74</v>
      </c>
      <c r="W10" s="26">
        <v>-0.42155725340727546</v>
      </c>
      <c r="X10" s="26">
        <f t="shared" si="13"/>
        <v>-0.7025917369328788</v>
      </c>
      <c r="Z10" s="37"/>
      <c r="AA10" s="37"/>
      <c r="AB10" s="37"/>
      <c r="AC10" s="37"/>
      <c r="AD10" s="37"/>
      <c r="AE10" s="37"/>
      <c r="AF10" s="69"/>
      <c r="AG10" s="37"/>
      <c r="AH10" s="37"/>
      <c r="AI10" s="69"/>
      <c r="AJ10" s="59"/>
      <c r="AK10" s="59"/>
      <c r="AL10" s="59"/>
      <c r="AM10" s="59"/>
      <c r="AW10">
        <v>257</v>
      </c>
      <c r="AX10">
        <v>257</v>
      </c>
      <c r="AY10">
        <f t="shared" si="11"/>
        <v>0</v>
      </c>
      <c r="AZ10">
        <v>597</v>
      </c>
      <c r="BA10">
        <v>428</v>
      </c>
      <c r="BB10" s="119">
        <v>671</v>
      </c>
      <c r="BC10" s="119">
        <f t="shared" si="14"/>
        <v>-243</v>
      </c>
      <c r="BD10" s="23">
        <f t="shared" si="15"/>
        <v>-0.66512892937702495</v>
      </c>
      <c r="BE10">
        <v>595</v>
      </c>
      <c r="BF10">
        <f t="shared" si="16"/>
        <v>-340</v>
      </c>
      <c r="BG10">
        <f t="shared" si="17"/>
        <v>-338</v>
      </c>
      <c r="BH10" s="23">
        <v>-0.77900000000000003</v>
      </c>
      <c r="BI10" s="23">
        <f t="shared" si="12"/>
        <v>-0.78086197868038443</v>
      </c>
      <c r="BJ10" s="34">
        <v>12500</v>
      </c>
      <c r="BK10" s="205">
        <v>12500</v>
      </c>
      <c r="BL10" s="119">
        <v>127538.48</v>
      </c>
      <c r="BM10" s="34">
        <v>21208</v>
      </c>
      <c r="BN10" s="34">
        <f t="shared" si="18"/>
        <v>151080.02799999999</v>
      </c>
      <c r="BO10" s="34">
        <f t="shared" si="19"/>
        <v>-129872.02799999999</v>
      </c>
      <c r="BP10" s="36">
        <f t="shared" si="20"/>
        <v>-5.6199739452651373E-2</v>
      </c>
      <c r="BQ10" s="247">
        <f t="shared" si="21"/>
        <v>-0.42155725340727546</v>
      </c>
      <c r="BR10" s="119">
        <v>128278</v>
      </c>
      <c r="BS10" s="119">
        <f t="shared" si="22"/>
        <v>-115038.48</v>
      </c>
      <c r="BT10" s="119">
        <f t="shared" si="23"/>
        <v>-115778</v>
      </c>
      <c r="BU10" s="23">
        <v>-0.58060999999999996</v>
      </c>
      <c r="BV10" s="23">
        <f t="shared" si="24"/>
        <v>-0.58518637431162035</v>
      </c>
    </row>
    <row r="11" spans="1:74" x14ac:dyDescent="0.25">
      <c r="A11" s="9" t="s">
        <v>129</v>
      </c>
      <c r="B11" s="9" t="s">
        <v>131</v>
      </c>
      <c r="C11" s="245">
        <f t="shared" si="0"/>
        <v>30</v>
      </c>
      <c r="D11">
        <v>30</v>
      </c>
      <c r="E11" s="94">
        <v>59</v>
      </c>
      <c r="F11" s="71">
        <v>71.5</v>
      </c>
      <c r="G11" s="96">
        <f t="shared" si="1"/>
        <v>1.9666666666666666</v>
      </c>
      <c r="H11" s="120">
        <f t="shared" si="2"/>
        <v>2.3833333333333333</v>
      </c>
      <c r="I11" s="120">
        <f t="shared" si="3"/>
        <v>4.6171338448869843E-2</v>
      </c>
      <c r="J11" s="97">
        <f>H11/H15</f>
        <v>6.0852127931576808E-2</v>
      </c>
      <c r="K11" s="34">
        <v>0</v>
      </c>
      <c r="L11" s="34">
        <v>0</v>
      </c>
      <c r="M11" s="34">
        <f t="shared" si="4"/>
        <v>0</v>
      </c>
      <c r="N11" s="77">
        <f t="shared" si="5"/>
        <v>0</v>
      </c>
      <c r="O11" s="40">
        <f>N11/N15</f>
        <v>0</v>
      </c>
      <c r="P11" s="40">
        <f t="shared" si="6"/>
        <v>0</v>
      </c>
      <c r="Q11" s="40">
        <f t="shared" si="7"/>
        <v>3.6511276758946082E-2</v>
      </c>
      <c r="R11" s="48">
        <f t="shared" si="8"/>
        <v>2.7702803069321904E-2</v>
      </c>
      <c r="S11" s="26">
        <v>-0.60199999999999998</v>
      </c>
      <c r="T11">
        <v>-0.34599999999999997</v>
      </c>
      <c r="U11" s="26">
        <f t="shared" si="9"/>
        <v>-0.60155373921540312</v>
      </c>
      <c r="V11" s="221">
        <v>28</v>
      </c>
      <c r="W11" s="26">
        <v>-0.31499090365031901</v>
      </c>
      <c r="X11" s="26">
        <f t="shared" si="13"/>
        <v>-0.60601797323222617</v>
      </c>
      <c r="Z11" s="37"/>
      <c r="AA11" s="37"/>
      <c r="AB11" s="37"/>
      <c r="AC11" s="37"/>
      <c r="AD11" s="37"/>
      <c r="AE11" s="37"/>
      <c r="AF11" s="69"/>
      <c r="AG11" s="37"/>
      <c r="AH11" s="37"/>
      <c r="AI11" s="69"/>
      <c r="AJ11" s="59"/>
      <c r="AK11" s="59"/>
      <c r="AL11" s="59"/>
      <c r="AM11" s="59"/>
      <c r="AW11">
        <v>118</v>
      </c>
      <c r="AX11">
        <v>118</v>
      </c>
      <c r="AY11">
        <f t="shared" si="11"/>
        <v>0</v>
      </c>
      <c r="AZ11">
        <v>233</v>
      </c>
      <c r="BA11">
        <v>71</v>
      </c>
      <c r="BB11" s="119">
        <v>254</v>
      </c>
      <c r="BC11" s="119">
        <f t="shared" si="14"/>
        <v>-183</v>
      </c>
      <c r="BD11" s="23">
        <f t="shared" si="15"/>
        <v>-0.60471259392576748</v>
      </c>
      <c r="BE11">
        <v>232</v>
      </c>
      <c r="BF11">
        <f t="shared" si="16"/>
        <v>-115</v>
      </c>
      <c r="BG11">
        <f t="shared" si="17"/>
        <v>-114</v>
      </c>
      <c r="BH11" s="23">
        <v>-0.53</v>
      </c>
      <c r="BI11" s="23">
        <f t="shared" si="12"/>
        <v>-0.52958289869233865</v>
      </c>
      <c r="BJ11" s="34">
        <v>0</v>
      </c>
      <c r="BK11" s="205">
        <v>0</v>
      </c>
      <c r="BL11" s="119">
        <v>136621.60999999999</v>
      </c>
      <c r="BM11" s="34">
        <v>0</v>
      </c>
      <c r="BN11" s="34">
        <f t="shared" si="18"/>
        <v>57165.416000000005</v>
      </c>
      <c r="BO11" s="34">
        <f t="shared" si="19"/>
        <v>-57165.416000000005</v>
      </c>
      <c r="BP11" s="36">
        <f t="shared" si="20"/>
        <v>0.11959163176285374</v>
      </c>
      <c r="BQ11" s="247">
        <f t="shared" si="21"/>
        <v>-0.31499090365031901</v>
      </c>
      <c r="BR11" s="119">
        <v>138439</v>
      </c>
      <c r="BS11" s="119">
        <f t="shared" si="22"/>
        <v>-136621.60999999999</v>
      </c>
      <c r="BT11" s="119">
        <f t="shared" si="23"/>
        <v>-138439</v>
      </c>
      <c r="BU11" s="23">
        <v>-0.70950999999999997</v>
      </c>
      <c r="BV11" s="23">
        <f t="shared" si="24"/>
        <v>-0.72067058504205761</v>
      </c>
    </row>
    <row r="12" spans="1:74" x14ac:dyDescent="0.25">
      <c r="A12" s="9" t="s">
        <v>135</v>
      </c>
      <c r="B12" s="246" t="s">
        <v>321</v>
      </c>
      <c r="C12" s="245">
        <f t="shared" si="0"/>
        <v>26</v>
      </c>
      <c r="D12" s="8">
        <v>26</v>
      </c>
      <c r="E12" s="94">
        <v>39.5</v>
      </c>
      <c r="F12" s="71">
        <v>26</v>
      </c>
      <c r="G12" s="96">
        <f t="shared" si="1"/>
        <v>1.5192307692307692</v>
      </c>
      <c r="H12" s="120">
        <f t="shared" si="2"/>
        <v>1</v>
      </c>
      <c r="I12" s="120">
        <f t="shared" si="3"/>
        <v>3.5666907471910536E-2</v>
      </c>
      <c r="J12" s="97">
        <f>H12/H15</f>
        <v>2.5532361369892367E-2</v>
      </c>
      <c r="K12" s="34">
        <v>37661</v>
      </c>
      <c r="L12" s="34">
        <v>25104</v>
      </c>
      <c r="M12" s="34">
        <f t="shared" si="4"/>
        <v>1448.5</v>
      </c>
      <c r="N12" s="77">
        <f t="shared" si="5"/>
        <v>965.53846153846155</v>
      </c>
      <c r="O12" s="40">
        <f>N12/N15</f>
        <v>0.1003748550478573</v>
      </c>
      <c r="P12" s="40">
        <f t="shared" si="6"/>
        <v>8.7717878675235603E-2</v>
      </c>
      <c r="Q12" s="40">
        <f t="shared" si="7"/>
        <v>5.5469358841078342E-2</v>
      </c>
      <c r="R12" s="48">
        <f t="shared" si="8"/>
        <v>5.6487295953240563E-2</v>
      </c>
      <c r="S12" s="26">
        <v>-0.48799999999999999</v>
      </c>
      <c r="T12">
        <v>-0.29899999999999999</v>
      </c>
      <c r="U12" s="26">
        <f t="shared" si="9"/>
        <v>-0.48734522196517904</v>
      </c>
      <c r="V12" s="221">
        <v>27</v>
      </c>
      <c r="W12" s="26">
        <v>-0.27797492074052499</v>
      </c>
      <c r="X12" s="26">
        <f t="shared" si="13"/>
        <v>-0.46772757848608881</v>
      </c>
      <c r="Z12" s="37"/>
      <c r="AA12" s="37"/>
      <c r="AB12" s="37"/>
      <c r="AC12" s="37"/>
      <c r="AD12" s="37"/>
      <c r="AE12" s="37"/>
      <c r="AF12" s="69"/>
      <c r="AG12" s="37"/>
      <c r="AH12" s="37"/>
      <c r="AI12" s="69"/>
      <c r="AJ12" s="59"/>
      <c r="AK12" s="59"/>
      <c r="AL12" s="59"/>
      <c r="AM12" s="59"/>
      <c r="AW12">
        <v>79</v>
      </c>
      <c r="AX12">
        <v>80</v>
      </c>
      <c r="AY12">
        <f t="shared" si="11"/>
        <v>-1</v>
      </c>
      <c r="AZ12">
        <v>202</v>
      </c>
      <c r="BA12">
        <v>120</v>
      </c>
      <c r="BB12" s="119">
        <v>245</v>
      </c>
      <c r="BC12" s="119">
        <f t="shared" si="14"/>
        <v>-125</v>
      </c>
      <c r="BD12" s="23">
        <f t="shared" si="15"/>
        <v>-0.54631013632288528</v>
      </c>
      <c r="BE12">
        <v>201</v>
      </c>
      <c r="BF12">
        <f t="shared" si="16"/>
        <v>-123</v>
      </c>
      <c r="BG12">
        <f t="shared" si="17"/>
        <v>-121</v>
      </c>
      <c r="BH12" s="23">
        <v>-0.53900000000000003</v>
      </c>
      <c r="BI12" s="23">
        <f t="shared" si="12"/>
        <v>-0.53743536994196506</v>
      </c>
      <c r="BJ12" s="34">
        <v>37661</v>
      </c>
      <c r="BK12" s="205">
        <v>47661</v>
      </c>
      <c r="BL12" s="119">
        <v>124506.06</v>
      </c>
      <c r="BM12" s="34">
        <v>0</v>
      </c>
      <c r="BN12" s="34">
        <f t="shared" si="18"/>
        <v>55123.794000000002</v>
      </c>
      <c r="BO12" s="34">
        <f t="shared" si="19"/>
        <v>-55123.794000000002</v>
      </c>
      <c r="BP12" s="36">
        <f t="shared" si="20"/>
        <v>0.12452790263301534</v>
      </c>
      <c r="BQ12" s="247">
        <f t="shared" si="21"/>
        <v>-0.27797492074052499</v>
      </c>
      <c r="BR12" s="119">
        <v>126304</v>
      </c>
      <c r="BS12" s="119">
        <f t="shared" si="22"/>
        <v>-86845.06</v>
      </c>
      <c r="BT12" s="119">
        <f t="shared" si="23"/>
        <v>-78643</v>
      </c>
      <c r="BU12" s="23">
        <v>-0.41221000000000002</v>
      </c>
      <c r="BV12" s="23">
        <f t="shared" si="24"/>
        <v>-0.36316589130227445</v>
      </c>
    </row>
    <row r="13" spans="1:74" x14ac:dyDescent="0.25">
      <c r="A13" s="7" t="s">
        <v>138</v>
      </c>
      <c r="B13" s="7" t="s">
        <v>131</v>
      </c>
      <c r="C13" s="245">
        <f t="shared" si="0"/>
        <v>41</v>
      </c>
      <c r="D13">
        <v>41</v>
      </c>
      <c r="E13" s="94">
        <v>89.5</v>
      </c>
      <c r="F13" s="71">
        <v>85</v>
      </c>
      <c r="G13" s="96">
        <f t="shared" si="1"/>
        <v>2.1829268292682928</v>
      </c>
      <c r="H13" s="120">
        <f t="shared" si="2"/>
        <v>2.0731707317073171</v>
      </c>
      <c r="I13" s="120">
        <f t="shared" si="3"/>
        <v>5.1248467852507459E-2</v>
      </c>
      <c r="J13" s="97">
        <f>H13/H15</f>
        <v>5.2932944303435397E-2</v>
      </c>
      <c r="K13" s="34">
        <v>0</v>
      </c>
      <c r="L13" s="34">
        <v>0</v>
      </c>
      <c r="M13" s="34">
        <f t="shared" si="4"/>
        <v>0</v>
      </c>
      <c r="N13" s="34">
        <f t="shared" si="5"/>
        <v>0</v>
      </c>
      <c r="O13" s="40">
        <f>N13/N15</f>
        <v>0</v>
      </c>
      <c r="P13" s="40">
        <f t="shared" si="6"/>
        <v>0</v>
      </c>
      <c r="Q13" s="40">
        <f t="shared" si="7"/>
        <v>3.1759766582061234E-2</v>
      </c>
      <c r="R13" s="48">
        <f t="shared" si="8"/>
        <v>3.0749080711504475E-2</v>
      </c>
      <c r="S13" s="26">
        <v>-0.65600000000000003</v>
      </c>
      <c r="T13">
        <v>-0.40500000000000003</v>
      </c>
      <c r="U13" s="26">
        <f t="shared" si="9"/>
        <v>-0.65515539435749182</v>
      </c>
      <c r="V13" s="221">
        <v>41</v>
      </c>
      <c r="W13" s="26">
        <v>-0.30078473077732942</v>
      </c>
      <c r="X13" s="26">
        <f t="shared" si="13"/>
        <v>-0.65924698637182544</v>
      </c>
      <c r="Z13" s="37"/>
      <c r="AA13" s="37"/>
      <c r="AB13" s="37"/>
      <c r="AC13" s="37"/>
      <c r="AD13" s="37"/>
      <c r="AE13" s="37"/>
      <c r="AF13" s="69"/>
      <c r="AG13" s="37"/>
      <c r="AH13" s="37"/>
      <c r="AI13" s="69"/>
      <c r="AJ13" s="59"/>
      <c r="AK13" s="59"/>
      <c r="AL13" s="59"/>
      <c r="AM13" s="59"/>
      <c r="AW13">
        <v>179</v>
      </c>
      <c r="AX13">
        <v>179</v>
      </c>
      <c r="AY13">
        <f t="shared" si="11"/>
        <v>0</v>
      </c>
      <c r="AZ13">
        <v>318</v>
      </c>
      <c r="BA13">
        <v>255</v>
      </c>
      <c r="BB13" s="119">
        <v>372</v>
      </c>
      <c r="BC13" s="119">
        <f t="shared" si="14"/>
        <v>-117</v>
      </c>
      <c r="BD13" s="23">
        <f t="shared" si="15"/>
        <v>-0.53825462492938436</v>
      </c>
      <c r="BE13">
        <v>317</v>
      </c>
      <c r="BF13">
        <f t="shared" si="16"/>
        <v>-139</v>
      </c>
      <c r="BG13">
        <f t="shared" si="17"/>
        <v>-138</v>
      </c>
      <c r="BH13" s="23">
        <v>-0.55700000000000005</v>
      </c>
      <c r="BI13" s="23">
        <f t="shared" si="12"/>
        <v>-0.55650565726248635</v>
      </c>
      <c r="BJ13" s="34">
        <v>0</v>
      </c>
      <c r="BK13" s="205">
        <v>0</v>
      </c>
      <c r="BL13" s="119">
        <v>152295.82999999999</v>
      </c>
      <c r="BM13" s="34">
        <v>0</v>
      </c>
      <c r="BN13" s="34">
        <f t="shared" si="18"/>
        <v>83706.502000000008</v>
      </c>
      <c r="BO13" s="34">
        <f t="shared" si="19"/>
        <v>-83706.502000000008</v>
      </c>
      <c r="BP13" s="36">
        <f t="shared" si="20"/>
        <v>5.5420110450752895E-2</v>
      </c>
      <c r="BQ13" s="247">
        <f t="shared" si="21"/>
        <v>-0.30078473077732942</v>
      </c>
      <c r="BR13" s="119">
        <v>153942</v>
      </c>
      <c r="BS13" s="119">
        <f t="shared" si="22"/>
        <v>-152295.82999999999</v>
      </c>
      <c r="BT13" s="119">
        <f t="shared" si="23"/>
        <v>-153942</v>
      </c>
      <c r="BU13" s="23">
        <v>-0.80313000000000001</v>
      </c>
      <c r="BV13" s="23">
        <f t="shared" si="24"/>
        <v>-0.81335898003583407</v>
      </c>
    </row>
    <row r="14" spans="1:74" x14ac:dyDescent="0.25">
      <c r="C14" s="1">
        <f>SUM(C3:C13)</f>
        <v>1314</v>
      </c>
      <c r="D14" s="1">
        <f>SUM(D3:D13)</f>
        <v>1314</v>
      </c>
      <c r="E14" s="121">
        <f>SUM(E3:E13)</f>
        <v>7107</v>
      </c>
      <c r="F14" s="91">
        <f>SUM(F3:F13)</f>
        <v>6126.5</v>
      </c>
      <c r="G14" s="122">
        <f t="shared" si="1"/>
        <v>5.4086757990867582</v>
      </c>
      <c r="H14" s="122">
        <f t="shared" si="2"/>
        <v>4.6624809741248097</v>
      </c>
      <c r="I14" s="122">
        <f>SUM(I3:I13)</f>
        <v>1</v>
      </c>
      <c r="J14" s="123">
        <f>SUM(J3:J13)</f>
        <v>1</v>
      </c>
      <c r="K14" s="55">
        <f>SUM(K3:K13)</f>
        <v>970457</v>
      </c>
      <c r="L14" s="55">
        <f>SUM(L3:L13)</f>
        <v>515034</v>
      </c>
      <c r="M14" s="55">
        <f t="shared" si="4"/>
        <v>738.55175038051755</v>
      </c>
      <c r="N14" s="55">
        <f t="shared" si="5"/>
        <v>391.95890410958901</v>
      </c>
      <c r="O14" s="57">
        <f>SUM(O3:O13)</f>
        <v>1</v>
      </c>
      <c r="P14" s="57">
        <f>SUM(P3:P13)</f>
        <v>1</v>
      </c>
      <c r="Q14" s="57">
        <f>SUM(Q3:Q13)</f>
        <v>1</v>
      </c>
      <c r="R14" s="82">
        <f>SUM(R3:R13)</f>
        <v>1</v>
      </c>
      <c r="S14" s="82"/>
      <c r="T14" s="57"/>
      <c r="U14" s="57"/>
      <c r="V14" s="156">
        <f>SUM(V3:V13)</f>
        <v>1356</v>
      </c>
      <c r="W14" s="156"/>
      <c r="X14" s="57"/>
      <c r="Y14" s="61">
        <f t="shared" ref="Y14:AJ14" si="25">SUM(Y3:Y13)</f>
        <v>2244684.0333812442</v>
      </c>
      <c r="Z14" s="61" t="e">
        <f t="shared" si="25"/>
        <v>#VALUE!</v>
      </c>
      <c r="AA14" s="61"/>
      <c r="AB14" s="61">
        <f>SUM(AB3:AB13)</f>
        <v>2244684.0333812442</v>
      </c>
      <c r="AC14" s="61"/>
      <c r="AD14" s="61">
        <f>SUM(AD3:AD13)</f>
        <v>250.38470910752361</v>
      </c>
      <c r="AE14" s="61">
        <f>SUM(AE3:AE13)</f>
        <v>246.956544017608</v>
      </c>
      <c r="AF14" s="70">
        <f>SUM(AF3:AF13)</f>
        <v>2485589.1529754968</v>
      </c>
      <c r="AG14" s="61">
        <f>SUM(AG3:AG13)</f>
        <v>160.30518559367167</v>
      </c>
      <c r="AH14" s="61">
        <f>SUM(AH3:AH5)</f>
        <v>247.00208922574188</v>
      </c>
      <c r="AI14" s="70">
        <f>SUM(AI3:AI13)</f>
        <v>1</v>
      </c>
      <c r="AJ14" s="60" t="e">
        <f t="shared" si="25"/>
        <v>#VALUE!</v>
      </c>
      <c r="AK14" s="60"/>
      <c r="AL14" s="60"/>
      <c r="AM14" s="60"/>
      <c r="AW14" s="1">
        <f>SUM(AW3:AW13)</f>
        <v>14214</v>
      </c>
      <c r="AX14" s="1">
        <f>SUM(AX3:AX13)</f>
        <v>14086</v>
      </c>
      <c r="AY14" s="1"/>
      <c r="BA14" s="1">
        <f>SUM(BA3:BA13)</f>
        <v>16882</v>
      </c>
      <c r="BB14" s="1"/>
      <c r="BC14" s="1"/>
      <c r="BD14" s="1"/>
      <c r="BJ14" s="55">
        <f>SUM(BJ3:BJ13)</f>
        <v>970457</v>
      </c>
      <c r="BK14" s="55">
        <f>SUM(BK3:BK13)</f>
        <v>980456.7699999999</v>
      </c>
      <c r="BM14" s="55">
        <f>SUM(BM3:BM13)</f>
        <v>1595531</v>
      </c>
      <c r="BN14" s="55"/>
      <c r="BO14" s="55"/>
      <c r="BP14" s="55"/>
      <c r="BQ14" s="116"/>
    </row>
    <row r="15" spans="1:74" ht="15.75" thickBot="1" x14ac:dyDescent="0.3">
      <c r="C15" s="1">
        <v>743</v>
      </c>
      <c r="E15" s="124"/>
      <c r="F15" s="125"/>
      <c r="G15" s="113">
        <f>SUM(G3:G13)</f>
        <v>42.594967630071068</v>
      </c>
      <c r="H15" s="113">
        <f>SUM(H3:H13)</f>
        <v>39.165981771634918</v>
      </c>
      <c r="I15" s="113"/>
      <c r="J15" s="126"/>
      <c r="M15" s="55">
        <f>SUM(M3:M13)</f>
        <v>16513.167234274883</v>
      </c>
      <c r="N15" s="55">
        <f>SUM(N3:N13)</f>
        <v>9619.32608598146</v>
      </c>
      <c r="AA15" s="204" t="s">
        <v>279</v>
      </c>
      <c r="AB15" s="204"/>
      <c r="AC15" s="204"/>
      <c r="AD15" s="204" t="s">
        <v>280</v>
      </c>
      <c r="AX15" s="158">
        <f>(AX14/AW14)*100</f>
        <v>99.099479386520329</v>
      </c>
      <c r="BS15" s="1" t="s">
        <v>272</v>
      </c>
      <c r="BT15" s="119">
        <f>AVERAGE(BT3:BT13)</f>
        <v>-17900.11181818182</v>
      </c>
    </row>
    <row r="16" spans="1:74" ht="18.75" x14ac:dyDescent="0.3">
      <c r="A16" s="14"/>
      <c r="C16" s="1">
        <f>C15/C14</f>
        <v>0.56544901065449016</v>
      </c>
      <c r="Y16" s="204" t="s">
        <v>278</v>
      </c>
      <c r="AA16" s="37">
        <f>Y3-AA3</f>
        <v>-33362.926536917919</v>
      </c>
      <c r="AB16" s="37"/>
      <c r="AC16" s="37"/>
      <c r="AD16" s="40">
        <f>ABS(AA16)/Y3</f>
        <v>4.324203557505775E-2</v>
      </c>
      <c r="BC16">
        <f>AVERAGE(BC3:BC13)</f>
        <v>417.54545454545456</v>
      </c>
      <c r="BE16" s="1" t="s">
        <v>273</v>
      </c>
      <c r="BF16">
        <f>AVERAGE(BF3:BF13)</f>
        <v>365.81818181818181</v>
      </c>
      <c r="BG16">
        <f>AVERAGE(BG3:BG13)</f>
        <v>358.09090909090907</v>
      </c>
      <c r="BO16">
        <f>AVERAGE(BO3:BO13)</f>
        <v>-106628.03927272727</v>
      </c>
      <c r="BS16" s="1" t="s">
        <v>269</v>
      </c>
      <c r="BT16">
        <f>STDEV(BT3:BT13)</f>
        <v>167259.34245642016</v>
      </c>
    </row>
    <row r="17" spans="1:67" ht="18.75" x14ac:dyDescent="0.3">
      <c r="A17" s="14"/>
      <c r="AA17" s="37">
        <f>Y4-AA4</f>
        <v>38909.16160773579</v>
      </c>
      <c r="AB17" s="37"/>
      <c r="AC17" s="37"/>
      <c r="AD17" s="40">
        <f>AA17/Y4</f>
        <v>3.1208282754471073E-2</v>
      </c>
      <c r="AX17" s="237" t="s">
        <v>360</v>
      </c>
      <c r="BA17">
        <f>BA14/V14</f>
        <v>12.449852507374631</v>
      </c>
      <c r="BC17">
        <f>STDEV(BC3:BC13)</f>
        <v>993.10889268361336</v>
      </c>
      <c r="BE17" s="1" t="s">
        <v>269</v>
      </c>
      <c r="BF17">
        <f>STDEV(BF3:BF13)</f>
        <v>906.21584825932268</v>
      </c>
      <c r="BG17">
        <f>STDEV(BG3:BG13)</f>
        <v>891.43911228366619</v>
      </c>
      <c r="BK17" s="237" t="s">
        <v>360</v>
      </c>
      <c r="BM17">
        <f>BM14/V14</f>
        <v>1176.6452802359881</v>
      </c>
      <c r="BO17">
        <f>STDEV(BO3:BO13)</f>
        <v>413596.02292917966</v>
      </c>
    </row>
    <row r="18" spans="1:67" ht="18.75" x14ac:dyDescent="0.3">
      <c r="A18" s="14"/>
      <c r="AA18" s="37">
        <f>Y5-AA5</f>
        <v>-5546.2350708176091</v>
      </c>
      <c r="AB18" s="37"/>
      <c r="AC18" s="37"/>
      <c r="AD18" s="40">
        <f>ABS(AA18)/Y5</f>
        <v>2.4498881443969694E-2</v>
      </c>
      <c r="AX18" s="237" t="s">
        <v>361</v>
      </c>
      <c r="BA18">
        <v>9.0611859999999993</v>
      </c>
      <c r="BK18" s="237" t="s">
        <v>361</v>
      </c>
      <c r="BM18">
        <v>2041.6220000000001</v>
      </c>
    </row>
    <row r="19" spans="1:67" ht="18.75" x14ac:dyDescent="0.3">
      <c r="A19" s="14"/>
      <c r="AX19" s="282" t="s">
        <v>416</v>
      </c>
      <c r="BK19" s="282" t="s">
        <v>417</v>
      </c>
    </row>
    <row r="20" spans="1:67" ht="18.75" x14ac:dyDescent="0.3">
      <c r="A20" s="14"/>
    </row>
    <row r="21" spans="1:67" ht="18.75" x14ac:dyDescent="0.3">
      <c r="A21" s="14"/>
    </row>
    <row r="22" spans="1:67" ht="18.75" x14ac:dyDescent="0.3">
      <c r="A22" s="14"/>
    </row>
    <row r="23" spans="1:67" ht="18.75" x14ac:dyDescent="0.3">
      <c r="A23" s="14"/>
    </row>
    <row r="24" spans="1:67" ht="18.75" x14ac:dyDescent="0.3">
      <c r="A24" s="14"/>
    </row>
    <row r="25" spans="1:67" ht="18.75" x14ac:dyDescent="0.3">
      <c r="A25" s="14"/>
    </row>
    <row r="26" spans="1:67" ht="18.75" x14ac:dyDescent="0.3">
      <c r="A26" s="14"/>
    </row>
    <row r="27" spans="1:67" ht="18.75" x14ac:dyDescent="0.3">
      <c r="A27" s="14"/>
    </row>
    <row r="28" spans="1:67" ht="18.75" x14ac:dyDescent="0.3">
      <c r="A28" s="14"/>
    </row>
    <row r="29" spans="1:67" ht="18.75" x14ac:dyDescent="0.3">
      <c r="A29" s="14"/>
    </row>
    <row r="30" spans="1:67" ht="18.75" x14ac:dyDescent="0.3">
      <c r="A30" s="14"/>
    </row>
    <row r="31" spans="1:67" ht="18.75" x14ac:dyDescent="0.3">
      <c r="A31" s="14"/>
    </row>
    <row r="32" spans="1:67" ht="18.75" x14ac:dyDescent="0.3">
      <c r="A32" s="14"/>
    </row>
    <row r="33" spans="1:1" ht="18.75" x14ac:dyDescent="0.3">
      <c r="A33" s="14"/>
    </row>
    <row r="34" spans="1:1" ht="18.75" x14ac:dyDescent="0.3">
      <c r="A34" s="14"/>
    </row>
    <row r="35" spans="1:1" ht="18.75" x14ac:dyDescent="0.3">
      <c r="A35" s="14"/>
    </row>
    <row r="36" spans="1:1" ht="18.75" x14ac:dyDescent="0.3">
      <c r="A36" s="14"/>
    </row>
    <row r="37" spans="1:1" ht="18.75" x14ac:dyDescent="0.3">
      <c r="A37" s="14"/>
    </row>
    <row r="38" spans="1:1" ht="18.75" x14ac:dyDescent="0.3">
      <c r="A38" s="14"/>
    </row>
    <row r="39" spans="1:1" ht="18.75" x14ac:dyDescent="0.3">
      <c r="A39" s="14"/>
    </row>
    <row r="40" spans="1:1" ht="18.75" x14ac:dyDescent="0.3">
      <c r="A40" s="14"/>
    </row>
  </sheetData>
  <dataValidations disablePrompts="1" count="1">
    <dataValidation type="list" showInputMessage="1" showErrorMessage="1" sqref="D1">
      <formula1>$A$16:$A$40</formula1>
    </dataValidation>
  </dataValidations>
  <pageMargins left="0.75" right="0.75" top="1" bottom="1" header="0.5" footer="0.5"/>
  <pageSetup orientation="portrait" r:id="rId1"/>
  <ignoredErrors>
    <ignoredError sqref="N14 AD17 AH14" formula="1"/>
    <ignoredError sqref="H15 V14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9"/>
  <sheetViews>
    <sheetView topLeftCell="V1" workbookViewId="0">
      <pane ySplit="2" topLeftCell="A3" activePane="bottomLeft" state="frozen"/>
      <selection pane="bottomLeft" activeCell="V2" sqref="V2"/>
    </sheetView>
  </sheetViews>
  <sheetFormatPr defaultColWidth="8.7109375" defaultRowHeight="15" x14ac:dyDescent="0.25"/>
  <cols>
    <col min="1" max="1" width="48" bestFit="1" customWidth="1"/>
    <col min="2" max="2" width="60.5703125" customWidth="1"/>
    <col min="3" max="3" width="9" style="1" customWidth="1"/>
    <col min="4" max="4" width="16.42578125" hidden="1" customWidth="1"/>
    <col min="5" max="5" width="12.140625" hidden="1" customWidth="1"/>
    <col min="6" max="6" width="13.28515625" style="16" hidden="1" customWidth="1"/>
    <col min="7" max="7" width="13.28515625" hidden="1" customWidth="1"/>
    <col min="8" max="9" width="16.28515625" hidden="1" customWidth="1"/>
    <col min="10" max="11" width="13.85546875" hidden="1" customWidth="1"/>
    <col min="12" max="12" width="20.140625" style="16" hidden="1" customWidth="1"/>
    <col min="13" max="13" width="20.140625" hidden="1" customWidth="1"/>
    <col min="14" max="16" width="14.7109375" hidden="1" customWidth="1"/>
    <col min="17" max="17" width="13.85546875" hidden="1" customWidth="1"/>
    <col min="18" max="19" width="14" hidden="1" customWidth="1"/>
    <col min="20" max="20" width="15.28515625" hidden="1" customWidth="1"/>
    <col min="21" max="21" width="14.140625" hidden="1" customWidth="1"/>
    <col min="22" max="23" width="14.140625" style="16" customWidth="1"/>
    <col min="24" max="24" width="22" style="16" bestFit="1" customWidth="1"/>
    <col min="25" max="25" width="11.7109375" hidden="1" customWidth="1"/>
    <col min="26" max="26" width="11.140625" hidden="1" customWidth="1"/>
    <col min="27" max="27" width="11.140625" customWidth="1"/>
    <col min="28" max="28" width="12.140625" bestFit="1" customWidth="1"/>
    <col min="29" max="29" width="12.85546875" hidden="1" customWidth="1"/>
    <col min="30" max="30" width="11.140625" hidden="1" customWidth="1"/>
    <col min="31" max="31" width="11.7109375" hidden="1" customWidth="1"/>
    <col min="32" max="32" width="11.7109375" customWidth="1"/>
    <col min="33" max="33" width="18.140625" hidden="1" customWidth="1"/>
    <col min="34" max="34" width="12.7109375" hidden="1" customWidth="1"/>
    <col min="35" max="35" width="12.7109375" customWidth="1"/>
    <col min="36" max="36" width="18.5703125" hidden="1" customWidth="1"/>
    <col min="37" max="37" width="11.140625" bestFit="1" customWidth="1"/>
    <col min="38" max="38" width="0" hidden="1" customWidth="1"/>
    <col min="39" max="40" width="12.140625" hidden="1" customWidth="1"/>
    <col min="41" max="41" width="19.5703125" bestFit="1" customWidth="1"/>
    <col min="42" max="42" width="12.28515625" hidden="1" customWidth="1"/>
    <col min="43" max="43" width="18.140625" bestFit="1" customWidth="1"/>
    <col min="44" max="44" width="10" hidden="1" customWidth="1"/>
    <col min="45" max="45" width="16" bestFit="1" customWidth="1"/>
    <col min="46" max="46" width="7.140625" hidden="1" customWidth="1"/>
    <col min="47" max="47" width="0" hidden="1" customWidth="1"/>
    <col min="48" max="48" width="12" bestFit="1" customWidth="1"/>
    <col min="49" max="51" width="11.140625" customWidth="1"/>
    <col min="52" max="52" width="15" hidden="1" customWidth="1"/>
    <col min="53" max="53" width="11.7109375" hidden="1" customWidth="1"/>
    <col min="54" max="54" width="15.7109375" hidden="1" customWidth="1"/>
    <col min="55" max="55" width="12.28515625" hidden="1" customWidth="1"/>
    <col min="56" max="56" width="18.28515625" hidden="1" customWidth="1"/>
    <col min="57" max="57" width="9.5703125" hidden="1" customWidth="1"/>
    <col min="58" max="58" width="15.85546875" bestFit="1" customWidth="1"/>
    <col min="59" max="59" width="0" hidden="1" customWidth="1"/>
    <col min="61" max="61" width="10.85546875" bestFit="1" customWidth="1"/>
    <col min="62" max="62" width="11.5703125" bestFit="1" customWidth="1"/>
    <col min="63" max="63" width="11.5703125" customWidth="1"/>
    <col min="64" max="64" width="11.5703125" style="16" customWidth="1"/>
    <col min="65" max="65" width="14.85546875" hidden="1" customWidth="1"/>
    <col min="66" max="66" width="11.7109375" hidden="1" customWidth="1"/>
    <col min="67" max="67" width="15.5703125" hidden="1" customWidth="1"/>
    <col min="68" max="68" width="0" hidden="1" customWidth="1"/>
    <col min="69" max="69" width="13.85546875" hidden="1" customWidth="1"/>
  </cols>
  <sheetData>
    <row r="1" spans="1:69" ht="30" x14ac:dyDescent="0.25">
      <c r="C1" s="2" t="s">
        <v>142</v>
      </c>
      <c r="D1" s="4" t="s">
        <v>24</v>
      </c>
      <c r="E1" s="4" t="s">
        <v>25</v>
      </c>
      <c r="F1" s="85" t="s">
        <v>156</v>
      </c>
      <c r="G1" s="86" t="s">
        <v>156</v>
      </c>
      <c r="H1" s="87" t="s">
        <v>150</v>
      </c>
      <c r="I1" s="87" t="s">
        <v>150</v>
      </c>
      <c r="J1" s="87"/>
      <c r="K1" s="89"/>
      <c r="L1" s="19"/>
      <c r="M1" s="21" t="s">
        <v>151</v>
      </c>
      <c r="N1" s="21"/>
      <c r="O1" s="21"/>
      <c r="P1" s="21"/>
      <c r="Q1" s="21"/>
      <c r="AK1" s="66">
        <v>6.0199999999999997E-2</v>
      </c>
      <c r="AP1" t="s">
        <v>177</v>
      </c>
      <c r="AQ1" s="217" t="s">
        <v>303</v>
      </c>
    </row>
    <row r="2" spans="1:69" x14ac:dyDescent="0.25">
      <c r="A2" s="5" t="s">
        <v>0</v>
      </c>
      <c r="B2" s="5" t="s">
        <v>1</v>
      </c>
      <c r="C2" s="6">
        <v>2019</v>
      </c>
      <c r="F2" s="90" t="s">
        <v>181</v>
      </c>
      <c r="G2" s="91" t="s">
        <v>189</v>
      </c>
      <c r="H2" s="91" t="s">
        <v>184</v>
      </c>
      <c r="I2" s="91" t="s">
        <v>183</v>
      </c>
      <c r="J2" s="92" t="s">
        <v>186</v>
      </c>
      <c r="K2" s="93" t="s">
        <v>185</v>
      </c>
      <c r="L2" s="1" t="s">
        <v>168</v>
      </c>
      <c r="M2" s="1" t="s">
        <v>167</v>
      </c>
      <c r="N2" s="1" t="s">
        <v>187</v>
      </c>
      <c r="O2" s="1" t="s">
        <v>188</v>
      </c>
      <c r="P2" s="1" t="s">
        <v>186</v>
      </c>
      <c r="Q2" s="1" t="s">
        <v>185</v>
      </c>
      <c r="R2" s="1" t="s">
        <v>172</v>
      </c>
      <c r="S2" s="1" t="s">
        <v>173</v>
      </c>
      <c r="T2" s="1" t="s">
        <v>171</v>
      </c>
      <c r="U2" s="1" t="s">
        <v>170</v>
      </c>
      <c r="V2" s="62" t="s">
        <v>342</v>
      </c>
      <c r="W2" s="62" t="s">
        <v>370</v>
      </c>
      <c r="X2" s="62" t="s">
        <v>302</v>
      </c>
      <c r="Y2" s="1" t="s">
        <v>155</v>
      </c>
      <c r="Z2" s="1" t="s">
        <v>174</v>
      </c>
      <c r="AA2" s="1" t="s">
        <v>411</v>
      </c>
      <c r="AB2" s="1" t="s">
        <v>246</v>
      </c>
      <c r="AC2" s="215" t="s">
        <v>295</v>
      </c>
      <c r="AD2" s="1" t="s">
        <v>178</v>
      </c>
      <c r="AE2" s="1" t="s">
        <v>175</v>
      </c>
      <c r="AF2" s="1" t="s">
        <v>409</v>
      </c>
      <c r="AG2" s="1" t="s">
        <v>276</v>
      </c>
      <c r="AH2" s="1" t="s">
        <v>196</v>
      </c>
      <c r="AI2" s="1" t="s">
        <v>408</v>
      </c>
      <c r="AJ2" s="1" t="s">
        <v>274</v>
      </c>
      <c r="AK2" s="1" t="s">
        <v>160</v>
      </c>
      <c r="AL2" s="1" t="s">
        <v>2</v>
      </c>
      <c r="AM2" s="16"/>
      <c r="AN2" s="39" t="s">
        <v>180</v>
      </c>
      <c r="AO2" s="39" t="s">
        <v>277</v>
      </c>
      <c r="AP2" s="78">
        <v>1.845</v>
      </c>
      <c r="AQ2" s="25">
        <f>SUM(X5,X10)</f>
        <v>2.0764835779563633</v>
      </c>
      <c r="AR2" s="1" t="s">
        <v>227</v>
      </c>
      <c r="AS2" s="1" t="s">
        <v>247</v>
      </c>
      <c r="AT2" s="1" t="s">
        <v>240</v>
      </c>
      <c r="AU2" s="1" t="s">
        <v>228</v>
      </c>
      <c r="AV2" s="1" t="s">
        <v>346</v>
      </c>
      <c r="AW2" s="1" t="s">
        <v>364</v>
      </c>
      <c r="AX2" s="1" t="s">
        <v>365</v>
      </c>
      <c r="AY2" s="1" t="s">
        <v>366</v>
      </c>
      <c r="AZ2" s="1" t="s">
        <v>241</v>
      </c>
      <c r="BA2" s="1" t="s">
        <v>229</v>
      </c>
      <c r="BB2" s="1" t="s">
        <v>242</v>
      </c>
      <c r="BC2" s="1" t="s">
        <v>230</v>
      </c>
      <c r="BD2" s="1" t="s">
        <v>243</v>
      </c>
      <c r="BE2" s="1" t="s">
        <v>231</v>
      </c>
      <c r="BF2" s="1" t="s">
        <v>281</v>
      </c>
      <c r="BG2" s="1" t="s">
        <v>232</v>
      </c>
      <c r="BH2" s="1" t="s">
        <v>367</v>
      </c>
      <c r="BI2" s="1" t="s">
        <v>368</v>
      </c>
      <c r="BJ2" s="1" t="s">
        <v>369</v>
      </c>
      <c r="BK2" s="1" t="s">
        <v>363</v>
      </c>
      <c r="BL2" s="62" t="s">
        <v>340</v>
      </c>
      <c r="BM2" s="1" t="s">
        <v>288</v>
      </c>
      <c r="BN2" s="1" t="s">
        <v>233</v>
      </c>
      <c r="BO2" s="1" t="s">
        <v>289</v>
      </c>
      <c r="BP2" s="1" t="s">
        <v>234</v>
      </c>
      <c r="BQ2" s="1" t="s">
        <v>290</v>
      </c>
    </row>
    <row r="3" spans="1:69" x14ac:dyDescent="0.25">
      <c r="A3" s="7" t="s">
        <v>60</v>
      </c>
      <c r="B3" s="236" t="s">
        <v>61</v>
      </c>
      <c r="C3" s="6">
        <v>0</v>
      </c>
      <c r="F3" s="90"/>
      <c r="G3" s="91"/>
      <c r="H3" s="91"/>
      <c r="I3" s="91"/>
      <c r="J3" s="92"/>
      <c r="K3" s="93"/>
      <c r="L3" s="1"/>
      <c r="M3" s="1"/>
      <c r="N3" s="1"/>
      <c r="O3" s="1"/>
      <c r="P3" s="1"/>
      <c r="Q3" s="1"/>
      <c r="R3" s="1"/>
      <c r="S3" s="1"/>
      <c r="T3" s="1"/>
      <c r="U3" s="1"/>
      <c r="V3" s="222">
        <v>29</v>
      </c>
      <c r="W3" s="244">
        <v>-4.1036051328078527E-2</v>
      </c>
      <c r="X3" s="62"/>
      <c r="Y3" s="1"/>
      <c r="Z3" s="1"/>
      <c r="AA3" s="1"/>
      <c r="AB3" s="1"/>
      <c r="AC3" s="215"/>
      <c r="AD3" s="1"/>
      <c r="AE3" s="1"/>
      <c r="AF3" s="1"/>
      <c r="AG3" s="1"/>
      <c r="AH3" s="1"/>
      <c r="AI3" s="1"/>
      <c r="AJ3" s="1"/>
      <c r="AK3" s="1"/>
      <c r="AL3" s="1"/>
      <c r="AM3" s="16"/>
      <c r="AN3" s="39"/>
      <c r="AO3" s="39"/>
      <c r="AP3" s="78"/>
      <c r="AQ3" s="25"/>
      <c r="AR3" s="1"/>
      <c r="AS3" s="1"/>
      <c r="AT3" s="1"/>
      <c r="AU3" s="1"/>
      <c r="AV3" s="237">
        <v>245</v>
      </c>
      <c r="AW3" s="237">
        <v>477</v>
      </c>
      <c r="AX3" s="237">
        <f>AV3-AW3</f>
        <v>-232</v>
      </c>
      <c r="AY3" s="238">
        <f>(AX3-AX$13)/AX$14</f>
        <v>-0.93446053303664156</v>
      </c>
      <c r="AZ3" s="1"/>
      <c r="BA3" s="1"/>
      <c r="BB3" s="1"/>
      <c r="BC3" s="1"/>
      <c r="BD3" s="1"/>
      <c r="BE3" s="1"/>
      <c r="BF3" s="1"/>
      <c r="BG3" s="1"/>
      <c r="BH3" s="240">
        <v>151831</v>
      </c>
      <c r="BI3" s="240">
        <f>V3*BH$17</f>
        <v>34006.125</v>
      </c>
      <c r="BJ3" s="240">
        <f>BH3-BI3</f>
        <v>117824.875</v>
      </c>
      <c r="BK3" s="242">
        <f>(BJ3-BJ$13)/BJ$14</f>
        <v>1.2991006712347661</v>
      </c>
      <c r="BL3" s="243">
        <f>(0.6*AY3)+(0.4*BK3)</f>
        <v>-4.1036051328078527E-2</v>
      </c>
      <c r="BM3" s="1"/>
      <c r="BN3" s="1"/>
      <c r="BO3" s="1"/>
      <c r="BP3" s="1"/>
      <c r="BQ3" s="1"/>
    </row>
    <row r="4" spans="1:69" x14ac:dyDescent="0.25">
      <c r="A4" s="7" t="s">
        <v>60</v>
      </c>
      <c r="B4" s="7" t="s">
        <v>63</v>
      </c>
      <c r="C4" s="10">
        <f t="shared" ref="C4:C12" si="0">SUM(D4:E4)</f>
        <v>41</v>
      </c>
      <c r="D4" s="8">
        <v>41</v>
      </c>
      <c r="E4">
        <v>0</v>
      </c>
      <c r="F4" s="106">
        <v>485.5</v>
      </c>
      <c r="G4" s="71">
        <v>299</v>
      </c>
      <c r="H4" s="107">
        <f>F4/C4</f>
        <v>11.841463414634147</v>
      </c>
      <c r="I4" s="128">
        <f>G4/C4</f>
        <v>7.2926829268292686</v>
      </c>
      <c r="J4" s="128">
        <f>H4/H$15</f>
        <v>0.26855711961887407</v>
      </c>
      <c r="K4" s="108">
        <f>I4/I15</f>
        <v>0.28933640284874024</v>
      </c>
      <c r="L4" s="77">
        <v>53270</v>
      </c>
      <c r="M4" s="34">
        <v>0</v>
      </c>
      <c r="N4" s="34">
        <f>L4/C4</f>
        <v>1299.2682926829268</v>
      </c>
      <c r="O4" s="34"/>
      <c r="P4" s="40">
        <f>N4/N$14</f>
        <v>0.20931699390894795</v>
      </c>
      <c r="Q4" s="48"/>
      <c r="R4" s="48">
        <f t="shared" ref="R4:R12" si="1">(0.6*K4)+(0.4*Q4)</f>
        <v>0.17360184170924414</v>
      </c>
      <c r="S4" s="48">
        <f t="shared" ref="S4:S12" si="2">(0.6*J4)+(0.4*P4)</f>
        <v>0.24486106933490365</v>
      </c>
      <c r="T4" s="26">
        <v>-7.2999999999999995E-2</v>
      </c>
      <c r="U4">
        <v>0.38</v>
      </c>
      <c r="V4" s="222">
        <v>41</v>
      </c>
      <c r="W4" s="244">
        <v>8.1742676486742244E-2</v>
      </c>
      <c r="X4" s="26">
        <f>(0.6*BD4)+(0.4*BQ4)</f>
        <v>9.1132766323651221E-2</v>
      </c>
      <c r="AK4" s="37">
        <v>876669.18666714244</v>
      </c>
      <c r="AL4">
        <v>157</v>
      </c>
      <c r="AM4" s="39" t="s">
        <v>180</v>
      </c>
      <c r="AN4" s="147">
        <f>AK4/AD13</f>
        <v>10446.64890138137</v>
      </c>
      <c r="AO4" s="80">
        <f>AK4/AG13</f>
        <v>10672.147026816347</v>
      </c>
      <c r="AR4">
        <v>971</v>
      </c>
      <c r="AS4">
        <v>971</v>
      </c>
      <c r="AT4">
        <f>AR4-AS4</f>
        <v>0</v>
      </c>
      <c r="AU4">
        <v>139</v>
      </c>
      <c r="AV4" s="237">
        <v>872</v>
      </c>
      <c r="AW4" s="237">
        <v>675</v>
      </c>
      <c r="AX4" s="237">
        <f t="shared" ref="AX4:AX7" si="3">AV4-AW4</f>
        <v>197</v>
      </c>
      <c r="AY4" s="239">
        <f>(AX4-AX$13)/AX$14</f>
        <v>-2.5015050566770374E-2</v>
      </c>
      <c r="AZ4">
        <v>151</v>
      </c>
      <c r="BA4">
        <f>AR4-AU4</f>
        <v>832</v>
      </c>
      <c r="BB4">
        <f>AS4-AZ4</f>
        <v>820</v>
      </c>
      <c r="BC4">
        <v>0.187</v>
      </c>
      <c r="BD4" s="23">
        <f>(BB4-BB$14)/BB$15</f>
        <v>0.19024164020366996</v>
      </c>
      <c r="BE4" s="34">
        <v>53270</v>
      </c>
      <c r="BF4" s="206">
        <v>19870.25</v>
      </c>
      <c r="BG4">
        <v>74227</v>
      </c>
      <c r="BH4" s="240">
        <v>68870</v>
      </c>
      <c r="BI4" s="240">
        <f>V4*BH$17</f>
        <v>48077.625</v>
      </c>
      <c r="BJ4" s="240">
        <f>BH4-BI4</f>
        <v>20792.375</v>
      </c>
      <c r="BK4" s="241">
        <f>(BJ4-BJ$13)/BJ$14</f>
        <v>0.24187926706701116</v>
      </c>
      <c r="BL4" s="243">
        <f>(0.6*AY4)+(0.4*BK4)</f>
        <v>8.1742676486742244E-2</v>
      </c>
      <c r="BM4">
        <v>22333</v>
      </c>
      <c r="BN4">
        <f>BE4-BG4</f>
        <v>-20957</v>
      </c>
      <c r="BO4" s="34">
        <f>BF4-BM4</f>
        <v>-2462.75</v>
      </c>
      <c r="BP4">
        <v>-0.46300000000000002</v>
      </c>
      <c r="BQ4" s="23">
        <f>(BO4-BO$14)/BO$15</f>
        <v>-5.7530544496376894E-2</v>
      </c>
    </row>
    <row r="5" spans="1:69" x14ac:dyDescent="0.25">
      <c r="A5" s="9" t="s">
        <v>60</v>
      </c>
      <c r="B5" s="9" t="s">
        <v>65</v>
      </c>
      <c r="C5" s="10">
        <f t="shared" si="0"/>
        <v>94</v>
      </c>
      <c r="D5" s="8">
        <v>94</v>
      </c>
      <c r="E5">
        <v>0</v>
      </c>
      <c r="F5" s="106">
        <v>831.5</v>
      </c>
      <c r="G5" s="71">
        <v>502.5</v>
      </c>
      <c r="H5" s="107">
        <f>F5/C5</f>
        <v>8.8457446808510642</v>
      </c>
      <c r="I5" s="128">
        <f>G5/C5</f>
        <v>5.3457446808510642</v>
      </c>
      <c r="J5" s="128">
        <f>H5/H$15</f>
        <v>0.20061605809949923</v>
      </c>
      <c r="K5" s="108">
        <f>I5/I15</f>
        <v>0.21209183945389493</v>
      </c>
      <c r="L5" s="77">
        <v>95610</v>
      </c>
      <c r="M5" s="34">
        <v>206835</v>
      </c>
      <c r="N5" s="34">
        <f>L5/C5</f>
        <v>1017.1276595744681</v>
      </c>
      <c r="O5" s="34">
        <f>M5/C5</f>
        <v>2200.372340425532</v>
      </c>
      <c r="P5" s="40">
        <f>N5/N$14</f>
        <v>0.16386307995259297</v>
      </c>
      <c r="Q5" s="48">
        <f>O5/O14</f>
        <v>0.5199270859060815</v>
      </c>
      <c r="R5" s="48">
        <f t="shared" si="1"/>
        <v>0.33522593803476952</v>
      </c>
      <c r="S5" s="48">
        <f t="shared" si="2"/>
        <v>0.18591486684073671</v>
      </c>
      <c r="T5" s="25">
        <v>1.2450000000000001</v>
      </c>
      <c r="U5" s="73">
        <v>1.1499999999999999</v>
      </c>
      <c r="V5" s="222">
        <v>91</v>
      </c>
      <c r="W5" s="239">
        <v>0.68009258674407636</v>
      </c>
      <c r="X5" s="25">
        <f>(0.6*BD5)+(0.4*BQ5)</f>
        <v>1.2824316499498281</v>
      </c>
      <c r="Y5" s="67">
        <f>AD5*AN4</f>
        <v>662640.28234615829</v>
      </c>
      <c r="Z5" s="67" t="e">
        <f>AE5*C5</f>
        <v>#VALUE!</v>
      </c>
      <c r="AA5" s="67">
        <f>AF5*AO$9</f>
        <v>1047617.567615274</v>
      </c>
      <c r="AB5" s="67">
        <f>AG5*AO$4</f>
        <v>619562.86625499919</v>
      </c>
      <c r="AC5" s="70">
        <f>AB5-Y5</f>
        <v>-43077.416091159103</v>
      </c>
      <c r="AD5" s="70">
        <f>AH5*C5</f>
        <v>63.430894308943103</v>
      </c>
      <c r="AE5" s="59" t="e">
        <f>U5/AN2</f>
        <v>#VALUE!</v>
      </c>
      <c r="AF5" s="59">
        <f>AI5*V5</f>
        <v>68.680261629787736</v>
      </c>
      <c r="AG5" s="60">
        <f>AJ5*C5</f>
        <v>58.054191410425467</v>
      </c>
      <c r="AH5" s="59">
        <f>T5/AP$2</f>
        <v>0.67479674796747979</v>
      </c>
      <c r="AI5" s="23">
        <f>W5/AQ$6</f>
        <v>0.75472814977788716</v>
      </c>
      <c r="AJ5" s="59">
        <f>X5/AQ$2</f>
        <v>0.61759778096197304</v>
      </c>
      <c r="AL5" s="52">
        <f>AL4/C13</f>
        <v>0.36854460093896713</v>
      </c>
      <c r="AM5" s="1"/>
      <c r="AQ5" s="237" t="s">
        <v>412</v>
      </c>
      <c r="AR5">
        <v>1663</v>
      </c>
      <c r="AS5">
        <v>1662</v>
      </c>
      <c r="AT5">
        <f>AR5-AS5</f>
        <v>1</v>
      </c>
      <c r="AU5">
        <v>318</v>
      </c>
      <c r="AV5" s="237">
        <v>2437</v>
      </c>
      <c r="AW5" s="237">
        <v>1497</v>
      </c>
      <c r="AX5" s="237">
        <f t="shared" si="3"/>
        <v>940</v>
      </c>
      <c r="AY5" s="239">
        <f>(AX5-AX$13)/AX$14</f>
        <v>1.5500851673239391</v>
      </c>
      <c r="AZ5">
        <v>345</v>
      </c>
      <c r="BA5">
        <f>AR5-AU5</f>
        <v>1345</v>
      </c>
      <c r="BB5">
        <f>AS5-AZ5</f>
        <v>1317</v>
      </c>
      <c r="BC5">
        <v>1.343</v>
      </c>
      <c r="BD5" s="23">
        <f>(BB5-BB$14)/BB$15</f>
        <v>1.3271165321622753</v>
      </c>
      <c r="BE5" s="34">
        <v>95610</v>
      </c>
      <c r="BF5" s="206">
        <v>95610.05</v>
      </c>
      <c r="BG5">
        <v>46062</v>
      </c>
      <c r="BH5" s="240">
        <v>47948</v>
      </c>
      <c r="BI5" s="240">
        <f>V5*BH$17</f>
        <v>106708.875</v>
      </c>
      <c r="BJ5" s="240">
        <f>BH5-BI5</f>
        <v>-58760.875</v>
      </c>
      <c r="BK5" s="241">
        <f>(BJ5-BJ$13)/BJ$14</f>
        <v>-0.62489628412571763</v>
      </c>
      <c r="BL5" s="242">
        <f>(0.6*AY5)+(0.4*BK5)</f>
        <v>0.68009258674407636</v>
      </c>
      <c r="BM5">
        <v>47386</v>
      </c>
      <c r="BN5">
        <f t="shared" ref="BN5:BN12" si="4">BE5-BG5</f>
        <v>49548</v>
      </c>
      <c r="BO5" s="34">
        <f>BF5-BM5</f>
        <v>48224.05</v>
      </c>
      <c r="BP5">
        <v>1.0980000000000001</v>
      </c>
      <c r="BQ5" s="23">
        <f>(BO5-BO$14)/BO$15</f>
        <v>1.2154043266311574</v>
      </c>
    </row>
    <row r="6" spans="1:69" x14ac:dyDescent="0.25">
      <c r="A6" s="7" t="s">
        <v>60</v>
      </c>
      <c r="B6" s="7" t="s">
        <v>66</v>
      </c>
      <c r="C6" s="10">
        <f t="shared" si="0"/>
        <v>46</v>
      </c>
      <c r="D6" s="8">
        <v>46</v>
      </c>
      <c r="E6">
        <v>0</v>
      </c>
      <c r="F6" s="106">
        <v>296.5</v>
      </c>
      <c r="G6" s="71">
        <v>75</v>
      </c>
      <c r="H6" s="107">
        <f>F6/C6</f>
        <v>6.4456521739130439</v>
      </c>
      <c r="I6" s="128">
        <f>G6/C6</f>
        <v>1.6304347826086956</v>
      </c>
      <c r="J6" s="128">
        <f>H6/H$15</f>
        <v>0.14618343369215256</v>
      </c>
      <c r="K6" s="108">
        <f>I6/I15</f>
        <v>6.4687322870428679E-2</v>
      </c>
      <c r="L6" s="77">
        <v>107767</v>
      </c>
      <c r="M6" s="34">
        <v>15893</v>
      </c>
      <c r="N6" s="34">
        <f>L6/C6</f>
        <v>2342.7608695652175</v>
      </c>
      <c r="O6" s="34">
        <f>M6/C6</f>
        <v>345.5</v>
      </c>
      <c r="P6" s="40">
        <f>N6/N$14</f>
        <v>0.37742756090221652</v>
      </c>
      <c r="Q6" s="48">
        <f>O6/O14</f>
        <v>8.1638368598021649E-2</v>
      </c>
      <c r="R6" s="48">
        <f t="shared" si="1"/>
        <v>7.146774116146587E-2</v>
      </c>
      <c r="S6" s="48">
        <f t="shared" si="2"/>
        <v>0.23868108457617815</v>
      </c>
      <c r="T6" s="26">
        <v>-8.2000000000000003E-2</v>
      </c>
      <c r="U6">
        <v>-0.56999999999999995</v>
      </c>
      <c r="V6" s="222">
        <v>40</v>
      </c>
      <c r="W6" s="239">
        <v>0.22101675566513984</v>
      </c>
      <c r="X6" s="26">
        <f>(0.6*BD6)+(0.4*BQ6)</f>
        <v>-0.52741220674062139</v>
      </c>
      <c r="Y6" s="61"/>
      <c r="Z6" s="37"/>
      <c r="AA6" s="67">
        <f>AF6*AO$9</f>
        <v>149650.62335915375</v>
      </c>
      <c r="AB6" s="37"/>
      <c r="AC6" s="69"/>
      <c r="AD6" s="69"/>
      <c r="AE6" s="59"/>
      <c r="AF6" s="59">
        <f>AI6*V6</f>
        <v>9.810874008884511</v>
      </c>
      <c r="AG6" s="59"/>
      <c r="AH6" s="59"/>
      <c r="AI6" s="23">
        <f>W6/AQ$6</f>
        <v>0.24527185022211279</v>
      </c>
      <c r="AJ6" s="59"/>
      <c r="AK6" s="278" t="s">
        <v>407</v>
      </c>
      <c r="AQ6" s="25">
        <f>W5+W6</f>
        <v>0.90110934240921625</v>
      </c>
      <c r="AR6">
        <v>593</v>
      </c>
      <c r="AS6">
        <v>598</v>
      </c>
      <c r="AT6">
        <f>AR6-AS6</f>
        <v>-5</v>
      </c>
      <c r="AU6">
        <v>156</v>
      </c>
      <c r="AV6" s="237">
        <v>821</v>
      </c>
      <c r="AW6" s="237">
        <v>658</v>
      </c>
      <c r="AX6" s="237">
        <f t="shared" si="3"/>
        <v>163</v>
      </c>
      <c r="AY6" s="238">
        <f>(AX6-AX$13)/AX$14</f>
        <v>-9.7092314911701894E-2</v>
      </c>
      <c r="AZ6">
        <v>169</v>
      </c>
      <c r="BA6">
        <f>AR6-AU6</f>
        <v>437</v>
      </c>
      <c r="BB6">
        <f>AS6-AZ6</f>
        <v>429</v>
      </c>
      <c r="BC6">
        <v>-0.70299999999999996</v>
      </c>
      <c r="BD6" s="23">
        <f>(BB6-BB$14)/BB$15</f>
        <v>-0.70416094079394509</v>
      </c>
      <c r="BE6" s="34">
        <v>107767</v>
      </c>
      <c r="BF6" s="206">
        <v>14172</v>
      </c>
      <c r="BG6">
        <v>69474</v>
      </c>
      <c r="BH6" s="240">
        <v>109577</v>
      </c>
      <c r="BI6" s="240">
        <f>V6*BH$17</f>
        <v>46905</v>
      </c>
      <c r="BJ6" s="240">
        <f>BH6-BI6</f>
        <v>62672</v>
      </c>
      <c r="BK6" s="242">
        <f>(BJ6-BJ$13)/BJ$14</f>
        <v>0.69818036153040242</v>
      </c>
      <c r="BL6" s="242">
        <f>(0.6*AY6)+(0.4*BK6)</f>
        <v>0.22101675566513984</v>
      </c>
      <c r="BM6">
        <v>24788</v>
      </c>
      <c r="BN6">
        <f t="shared" si="4"/>
        <v>38293</v>
      </c>
      <c r="BO6" s="34">
        <f>BF6-BM6</f>
        <v>-10616</v>
      </c>
      <c r="BP6">
        <v>0.84899999999999998</v>
      </c>
      <c r="BQ6" s="23">
        <f>(BO6-BO$14)/BO$15</f>
        <v>-0.26228910566063601</v>
      </c>
    </row>
    <row r="7" spans="1:69" x14ac:dyDescent="0.25">
      <c r="A7" s="9" t="s">
        <v>60</v>
      </c>
      <c r="B7" s="9" t="s">
        <v>67</v>
      </c>
      <c r="C7" s="32">
        <f t="shared" si="0"/>
        <v>2</v>
      </c>
      <c r="D7" s="8">
        <v>2</v>
      </c>
      <c r="E7">
        <v>0</v>
      </c>
      <c r="F7" s="106"/>
      <c r="G7" s="71"/>
      <c r="H7" s="107"/>
      <c r="I7" s="128"/>
      <c r="J7" s="128"/>
      <c r="K7" s="108"/>
      <c r="L7" s="77"/>
      <c r="M7" s="34"/>
      <c r="N7" s="34"/>
      <c r="O7" s="34"/>
      <c r="P7" s="40"/>
      <c r="Q7" s="48"/>
      <c r="R7" s="48">
        <f t="shared" si="1"/>
        <v>0</v>
      </c>
      <c r="S7" s="48">
        <f t="shared" si="2"/>
        <v>0</v>
      </c>
      <c r="T7" s="23"/>
      <c r="U7" s="40"/>
      <c r="V7" s="222">
        <v>15</v>
      </c>
      <c r="W7" s="244">
        <v>-0.17680379883003966</v>
      </c>
      <c r="X7" s="26"/>
      <c r="Y7" s="61"/>
      <c r="Z7" s="37"/>
      <c r="AA7" s="37"/>
      <c r="AB7" s="37"/>
      <c r="AC7" s="69"/>
      <c r="AD7" s="69"/>
      <c r="AE7" s="59"/>
      <c r="AF7" s="59"/>
      <c r="AG7" s="59"/>
      <c r="AH7" s="59"/>
      <c r="AI7" s="59"/>
      <c r="AJ7" s="59"/>
      <c r="AK7" s="140">
        <v>1197268.1909744279</v>
      </c>
      <c r="AV7" s="237">
        <v>223</v>
      </c>
      <c r="AW7" s="237">
        <v>247</v>
      </c>
      <c r="AX7" s="237">
        <f t="shared" si="3"/>
        <v>-24</v>
      </c>
      <c r="AY7" s="238">
        <f>(AX7-AX$13)/AX$14</f>
        <v>-0.49351726880882524</v>
      </c>
      <c r="BD7" s="23"/>
      <c r="BE7" s="34"/>
      <c r="BF7" s="206">
        <v>0</v>
      </c>
      <c r="BH7" s="240">
        <v>43557</v>
      </c>
      <c r="BI7" s="240">
        <f>V7*BH$17</f>
        <v>17589.375</v>
      </c>
      <c r="BJ7" s="240">
        <f>BH7-BI7</f>
        <v>25967.625</v>
      </c>
      <c r="BK7" s="241">
        <f>(BJ7-BJ$13)/BJ$14</f>
        <v>0.2982664061381386</v>
      </c>
      <c r="BL7" s="243">
        <f>(0.6*AY7)+(0.4*BK7)</f>
        <v>-0.17680379883003966</v>
      </c>
      <c r="BQ7" s="23"/>
    </row>
    <row r="8" spans="1:69" x14ac:dyDescent="0.25">
      <c r="A8" s="7" t="s">
        <v>68</v>
      </c>
      <c r="B8" s="7" t="s">
        <v>69</v>
      </c>
      <c r="C8" s="32">
        <f t="shared" si="0"/>
        <v>2</v>
      </c>
      <c r="D8" s="8">
        <v>2</v>
      </c>
      <c r="E8" s="8">
        <v>0</v>
      </c>
      <c r="F8" s="94"/>
      <c r="G8" s="71"/>
      <c r="H8" s="107"/>
      <c r="I8" s="128"/>
      <c r="J8" s="128"/>
      <c r="K8" s="108"/>
      <c r="L8" s="77"/>
      <c r="M8" s="34"/>
      <c r="N8" s="34"/>
      <c r="O8" s="34"/>
      <c r="P8" s="40"/>
      <c r="Q8" s="48"/>
      <c r="R8" s="48">
        <f t="shared" si="1"/>
        <v>0</v>
      </c>
      <c r="S8" s="48">
        <f t="shared" si="2"/>
        <v>0</v>
      </c>
      <c r="T8" s="23"/>
      <c r="U8" s="40"/>
      <c r="V8" s="225">
        <v>0</v>
      </c>
      <c r="W8" s="244"/>
      <c r="X8" s="26"/>
      <c r="Y8" s="61"/>
      <c r="Z8" s="37"/>
      <c r="AA8" s="37"/>
      <c r="AB8" s="37"/>
      <c r="AC8" s="69"/>
      <c r="AD8" s="69"/>
      <c r="AE8" s="59"/>
      <c r="AF8" s="59"/>
      <c r="AG8" s="59"/>
      <c r="AH8" s="59"/>
      <c r="AI8" s="59"/>
      <c r="AJ8" s="59"/>
      <c r="AO8" s="237" t="s">
        <v>410</v>
      </c>
      <c r="AV8" s="237"/>
      <c r="AW8" s="237"/>
      <c r="AX8" s="237"/>
      <c r="AY8" s="238"/>
      <c r="BD8" s="23"/>
      <c r="BE8" s="34"/>
      <c r="BF8" s="206">
        <v>0</v>
      </c>
      <c r="BH8" s="240"/>
      <c r="BI8" s="240"/>
      <c r="BJ8" s="240"/>
      <c r="BK8" s="241"/>
      <c r="BL8" s="243"/>
      <c r="BQ8" s="23"/>
    </row>
    <row r="9" spans="1:69" x14ac:dyDescent="0.25">
      <c r="A9" s="7" t="s">
        <v>68</v>
      </c>
      <c r="B9" s="7" t="s">
        <v>71</v>
      </c>
      <c r="C9" s="32">
        <f t="shared" si="0"/>
        <v>4</v>
      </c>
      <c r="D9" s="8">
        <v>4</v>
      </c>
      <c r="E9" s="8">
        <v>0</v>
      </c>
      <c r="F9" s="94"/>
      <c r="G9" s="71"/>
      <c r="H9" s="107"/>
      <c r="I9" s="128"/>
      <c r="J9" s="128"/>
      <c r="K9" s="108"/>
      <c r="L9" s="77"/>
      <c r="M9" s="34"/>
      <c r="N9" s="34"/>
      <c r="O9" s="34"/>
      <c r="P9" s="40"/>
      <c r="Q9" s="48"/>
      <c r="R9" s="48">
        <f t="shared" si="1"/>
        <v>0</v>
      </c>
      <c r="S9" s="48">
        <f t="shared" si="2"/>
        <v>0</v>
      </c>
      <c r="T9" s="23"/>
      <c r="U9" s="40"/>
      <c r="V9" s="225">
        <v>4</v>
      </c>
      <c r="W9" s="244"/>
      <c r="X9" s="26"/>
      <c r="Y9" s="61"/>
      <c r="Z9" s="37"/>
      <c r="AA9" s="37"/>
      <c r="AB9" s="37"/>
      <c r="AC9" s="69"/>
      <c r="AD9" s="69"/>
      <c r="AE9" s="59"/>
      <c r="AF9" s="59"/>
      <c r="AG9" s="59"/>
      <c r="AH9" s="59"/>
      <c r="AI9" s="59"/>
      <c r="AJ9" s="59"/>
      <c r="AO9" s="80">
        <f>AK7/AF13</f>
        <v>15253.546546784053</v>
      </c>
      <c r="AV9" s="237"/>
      <c r="AW9" s="237"/>
      <c r="AX9" s="237"/>
      <c r="AY9" s="238"/>
      <c r="BD9" s="23"/>
      <c r="BE9" s="34"/>
      <c r="BF9" s="206">
        <v>0</v>
      </c>
      <c r="BH9" s="240"/>
      <c r="BI9" s="240"/>
      <c r="BJ9" s="240"/>
      <c r="BK9" s="241"/>
      <c r="BL9" s="243"/>
      <c r="BQ9" s="23"/>
    </row>
    <row r="10" spans="1:69" x14ac:dyDescent="0.25">
      <c r="A10" s="9" t="s">
        <v>68</v>
      </c>
      <c r="B10" s="9" t="s">
        <v>73</v>
      </c>
      <c r="C10" s="10">
        <f t="shared" si="0"/>
        <v>63</v>
      </c>
      <c r="D10" s="8">
        <v>63</v>
      </c>
      <c r="E10" s="8">
        <v>0</v>
      </c>
      <c r="F10" s="94">
        <v>603.5</v>
      </c>
      <c r="G10" s="71">
        <v>402.5</v>
      </c>
      <c r="H10" s="107">
        <f>F10/C10</f>
        <v>9.5793650793650791</v>
      </c>
      <c r="I10" s="128">
        <f>G10/C10</f>
        <v>6.3888888888888893</v>
      </c>
      <c r="J10" s="128">
        <f>H10/H$15</f>
        <v>0.21725411829694835</v>
      </c>
      <c r="K10" s="108">
        <f>I10/I15</f>
        <v>0.2534784725811613</v>
      </c>
      <c r="L10" s="77">
        <v>88262</v>
      </c>
      <c r="M10" s="34">
        <v>106231</v>
      </c>
      <c r="N10" s="34">
        <f>L10/C10</f>
        <v>1400.984126984127</v>
      </c>
      <c r="O10" s="34">
        <f>M10/C10</f>
        <v>1686.2063492063492</v>
      </c>
      <c r="P10" s="40">
        <f>N10/N$14</f>
        <v>0.22570379622589148</v>
      </c>
      <c r="Q10" s="48">
        <f>O10/O14</f>
        <v>0.3984345454958968</v>
      </c>
      <c r="R10" s="48">
        <f t="shared" si="1"/>
        <v>0.31146090174705549</v>
      </c>
      <c r="S10" s="48">
        <f t="shared" si="2"/>
        <v>0.22063398946852561</v>
      </c>
      <c r="T10" s="25">
        <v>0.6</v>
      </c>
      <c r="U10" s="73">
        <v>0.87</v>
      </c>
      <c r="V10" s="222">
        <v>75</v>
      </c>
      <c r="W10" s="244">
        <v>0.15771037729143794</v>
      </c>
      <c r="X10" s="25">
        <f>(0.6*BD10)+(0.4*BQ10)</f>
        <v>0.79405192800653546</v>
      </c>
      <c r="Y10" s="67">
        <f>AD10*AN4</f>
        <v>214028.90432098418</v>
      </c>
      <c r="Z10" s="67" t="e">
        <f>AE10*C10</f>
        <v>#VALUE!</v>
      </c>
      <c r="AA10" s="70"/>
      <c r="AB10" s="67">
        <f>AG10*AO$4</f>
        <v>257106.32041214322</v>
      </c>
      <c r="AC10" s="70">
        <f>AB10-Y10</f>
        <v>43077.416091159044</v>
      </c>
      <c r="AD10" s="70">
        <f>AH10*C10</f>
        <v>20.487804878048781</v>
      </c>
      <c r="AE10" s="59" t="e">
        <f>U10/AN2</f>
        <v>#VALUE!</v>
      </c>
      <c r="AF10" s="59"/>
      <c r="AG10" s="60">
        <f>AJ10*C10</f>
        <v>24.091339799395708</v>
      </c>
      <c r="AH10" s="59">
        <f>T10/AP$2</f>
        <v>0.32520325203252032</v>
      </c>
      <c r="AI10" s="59"/>
      <c r="AJ10" s="59">
        <f>X10/AQ$2</f>
        <v>0.38240221903802712</v>
      </c>
      <c r="AR10">
        <v>1207</v>
      </c>
      <c r="AS10">
        <v>1223</v>
      </c>
      <c r="AT10">
        <f>AR10-AS10</f>
        <v>-16</v>
      </c>
      <c r="AU10">
        <v>213</v>
      </c>
      <c r="AV10" s="237">
        <v>1376</v>
      </c>
      <c r="AW10" s="237">
        <v>1234</v>
      </c>
      <c r="AX10" s="237">
        <f t="shared" ref="AX10:AX12" si="5">AV10-AW10</f>
        <v>142</v>
      </c>
      <c r="AY10" s="238">
        <f>(AX10-AX$13)/AX$14</f>
        <v>-0.1416106252423949</v>
      </c>
      <c r="AZ10">
        <v>231</v>
      </c>
      <c r="BA10">
        <f>AR10-AU10</f>
        <v>994</v>
      </c>
      <c r="BB10">
        <f>AS10-AZ10</f>
        <v>992</v>
      </c>
      <c r="BC10" s="23">
        <v>0.55200000000000005</v>
      </c>
      <c r="BD10" s="23">
        <f>(BB10-BB$14)/BB$15</f>
        <v>0.58368727685735233</v>
      </c>
      <c r="BE10" s="34">
        <v>88262</v>
      </c>
      <c r="BF10" s="206">
        <v>76978</v>
      </c>
      <c r="BG10">
        <v>57980</v>
      </c>
      <c r="BH10" s="240">
        <v>142222</v>
      </c>
      <c r="BI10" s="240">
        <f>V10*BH$17</f>
        <v>87946.875</v>
      </c>
      <c r="BJ10" s="240">
        <f>BH10-BI10</f>
        <v>54275.125</v>
      </c>
      <c r="BK10" s="241">
        <f>(BJ10-BJ$13)/BJ$14</f>
        <v>0.60669188109218719</v>
      </c>
      <c r="BL10" s="243">
        <f>(0.6*AY10)+(0.4*BK10)</f>
        <v>0.15771037729143794</v>
      </c>
      <c r="BM10">
        <v>32967</v>
      </c>
      <c r="BN10">
        <f t="shared" si="4"/>
        <v>30282</v>
      </c>
      <c r="BO10" s="34">
        <f>BF10-BM10</f>
        <v>44011</v>
      </c>
      <c r="BP10">
        <v>0.67200000000000004</v>
      </c>
      <c r="BQ10" s="23">
        <f>(BO10-BO$14)/BO$15</f>
        <v>1.1095989047303103</v>
      </c>
    </row>
    <row r="11" spans="1:69" x14ac:dyDescent="0.25">
      <c r="A11" s="9" t="s">
        <v>80</v>
      </c>
      <c r="B11" s="9" t="s">
        <v>81</v>
      </c>
      <c r="C11" s="10">
        <f t="shared" si="0"/>
        <v>123</v>
      </c>
      <c r="D11">
        <v>0</v>
      </c>
      <c r="E11">
        <v>123</v>
      </c>
      <c r="F11" s="106">
        <v>616</v>
      </c>
      <c r="G11" s="71">
        <v>335</v>
      </c>
      <c r="H11" s="128">
        <f>F11/C11</f>
        <v>5.0081300813008127</v>
      </c>
      <c r="I11" s="128">
        <f>G11/C11</f>
        <v>2.7235772357723578</v>
      </c>
      <c r="J11" s="128">
        <f>H11/H$15</f>
        <v>0.11358131526620421</v>
      </c>
      <c r="K11" s="129">
        <f>I11/I15</f>
        <v>0.10805763094127979</v>
      </c>
      <c r="L11" s="77"/>
      <c r="M11" s="34">
        <v>0</v>
      </c>
      <c r="N11" s="34">
        <f>L11/C11</f>
        <v>0</v>
      </c>
      <c r="O11" s="34"/>
      <c r="P11" s="40"/>
      <c r="Q11" s="48"/>
      <c r="R11" s="48">
        <f t="shared" si="1"/>
        <v>6.4834578564767875E-2</v>
      </c>
      <c r="S11" s="48">
        <f t="shared" si="2"/>
        <v>6.8148789159722528E-2</v>
      </c>
      <c r="T11" s="26">
        <v>-0.25900000000000001</v>
      </c>
      <c r="U11">
        <v>-1.1499999999999999</v>
      </c>
      <c r="V11" s="222">
        <v>183</v>
      </c>
      <c r="W11" s="244">
        <v>-2.0312191348411148</v>
      </c>
      <c r="X11" s="26">
        <f>(0.6*BD11)+(0.4*BQ11)</f>
        <v>-0.44916710287095163</v>
      </c>
      <c r="Y11" s="61"/>
      <c r="Z11" s="37"/>
      <c r="AA11" s="37"/>
      <c r="AB11" s="37"/>
      <c r="AC11" s="37"/>
      <c r="AD11" s="37"/>
      <c r="AE11" s="59"/>
      <c r="AF11" s="59"/>
      <c r="AG11" s="59"/>
      <c r="AH11" s="59"/>
      <c r="AI11" s="59"/>
      <c r="AJ11" s="59"/>
      <c r="AR11">
        <v>1232</v>
      </c>
      <c r="AS11">
        <v>1248</v>
      </c>
      <c r="AT11">
        <f>AR11-AS11</f>
        <v>-16</v>
      </c>
      <c r="AU11">
        <v>416</v>
      </c>
      <c r="AV11" s="237">
        <v>2211</v>
      </c>
      <c r="AW11" s="237">
        <v>3011</v>
      </c>
      <c r="AX11" s="237">
        <f t="shared" si="5"/>
        <v>-800</v>
      </c>
      <c r="AY11" s="238">
        <f>(AX11-AX$13)/AX$14</f>
        <v>-2.1385748315049091</v>
      </c>
      <c r="AZ11">
        <v>452</v>
      </c>
      <c r="BA11">
        <f>AR11-AU11</f>
        <v>816</v>
      </c>
      <c r="BB11">
        <f>AS11-AZ11</f>
        <v>796</v>
      </c>
      <c r="BC11" s="23">
        <v>0.151</v>
      </c>
      <c r="BD11" s="23">
        <f>(BB11-BB$14)/BB$15</f>
        <v>0.13534224904269102</v>
      </c>
      <c r="BE11" s="34">
        <v>0</v>
      </c>
      <c r="BF11" s="206">
        <v>7499</v>
      </c>
      <c r="BG11">
        <v>39462</v>
      </c>
      <c r="BH11" s="240">
        <v>41536</v>
      </c>
      <c r="BI11" s="240">
        <f>V11*BH$17</f>
        <v>214590.375</v>
      </c>
      <c r="BJ11" s="240">
        <f>BH11-BI11</f>
        <v>-173054.375</v>
      </c>
      <c r="BK11" s="241">
        <f>(BJ11-BJ$13)/BJ$14</f>
        <v>-1.8701855898454229</v>
      </c>
      <c r="BL11" s="243">
        <f>(0.6*AY11)+(0.4*BK11)</f>
        <v>-2.0312191348411148</v>
      </c>
      <c r="BM11">
        <v>60468</v>
      </c>
      <c r="BN11">
        <f t="shared" si="4"/>
        <v>-39462</v>
      </c>
      <c r="BO11" s="34">
        <f>BF11-BM11</f>
        <v>-52969</v>
      </c>
      <c r="BP11">
        <v>-0.873</v>
      </c>
      <c r="BQ11" s="23">
        <f>(BO11-BO$14)/BO$15</f>
        <v>-1.3259311307414157</v>
      </c>
    </row>
    <row r="12" spans="1:69" x14ac:dyDescent="0.25">
      <c r="A12" s="9" t="s">
        <v>80</v>
      </c>
      <c r="B12" s="9" t="s">
        <v>82</v>
      </c>
      <c r="C12" s="10">
        <f t="shared" si="0"/>
        <v>51</v>
      </c>
      <c r="D12">
        <v>0</v>
      </c>
      <c r="E12">
        <v>51</v>
      </c>
      <c r="F12" s="106">
        <v>121</v>
      </c>
      <c r="G12" s="71">
        <v>93</v>
      </c>
      <c r="H12" s="128">
        <f>F12/C12</f>
        <v>2.3725490196078431</v>
      </c>
      <c r="I12" s="128">
        <f>G12/C12</f>
        <v>1.8235294117647058</v>
      </c>
      <c r="J12" s="128">
        <f>H12/H$15</f>
        <v>5.3807955026321533E-2</v>
      </c>
      <c r="K12" s="129">
        <f>I12/I15</f>
        <v>7.2348331304495139E-2</v>
      </c>
      <c r="L12" s="77">
        <v>7499</v>
      </c>
      <c r="M12" s="34">
        <v>0</v>
      </c>
      <c r="N12" s="34">
        <f>L12/C12</f>
        <v>147.0392156862745</v>
      </c>
      <c r="O12" s="34"/>
      <c r="P12" s="40">
        <f>N12/N$14</f>
        <v>2.3688569010350977E-2</v>
      </c>
      <c r="Q12" s="40"/>
      <c r="R12" s="48">
        <f t="shared" si="1"/>
        <v>4.3408998782697085E-2</v>
      </c>
      <c r="S12" s="48">
        <f t="shared" si="2"/>
        <v>4.176020061993331E-2</v>
      </c>
      <c r="T12" s="26">
        <v>-1.431</v>
      </c>
      <c r="U12">
        <v>-0.68</v>
      </c>
      <c r="V12" s="222">
        <v>52</v>
      </c>
      <c r="W12" s="244">
        <v>-1.0009081498287711</v>
      </c>
      <c r="X12" s="26">
        <f>(0.6*BD12)+(0.4*BQ12)</f>
        <v>-1.191037034668442</v>
      </c>
      <c r="Y12" s="61"/>
      <c r="Z12" s="37"/>
      <c r="AA12" s="37"/>
      <c r="AB12" s="37"/>
      <c r="AC12" s="37"/>
      <c r="AD12" s="37"/>
      <c r="AE12" s="59"/>
      <c r="AF12" s="59"/>
      <c r="AG12" s="59"/>
      <c r="AH12" s="59"/>
      <c r="AI12" s="59"/>
      <c r="AJ12" s="59"/>
      <c r="AR12">
        <v>242</v>
      </c>
      <c r="AS12">
        <v>254</v>
      </c>
      <c r="AT12">
        <f>AR12-AS12</f>
        <v>-12</v>
      </c>
      <c r="AU12">
        <v>172</v>
      </c>
      <c r="AV12" s="237">
        <v>482</v>
      </c>
      <c r="AW12" s="237">
        <v>856</v>
      </c>
      <c r="AX12" s="237">
        <f t="shared" si="5"/>
        <v>-374</v>
      </c>
      <c r="AY12" s="238">
        <f>(AX12-AX$13)/AX$14</f>
        <v>-1.2354891076537085</v>
      </c>
      <c r="AZ12">
        <v>187</v>
      </c>
      <c r="BA12">
        <f>AR12-AU12</f>
        <v>70</v>
      </c>
      <c r="BB12">
        <f>AS12-AZ12</f>
        <v>67</v>
      </c>
      <c r="BC12" s="23">
        <v>-1.53</v>
      </c>
      <c r="BD12" s="23">
        <f>(BB12-BB$14)/BB$15</f>
        <v>-1.5322267574720441</v>
      </c>
      <c r="BE12" s="34">
        <v>7499</v>
      </c>
      <c r="BF12" s="206">
        <v>0</v>
      </c>
      <c r="BG12">
        <v>65472</v>
      </c>
      <c r="BH12" s="240">
        <v>0</v>
      </c>
      <c r="BI12" s="240">
        <f>V12*BH$17</f>
        <v>60976.5</v>
      </c>
      <c r="BJ12" s="240">
        <f>BH12-BI12</f>
        <v>-60976.5</v>
      </c>
      <c r="BK12" s="241">
        <f>(BJ12-BJ$13)/BJ$14</f>
        <v>-0.64903671309136501</v>
      </c>
      <c r="BL12" s="243">
        <f>(0.6*AY12)+(0.4*BK12)</f>
        <v>-1.0009081498287711</v>
      </c>
      <c r="BM12">
        <v>27219</v>
      </c>
      <c r="BN12">
        <f t="shared" si="4"/>
        <v>-57973</v>
      </c>
      <c r="BO12" s="34">
        <f>BF12-BM12</f>
        <v>-27219</v>
      </c>
      <c r="BP12">
        <v>-1.2829999999999999</v>
      </c>
      <c r="BQ12" s="23">
        <f>(BO12-BO$14)/BO$15</f>
        <v>-0.67925245046303917</v>
      </c>
    </row>
    <row r="13" spans="1:69" x14ac:dyDescent="0.25">
      <c r="C13" s="1">
        <f>SUM(C4:C12)</f>
        <v>426</v>
      </c>
      <c r="D13" s="1">
        <f>SUM(D4:D12)</f>
        <v>252</v>
      </c>
      <c r="E13" s="1">
        <f>SUM(E4:E12)</f>
        <v>174</v>
      </c>
      <c r="F13" s="121">
        <f>SUM(F4:F12)</f>
        <v>2954</v>
      </c>
      <c r="G13" s="91">
        <f>SUM(G4:G12)</f>
        <v>1707</v>
      </c>
      <c r="H13" s="130">
        <f>F13/C13</f>
        <v>6.934272300469484</v>
      </c>
      <c r="I13" s="130">
        <f>G13/C13</f>
        <v>4.007042253521127</v>
      </c>
      <c r="J13" s="130">
        <f>SUM(J4:J12)</f>
        <v>1</v>
      </c>
      <c r="K13" s="131">
        <f>SUM(K4:K12)</f>
        <v>1</v>
      </c>
      <c r="L13" s="116">
        <f>SUM(L4:L12)</f>
        <v>352408</v>
      </c>
      <c r="M13" s="55">
        <f>SUM(M4:M12)</f>
        <v>328959</v>
      </c>
      <c r="N13" s="55">
        <f>L13/C13</f>
        <v>827.24882629107981</v>
      </c>
      <c r="O13" s="55">
        <f>M13/C13</f>
        <v>772.20422535211264</v>
      </c>
      <c r="P13" s="34"/>
      <c r="Q13" s="57">
        <f>SUM(Q4:Q12)</f>
        <v>1</v>
      </c>
      <c r="R13" s="82">
        <f>SUM(R4:R12)</f>
        <v>1.0000000000000002</v>
      </c>
      <c r="S13" s="82"/>
      <c r="T13" s="82"/>
      <c r="U13" s="57"/>
      <c r="V13" s="222">
        <f>SUM(V3:V7,V10:V12)</f>
        <v>526</v>
      </c>
      <c r="W13" s="222"/>
      <c r="X13" s="82"/>
      <c r="Y13" s="67">
        <f>SUM(Y4:Y12)</f>
        <v>876669.18666714244</v>
      </c>
      <c r="Z13" s="61" t="e">
        <f>SUM(Z4:Z12)</f>
        <v>#VALUE!</v>
      </c>
      <c r="AA13" s="61">
        <f>SUM(AA3:AA12)</f>
        <v>1197268.1909744279</v>
      </c>
      <c r="AB13" s="61"/>
      <c r="AC13" s="61"/>
      <c r="AD13" s="61">
        <f>SUM(AD5:AD12)</f>
        <v>83.918699186991887</v>
      </c>
      <c r="AE13" s="65"/>
      <c r="AF13" s="60">
        <f>SUM(AF3:AF12)</f>
        <v>78.491135638672247</v>
      </c>
      <c r="AG13" s="60">
        <f>SUM(AG4:AG12)</f>
        <v>82.145531209821172</v>
      </c>
      <c r="AH13" s="65"/>
      <c r="AI13" s="65"/>
      <c r="AJ13" s="65"/>
      <c r="AR13" s="1">
        <f>SUM(AR4:AR12)</f>
        <v>5908</v>
      </c>
      <c r="AS13" s="1">
        <f>SUM(AS4:AS12)</f>
        <v>5956</v>
      </c>
      <c r="AT13" s="1"/>
      <c r="AV13" s="1">
        <f>SUM(AV10:AV12,AV3:AV7)</f>
        <v>8667</v>
      </c>
      <c r="AW13" s="1"/>
      <c r="AX13" s="1">
        <f>AVERAGE(AX3:AX7)</f>
        <v>208.8</v>
      </c>
      <c r="AY13" s="1"/>
      <c r="BE13" s="55">
        <f>SUM(BE4:BE12)</f>
        <v>352408</v>
      </c>
      <c r="BF13" s="55">
        <f>SUM(BF4:BF12)</f>
        <v>214129.3</v>
      </c>
      <c r="BH13" s="55">
        <f>SUM(BH3:BH7,BH10:BH12)</f>
        <v>605541</v>
      </c>
      <c r="BI13" s="55"/>
      <c r="BJ13" s="55">
        <f>AVERAGE(BJ10:BJ12,BJ3:BJ7)</f>
        <v>-1407.46875</v>
      </c>
      <c r="BK13" s="55"/>
      <c r="BL13" s="116"/>
    </row>
    <row r="14" spans="1:69" x14ac:dyDescent="0.25">
      <c r="C14" s="1">
        <v>157</v>
      </c>
      <c r="F14" s="106"/>
      <c r="G14" s="71"/>
      <c r="H14" s="91" t="s">
        <v>158</v>
      </c>
      <c r="I14" s="91" t="s">
        <v>158</v>
      </c>
      <c r="J14" s="91"/>
      <c r="K14" s="132"/>
      <c r="N14" s="56">
        <f>SUM(N4:N12)</f>
        <v>6207.1801644930147</v>
      </c>
      <c r="O14" s="56">
        <f>SUM(O4:O12)</f>
        <v>4232.0786896318814</v>
      </c>
      <c r="P14" s="56"/>
      <c r="Q14" s="40"/>
      <c r="V14" s="221"/>
      <c r="W14" s="221"/>
      <c r="AS14" s="158">
        <f>(AR13/AS13)*100</f>
        <v>99.194089993284081</v>
      </c>
      <c r="AX14">
        <f>STDEV(AX10:AX12)</f>
        <v>471.71601626402298</v>
      </c>
      <c r="BA14" s="1" t="s">
        <v>304</v>
      </c>
      <c r="BB14">
        <f>AVERAGE(BB4:BB6,BB10:BB12)</f>
        <v>736.83333333333337</v>
      </c>
      <c r="BJ14">
        <f>STDEV(BJ3:BJ7,BJ10:BJ12)</f>
        <v>91780.680581646011</v>
      </c>
      <c r="BN14" s="1" t="s">
        <v>272</v>
      </c>
      <c r="BO14" s="34">
        <f>AVERAGE(BO4:BO6,BO10:BO12)</f>
        <v>-171.94999999999951</v>
      </c>
    </row>
    <row r="15" spans="1:69" ht="19.5" thickBot="1" x14ac:dyDescent="0.35">
      <c r="A15" s="14"/>
      <c r="C15" s="1">
        <f>C14/C13</f>
        <v>0.36854460093896713</v>
      </c>
      <c r="F15" s="124"/>
      <c r="G15" s="125"/>
      <c r="H15" s="133">
        <f>SUM(H4:H12)</f>
        <v>44.092904449671991</v>
      </c>
      <c r="I15" s="133">
        <f>SUM(I4:I12)</f>
        <v>25.204857926714979</v>
      </c>
      <c r="J15" s="133"/>
      <c r="K15" s="134"/>
      <c r="BA15" s="1" t="s">
        <v>269</v>
      </c>
      <c r="BB15">
        <f>STDEV(BB4:BB6,BB10:BB12)</f>
        <v>437.16331807079456</v>
      </c>
      <c r="BN15" s="1" t="s">
        <v>269</v>
      </c>
      <c r="BO15">
        <f>STDEV(BO4:BO6,BO10:BO12)</f>
        <v>39818.847884262046</v>
      </c>
    </row>
    <row r="16" spans="1:69" ht="18.75" x14ac:dyDescent="0.3">
      <c r="A16" s="14"/>
      <c r="AS16" s="237" t="s">
        <v>360</v>
      </c>
      <c r="AV16">
        <f>AV13/V13</f>
        <v>16.477186311787072</v>
      </c>
      <c r="BF16" s="237" t="s">
        <v>360</v>
      </c>
      <c r="BH16">
        <f>BH13/V13</f>
        <v>1151.2186311787073</v>
      </c>
    </row>
    <row r="17" spans="1:60" ht="18.75" x14ac:dyDescent="0.3">
      <c r="A17" s="14"/>
      <c r="AS17" s="237" t="s">
        <v>361</v>
      </c>
      <c r="AV17">
        <v>16.451229999999999</v>
      </c>
      <c r="BF17" s="237" t="s">
        <v>361</v>
      </c>
      <c r="BH17">
        <v>1172.625</v>
      </c>
    </row>
    <row r="18" spans="1:60" ht="18.75" x14ac:dyDescent="0.3">
      <c r="A18" s="14"/>
      <c r="AS18" t="s">
        <v>416</v>
      </c>
      <c r="BF18" t="s">
        <v>417</v>
      </c>
    </row>
    <row r="19" spans="1:60" ht="18.75" x14ac:dyDescent="0.3">
      <c r="A19" s="14"/>
    </row>
    <row r="20" spans="1:60" ht="18.75" x14ac:dyDescent="0.3">
      <c r="A20" s="14"/>
    </row>
    <row r="21" spans="1:60" ht="18.75" x14ac:dyDescent="0.3">
      <c r="A21" s="14"/>
    </row>
    <row r="22" spans="1:60" ht="18.75" x14ac:dyDescent="0.3">
      <c r="A22" s="14"/>
    </row>
    <row r="23" spans="1:60" ht="18.75" x14ac:dyDescent="0.3">
      <c r="A23" s="14"/>
    </row>
    <row r="24" spans="1:60" ht="18.75" x14ac:dyDescent="0.3">
      <c r="A24" s="14"/>
    </row>
    <row r="25" spans="1:60" ht="18.75" x14ac:dyDescent="0.3">
      <c r="A25" s="14"/>
    </row>
    <row r="26" spans="1:60" ht="18.75" x14ac:dyDescent="0.3">
      <c r="A26" s="14"/>
    </row>
    <row r="27" spans="1:60" ht="18.75" x14ac:dyDescent="0.3">
      <c r="A27" s="14"/>
    </row>
    <row r="28" spans="1:60" ht="18.75" x14ac:dyDescent="0.3">
      <c r="A28" s="14"/>
    </row>
    <row r="29" spans="1:60" ht="18.75" x14ac:dyDescent="0.3">
      <c r="A29" s="14"/>
    </row>
    <row r="30" spans="1:60" ht="18.75" x14ac:dyDescent="0.3">
      <c r="A30" s="14"/>
    </row>
    <row r="31" spans="1:60" ht="18.75" x14ac:dyDescent="0.3">
      <c r="A31" s="14"/>
    </row>
    <row r="32" spans="1:60" ht="18.75" x14ac:dyDescent="0.3">
      <c r="A32" s="14"/>
    </row>
    <row r="33" spans="1:1" ht="18.75" x14ac:dyDescent="0.3">
      <c r="A33" s="14"/>
    </row>
    <row r="34" spans="1:1" ht="18.75" x14ac:dyDescent="0.3">
      <c r="A34" s="14"/>
    </row>
    <row r="35" spans="1:1" ht="18.75" x14ac:dyDescent="0.3">
      <c r="A35" s="14"/>
    </row>
    <row r="36" spans="1:1" ht="18.75" x14ac:dyDescent="0.3">
      <c r="A36" s="14"/>
    </row>
    <row r="37" spans="1:1" ht="18.75" x14ac:dyDescent="0.3">
      <c r="A37" s="14"/>
    </row>
    <row r="38" spans="1:1" ht="18.75" x14ac:dyDescent="0.3">
      <c r="A38" s="14"/>
    </row>
    <row r="39" spans="1:1" ht="18.75" x14ac:dyDescent="0.3">
      <c r="A39" s="14"/>
    </row>
  </sheetData>
  <dataValidations disablePrompts="1" count="1">
    <dataValidation type="list" showInputMessage="1" showErrorMessage="1" sqref="D1:E1">
      <formula1>$A$15:$A$39</formula1>
    </dataValidation>
  </dataValidations>
  <pageMargins left="0.75" right="0.75" top="1" bottom="1" header="0.5" footer="0.5"/>
  <pageSetup paperSize="9" orientation="portrait" r:id="rId1"/>
  <ignoredErrors>
    <ignoredError sqref="I15 C4:C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3"/>
  <sheetViews>
    <sheetView topLeftCell="AB1" zoomScaleNormal="100" workbookViewId="0">
      <pane ySplit="2" topLeftCell="A60" activePane="bottomLeft" state="frozen"/>
      <selection pane="bottomLeft" activeCell="AC26" sqref="AC25:AC26"/>
    </sheetView>
  </sheetViews>
  <sheetFormatPr defaultColWidth="8.7109375" defaultRowHeight="15" x14ac:dyDescent="0.25"/>
  <cols>
    <col min="1" max="1" width="43.7109375" customWidth="1"/>
    <col min="2" max="2" width="60.5703125" customWidth="1"/>
    <col min="3" max="3" width="11.7109375" style="1" bestFit="1" customWidth="1"/>
    <col min="4" max="4" width="15.7109375" hidden="1" customWidth="1"/>
    <col min="5" max="5" width="17.5703125" hidden="1" customWidth="1"/>
    <col min="6" max="6" width="13.85546875" hidden="1" customWidth="1"/>
    <col min="7" max="7" width="12.85546875" hidden="1" customWidth="1"/>
    <col min="8" max="9" width="8.7109375" hidden="1" customWidth="1"/>
    <col min="10" max="10" width="12.7109375" hidden="1" customWidth="1"/>
    <col min="11" max="11" width="13.28515625" style="16" hidden="1" customWidth="1"/>
    <col min="12" max="12" width="16.42578125" hidden="1" customWidth="1"/>
    <col min="13" max="13" width="16.7109375" hidden="1" customWidth="1"/>
    <col min="14" max="14" width="19.7109375" hidden="1" customWidth="1"/>
    <col min="15" max="15" width="16.42578125" hidden="1" customWidth="1"/>
    <col min="16" max="16" width="11.42578125" hidden="1" customWidth="1"/>
    <col min="17" max="17" width="8.5703125" hidden="1" customWidth="1"/>
    <col min="18" max="18" width="15.28515625" hidden="1" customWidth="1"/>
    <col min="19" max="19" width="7.42578125" hidden="1" customWidth="1"/>
    <col min="20" max="20" width="15.28515625" hidden="1" customWidth="1"/>
    <col min="21" max="21" width="17.140625" hidden="1" customWidth="1"/>
    <col min="22" max="23" width="9.5703125" hidden="1" customWidth="1"/>
    <col min="24" max="24" width="8.7109375" hidden="1" customWidth="1"/>
    <col min="25" max="26" width="10.7109375" style="16" hidden="1" customWidth="1"/>
    <col min="27" max="27" width="15.140625" hidden="1" customWidth="1"/>
    <col min="28" max="28" width="8.5703125" style="222" bestFit="1" customWidth="1"/>
    <col min="29" max="29" width="7.42578125" style="222" bestFit="1" customWidth="1"/>
    <col min="30" max="30" width="21" bestFit="1" customWidth="1"/>
    <col min="31" max="31" width="11.140625" hidden="1" customWidth="1"/>
    <col min="32" max="32" width="8.7109375" hidden="1" customWidth="1"/>
    <col min="33" max="33" width="12.140625" hidden="1" customWidth="1"/>
    <col min="34" max="34" width="12.140625" bestFit="1" customWidth="1"/>
    <col min="35" max="35" width="12.85546875" hidden="1" customWidth="1"/>
    <col min="36" max="36" width="11.140625" hidden="1" customWidth="1"/>
    <col min="37" max="38" width="11.140625" customWidth="1"/>
    <col min="39" max="39" width="18.140625" hidden="1" customWidth="1"/>
    <col min="40" max="40" width="13.28515625" bestFit="1" customWidth="1"/>
    <col min="41" max="41" width="0" hidden="1" customWidth="1"/>
    <col min="42" max="42" width="10.7109375" hidden="1" customWidth="1"/>
    <col min="43" max="43" width="13.5703125" hidden="1" customWidth="1"/>
    <col min="44" max="44" width="13.5703125" style="16" customWidth="1"/>
    <col min="45" max="45" width="18.5703125" style="16" bestFit="1" customWidth="1"/>
    <col min="46" max="46" width="10" hidden="1" customWidth="1"/>
    <col min="47" max="47" width="11.140625" hidden="1" customWidth="1"/>
    <col min="48" max="48" width="8.7109375" hidden="1" customWidth="1"/>
    <col min="49" max="49" width="16" bestFit="1" customWidth="1"/>
    <col min="50" max="50" width="10" hidden="1" customWidth="1"/>
    <col min="51" max="51" width="17.42578125" bestFit="1" customWidth="1"/>
    <col min="52" max="52" width="6.42578125" hidden="1" customWidth="1"/>
    <col min="53" max="53" width="0" hidden="1" customWidth="1"/>
    <col min="54" max="54" width="15.140625" bestFit="1" customWidth="1"/>
    <col min="55" max="55" width="16.28515625" hidden="1" customWidth="1"/>
    <col min="56" max="56" width="11.85546875" hidden="1" customWidth="1"/>
    <col min="57" max="57" width="18.140625" bestFit="1" customWidth="1"/>
    <col min="58" max="58" width="18" bestFit="1" customWidth="1"/>
    <col min="59" max="59" width="17.42578125" hidden="1" customWidth="1"/>
    <col min="60" max="60" width="18.7109375" bestFit="1" customWidth="1"/>
    <col min="61" max="61" width="15.7109375" hidden="1" customWidth="1"/>
    <col min="62" max="62" width="12.28515625" hidden="1" customWidth="1"/>
    <col min="63" max="63" width="21.5703125" bestFit="1" customWidth="1"/>
    <col min="64" max="64" width="21.42578125" bestFit="1" customWidth="1"/>
    <col min="65" max="65" width="18.28515625" hidden="1" customWidth="1"/>
    <col min="66" max="66" width="8.42578125" bestFit="1" customWidth="1"/>
    <col min="67" max="67" width="10.42578125" bestFit="1" customWidth="1"/>
    <col min="68" max="69" width="10.42578125" customWidth="1"/>
    <col min="70" max="70" width="13.42578125" bestFit="1" customWidth="1"/>
    <col min="71" max="71" width="7.7109375" bestFit="1" customWidth="1"/>
    <col min="72" max="72" width="7.28515625" hidden="1" customWidth="1"/>
    <col min="73" max="73" width="8" hidden="1" customWidth="1"/>
    <col min="74" max="74" width="10.5703125" hidden="1" customWidth="1"/>
    <col min="75" max="75" width="6.28515625" hidden="1" customWidth="1"/>
    <col min="76" max="76" width="12.5703125" hidden="1" customWidth="1"/>
    <col min="77" max="77" width="9.5703125" hidden="1" customWidth="1"/>
    <col min="78" max="78" width="15.85546875" bestFit="1" customWidth="1"/>
    <col min="79" max="79" width="0" hidden="1" customWidth="1"/>
    <col min="80" max="80" width="11.5703125" bestFit="1" customWidth="1"/>
    <col min="81" max="84" width="11" customWidth="1"/>
    <col min="85" max="85" width="14.85546875" hidden="1" customWidth="1"/>
    <col min="86" max="86" width="11.85546875" hidden="1" customWidth="1"/>
    <col min="87" max="87" width="15.5703125" hidden="1" customWidth="1"/>
    <col min="88" max="88" width="6.85546875" hidden="1" customWidth="1"/>
    <col min="89" max="89" width="13.85546875" hidden="1" customWidth="1"/>
  </cols>
  <sheetData>
    <row r="1" spans="1:89" ht="45" x14ac:dyDescent="0.25">
      <c r="C1" s="2" t="s">
        <v>142</v>
      </c>
      <c r="D1" s="3" t="s">
        <v>5</v>
      </c>
      <c r="E1" s="4" t="s">
        <v>10</v>
      </c>
      <c r="F1" s="4" t="s">
        <v>11</v>
      </c>
      <c r="G1" s="4" t="s">
        <v>12</v>
      </c>
      <c r="H1" s="4" t="s">
        <v>26</v>
      </c>
      <c r="I1" s="4" t="s">
        <v>27</v>
      </c>
      <c r="J1" s="4" t="s">
        <v>28</v>
      </c>
      <c r="K1" s="22" t="s">
        <v>148</v>
      </c>
      <c r="L1" s="22" t="s">
        <v>148</v>
      </c>
      <c r="M1" s="22"/>
      <c r="N1" s="22"/>
      <c r="O1" s="21" t="s">
        <v>149</v>
      </c>
      <c r="P1" s="21"/>
      <c r="Q1" s="21"/>
      <c r="R1" s="21" t="s">
        <v>150</v>
      </c>
      <c r="S1" s="19"/>
      <c r="T1" s="43" t="s">
        <v>150</v>
      </c>
      <c r="U1" s="21" t="s">
        <v>151</v>
      </c>
      <c r="V1" s="21"/>
      <c r="W1" s="21"/>
      <c r="X1" s="21"/>
      <c r="AA1" s="119"/>
      <c r="AD1" s="119"/>
      <c r="AN1" t="s">
        <v>160</v>
      </c>
      <c r="AO1" s="66">
        <v>0.1467</v>
      </c>
      <c r="AT1" s="217" t="s">
        <v>305</v>
      </c>
      <c r="AW1" s="217" t="s">
        <v>306</v>
      </c>
    </row>
    <row r="2" spans="1:89" x14ac:dyDescent="0.25">
      <c r="A2" s="5" t="s">
        <v>0</v>
      </c>
      <c r="B2" s="5" t="s">
        <v>1</v>
      </c>
      <c r="C2" s="6">
        <v>2019</v>
      </c>
      <c r="K2" s="91" t="s">
        <v>189</v>
      </c>
      <c r="L2" s="91" t="s">
        <v>189</v>
      </c>
      <c r="M2" s="91" t="s">
        <v>198</v>
      </c>
      <c r="N2" s="93" t="s">
        <v>199</v>
      </c>
      <c r="O2" s="1" t="s">
        <v>197</v>
      </c>
      <c r="P2" s="17" t="s">
        <v>153</v>
      </c>
      <c r="Q2" s="17" t="s">
        <v>157</v>
      </c>
      <c r="R2" s="17" t="s">
        <v>147</v>
      </c>
      <c r="S2" s="18" t="s">
        <v>154</v>
      </c>
      <c r="T2" s="18" t="s">
        <v>147</v>
      </c>
      <c r="U2" s="17" t="s">
        <v>146</v>
      </c>
      <c r="V2" s="17" t="s">
        <v>153</v>
      </c>
      <c r="W2" s="17"/>
      <c r="X2" s="17" t="s">
        <v>154</v>
      </c>
      <c r="Y2" s="18" t="s">
        <v>152</v>
      </c>
      <c r="Z2" s="62" t="s">
        <v>166</v>
      </c>
      <c r="AA2" s="1" t="s">
        <v>171</v>
      </c>
      <c r="AB2" s="222" t="s">
        <v>342</v>
      </c>
      <c r="AC2" s="222" t="s">
        <v>341</v>
      </c>
      <c r="AD2" s="1" t="s">
        <v>245</v>
      </c>
      <c r="AE2" s="146" t="s">
        <v>155</v>
      </c>
      <c r="AF2" s="1" t="s">
        <v>164</v>
      </c>
      <c r="AG2" s="1" t="s">
        <v>165</v>
      </c>
      <c r="AH2" s="1" t="s">
        <v>246</v>
      </c>
      <c r="AI2" s="215" t="s">
        <v>295</v>
      </c>
      <c r="AJ2" s="1" t="s">
        <v>178</v>
      </c>
      <c r="AK2" s="1" t="s">
        <v>411</v>
      </c>
      <c r="AL2" s="1" t="s">
        <v>409</v>
      </c>
      <c r="AM2" s="1" t="s">
        <v>276</v>
      </c>
      <c r="AN2" s="140">
        <v>2946268.4786009672</v>
      </c>
      <c r="AO2" s="16">
        <v>0.62980000000000003</v>
      </c>
      <c r="AP2" s="52">
        <f>AO3/C77</f>
        <v>0</v>
      </c>
      <c r="AQ2" s="39" t="s">
        <v>180</v>
      </c>
      <c r="AR2" s="62" t="s">
        <v>408</v>
      </c>
      <c r="AS2" s="62" t="s">
        <v>308</v>
      </c>
      <c r="AT2">
        <v>14.042999999999999</v>
      </c>
      <c r="AW2" s="25">
        <f>SUM(AD6,AD10,AD11,AD13,AD20,AD26,AD28,AD29,AD32,AD37,AD45,AD52,AD53,AD59,AD60,AD65,AD76)</f>
        <v>14.472502920115272</v>
      </c>
      <c r="AX2" s="1" t="s">
        <v>227</v>
      </c>
      <c r="AY2" s="1" t="s">
        <v>247</v>
      </c>
      <c r="AZ2" s="1" t="s">
        <v>240</v>
      </c>
      <c r="BA2" s="1" t="s">
        <v>228</v>
      </c>
      <c r="BB2" s="1" t="s">
        <v>323</v>
      </c>
      <c r="BC2" s="1" t="s">
        <v>241</v>
      </c>
      <c r="BD2" s="1" t="s">
        <v>229</v>
      </c>
      <c r="BE2" s="1" t="s">
        <v>325</v>
      </c>
      <c r="BF2" s="1" t="s">
        <v>326</v>
      </c>
      <c r="BG2" s="1" t="s">
        <v>327</v>
      </c>
      <c r="BH2" s="1" t="s">
        <v>328</v>
      </c>
      <c r="BI2" s="1" t="s">
        <v>242</v>
      </c>
      <c r="BJ2" s="1" t="s">
        <v>230</v>
      </c>
      <c r="BK2" s="1" t="s">
        <v>329</v>
      </c>
      <c r="BL2" s="1" t="s">
        <v>330</v>
      </c>
      <c r="BM2" s="1" t="s">
        <v>243</v>
      </c>
      <c r="BN2" s="1" t="s">
        <v>235</v>
      </c>
      <c r="BO2" s="1" t="s">
        <v>331</v>
      </c>
      <c r="BP2" s="1" t="s">
        <v>333</v>
      </c>
      <c r="BQ2" s="1" t="s">
        <v>332</v>
      </c>
      <c r="BR2" s="1" t="s">
        <v>334</v>
      </c>
      <c r="BS2" s="1" t="s">
        <v>335</v>
      </c>
      <c r="BT2" s="1" t="s">
        <v>236</v>
      </c>
      <c r="BU2" s="1" t="s">
        <v>238</v>
      </c>
      <c r="BV2" s="1" t="s">
        <v>237</v>
      </c>
      <c r="BW2" s="1" t="s">
        <v>239</v>
      </c>
      <c r="BX2" s="1" t="s">
        <v>287</v>
      </c>
      <c r="BY2" s="1" t="s">
        <v>231</v>
      </c>
      <c r="BZ2" s="1" t="s">
        <v>281</v>
      </c>
      <c r="CA2" s="1" t="s">
        <v>232</v>
      </c>
      <c r="CB2" s="1" t="s">
        <v>336</v>
      </c>
      <c r="CC2" s="1" t="s">
        <v>337</v>
      </c>
      <c r="CD2" s="1" t="s">
        <v>338</v>
      </c>
      <c r="CE2" s="1" t="s">
        <v>339</v>
      </c>
      <c r="CF2" s="1" t="s">
        <v>340</v>
      </c>
      <c r="CG2" s="1" t="s">
        <v>288</v>
      </c>
      <c r="CH2" s="1" t="s">
        <v>233</v>
      </c>
      <c r="CI2" s="1" t="s">
        <v>289</v>
      </c>
      <c r="CJ2" s="1" t="s">
        <v>234</v>
      </c>
      <c r="CK2" s="1" t="s">
        <v>290</v>
      </c>
    </row>
    <row r="3" spans="1:89" x14ac:dyDescent="0.25">
      <c r="A3" s="7" t="s">
        <v>3</v>
      </c>
      <c r="B3" s="7" t="s">
        <v>4</v>
      </c>
      <c r="C3" s="1">
        <f t="shared" ref="C3:C36" si="0">SUM(D3:J3)</f>
        <v>124</v>
      </c>
      <c r="D3" s="8">
        <v>10</v>
      </c>
      <c r="E3" s="8">
        <v>0</v>
      </c>
      <c r="F3" s="8">
        <v>105</v>
      </c>
      <c r="G3" s="8">
        <v>6</v>
      </c>
      <c r="H3" s="8">
        <v>3</v>
      </c>
      <c r="I3">
        <v>0</v>
      </c>
      <c r="J3">
        <v>0</v>
      </c>
      <c r="L3">
        <v>22</v>
      </c>
      <c r="M3" s="23">
        <f t="shared" ref="M3:M36" si="1">L3/C3</f>
        <v>0.17741935483870969</v>
      </c>
      <c r="N3" s="23">
        <f>M3/M79</f>
        <v>2.750166114742401E-3</v>
      </c>
      <c r="O3">
        <v>100</v>
      </c>
      <c r="P3" s="23">
        <f t="shared" ref="P3:P36" si="2">O3/C3</f>
        <v>0.80645161290322576</v>
      </c>
      <c r="Q3" s="40">
        <f>P3/P79</f>
        <v>5.3968767463385692E-2</v>
      </c>
      <c r="R3" s="23">
        <f t="shared" ref="R3:R36" si="3">(0.75*M3)+(0.25*P3)</f>
        <v>0.33467741935483869</v>
      </c>
      <c r="S3" s="40">
        <f>R3/R79</f>
        <v>6.4212973159067004E-3</v>
      </c>
      <c r="T3" s="40">
        <f t="shared" ref="T3:T36" si="4">(0.75*N3)+(0.25*Q3)</f>
        <v>1.5554816451903224E-2</v>
      </c>
      <c r="U3" s="34">
        <v>42000</v>
      </c>
      <c r="V3" s="34">
        <f t="shared" ref="V3:V35" si="5">U3/C3</f>
        <v>338.70967741935482</v>
      </c>
      <c r="W3" s="34"/>
      <c r="X3" s="40">
        <f>V3/V79</f>
        <v>4.3495078379074889E-3</v>
      </c>
      <c r="Y3" s="48">
        <f t="shared" ref="Y3:Y36" si="6">(0.6*T3)+(0.4*X3)</f>
        <v>1.1072693006304929E-2</v>
      </c>
      <c r="Z3" s="48">
        <v>-0.94</v>
      </c>
      <c r="AA3" s="137">
        <v>-1.0999999999999999E-2</v>
      </c>
      <c r="AB3" s="222">
        <v>137</v>
      </c>
      <c r="AC3" s="234">
        <v>0.15907341945526532</v>
      </c>
      <c r="AD3" s="137">
        <f t="shared" ref="AD3:AD15" si="7">(0.6*BX3)+(0.4*CK3)</f>
        <v>-1.4549347266623103E-2</v>
      </c>
      <c r="AE3" s="37"/>
      <c r="AF3" s="40"/>
      <c r="AG3" s="40"/>
      <c r="AH3" s="37"/>
      <c r="AI3" s="37"/>
      <c r="AJ3" s="40"/>
      <c r="AK3" s="68">
        <f>AL3*AW$9</f>
        <v>108139.874418112</v>
      </c>
      <c r="AL3" s="23">
        <f>AB3*AR3</f>
        <v>2.0736745360253885</v>
      </c>
      <c r="AM3" s="40"/>
      <c r="AO3" s="16"/>
      <c r="AP3" s="1" t="s">
        <v>2</v>
      </c>
      <c r="AQ3" s="80">
        <f>AN2/AJ77</f>
        <v>59120.121178207744</v>
      </c>
      <c r="AR3" s="243">
        <f>AC3/AW$5</f>
        <v>1.5136310481937143E-2</v>
      </c>
      <c r="AS3" s="80">
        <f>AN2/AM77</f>
        <v>59320.436274761407</v>
      </c>
      <c r="AX3">
        <v>109</v>
      </c>
      <c r="AY3">
        <v>109</v>
      </c>
      <c r="AZ3">
        <f t="shared" ref="AZ3:AZ15" si="8">AX3-AY3</f>
        <v>0</v>
      </c>
      <c r="BA3">
        <v>281</v>
      </c>
      <c r="BB3">
        <v>156</v>
      </c>
      <c r="BC3" s="119">
        <v>282.68986000000001</v>
      </c>
      <c r="BD3">
        <f>AX3-BA3</f>
        <v>-172</v>
      </c>
      <c r="BE3" s="119">
        <f t="shared" ref="BE3:BE13" si="9">AB3*BB$78</f>
        <v>444.57117117117122</v>
      </c>
      <c r="BF3" s="119">
        <v>429.64497</v>
      </c>
      <c r="BG3" s="119">
        <f>BB3-BE3</f>
        <v>-288.57117117117122</v>
      </c>
      <c r="BH3" s="119">
        <f>BB3-BF3</f>
        <v>-273.64497</v>
      </c>
      <c r="BI3" s="119">
        <f>AY3-BC3</f>
        <v>-173.68986000000001</v>
      </c>
      <c r="BJ3" s="23">
        <v>-1.6080000000000001</v>
      </c>
      <c r="BK3" s="23">
        <f>(BH3-BG$77)/BG$78</f>
        <v>-1.8789116470196834</v>
      </c>
      <c r="BL3" s="23">
        <f>(BI3-BH$77)/BH$78</f>
        <v>-1.2269546412710877</v>
      </c>
      <c r="BM3" s="23">
        <f>(BI3-BI$78)/BI$79</f>
        <v>-1.6131730690159634</v>
      </c>
      <c r="BN3" s="119">
        <v>204</v>
      </c>
      <c r="BO3" s="119">
        <v>145</v>
      </c>
      <c r="BP3" s="119">
        <v>54.203263999999997</v>
      </c>
      <c r="BQ3" s="119">
        <f>BN3-BP3</f>
        <v>149.79673600000001</v>
      </c>
      <c r="BR3" s="23">
        <f>(BQ3-BQ$77)/BQ$78</f>
        <v>6.3468920671204359</v>
      </c>
      <c r="BS3" s="25">
        <f>(0.75*BL3)+(0.25*BR3)</f>
        <v>0.66650703582679327</v>
      </c>
      <c r="BT3" s="119">
        <v>40</v>
      </c>
      <c r="BU3" s="119">
        <f>BN3-BT3</f>
        <v>164</v>
      </c>
      <c r="BV3" s="23">
        <v>6.37</v>
      </c>
      <c r="BW3" s="23">
        <v>0.38600000000000001</v>
      </c>
      <c r="BX3" s="23">
        <f>(0.75*BM3)+(0.25*BV3)</f>
        <v>0.38262019823802751</v>
      </c>
      <c r="BY3" s="34">
        <v>126764</v>
      </c>
      <c r="BZ3" s="77">
        <v>126764.36</v>
      </c>
      <c r="CA3" s="34">
        <v>241033</v>
      </c>
      <c r="CB3" s="34">
        <v>102764</v>
      </c>
      <c r="CC3" s="34">
        <f t="shared" ref="CC3:CC13" si="10">AB3*CB$80</f>
        <v>225028.117</v>
      </c>
      <c r="CD3" s="34">
        <f>CB3-CC3</f>
        <v>-122264.117</v>
      </c>
      <c r="CE3" s="36">
        <f>(CD3-CD$77)/CD$78</f>
        <v>-0.60207700510202655</v>
      </c>
      <c r="CF3" s="231">
        <f>(0.6*BS3)+(0.4*CE3)</f>
        <v>0.15907341945526532</v>
      </c>
      <c r="CG3" s="34">
        <v>228564.07</v>
      </c>
      <c r="CH3">
        <f>BY3-CA3</f>
        <v>-114269</v>
      </c>
      <c r="CI3" s="34">
        <f>BZ3-CG3</f>
        <v>-101799.71</v>
      </c>
      <c r="CJ3" s="23">
        <v>-0.60799999999999998</v>
      </c>
      <c r="CK3" s="23">
        <f>(CI3-CI$78)/CI$79</f>
        <v>-0.61030366552359894</v>
      </c>
    </row>
    <row r="4" spans="1:89" x14ac:dyDescent="0.25">
      <c r="A4" s="9" t="s">
        <v>3</v>
      </c>
      <c r="B4" s="9" t="s">
        <v>30</v>
      </c>
      <c r="C4" s="1">
        <f t="shared" si="0"/>
        <v>143</v>
      </c>
      <c r="D4" s="8">
        <v>131</v>
      </c>
      <c r="E4" s="8">
        <v>12</v>
      </c>
      <c r="F4" s="8">
        <v>0</v>
      </c>
      <c r="G4" s="8">
        <v>0</v>
      </c>
      <c r="H4" s="8">
        <v>0</v>
      </c>
      <c r="I4">
        <v>0</v>
      </c>
      <c r="J4">
        <v>0</v>
      </c>
      <c r="L4">
        <v>45.5</v>
      </c>
      <c r="M4" s="23">
        <f t="shared" si="1"/>
        <v>0.31818181818181818</v>
      </c>
      <c r="N4" s="23">
        <f>M4/M79</f>
        <v>4.9321160900752149E-3</v>
      </c>
      <c r="O4">
        <v>21.5</v>
      </c>
      <c r="P4" s="23">
        <f t="shared" si="2"/>
        <v>0.15034965034965034</v>
      </c>
      <c r="Q4" s="40">
        <f>P4/P79</f>
        <v>1.0061589794222815E-2</v>
      </c>
      <c r="R4" s="23">
        <f t="shared" si="3"/>
        <v>0.27622377622377625</v>
      </c>
      <c r="S4" s="40">
        <f>R4/R79</f>
        <v>5.2997749184111598E-3</v>
      </c>
      <c r="T4" s="40">
        <f t="shared" si="4"/>
        <v>6.214484516112115E-3</v>
      </c>
      <c r="U4" s="34">
        <v>0</v>
      </c>
      <c r="V4" s="34">
        <f t="shared" si="5"/>
        <v>0</v>
      </c>
      <c r="W4" s="34"/>
      <c r="X4" s="40">
        <f>V4/V79</f>
        <v>0</v>
      </c>
      <c r="Y4" s="48">
        <f t="shared" si="6"/>
        <v>3.7286907096672687E-3</v>
      </c>
      <c r="Z4" s="48">
        <v>-1.3959999999999999</v>
      </c>
      <c r="AA4" s="137">
        <v>-1.6930000000000001</v>
      </c>
      <c r="AB4" s="222">
        <v>131</v>
      </c>
      <c r="AC4" s="232">
        <v>-1.3277869444643104</v>
      </c>
      <c r="AD4" s="137">
        <f t="shared" si="7"/>
        <v>-1.7316623931371589</v>
      </c>
      <c r="AE4" s="37"/>
      <c r="AF4" s="40"/>
      <c r="AG4" s="40"/>
      <c r="AH4" s="37"/>
      <c r="AI4" s="37"/>
      <c r="AJ4" s="40"/>
      <c r="AK4" s="40"/>
      <c r="AL4" s="23"/>
      <c r="AM4" s="40"/>
      <c r="AN4" s="39"/>
      <c r="AO4">
        <v>872</v>
      </c>
      <c r="AQ4" s="1" t="s">
        <v>179</v>
      </c>
      <c r="AR4" s="62"/>
      <c r="AS4" s="62" t="s">
        <v>307</v>
      </c>
      <c r="AW4" s="237" t="s">
        <v>412</v>
      </c>
      <c r="AX4">
        <v>98</v>
      </c>
      <c r="AY4">
        <v>98</v>
      </c>
      <c r="AZ4">
        <f t="shared" si="8"/>
        <v>0</v>
      </c>
      <c r="BA4">
        <v>324</v>
      </c>
      <c r="BB4">
        <v>63</v>
      </c>
      <c r="BC4" s="119">
        <v>326.00524000000001</v>
      </c>
      <c r="BD4">
        <f>AX4-BA4</f>
        <v>-226</v>
      </c>
      <c r="BE4" s="119">
        <f t="shared" si="9"/>
        <v>425.10090090090091</v>
      </c>
      <c r="BF4" s="119">
        <v>410.82839999999999</v>
      </c>
      <c r="BG4" s="119">
        <f t="shared" ref="BG4:BG13" si="11">BB4-BE4</f>
        <v>-362.10090090090091</v>
      </c>
      <c r="BH4" s="119">
        <f t="shared" ref="BH4:BH13" si="12">BB4-BF4</f>
        <v>-347.82839999999999</v>
      </c>
      <c r="BI4" s="119">
        <f t="shared" ref="BI4:BI26" si="13">AY4-BC4</f>
        <v>-228.00524000000001</v>
      </c>
      <c r="BJ4" s="23">
        <v>-2.0910000000000002</v>
      </c>
      <c r="BK4" s="23">
        <f>(BH4-BG$77)/BG$78</f>
        <v>-2.3873253495300695</v>
      </c>
      <c r="BL4" s="23">
        <f t="shared" ref="BL4:BL13" si="14">(BI4-BH$77)/BH$78</f>
        <v>-1.6003094383924759</v>
      </c>
      <c r="BM4" s="23">
        <f>(BI4-BI$78)/BI$79</f>
        <v>-2.0974647501423944</v>
      </c>
      <c r="BN4" s="119">
        <v>23</v>
      </c>
      <c r="BO4" s="119">
        <v>18</v>
      </c>
      <c r="BP4" s="119">
        <v>51.829399000000002</v>
      </c>
      <c r="BQ4" s="119">
        <f t="shared" ref="BQ4:BQ13" si="15">BN4-BP4</f>
        <v>-28.829399000000002</v>
      </c>
      <c r="BR4" s="23">
        <f>(BQ4-BQ$77)/BQ$78</f>
        <v>-1.2544263890893175</v>
      </c>
      <c r="BS4" s="23">
        <f t="shared" ref="BS4:BS67" si="16">(0.75*BL4)+(0.25*BR4)</f>
        <v>-1.5138386760666864</v>
      </c>
      <c r="BT4" s="119">
        <v>46</v>
      </c>
      <c r="BU4" s="119">
        <f t="shared" ref="BU4:BU69" si="17">BN4-BT4</f>
        <v>-23</v>
      </c>
      <c r="BV4" s="23">
        <v>-1.0780000000000001</v>
      </c>
      <c r="BW4" s="23">
        <v>-1.8380000000000001</v>
      </c>
      <c r="BX4" s="23">
        <f t="shared" ref="BX4:BX26" si="18">(0.75*BM4)+(0.25*BV4)</f>
        <v>-1.8425985626067958</v>
      </c>
      <c r="BY4" s="34">
        <v>0</v>
      </c>
      <c r="BZ4" s="77">
        <v>0</v>
      </c>
      <c r="CA4" s="34">
        <v>273977</v>
      </c>
      <c r="CB4" s="34">
        <v>0</v>
      </c>
      <c r="CC4" s="34">
        <f t="shared" si="10"/>
        <v>215172.87099999998</v>
      </c>
      <c r="CD4" s="34">
        <f t="shared" ref="CD4:CD67" si="19">CB4-CC4</f>
        <v>-215172.87099999998</v>
      </c>
      <c r="CE4" s="36">
        <f t="shared" ref="CE4:CE13" si="20">(CD4-CD$77)/CD$78</f>
        <v>-1.0487093470607465</v>
      </c>
      <c r="CF4" s="36">
        <f t="shared" ref="CF4:CF13" si="21">(0.6*BS4)+(0.4*CE4)</f>
        <v>-1.3277869444643104</v>
      </c>
      <c r="CG4" s="34">
        <v>260754.72</v>
      </c>
      <c r="CH4">
        <f>BY4-CA4</f>
        <v>-273977</v>
      </c>
      <c r="CI4" s="34">
        <f t="shared" ref="CI4:CI26" si="22">BZ4-CG4</f>
        <v>-260754.72</v>
      </c>
      <c r="CJ4" s="23">
        <v>-1.4750000000000001</v>
      </c>
      <c r="CK4" s="23">
        <f>(CI4-CI$78)/CI$79</f>
        <v>-1.5652581389327036</v>
      </c>
    </row>
    <row r="5" spans="1:89" x14ac:dyDescent="0.25">
      <c r="A5" s="9" t="s">
        <v>3</v>
      </c>
      <c r="B5" s="9" t="s">
        <v>31</v>
      </c>
      <c r="C5" s="1">
        <f t="shared" si="0"/>
        <v>88</v>
      </c>
      <c r="D5" s="8">
        <v>14</v>
      </c>
      <c r="E5" s="8">
        <v>74</v>
      </c>
      <c r="F5" s="8">
        <v>0</v>
      </c>
      <c r="G5" s="8">
        <v>0</v>
      </c>
      <c r="H5" s="8">
        <v>0</v>
      </c>
      <c r="I5">
        <v>0</v>
      </c>
      <c r="J5">
        <v>0</v>
      </c>
      <c r="L5">
        <v>41</v>
      </c>
      <c r="M5" s="23">
        <f t="shared" si="1"/>
        <v>0.46590909090909088</v>
      </c>
      <c r="N5" s="23">
        <f>M5/M79</f>
        <v>7.2220271318958499E-3</v>
      </c>
      <c r="O5">
        <v>8.5</v>
      </c>
      <c r="P5" s="23">
        <f t="shared" si="2"/>
        <v>9.6590909090909088E-2</v>
      </c>
      <c r="Q5" s="40">
        <f>P5/P79</f>
        <v>6.4639864666373318E-3</v>
      </c>
      <c r="R5" s="23">
        <f t="shared" si="3"/>
        <v>0.37357954545454547</v>
      </c>
      <c r="S5" s="40">
        <f>R5/R79</f>
        <v>7.1676940055568645E-3</v>
      </c>
      <c r="T5" s="40">
        <f t="shared" si="4"/>
        <v>7.03251696558122E-3</v>
      </c>
      <c r="U5" s="34">
        <v>270290</v>
      </c>
      <c r="V5" s="72">
        <f t="shared" si="5"/>
        <v>3071.4772727272725</v>
      </c>
      <c r="W5" s="72"/>
      <c r="X5" s="40">
        <f>V5/V79</f>
        <v>3.9442080821156349E-2</v>
      </c>
      <c r="Y5" s="47">
        <f t="shared" si="6"/>
        <v>1.9996342507811272E-2</v>
      </c>
      <c r="Z5" s="47">
        <v>0.36199999999999999</v>
      </c>
      <c r="AA5" s="139">
        <v>0.53400000000000003</v>
      </c>
      <c r="AB5" s="222">
        <v>71</v>
      </c>
      <c r="AC5" s="232">
        <v>-0.13492745908206866</v>
      </c>
      <c r="AD5" s="137">
        <f t="shared" si="7"/>
        <v>-0.32435914800098475</v>
      </c>
      <c r="AE5" s="67">
        <f>AJ5*AQ3</f>
        <v>197833.27881551936</v>
      </c>
      <c r="AF5" s="40">
        <f>C5*AO5</f>
        <v>0</v>
      </c>
      <c r="AG5" s="40" t="e">
        <f>C5*AP5</f>
        <v>#REF!</v>
      </c>
      <c r="AH5" s="37"/>
      <c r="AI5" s="37">
        <f>AH5-AE5</f>
        <v>-197833.27881551936</v>
      </c>
      <c r="AJ5" s="23">
        <f>C5*AQ5</f>
        <v>3.3462935270241401</v>
      </c>
      <c r="AK5" s="23"/>
      <c r="AL5" s="23"/>
      <c r="AM5" s="23"/>
      <c r="AN5" s="23">
        <f>AE5/C5</f>
        <v>2248.1054410854472</v>
      </c>
      <c r="AO5" s="23"/>
      <c r="AP5" s="23" t="e">
        <f>Z5/#REF!</f>
        <v>#REF!</v>
      </c>
      <c r="AQ5" s="23">
        <f>AA5/AT$2</f>
        <v>3.8026062807092503E-2</v>
      </c>
      <c r="AR5" s="26"/>
      <c r="AS5" s="26"/>
      <c r="AW5" s="25">
        <f>AC3+AC6+AC10+AC11+AC13+AC20+AC26+AC28+AC32+AC37+AC39+AC47+AC52+AC53+AC55+AC59+AC60+AC65</f>
        <v>10.509391944958777</v>
      </c>
      <c r="AX5">
        <v>126</v>
      </c>
      <c r="AY5">
        <v>125</v>
      </c>
      <c r="AZ5">
        <f t="shared" si="8"/>
        <v>1</v>
      </c>
      <c r="BA5">
        <v>199</v>
      </c>
      <c r="BB5">
        <v>138</v>
      </c>
      <c r="BC5" s="119">
        <v>200.61860999999999</v>
      </c>
      <c r="BD5">
        <f>AX5-BA5</f>
        <v>-73</v>
      </c>
      <c r="BE5" s="119">
        <f t="shared" si="9"/>
        <v>230.3981981981982</v>
      </c>
      <c r="BF5" s="119">
        <v>222.66272000000001</v>
      </c>
      <c r="BG5" s="119">
        <f t="shared" si="11"/>
        <v>-92.398198198198202</v>
      </c>
      <c r="BH5" s="119">
        <f t="shared" si="12"/>
        <v>-84.662720000000007</v>
      </c>
      <c r="BI5" s="119">
        <f t="shared" si="13"/>
        <v>-75.61860999999999</v>
      </c>
      <c r="BJ5" s="23">
        <v>-0.72399999999999998</v>
      </c>
      <c r="BK5" s="23">
        <f>(BH5-BG$77)/BG$78</f>
        <v>-0.58372799979221712</v>
      </c>
      <c r="BL5" s="23">
        <f t="shared" si="14"/>
        <v>-0.55282934476775925</v>
      </c>
      <c r="BM5" s="23">
        <f>(BI5-BI$78)/BI$79</f>
        <v>-0.73874136048938199</v>
      </c>
      <c r="BN5" s="119">
        <v>20</v>
      </c>
      <c r="BO5" s="119">
        <v>7</v>
      </c>
      <c r="BP5" s="119">
        <v>28.090743</v>
      </c>
      <c r="BQ5" s="119">
        <f t="shared" si="15"/>
        <v>-8.0907429999999998</v>
      </c>
      <c r="BR5" s="23">
        <f t="shared" ref="BR5:BR13" si="23">(BQ5-BQ$77)/BQ$78</f>
        <v>-0.37190643415783364</v>
      </c>
      <c r="BS5" s="23">
        <f t="shared" si="16"/>
        <v>-0.50759861711527787</v>
      </c>
      <c r="BT5" s="119">
        <v>28</v>
      </c>
      <c r="BU5" s="119">
        <f t="shared" si="17"/>
        <v>-8</v>
      </c>
      <c r="BV5" s="23">
        <v>-0.48099999999999998</v>
      </c>
      <c r="BW5" s="23">
        <v>-0.66300000000000003</v>
      </c>
      <c r="BX5" s="23">
        <f t="shared" si="18"/>
        <v>-0.67430602036703646</v>
      </c>
      <c r="BY5" s="34">
        <v>603938</v>
      </c>
      <c r="BZ5" s="77">
        <v>199647.05</v>
      </c>
      <c r="CA5" s="34">
        <v>177107</v>
      </c>
      <c r="CB5" s="34">
        <v>207818</v>
      </c>
      <c r="CC5" s="34">
        <f t="shared" si="10"/>
        <v>116620.41099999999</v>
      </c>
      <c r="CD5" s="34">
        <f t="shared" si="19"/>
        <v>91197.589000000007</v>
      </c>
      <c r="CE5" s="36">
        <f t="shared" si="20"/>
        <v>0.42407927796774514</v>
      </c>
      <c r="CF5" s="36">
        <f t="shared" si="21"/>
        <v>-0.13492745908206866</v>
      </c>
      <c r="CG5" s="34">
        <v>166475.9</v>
      </c>
      <c r="CH5">
        <f>BY5-CA5</f>
        <v>426831</v>
      </c>
      <c r="CI5" s="34">
        <f t="shared" si="22"/>
        <v>33171.149999999994</v>
      </c>
      <c r="CJ5" s="23">
        <v>2.3290000000000002</v>
      </c>
      <c r="CK5" s="23">
        <f>(CI5-CI$78)/CI$79</f>
        <v>0.20056116054809284</v>
      </c>
    </row>
    <row r="6" spans="1:89" x14ac:dyDescent="0.25">
      <c r="A6" s="9" t="s">
        <v>3</v>
      </c>
      <c r="B6" s="9" t="s">
        <v>33</v>
      </c>
      <c r="C6" s="1">
        <f t="shared" si="0"/>
        <v>76</v>
      </c>
      <c r="D6" s="8">
        <v>0</v>
      </c>
      <c r="E6" s="8">
        <v>2</v>
      </c>
      <c r="F6" s="8">
        <v>1</v>
      </c>
      <c r="G6" s="8">
        <v>73</v>
      </c>
      <c r="H6" s="8">
        <v>0</v>
      </c>
      <c r="I6">
        <v>0</v>
      </c>
      <c r="J6">
        <v>0</v>
      </c>
      <c r="L6">
        <v>101</v>
      </c>
      <c r="M6" s="25">
        <f t="shared" si="1"/>
        <v>1.3289473684210527</v>
      </c>
      <c r="N6" s="23">
        <f>M6/M79</f>
        <v>2.0599928481479565E-2</v>
      </c>
      <c r="O6">
        <v>18</v>
      </c>
      <c r="P6" s="23">
        <f t="shared" si="2"/>
        <v>0.23684210526315788</v>
      </c>
      <c r="Q6" s="40">
        <f>P6/P79</f>
        <v>1.5849774865562747E-2</v>
      </c>
      <c r="R6" s="23">
        <f t="shared" si="3"/>
        <v>1.055921052631579</v>
      </c>
      <c r="S6" s="42">
        <f>R6/R79</f>
        <v>2.0259457701517943E-2</v>
      </c>
      <c r="T6" s="42">
        <f t="shared" si="4"/>
        <v>1.9412390077500358E-2</v>
      </c>
      <c r="U6" s="34">
        <v>83924</v>
      </c>
      <c r="V6" s="72">
        <f t="shared" si="5"/>
        <v>1104.2631578947369</v>
      </c>
      <c r="W6" s="72"/>
      <c r="X6" s="40">
        <f>V6/V79</f>
        <v>1.4180289435394726E-2</v>
      </c>
      <c r="Y6" s="47">
        <f t="shared" si="6"/>
        <v>1.7319549820658107E-2</v>
      </c>
      <c r="Z6" s="47">
        <v>0.48799999999999999</v>
      </c>
      <c r="AA6" s="139">
        <v>1.7889999999999999</v>
      </c>
      <c r="AB6" s="222">
        <v>74</v>
      </c>
      <c r="AC6" s="234">
        <v>1.3565956498408527</v>
      </c>
      <c r="AD6" s="139">
        <f t="shared" si="7"/>
        <v>1.8465549789687408</v>
      </c>
      <c r="AE6" s="67">
        <f>AJ6*AQ3</f>
        <v>572399.64080850512</v>
      </c>
      <c r="AF6" s="40">
        <f>C6*AO6</f>
        <v>0</v>
      </c>
      <c r="AG6" s="40" t="e">
        <f>C6*AP6</f>
        <v>#REF!</v>
      </c>
      <c r="AH6" s="37">
        <f>AM6*AS$3</f>
        <v>575223.37461192545</v>
      </c>
      <c r="AI6" s="37">
        <f>AH6-AE6</f>
        <v>2823.7338034203276</v>
      </c>
      <c r="AJ6" s="23">
        <f>C6*AQ6</f>
        <v>9.6819767855871248</v>
      </c>
      <c r="AK6" s="68">
        <f>AL6*AW$9</f>
        <v>498138.16517704114</v>
      </c>
      <c r="AL6" s="23">
        <f>AB6*AR6</f>
        <v>9.5522251538423202</v>
      </c>
      <c r="AM6" s="23">
        <f>C6*AS6</f>
        <v>9.6968837509487624</v>
      </c>
      <c r="AN6" s="23"/>
      <c r="AO6" s="23"/>
      <c r="AP6" s="23" t="e">
        <f>Z6/#REF!</f>
        <v>#REF!</v>
      </c>
      <c r="AQ6" s="23">
        <f>AA6/AT$2</f>
        <v>0.12739443138930429</v>
      </c>
      <c r="AR6" s="243">
        <f>AC6/AW$5</f>
        <v>0.1290841237005719</v>
      </c>
      <c r="AS6" s="26">
        <f>AD6/AW$2</f>
        <v>0.12759057567037846</v>
      </c>
      <c r="AX6">
        <v>572</v>
      </c>
      <c r="AY6">
        <v>579</v>
      </c>
      <c r="AZ6">
        <f t="shared" si="8"/>
        <v>-7</v>
      </c>
      <c r="BA6">
        <v>172</v>
      </c>
      <c r="BB6">
        <v>891</v>
      </c>
      <c r="BC6" s="119">
        <v>173.26152999999999</v>
      </c>
      <c r="BD6">
        <f>AX6-BA6</f>
        <v>400</v>
      </c>
      <c r="BE6" s="119">
        <f t="shared" si="9"/>
        <v>240.13333333333335</v>
      </c>
      <c r="BF6" s="119">
        <v>232.071</v>
      </c>
      <c r="BG6" s="119">
        <f t="shared" si="11"/>
        <v>650.86666666666667</v>
      </c>
      <c r="BH6" s="119">
        <f t="shared" si="12"/>
        <v>658.92899999999997</v>
      </c>
      <c r="BI6" s="119">
        <f t="shared" si="13"/>
        <v>405.73847000000001</v>
      </c>
      <c r="BJ6" s="23">
        <v>3.5019999999999998</v>
      </c>
      <c r="BK6" s="25">
        <f>(BH6-BG$77)/BG$78</f>
        <v>4.5124534455961456</v>
      </c>
      <c r="BL6" s="25">
        <f t="shared" si="14"/>
        <v>2.7559383550318892</v>
      </c>
      <c r="BM6" s="23">
        <f>(BI6-BI$78)/BI$79</f>
        <v>3.5531779724014121</v>
      </c>
      <c r="BN6" s="119">
        <v>38</v>
      </c>
      <c r="BO6" s="119">
        <v>26</v>
      </c>
      <c r="BP6" s="119">
        <v>29.277676</v>
      </c>
      <c r="BQ6" s="119">
        <f t="shared" si="15"/>
        <v>8.7223240000000004</v>
      </c>
      <c r="BR6" s="23">
        <f t="shared" si="23"/>
        <v>0.34356264595516961</v>
      </c>
      <c r="BS6" s="25">
        <f t="shared" si="16"/>
        <v>2.1528444277627092</v>
      </c>
      <c r="BT6" s="119">
        <v>24</v>
      </c>
      <c r="BU6" s="119">
        <f t="shared" si="17"/>
        <v>14</v>
      </c>
      <c r="BV6" s="23">
        <v>0.39500000000000002</v>
      </c>
      <c r="BW6" s="23">
        <v>2.726</v>
      </c>
      <c r="BX6" s="23">
        <f t="shared" si="18"/>
        <v>2.7636334793010588</v>
      </c>
      <c r="BY6" s="34">
        <v>223557</v>
      </c>
      <c r="BZ6" s="77">
        <v>223556.28</v>
      </c>
      <c r="CA6" s="34">
        <v>155246</v>
      </c>
      <c r="CB6" s="34">
        <v>158274</v>
      </c>
      <c r="CC6" s="34">
        <f t="shared" si="10"/>
        <v>121548.034</v>
      </c>
      <c r="CD6" s="34">
        <f t="shared" si="19"/>
        <v>36725.966</v>
      </c>
      <c r="CE6" s="36">
        <f t="shared" si="20"/>
        <v>0.1622224829580684</v>
      </c>
      <c r="CF6" s="231">
        <f t="shared" si="21"/>
        <v>1.3565956498408527</v>
      </c>
      <c r="CG6" s="34">
        <v>145380.23000000001</v>
      </c>
      <c r="CH6">
        <f>BY6-CA6</f>
        <v>68311</v>
      </c>
      <c r="CI6" s="34">
        <f t="shared" si="22"/>
        <v>78176.049999999988</v>
      </c>
      <c r="CJ6" s="23">
        <v>0.38300000000000001</v>
      </c>
      <c r="CK6" s="23">
        <f>(CI6-CI$78)/CI$79</f>
        <v>0.47093722847026409</v>
      </c>
    </row>
    <row r="7" spans="1:89" x14ac:dyDescent="0.25">
      <c r="A7" s="9" t="s">
        <v>3</v>
      </c>
      <c r="B7" s="9" t="s">
        <v>34</v>
      </c>
      <c r="C7" s="1">
        <f t="shared" si="0"/>
        <v>20</v>
      </c>
      <c r="D7" s="8">
        <v>13</v>
      </c>
      <c r="E7" s="8">
        <v>0</v>
      </c>
      <c r="F7" s="8">
        <v>0</v>
      </c>
      <c r="G7" s="8">
        <v>0</v>
      </c>
      <c r="H7" s="8">
        <v>7</v>
      </c>
      <c r="I7">
        <v>0</v>
      </c>
      <c r="J7">
        <v>0</v>
      </c>
      <c r="L7">
        <v>29</v>
      </c>
      <c r="M7" s="25">
        <f t="shared" si="1"/>
        <v>1.45</v>
      </c>
      <c r="N7" s="23">
        <f>M7/M79</f>
        <v>2.2476357610485623E-2</v>
      </c>
      <c r="O7">
        <v>0.5</v>
      </c>
      <c r="P7" s="23">
        <f t="shared" si="2"/>
        <v>2.5000000000000001E-2</v>
      </c>
      <c r="Q7" s="40">
        <f>P7/P79</f>
        <v>1.6730317913649566E-3</v>
      </c>
      <c r="R7" s="23">
        <f t="shared" si="3"/>
        <v>1.09375</v>
      </c>
      <c r="S7" s="42">
        <f>R7/R79</f>
        <v>2.0985263818550513E-2</v>
      </c>
      <c r="T7" s="42">
        <f t="shared" si="4"/>
        <v>1.7275526155705455E-2</v>
      </c>
      <c r="U7" s="34">
        <v>0</v>
      </c>
      <c r="V7" s="34">
        <f t="shared" si="5"/>
        <v>0</v>
      </c>
      <c r="W7" s="34"/>
      <c r="X7" s="40">
        <f>V7/V79</f>
        <v>0</v>
      </c>
      <c r="Y7" s="48">
        <f t="shared" si="6"/>
        <v>1.0365315693423272E-2</v>
      </c>
      <c r="Z7" s="48">
        <v>-0.48599999999999999</v>
      </c>
      <c r="AA7" s="137">
        <v>1.4E-2</v>
      </c>
      <c r="AB7" s="222">
        <v>24</v>
      </c>
      <c r="AC7" s="232">
        <v>1.1434128462275012E-3</v>
      </c>
      <c r="AD7" s="137">
        <f t="shared" si="7"/>
        <v>1.7854861178363629E-2</v>
      </c>
      <c r="AE7" s="61"/>
      <c r="AF7" s="40"/>
      <c r="AG7" s="40"/>
      <c r="AH7" s="37"/>
      <c r="AI7" s="37"/>
      <c r="AJ7" s="23"/>
      <c r="AK7" s="23"/>
      <c r="AL7" s="23"/>
      <c r="AM7" s="23"/>
      <c r="AN7" s="54" t="s">
        <v>407</v>
      </c>
      <c r="AO7" s="23"/>
      <c r="AP7" s="23"/>
      <c r="AQ7" s="23"/>
      <c r="AR7" s="26"/>
      <c r="AS7" s="26"/>
      <c r="AX7">
        <v>94</v>
      </c>
      <c r="AY7">
        <v>96</v>
      </c>
      <c r="AZ7">
        <f t="shared" si="8"/>
        <v>-2</v>
      </c>
      <c r="BA7">
        <v>45</v>
      </c>
      <c r="BB7">
        <v>108</v>
      </c>
      <c r="BC7" s="119">
        <v>45.595140000000001</v>
      </c>
      <c r="BD7">
        <f>AX7-BA7</f>
        <v>49</v>
      </c>
      <c r="BE7" s="119">
        <f t="shared" si="9"/>
        <v>77.881081081081078</v>
      </c>
      <c r="BF7" s="119">
        <v>75.266270000000006</v>
      </c>
      <c r="BG7" s="119">
        <f t="shared" si="11"/>
        <v>30.118918918918922</v>
      </c>
      <c r="BH7" s="119">
        <f t="shared" si="12"/>
        <v>32.733729999999994</v>
      </c>
      <c r="BI7" s="119">
        <f t="shared" si="13"/>
        <v>50.404859999999999</v>
      </c>
      <c r="BJ7" s="23">
        <v>0.36599999999999999</v>
      </c>
      <c r="BK7" s="25">
        <f>(BH7-BG$77)/BG$78</f>
        <v>0.22084471686533608</v>
      </c>
      <c r="BL7" s="25">
        <f t="shared" si="14"/>
        <v>0.31343481603500695</v>
      </c>
      <c r="BM7" s="23">
        <f>(BI7-BI$78)/BI$79</f>
        <v>0.38492044851731838</v>
      </c>
      <c r="BN7" s="119">
        <v>1</v>
      </c>
      <c r="BO7" s="119">
        <v>1</v>
      </c>
      <c r="BP7" s="119">
        <v>9.4954619999999998</v>
      </c>
      <c r="BQ7" s="119">
        <f t="shared" si="15"/>
        <v>-8.4954619999999998</v>
      </c>
      <c r="BR7" s="23">
        <f t="shared" si="23"/>
        <v>-0.38912898674947294</v>
      </c>
      <c r="BS7" s="25">
        <f t="shared" si="16"/>
        <v>0.13779386533888699</v>
      </c>
      <c r="BT7" s="119">
        <v>6</v>
      </c>
      <c r="BU7" s="119">
        <f t="shared" si="17"/>
        <v>-5</v>
      </c>
      <c r="BV7" s="23">
        <v>-0.36099999999999999</v>
      </c>
      <c r="BW7" s="23">
        <v>0.184</v>
      </c>
      <c r="BX7" s="23">
        <f t="shared" si="18"/>
        <v>0.1984403363879888</v>
      </c>
      <c r="BY7" s="34">
        <v>0</v>
      </c>
      <c r="BZ7" s="77">
        <v>0</v>
      </c>
      <c r="CA7" s="34">
        <v>46774</v>
      </c>
      <c r="CB7" s="34">
        <v>0</v>
      </c>
      <c r="CC7" s="34">
        <f t="shared" si="10"/>
        <v>39420.983999999997</v>
      </c>
      <c r="CD7" s="34">
        <f t="shared" si="19"/>
        <v>-39420.983999999997</v>
      </c>
      <c r="CE7" s="36">
        <f t="shared" si="20"/>
        <v>-0.20383226589276174</v>
      </c>
      <c r="CF7" s="36">
        <f t="shared" si="21"/>
        <v>1.1434128462275012E-3</v>
      </c>
      <c r="CG7" s="34">
        <v>42329.34</v>
      </c>
      <c r="CH7">
        <f>BY7-CA7</f>
        <v>-46774</v>
      </c>
      <c r="CI7" s="34">
        <f t="shared" si="22"/>
        <v>-42329.34</v>
      </c>
      <c r="CJ7" s="23">
        <v>-0.24099999999999999</v>
      </c>
      <c r="CK7" s="23">
        <f>(CI7-CI$78)/CI$79</f>
        <v>-0.25302335163607409</v>
      </c>
    </row>
    <row r="8" spans="1:89" x14ac:dyDescent="0.25">
      <c r="A8" s="9" t="s">
        <v>3</v>
      </c>
      <c r="B8" s="223" t="s">
        <v>315</v>
      </c>
      <c r="C8" s="1">
        <v>0</v>
      </c>
      <c r="D8" s="8"/>
      <c r="E8" s="8"/>
      <c r="F8" s="8"/>
      <c r="G8" s="8"/>
      <c r="H8" s="8"/>
      <c r="M8" s="25"/>
      <c r="N8" s="23"/>
      <c r="P8" s="23"/>
      <c r="Q8" s="40"/>
      <c r="R8" s="23"/>
      <c r="S8" s="42"/>
      <c r="T8" s="42"/>
      <c r="U8" s="34"/>
      <c r="V8" s="34"/>
      <c r="W8" s="34"/>
      <c r="X8" s="40"/>
      <c r="Y8" s="48"/>
      <c r="Z8" s="48"/>
      <c r="AA8" s="137"/>
      <c r="AB8" s="222">
        <v>8</v>
      </c>
      <c r="AC8" s="232">
        <v>-7.0211259960035494E-2</v>
      </c>
      <c r="AD8" s="137"/>
      <c r="AE8" s="61"/>
      <c r="AF8" s="40"/>
      <c r="AG8" s="40"/>
      <c r="AH8" s="37"/>
      <c r="AI8" s="37"/>
      <c r="AJ8" s="23"/>
      <c r="AK8" s="23"/>
      <c r="AL8" s="23"/>
      <c r="AM8" s="23"/>
      <c r="AN8" s="140">
        <v>2898204.1394225629</v>
      </c>
      <c r="AO8" s="23"/>
      <c r="AP8" s="23"/>
      <c r="AQ8" s="23"/>
      <c r="AR8" s="26"/>
      <c r="AS8" s="26"/>
      <c r="AW8" s="39" t="s">
        <v>410</v>
      </c>
      <c r="BB8">
        <v>1</v>
      </c>
      <c r="BC8" s="119"/>
      <c r="BE8" s="119">
        <f t="shared" si="9"/>
        <v>25.960360360360362</v>
      </c>
      <c r="BF8" s="119">
        <v>25.088760000000001</v>
      </c>
      <c r="BG8" s="119">
        <f t="shared" si="11"/>
        <v>-24.960360360360362</v>
      </c>
      <c r="BH8" s="119">
        <f t="shared" si="12"/>
        <v>-24.088760000000001</v>
      </c>
      <c r="BI8" s="119"/>
      <c r="BJ8" s="23"/>
      <c r="BK8" s="23">
        <f>(BH8-BG$77)/BG$78</f>
        <v>-0.16858635321000812</v>
      </c>
      <c r="BL8" s="23">
        <f t="shared" si="14"/>
        <v>-3.3039723574804773E-2</v>
      </c>
      <c r="BM8" s="23"/>
      <c r="BN8" s="119"/>
      <c r="BO8" s="119">
        <v>0</v>
      </c>
      <c r="BP8" s="119">
        <v>3.1651539999999998</v>
      </c>
      <c r="BQ8" s="119">
        <f t="shared" si="15"/>
        <v>-3.1651539999999998</v>
      </c>
      <c r="BR8" s="23">
        <f t="shared" si="23"/>
        <v>-0.16230121276397802</v>
      </c>
      <c r="BS8" s="23">
        <f t="shared" si="16"/>
        <v>-6.535509587209809E-2</v>
      </c>
      <c r="BT8" s="119"/>
      <c r="BU8" s="119"/>
      <c r="BV8" s="23"/>
      <c r="BW8" s="23"/>
      <c r="BX8" s="23"/>
      <c r="BY8" s="34"/>
      <c r="BZ8" s="77"/>
      <c r="CA8" s="34"/>
      <c r="CB8" s="34">
        <v>0</v>
      </c>
      <c r="CC8" s="34">
        <f t="shared" si="10"/>
        <v>13140.328</v>
      </c>
      <c r="CD8" s="34">
        <f t="shared" si="19"/>
        <v>-13140.328</v>
      </c>
      <c r="CE8" s="36">
        <f t="shared" si="20"/>
        <v>-7.7495506091941613E-2</v>
      </c>
      <c r="CF8" s="36">
        <f t="shared" si="21"/>
        <v>-7.0211259960035494E-2</v>
      </c>
      <c r="CG8" s="34"/>
      <c r="CI8" s="34"/>
      <c r="CJ8" s="23"/>
      <c r="CK8" s="23"/>
    </row>
    <row r="9" spans="1:89" x14ac:dyDescent="0.25">
      <c r="A9" s="9" t="s">
        <v>3</v>
      </c>
      <c r="B9" s="9" t="s">
        <v>36</v>
      </c>
      <c r="C9" s="1">
        <f t="shared" si="0"/>
        <v>6</v>
      </c>
      <c r="D9" s="8">
        <v>0</v>
      </c>
      <c r="E9" s="8">
        <v>0</v>
      </c>
      <c r="F9" s="8">
        <v>0</v>
      </c>
      <c r="G9" s="8">
        <v>0</v>
      </c>
      <c r="H9" s="8">
        <v>6</v>
      </c>
      <c r="I9">
        <v>0</v>
      </c>
      <c r="J9">
        <v>0</v>
      </c>
      <c r="L9">
        <v>14.5</v>
      </c>
      <c r="M9" s="25">
        <f t="shared" si="1"/>
        <v>2.4166666666666665</v>
      </c>
      <c r="N9" s="23">
        <f>M9/M79</f>
        <v>3.7460596017476033E-2</v>
      </c>
      <c r="O9">
        <v>4.5</v>
      </c>
      <c r="P9" s="23">
        <f t="shared" si="2"/>
        <v>0.75</v>
      </c>
      <c r="Q9" s="40">
        <f>P9/P79</f>
        <v>5.0190953740948695E-2</v>
      </c>
      <c r="R9" s="23">
        <f t="shared" si="3"/>
        <v>2</v>
      </c>
      <c r="S9" s="42">
        <f>R9/R79</f>
        <v>3.8373053839635227E-2</v>
      </c>
      <c r="T9" s="42">
        <f t="shared" si="4"/>
        <v>4.06431854483442E-2</v>
      </c>
      <c r="U9" s="34">
        <v>0</v>
      </c>
      <c r="V9" s="34">
        <f t="shared" si="5"/>
        <v>0</v>
      </c>
      <c r="W9" s="34"/>
      <c r="X9" s="40">
        <f>V9/V79</f>
        <v>0</v>
      </c>
      <c r="Y9" s="47">
        <f t="shared" si="6"/>
        <v>2.4385911269006518E-2</v>
      </c>
      <c r="Z9" s="48">
        <v>-0.36899999999999999</v>
      </c>
      <c r="AA9" s="137">
        <v>2.5000000000000001E-2</v>
      </c>
      <c r="AB9" s="222">
        <v>6</v>
      </c>
      <c r="AC9" s="232">
        <v>3.514427269741003E-2</v>
      </c>
      <c r="AD9" s="137">
        <f t="shared" si="7"/>
        <v>2.1389505570683434E-2</v>
      </c>
      <c r="AE9" s="70"/>
      <c r="AF9" s="40">
        <f>C9*AO9</f>
        <v>0</v>
      </c>
      <c r="AG9" s="40"/>
      <c r="AH9" s="37"/>
      <c r="AI9" s="37"/>
      <c r="AJ9" s="23"/>
      <c r="AK9" s="23"/>
      <c r="AL9" s="23"/>
      <c r="AM9" s="23"/>
      <c r="AN9" s="23"/>
      <c r="AO9" s="23"/>
      <c r="AP9" s="23"/>
      <c r="AQ9" s="23"/>
      <c r="AR9" s="26"/>
      <c r="AS9" s="26"/>
      <c r="AW9" s="281">
        <f>AN8/AL77</f>
        <v>52148.913698570883</v>
      </c>
      <c r="AX9">
        <v>43</v>
      </c>
      <c r="AY9">
        <v>42</v>
      </c>
      <c r="AZ9">
        <f t="shared" si="8"/>
        <v>1</v>
      </c>
      <c r="BA9">
        <v>14</v>
      </c>
      <c r="BB9">
        <v>42</v>
      </c>
      <c r="BC9" s="119">
        <v>13.67854</v>
      </c>
      <c r="BD9">
        <f>AX9-BA9</f>
        <v>29</v>
      </c>
      <c r="BE9" s="119">
        <f t="shared" si="9"/>
        <v>19.470270270270269</v>
      </c>
      <c r="BF9" s="119">
        <v>18.816569999999999</v>
      </c>
      <c r="BG9" s="119">
        <f t="shared" si="11"/>
        <v>22.529729729729731</v>
      </c>
      <c r="BH9" s="119">
        <f t="shared" si="12"/>
        <v>23.183430000000001</v>
      </c>
      <c r="BI9" s="119">
        <f t="shared" si="13"/>
        <v>28.321460000000002</v>
      </c>
      <c r="BJ9" s="23">
        <v>0.188</v>
      </c>
      <c r="BK9" s="25">
        <f t="shared" ref="BK9:BK13" si="24">(BH9-BG$77)/BG$78</f>
        <v>0.1553920492940882</v>
      </c>
      <c r="BL9" s="25">
        <f t="shared" si="14"/>
        <v>0.16163723445221284</v>
      </c>
      <c r="BM9" s="23">
        <f>(BI9-BI$78)/BI$79</f>
        <v>0.18801844928639283</v>
      </c>
      <c r="BN9" s="119">
        <v>1</v>
      </c>
      <c r="BO9" s="119">
        <v>0</v>
      </c>
      <c r="BP9" s="119">
        <v>2.373866</v>
      </c>
      <c r="BQ9" s="119">
        <f t="shared" si="15"/>
        <v>-1.373866</v>
      </c>
      <c r="BR9" s="23">
        <f t="shared" si="23"/>
        <v>-8.6074122395667405E-2</v>
      </c>
      <c r="BS9" s="23">
        <f t="shared" si="16"/>
        <v>9.9709395240242776E-2</v>
      </c>
      <c r="BT9" s="119">
        <v>2</v>
      </c>
      <c r="BU9" s="119">
        <f t="shared" si="17"/>
        <v>-1</v>
      </c>
      <c r="BV9" s="23">
        <v>-0.20200000000000001</v>
      </c>
      <c r="BW9" s="23">
        <v>0.09</v>
      </c>
      <c r="BX9" s="23">
        <f t="shared" si="18"/>
        <v>9.0513836964794633E-2</v>
      </c>
      <c r="BY9" s="34">
        <v>0</v>
      </c>
      <c r="BZ9" s="77">
        <v>0</v>
      </c>
      <c r="CA9" s="34">
        <v>15854</v>
      </c>
      <c r="CB9" s="34">
        <v>0</v>
      </c>
      <c r="CC9" s="34">
        <f t="shared" si="10"/>
        <v>9855.2459999999992</v>
      </c>
      <c r="CD9" s="34">
        <f t="shared" si="19"/>
        <v>-9855.2459999999992</v>
      </c>
      <c r="CE9" s="36">
        <f t="shared" si="20"/>
        <v>-6.170341111683908E-2</v>
      </c>
      <c r="CF9" s="36">
        <f t="shared" si="21"/>
        <v>3.514427269741003E-2</v>
      </c>
      <c r="CG9" s="34">
        <v>13911.43</v>
      </c>
      <c r="CH9">
        <f>BY9-CA9</f>
        <v>-15854</v>
      </c>
      <c r="CI9" s="34">
        <f t="shared" si="22"/>
        <v>-13911.43</v>
      </c>
      <c r="CJ9" s="23">
        <v>-7.3999999999999996E-2</v>
      </c>
      <c r="CK9" s="23">
        <f>(CI9-CI$78)/CI$79</f>
        <v>-8.2296991520483351E-2</v>
      </c>
    </row>
    <row r="10" spans="1:89" x14ac:dyDescent="0.25">
      <c r="A10" s="7" t="s">
        <v>3</v>
      </c>
      <c r="B10" s="7" t="s">
        <v>37</v>
      </c>
      <c r="C10" s="1">
        <f t="shared" si="0"/>
        <v>18</v>
      </c>
      <c r="D10" s="8">
        <v>0</v>
      </c>
      <c r="E10" s="8">
        <v>0</v>
      </c>
      <c r="F10" s="8">
        <v>0</v>
      </c>
      <c r="G10" s="8">
        <v>0</v>
      </c>
      <c r="H10" s="8">
        <v>18</v>
      </c>
      <c r="I10">
        <v>0</v>
      </c>
      <c r="J10">
        <v>0</v>
      </c>
      <c r="L10">
        <v>98</v>
      </c>
      <c r="M10" s="25">
        <f t="shared" si="1"/>
        <v>5.4444444444444446</v>
      </c>
      <c r="N10" s="23">
        <f>M10/M79</f>
        <v>8.4393986430175899E-2</v>
      </c>
      <c r="O10">
        <v>6</v>
      </c>
      <c r="P10" s="23">
        <f t="shared" si="2"/>
        <v>0.33333333333333331</v>
      </c>
      <c r="Q10" s="40">
        <f>P10/P79</f>
        <v>2.2307090551532752E-2</v>
      </c>
      <c r="R10" s="23">
        <f t="shared" si="3"/>
        <v>4.166666666666667</v>
      </c>
      <c r="S10" s="42">
        <f>R10/R79</f>
        <v>7.9943862165906723E-2</v>
      </c>
      <c r="T10" s="42">
        <f t="shared" si="4"/>
        <v>6.8872262460515102E-2</v>
      </c>
      <c r="U10" s="34">
        <v>79552</v>
      </c>
      <c r="V10" s="72">
        <f t="shared" si="5"/>
        <v>4419.5555555555557</v>
      </c>
      <c r="W10" s="72"/>
      <c r="X10" s="40">
        <f>V10/V79</f>
        <v>5.675329879977626E-2</v>
      </c>
      <c r="Y10" s="47">
        <f t="shared" si="6"/>
        <v>6.4024676996219568E-2</v>
      </c>
      <c r="Z10" s="47">
        <v>0.70199999999999996</v>
      </c>
      <c r="AA10" s="139">
        <v>0.746</v>
      </c>
      <c r="AB10" s="222">
        <v>59</v>
      </c>
      <c r="AC10" s="234">
        <v>0.29232700739724682</v>
      </c>
      <c r="AD10" s="139">
        <f t="shared" si="7"/>
        <v>0.76185086821163228</v>
      </c>
      <c r="AE10" s="67">
        <f>AJ10*AQ3</f>
        <v>56531.010979204846</v>
      </c>
      <c r="AF10" s="40">
        <f>C10*AO10</f>
        <v>0</v>
      </c>
      <c r="AG10" s="40" t="e">
        <f>C10*AP10</f>
        <v>#REF!</v>
      </c>
      <c r="AH10" s="37">
        <f>AM10*AS$3</f>
        <v>56208.651005660104</v>
      </c>
      <c r="AI10" s="37">
        <f>AH10-AE10</f>
        <v>-322.35997354474239</v>
      </c>
      <c r="AJ10" s="23">
        <f>C10*AQ10</f>
        <v>0.95620593890194416</v>
      </c>
      <c r="AK10" s="68">
        <f>AL10*AW$9</f>
        <v>85583.221337762996</v>
      </c>
      <c r="AL10" s="23">
        <f>AB10*AR10</f>
        <v>1.6411314305116267</v>
      </c>
      <c r="AM10" s="23">
        <f>C10*AS10</f>
        <v>0.94754277843325219</v>
      </c>
      <c r="AN10" s="23"/>
      <c r="AO10" s="23"/>
      <c r="AP10" s="23" t="e">
        <f>Z10/#REF!</f>
        <v>#REF!</v>
      </c>
      <c r="AQ10" s="23">
        <f>AA10/AT$2</f>
        <v>5.3122552161219118E-2</v>
      </c>
      <c r="AR10" s="243">
        <f>AC10/AW$5</f>
        <v>2.781578695782418E-2</v>
      </c>
      <c r="AS10" s="26">
        <f>AD10/AW$2</f>
        <v>5.2641265468514012E-2</v>
      </c>
      <c r="AU10" s="37">
        <v>4410034.2724348782</v>
      </c>
      <c r="AX10">
        <v>209</v>
      </c>
      <c r="AY10">
        <v>209</v>
      </c>
      <c r="AZ10">
        <f t="shared" si="8"/>
        <v>0</v>
      </c>
      <c r="BA10">
        <v>41</v>
      </c>
      <c r="BB10">
        <v>365</v>
      </c>
      <c r="BC10" s="119">
        <v>41.035629999999998</v>
      </c>
      <c r="BD10">
        <f>AX10-BA10</f>
        <v>168</v>
      </c>
      <c r="BE10" s="119">
        <f t="shared" si="9"/>
        <v>191.45765765765768</v>
      </c>
      <c r="BF10" s="119">
        <v>185.02958000000001</v>
      </c>
      <c r="BG10" s="119">
        <f t="shared" si="11"/>
        <v>173.54234234234232</v>
      </c>
      <c r="BH10" s="119">
        <f t="shared" si="12"/>
        <v>179.97041999999999</v>
      </c>
      <c r="BI10" s="119">
        <f t="shared" si="13"/>
        <v>167.96437</v>
      </c>
      <c r="BJ10" s="23">
        <v>1.43</v>
      </c>
      <c r="BK10" s="25">
        <f t="shared" si="24"/>
        <v>1.2299265388877738</v>
      </c>
      <c r="BL10" s="25">
        <f t="shared" si="14"/>
        <v>1.1215191377453551</v>
      </c>
      <c r="BM10" s="23">
        <f>(BI10-BI$78)/BI$79</f>
        <v>1.4331151353684364</v>
      </c>
      <c r="BN10" s="119">
        <v>13</v>
      </c>
      <c r="BO10" s="119">
        <v>8</v>
      </c>
      <c r="BP10" s="119">
        <v>23.343012000000002</v>
      </c>
      <c r="BQ10" s="119">
        <f t="shared" si="15"/>
        <v>-10.343012000000002</v>
      </c>
      <c r="BR10" s="23">
        <f t="shared" si="23"/>
        <v>-0.46775026976480738</v>
      </c>
      <c r="BS10" s="25">
        <f t="shared" si="16"/>
        <v>0.72420178586781447</v>
      </c>
      <c r="BT10" s="119">
        <v>6</v>
      </c>
      <c r="BU10" s="119">
        <f t="shared" si="17"/>
        <v>7</v>
      </c>
      <c r="BV10" s="23">
        <v>0.11700000000000001</v>
      </c>
      <c r="BW10" s="23">
        <v>1.101</v>
      </c>
      <c r="BX10" s="23">
        <f t="shared" si="18"/>
        <v>1.1040863515263273</v>
      </c>
      <c r="BY10" s="34">
        <v>79552</v>
      </c>
      <c r="BZ10" s="77">
        <v>79552</v>
      </c>
      <c r="CA10" s="34">
        <v>42549</v>
      </c>
      <c r="CB10" s="34">
        <v>25942</v>
      </c>
      <c r="CC10" s="34">
        <f t="shared" si="10"/>
        <v>96909.918999999994</v>
      </c>
      <c r="CD10" s="34">
        <f t="shared" si="19"/>
        <v>-70967.918999999994</v>
      </c>
      <c r="CE10" s="36">
        <f t="shared" si="20"/>
        <v>-0.35548516030860461</v>
      </c>
      <c r="CF10" s="231">
        <f t="shared" si="21"/>
        <v>0.29232700739724682</v>
      </c>
      <c r="CG10" s="34">
        <v>38401.68</v>
      </c>
      <c r="CH10">
        <f>BY10-CA10</f>
        <v>37003</v>
      </c>
      <c r="CI10" s="34">
        <f t="shared" si="22"/>
        <v>41150.32</v>
      </c>
      <c r="CJ10" s="23">
        <v>0.21299999999999999</v>
      </c>
      <c r="CK10" s="23">
        <f>(CI10-CI$78)/CI$79</f>
        <v>0.24849764323958984</v>
      </c>
    </row>
    <row r="11" spans="1:89" x14ac:dyDescent="0.25">
      <c r="A11" s="7" t="s">
        <v>3</v>
      </c>
      <c r="B11" s="7" t="s">
        <v>38</v>
      </c>
      <c r="C11" s="1">
        <f t="shared" si="0"/>
        <v>42</v>
      </c>
      <c r="D11" s="8">
        <v>0</v>
      </c>
      <c r="E11" s="8">
        <v>36</v>
      </c>
      <c r="F11" s="8">
        <v>0</v>
      </c>
      <c r="G11" s="8">
        <v>6</v>
      </c>
      <c r="H11" s="8">
        <v>0</v>
      </c>
      <c r="I11">
        <v>0</v>
      </c>
      <c r="J11">
        <v>0</v>
      </c>
      <c r="L11">
        <v>90</v>
      </c>
      <c r="M11" s="25">
        <f t="shared" si="1"/>
        <v>2.1428571428571428</v>
      </c>
      <c r="N11" s="23">
        <f>M11/M79</f>
        <v>3.3216292035200427E-2</v>
      </c>
      <c r="O11">
        <v>13.5</v>
      </c>
      <c r="P11" s="23">
        <f t="shared" si="2"/>
        <v>0.32142857142857145</v>
      </c>
      <c r="Q11" s="40">
        <f>P11/P79</f>
        <v>2.1510408746120872E-2</v>
      </c>
      <c r="R11" s="23">
        <f t="shared" si="3"/>
        <v>1.6875</v>
      </c>
      <c r="S11" s="42">
        <f>R11/R79</f>
        <v>3.2377264177192222E-2</v>
      </c>
      <c r="T11" s="42">
        <f t="shared" si="4"/>
        <v>3.0289821212930536E-2</v>
      </c>
      <c r="U11" s="34">
        <v>253546</v>
      </c>
      <c r="V11" s="72">
        <f t="shared" si="5"/>
        <v>6036.8095238095239</v>
      </c>
      <c r="W11" s="72"/>
      <c r="X11" s="40">
        <f>V11/V79</f>
        <v>7.7521110526922579E-2</v>
      </c>
      <c r="Y11" s="47">
        <f t="shared" si="6"/>
        <v>4.9182336938527353E-2</v>
      </c>
      <c r="Z11" s="47">
        <v>1.407</v>
      </c>
      <c r="AA11" s="139">
        <v>0.75900000000000001</v>
      </c>
      <c r="AB11" s="222">
        <v>48</v>
      </c>
      <c r="AC11" s="234">
        <v>0.37937933103200211</v>
      </c>
      <c r="AD11" s="139">
        <f t="shared" si="7"/>
        <v>0.80372303427196967</v>
      </c>
      <c r="AE11" s="67">
        <f>AJ11*AQ3</f>
        <v>134204.31694929194</v>
      </c>
      <c r="AF11" s="40">
        <f>C11*AO11</f>
        <v>0</v>
      </c>
      <c r="AG11" s="40" t="e">
        <f>C11*AP11</f>
        <v>#REF!</v>
      </c>
      <c r="AH11" s="37">
        <f>AM11*AS$3</f>
        <v>138361.8614285799</v>
      </c>
      <c r="AI11" s="37">
        <f>AH11-AE11</f>
        <v>4157.5444792879571</v>
      </c>
      <c r="AJ11" s="23">
        <f>C11*AQ11</f>
        <v>2.2700277718436235</v>
      </c>
      <c r="AK11" s="68">
        <f>AL11*AW$9</f>
        <v>90361.322961218917</v>
      </c>
      <c r="AL11" s="23">
        <f>AB11*AR11</f>
        <v>1.7327556137318969</v>
      </c>
      <c r="AM11" s="23">
        <f>C11*AS11</f>
        <v>2.3324484801108518</v>
      </c>
      <c r="AN11" s="23">
        <f>AE11/C11</f>
        <v>3195.3408797450461</v>
      </c>
      <c r="AO11" s="23"/>
      <c r="AP11" s="23" t="e">
        <f>Z11/#REF!</f>
        <v>#REF!</v>
      </c>
      <c r="AQ11" s="23">
        <f>AA11/AT$2</f>
        <v>5.4048280281991032E-2</v>
      </c>
      <c r="AR11" s="243">
        <f>AC11/AW$5</f>
        <v>3.6099075286081188E-2</v>
      </c>
      <c r="AS11" s="26">
        <f>AD11/AW$2</f>
        <v>5.5534487621686945E-2</v>
      </c>
      <c r="AX11">
        <v>197</v>
      </c>
      <c r="AY11">
        <v>197</v>
      </c>
      <c r="AZ11">
        <f t="shared" si="8"/>
        <v>0</v>
      </c>
      <c r="BA11">
        <v>95</v>
      </c>
      <c r="BB11">
        <v>333</v>
      </c>
      <c r="BC11" s="119">
        <v>95.749790000000004</v>
      </c>
      <c r="BD11">
        <f>AX11-BA11</f>
        <v>102</v>
      </c>
      <c r="BE11" s="119">
        <f t="shared" si="9"/>
        <v>155.76216216216216</v>
      </c>
      <c r="BF11" s="119">
        <v>150.53254000000001</v>
      </c>
      <c r="BG11" s="119">
        <f t="shared" si="11"/>
        <v>177.23783783783784</v>
      </c>
      <c r="BH11" s="119">
        <f t="shared" si="12"/>
        <v>182.46745999999999</v>
      </c>
      <c r="BI11" s="119">
        <f t="shared" si="13"/>
        <v>101.25021</v>
      </c>
      <c r="BJ11" s="23">
        <v>0.84</v>
      </c>
      <c r="BK11" s="25">
        <f t="shared" si="24"/>
        <v>1.24703992056501</v>
      </c>
      <c r="BL11" s="25">
        <f t="shared" si="14"/>
        <v>0.66293720990237881</v>
      </c>
      <c r="BM11" s="23">
        <f>(BI11-BI$78)/BI$79</f>
        <v>0.8382723357537103</v>
      </c>
      <c r="BN11" s="119">
        <v>28</v>
      </c>
      <c r="BO11" s="119">
        <v>26</v>
      </c>
      <c r="BP11" s="119">
        <v>18.990925000000001</v>
      </c>
      <c r="BQ11" s="119">
        <f t="shared" si="15"/>
        <v>9.0090749999999993</v>
      </c>
      <c r="BR11" s="23">
        <f t="shared" si="23"/>
        <v>0.35576514739000498</v>
      </c>
      <c r="BS11" s="25">
        <f t="shared" si="16"/>
        <v>0.58614419427428532</v>
      </c>
      <c r="BT11" s="119">
        <v>13</v>
      </c>
      <c r="BU11" s="119">
        <f t="shared" si="17"/>
        <v>15</v>
      </c>
      <c r="BV11" s="23">
        <v>0.435</v>
      </c>
      <c r="BW11" s="23">
        <v>0.73899999999999999</v>
      </c>
      <c r="BX11" s="23">
        <f t="shared" si="18"/>
        <v>0.73745425181528279</v>
      </c>
      <c r="BY11" s="34">
        <v>234148</v>
      </c>
      <c r="BZ11" s="77">
        <v>234148.61</v>
      </c>
      <c r="CA11" s="34">
        <v>91109</v>
      </c>
      <c r="CB11" s="34">
        <v>96224</v>
      </c>
      <c r="CC11" s="34">
        <f t="shared" si="10"/>
        <v>78841.967999999993</v>
      </c>
      <c r="CD11" s="34">
        <f t="shared" si="19"/>
        <v>17382.032000000007</v>
      </c>
      <c r="CE11" s="36">
        <f t="shared" si="20"/>
        <v>6.9232036168577399E-2</v>
      </c>
      <c r="CF11" s="231">
        <f t="shared" si="21"/>
        <v>0.37937933103200211</v>
      </c>
      <c r="CG11" s="34">
        <v>84033.42</v>
      </c>
      <c r="CH11">
        <f>BY11-CA11</f>
        <v>143039</v>
      </c>
      <c r="CI11" s="34">
        <f t="shared" si="22"/>
        <v>150115.19</v>
      </c>
      <c r="CJ11" s="23">
        <v>0.78900000000000003</v>
      </c>
      <c r="CK11" s="23">
        <f>(CI11-CI$78)/CI$79</f>
        <v>0.90312620795699983</v>
      </c>
    </row>
    <row r="12" spans="1:89" x14ac:dyDescent="0.25">
      <c r="A12" s="7" t="s">
        <v>3</v>
      </c>
      <c r="B12" s="7" t="s">
        <v>41</v>
      </c>
      <c r="C12" s="1">
        <f t="shared" si="0"/>
        <v>8</v>
      </c>
      <c r="D12" s="8">
        <v>8</v>
      </c>
      <c r="E12" s="8">
        <v>0</v>
      </c>
      <c r="F12" s="8">
        <v>0</v>
      </c>
      <c r="G12" s="8">
        <v>0</v>
      </c>
      <c r="H12" s="8">
        <v>0</v>
      </c>
      <c r="I12">
        <v>0</v>
      </c>
      <c r="J12">
        <v>0</v>
      </c>
      <c r="L12">
        <v>2</v>
      </c>
      <c r="M12" s="23">
        <f t="shared" si="1"/>
        <v>0.25</v>
      </c>
      <c r="N12" s="23">
        <f>M12/M79</f>
        <v>3.8752340707733832E-3</v>
      </c>
      <c r="O12">
        <v>0</v>
      </c>
      <c r="P12" s="23">
        <f t="shared" si="2"/>
        <v>0</v>
      </c>
      <c r="Q12" s="40">
        <f>P12/P79</f>
        <v>0</v>
      </c>
      <c r="R12" s="23">
        <f t="shared" si="3"/>
        <v>0.1875</v>
      </c>
      <c r="S12" s="40">
        <f>R12/R79</f>
        <v>3.5974737974658025E-3</v>
      </c>
      <c r="T12" s="40">
        <f t="shared" si="4"/>
        <v>2.9064255530800373E-3</v>
      </c>
      <c r="U12" s="34">
        <v>0</v>
      </c>
      <c r="V12" s="34">
        <f t="shared" si="5"/>
        <v>0</v>
      </c>
      <c r="W12" s="34"/>
      <c r="X12" s="40">
        <f>V12/V79</f>
        <v>0</v>
      </c>
      <c r="Y12" s="48">
        <f t="shared" si="6"/>
        <v>1.7438553318480223E-3</v>
      </c>
      <c r="Z12" s="48">
        <v>-0.59699999999999998</v>
      </c>
      <c r="AA12" s="137">
        <v>-0.17399999999999999</v>
      </c>
      <c r="AB12" s="222">
        <v>6</v>
      </c>
      <c r="AC12" s="232">
        <v>-0.1059782493998533</v>
      </c>
      <c r="AD12" s="137">
        <f t="shared" si="7"/>
        <v>-0.17556826145026855</v>
      </c>
      <c r="AE12" s="61"/>
      <c r="AF12" s="40"/>
      <c r="AG12" s="40"/>
      <c r="AH12" s="37"/>
      <c r="AI12" s="37"/>
      <c r="AJ12" s="23"/>
      <c r="AK12" s="23"/>
      <c r="AL12" s="23"/>
      <c r="AM12" s="23"/>
      <c r="AN12" s="23"/>
      <c r="AO12" s="23"/>
      <c r="AP12" s="23"/>
      <c r="AQ12" s="23"/>
      <c r="AR12" s="26"/>
      <c r="AS12" s="26"/>
      <c r="AX12">
        <v>3</v>
      </c>
      <c r="AY12">
        <v>3</v>
      </c>
      <c r="AZ12">
        <f t="shared" si="8"/>
        <v>0</v>
      </c>
      <c r="BA12">
        <v>18</v>
      </c>
      <c r="BB12">
        <v>0</v>
      </c>
      <c r="BC12" s="119">
        <v>18.238060000000001</v>
      </c>
      <c r="BD12">
        <f>AX12-BA12</f>
        <v>-15</v>
      </c>
      <c r="BE12" s="119">
        <f t="shared" si="9"/>
        <v>19.470270270270269</v>
      </c>
      <c r="BF12" s="119">
        <v>18.816569999999999</v>
      </c>
      <c r="BG12" s="119">
        <f t="shared" si="11"/>
        <v>-19.470270270270269</v>
      </c>
      <c r="BH12" s="119">
        <f t="shared" si="12"/>
        <v>-18.816569999999999</v>
      </c>
      <c r="BI12" s="119">
        <f t="shared" si="13"/>
        <v>-15.238060000000001</v>
      </c>
      <c r="BJ12" s="23">
        <v>-0.20599999999999999</v>
      </c>
      <c r="BK12" s="23">
        <f t="shared" si="24"/>
        <v>-0.13245357209920974</v>
      </c>
      <c r="BL12" s="23">
        <f t="shared" si="14"/>
        <v>-0.13778358801658061</v>
      </c>
      <c r="BM12" s="23">
        <f>(BI12-BI$78)/BI$79</f>
        <v>-0.2003708645665232</v>
      </c>
      <c r="BN12" s="119">
        <v>0</v>
      </c>
      <c r="BO12" s="119">
        <v>0</v>
      </c>
      <c r="BP12" s="119">
        <v>2.373866</v>
      </c>
      <c r="BQ12" s="119">
        <f t="shared" si="15"/>
        <v>-2.373866</v>
      </c>
      <c r="BR12" s="23">
        <f t="shared" si="23"/>
        <v>-0.12862846897104258</v>
      </c>
      <c r="BS12" s="23">
        <f t="shared" si="16"/>
        <v>-0.13549480825519611</v>
      </c>
      <c r="BT12" s="119">
        <v>3</v>
      </c>
      <c r="BU12" s="119">
        <f t="shared" si="17"/>
        <v>-3</v>
      </c>
      <c r="BV12" s="23">
        <v>-0.28199999999999997</v>
      </c>
      <c r="BW12" s="23">
        <v>-0.22500000000000001</v>
      </c>
      <c r="BX12" s="23">
        <f t="shared" si="18"/>
        <v>-0.22077814842489241</v>
      </c>
      <c r="BY12" s="34">
        <v>0</v>
      </c>
      <c r="BZ12" s="77">
        <v>0</v>
      </c>
      <c r="CA12" s="34">
        <v>20531</v>
      </c>
      <c r="CB12" s="34">
        <v>0</v>
      </c>
      <c r="CC12" s="34">
        <f t="shared" si="10"/>
        <v>9855.2459999999992</v>
      </c>
      <c r="CD12" s="34">
        <f t="shared" si="19"/>
        <v>-9855.2459999999992</v>
      </c>
      <c r="CE12" s="36">
        <f t="shared" si="20"/>
        <v>-6.170341111683908E-2</v>
      </c>
      <c r="CF12" s="36">
        <f t="shared" si="21"/>
        <v>-0.1059782493998533</v>
      </c>
      <c r="CG12" s="34">
        <v>18148.73</v>
      </c>
      <c r="CH12">
        <f>BY12-CA12</f>
        <v>-20531</v>
      </c>
      <c r="CI12" s="34">
        <f t="shared" si="22"/>
        <v>-18148.73</v>
      </c>
      <c r="CJ12" s="23">
        <v>-9.9000000000000005E-2</v>
      </c>
      <c r="CK12" s="23">
        <f>(CI12-CI$78)/CI$79</f>
        <v>-0.10775343098833277</v>
      </c>
    </row>
    <row r="13" spans="1:89" x14ac:dyDescent="0.25">
      <c r="A13" s="7" t="s">
        <v>43</v>
      </c>
      <c r="B13" s="7" t="s">
        <v>44</v>
      </c>
      <c r="C13" s="1">
        <f t="shared" si="0"/>
        <v>19</v>
      </c>
      <c r="D13">
        <v>1</v>
      </c>
      <c r="E13">
        <v>0</v>
      </c>
      <c r="F13">
        <v>0</v>
      </c>
      <c r="G13">
        <v>18</v>
      </c>
      <c r="H13">
        <v>0</v>
      </c>
      <c r="I13">
        <v>0</v>
      </c>
      <c r="J13">
        <v>0</v>
      </c>
      <c r="L13">
        <v>13</v>
      </c>
      <c r="M13" s="23">
        <f t="shared" si="1"/>
        <v>0.68421052631578949</v>
      </c>
      <c r="N13" s="23">
        <f>M13/M79</f>
        <v>1.0605903772642944E-2</v>
      </c>
      <c r="O13">
        <v>1.5</v>
      </c>
      <c r="P13" s="23">
        <f t="shared" si="2"/>
        <v>7.8947368421052627E-2</v>
      </c>
      <c r="Q13" s="40">
        <f>P13/P79</f>
        <v>5.2832582885209154E-3</v>
      </c>
      <c r="R13" s="23">
        <f t="shared" si="3"/>
        <v>0.53289473684210531</v>
      </c>
      <c r="S13" s="40">
        <f>R13/R79</f>
        <v>1.0224399213850176E-2</v>
      </c>
      <c r="T13" s="40">
        <f t="shared" si="4"/>
        <v>9.2752424016124373E-3</v>
      </c>
      <c r="U13" s="34">
        <v>235749</v>
      </c>
      <c r="V13" s="72">
        <f t="shared" si="5"/>
        <v>12407.842105263158</v>
      </c>
      <c r="W13" s="72"/>
      <c r="X13" s="40">
        <f>V13/V79</f>
        <v>0.15933411439420767</v>
      </c>
      <c r="Y13" s="47">
        <f t="shared" si="6"/>
        <v>6.9298791198650539E-2</v>
      </c>
      <c r="Z13" s="47">
        <v>0.51300000000000001</v>
      </c>
      <c r="AA13" s="139">
        <v>1.087</v>
      </c>
      <c r="AB13" s="222">
        <v>19</v>
      </c>
      <c r="AC13" s="234">
        <v>0.33127745769195266</v>
      </c>
      <c r="AD13" s="139">
        <f t="shared" si="7"/>
        <v>0.77426710232273455</v>
      </c>
      <c r="AE13" s="67">
        <f>AJ13*AQ3</f>
        <v>86947.793398385285</v>
      </c>
      <c r="AF13" s="40">
        <f>C13*AO13</f>
        <v>0</v>
      </c>
      <c r="AG13" s="40" t="e">
        <f>C13*AP13</f>
        <v>#REF!</v>
      </c>
      <c r="AH13" s="37">
        <f>AM13*AS$3</f>
        <v>60298.304209958187</v>
      </c>
      <c r="AI13" s="37">
        <f>AH13-AE13</f>
        <v>-26649.489188427098</v>
      </c>
      <c r="AJ13" s="23">
        <f>C13*AQ13</f>
        <v>1.4706971444847967</v>
      </c>
      <c r="AK13" s="68">
        <f>AL13*AW$9</f>
        <v>31232.961259493688</v>
      </c>
      <c r="AL13" s="23">
        <f>AB13*AR13</f>
        <v>0.5989187318459831</v>
      </c>
      <c r="AM13" s="23">
        <f>C13*AS13</f>
        <v>1.0164845034292647</v>
      </c>
      <c r="AN13" s="23"/>
      <c r="AO13" s="23"/>
      <c r="AP13" s="23" t="e">
        <f>Z13/#REF!</f>
        <v>#REF!</v>
      </c>
      <c r="AQ13" s="23">
        <f>AA13/AT$2</f>
        <v>7.7405112867620876E-2</v>
      </c>
      <c r="AR13" s="243">
        <f>AC13/AW$5</f>
        <v>3.1522038518209637E-2</v>
      </c>
      <c r="AS13" s="26">
        <f>AD13/AW$2</f>
        <v>5.3499184391013935E-2</v>
      </c>
      <c r="AX13">
        <v>22</v>
      </c>
      <c r="AY13">
        <v>22</v>
      </c>
      <c r="AZ13">
        <f t="shared" si="8"/>
        <v>0</v>
      </c>
      <c r="BA13">
        <v>43</v>
      </c>
      <c r="BB13">
        <v>38</v>
      </c>
      <c r="BC13" s="119">
        <v>43.315379999999998</v>
      </c>
      <c r="BD13">
        <f>AX13-BA13</f>
        <v>-21</v>
      </c>
      <c r="BE13" s="119">
        <f t="shared" si="9"/>
        <v>61.655855855855862</v>
      </c>
      <c r="BF13" s="119">
        <v>59.585799999999999</v>
      </c>
      <c r="BG13" s="119">
        <f t="shared" si="11"/>
        <v>-23.655855855855862</v>
      </c>
      <c r="BH13" s="119">
        <f t="shared" si="12"/>
        <v>-21.585799999999999</v>
      </c>
      <c r="BI13" s="119">
        <f t="shared" si="13"/>
        <v>-21.315379999999998</v>
      </c>
      <c r="BJ13" s="23">
        <v>-0.25900000000000001</v>
      </c>
      <c r="BK13" s="23">
        <f t="shared" si="24"/>
        <v>-0.1514323990070898</v>
      </c>
      <c r="BL13" s="23">
        <f t="shared" si="14"/>
        <v>-0.17955806470516775</v>
      </c>
      <c r="BM13" s="23">
        <f>(BI13-BI$78)/BI$79</f>
        <v>-0.25455801228680575</v>
      </c>
      <c r="BN13" s="119">
        <v>1</v>
      </c>
      <c r="BO13" s="119">
        <v>0</v>
      </c>
      <c r="BP13" s="119">
        <v>7.5172410000000003</v>
      </c>
      <c r="BQ13" s="119">
        <f t="shared" si="15"/>
        <v>-6.5172410000000003</v>
      </c>
      <c r="BR13" s="23">
        <f t="shared" si="23"/>
        <v>-0.30494708471278764</v>
      </c>
      <c r="BS13" s="23">
        <f t="shared" si="16"/>
        <v>-0.21090531970707271</v>
      </c>
      <c r="BT13" s="119">
        <v>6</v>
      </c>
      <c r="BU13" s="119">
        <f t="shared" si="17"/>
        <v>-5</v>
      </c>
      <c r="BV13" s="23">
        <v>-0.36099999999999999</v>
      </c>
      <c r="BW13" s="23">
        <v>-0.28499999999999998</v>
      </c>
      <c r="BX13" s="23">
        <f t="shared" si="18"/>
        <v>-0.28116850921510428</v>
      </c>
      <c r="BY13" s="34">
        <v>621555</v>
      </c>
      <c r="BZ13" s="77">
        <v>432556.23</v>
      </c>
      <c r="CA13" s="34">
        <v>44667</v>
      </c>
      <c r="CB13" s="34">
        <v>272279</v>
      </c>
      <c r="CC13" s="34">
        <f t="shared" si="10"/>
        <v>31208.278999999999</v>
      </c>
      <c r="CD13" s="34">
        <f t="shared" si="19"/>
        <v>241070.72099999999</v>
      </c>
      <c r="CE13" s="36">
        <f t="shared" si="20"/>
        <v>1.1445516237904907</v>
      </c>
      <c r="CF13" s="231">
        <f t="shared" si="21"/>
        <v>0.33127745769195266</v>
      </c>
      <c r="CG13" s="34">
        <v>40369.43</v>
      </c>
      <c r="CH13">
        <f>BY13-CA13</f>
        <v>576888</v>
      </c>
      <c r="CI13" s="34">
        <f t="shared" si="22"/>
        <v>392186.8</v>
      </c>
      <c r="CJ13" s="23">
        <v>3.1440000000000001</v>
      </c>
      <c r="CK13" s="23">
        <f>(CI13-CI$78)/CI$79</f>
        <v>2.3574205196294926</v>
      </c>
    </row>
    <row r="14" spans="1:89" x14ac:dyDescent="0.25">
      <c r="A14" s="7" t="s">
        <v>43</v>
      </c>
      <c r="B14" s="224" t="s">
        <v>316</v>
      </c>
      <c r="C14" s="1">
        <v>0</v>
      </c>
      <c r="M14" s="23"/>
      <c r="N14" s="23"/>
      <c r="P14" s="23"/>
      <c r="Q14" s="40"/>
      <c r="R14" s="23"/>
      <c r="S14" s="40"/>
      <c r="T14" s="40"/>
      <c r="U14" s="34"/>
      <c r="V14" s="72"/>
      <c r="W14" s="72"/>
      <c r="X14" s="40"/>
      <c r="Y14" s="47"/>
      <c r="Z14" s="47"/>
      <c r="AA14" s="139"/>
      <c r="AB14" s="225">
        <v>3</v>
      </c>
      <c r="AC14" s="233"/>
      <c r="AD14" s="137"/>
      <c r="AE14" s="67"/>
      <c r="AF14" s="40"/>
      <c r="AG14" s="40"/>
      <c r="AH14" s="37"/>
      <c r="AI14" s="37"/>
      <c r="AJ14" s="23"/>
      <c r="AK14" s="23"/>
      <c r="AL14" s="23"/>
      <c r="AM14" s="23"/>
      <c r="AN14" s="23"/>
      <c r="AO14" s="23"/>
      <c r="AP14" s="23"/>
      <c r="AQ14" s="23"/>
      <c r="AR14" s="26"/>
      <c r="AS14" s="26"/>
      <c r="BC14" s="119"/>
      <c r="BE14" s="119"/>
      <c r="BG14" s="119"/>
      <c r="BI14" s="119"/>
      <c r="BJ14" s="23"/>
      <c r="BK14" s="23"/>
      <c r="BL14" s="23"/>
      <c r="BM14" s="23"/>
      <c r="BN14" s="119"/>
      <c r="BO14" s="119"/>
      <c r="BQ14" s="119"/>
      <c r="BR14" s="119"/>
      <c r="BS14" s="119"/>
      <c r="BT14" s="119"/>
      <c r="BU14" s="119"/>
      <c r="BV14" s="23"/>
      <c r="BW14" s="23"/>
      <c r="BX14" s="23"/>
      <c r="BY14" s="34"/>
      <c r="BZ14" s="77"/>
      <c r="CA14" s="34"/>
      <c r="CB14" s="34"/>
      <c r="CC14" s="34"/>
      <c r="CD14" s="34"/>
      <c r="CE14" s="36"/>
      <c r="CF14" s="36"/>
      <c r="CG14" s="34"/>
      <c r="CI14" s="34"/>
      <c r="CJ14" s="23"/>
      <c r="CK14" s="23"/>
    </row>
    <row r="15" spans="1:89" x14ac:dyDescent="0.25">
      <c r="A15" s="9" t="s">
        <v>43</v>
      </c>
      <c r="B15" s="9" t="s">
        <v>47</v>
      </c>
      <c r="C15" s="10">
        <f t="shared" si="0"/>
        <v>7</v>
      </c>
      <c r="D15">
        <v>0</v>
      </c>
      <c r="E15">
        <v>0</v>
      </c>
      <c r="F15">
        <v>0</v>
      </c>
      <c r="G15">
        <v>0</v>
      </c>
      <c r="H15">
        <v>7</v>
      </c>
      <c r="I15">
        <v>0</v>
      </c>
      <c r="J15">
        <v>0</v>
      </c>
      <c r="L15">
        <v>6</v>
      </c>
      <c r="M15" s="23">
        <f t="shared" si="1"/>
        <v>0.8571428571428571</v>
      </c>
      <c r="N15" s="23">
        <f>M15/M79</f>
        <v>1.328651681408017E-2</v>
      </c>
      <c r="O15">
        <v>1</v>
      </c>
      <c r="P15" s="23">
        <f t="shared" si="2"/>
        <v>0.14285714285714285</v>
      </c>
      <c r="Q15" s="40">
        <f>P15/P79</f>
        <v>9.5601816649426088E-3</v>
      </c>
      <c r="R15" s="23">
        <f t="shared" si="3"/>
        <v>0.67857142857142849</v>
      </c>
      <c r="S15" s="40">
        <f>R15/R79</f>
        <v>1.3019428981304808E-2</v>
      </c>
      <c r="T15" s="40">
        <f t="shared" si="4"/>
        <v>1.2354933026795779E-2</v>
      </c>
      <c r="U15" s="34">
        <v>0</v>
      </c>
      <c r="V15" s="34">
        <f t="shared" si="5"/>
        <v>0</v>
      </c>
      <c r="W15" s="34"/>
      <c r="X15" s="40">
        <f>V15/V79</f>
        <v>0</v>
      </c>
      <c r="Y15" s="48">
        <f t="shared" si="6"/>
        <v>7.4129598160774671E-3</v>
      </c>
      <c r="Z15" s="48">
        <v>-0.58599999999999997</v>
      </c>
      <c r="AA15" s="137">
        <v>-0.105</v>
      </c>
      <c r="AB15" s="222">
        <v>6</v>
      </c>
      <c r="AC15" s="232">
        <v>-5.8517819757028224E-2</v>
      </c>
      <c r="AD15" s="137">
        <f t="shared" si="7"/>
        <v>-0.10522182273480526</v>
      </c>
      <c r="AE15" s="61"/>
      <c r="AF15" s="40"/>
      <c r="AG15" s="40"/>
      <c r="AH15" s="37"/>
      <c r="AI15" s="37"/>
      <c r="AJ15" s="23"/>
      <c r="AK15" s="23"/>
      <c r="AL15" s="23"/>
      <c r="AM15" s="23"/>
      <c r="AN15" s="23"/>
      <c r="AO15" s="23"/>
      <c r="AP15" s="23"/>
      <c r="AQ15" s="23"/>
      <c r="AR15" s="26"/>
      <c r="AS15" s="26"/>
      <c r="AX15">
        <v>14</v>
      </c>
      <c r="AY15">
        <v>14</v>
      </c>
      <c r="AZ15">
        <f t="shared" si="8"/>
        <v>0</v>
      </c>
      <c r="BA15">
        <v>16</v>
      </c>
      <c r="BB15">
        <v>17</v>
      </c>
      <c r="BC15" s="119">
        <v>15.958299999999999</v>
      </c>
      <c r="BD15">
        <f>AX15-BA15</f>
        <v>-2</v>
      </c>
      <c r="BE15" s="119">
        <f>AB15*BB$78</f>
        <v>19.470270270270269</v>
      </c>
      <c r="BF15">
        <v>19</v>
      </c>
      <c r="BG15" s="119">
        <f>BB15-BE15</f>
        <v>-2.4702702702702695</v>
      </c>
      <c r="BH15" s="119">
        <f>BB15-BF15</f>
        <v>-2</v>
      </c>
      <c r="BI15" s="119">
        <f t="shared" si="13"/>
        <v>-1.9582999999999995</v>
      </c>
      <c r="BJ15" s="23">
        <v>-8.8999999999999996E-2</v>
      </c>
      <c r="BK15" s="23">
        <f>(BH15-BG$77)/BG$78</f>
        <v>-1.7201761590783737E-2</v>
      </c>
      <c r="BL15" s="23">
        <f>(BI15-BH$77)/BH$78</f>
        <v>-4.6500748779872189E-2</v>
      </c>
      <c r="BM15" s="23">
        <f>(BI15-BI$78)/BI$79</f>
        <v>-8.1964672888299908E-2</v>
      </c>
      <c r="BN15" s="119">
        <v>1</v>
      </c>
      <c r="BO15" s="119">
        <v>1</v>
      </c>
      <c r="BP15" s="119">
        <v>2.373866</v>
      </c>
      <c r="BQ15" s="119">
        <f>BN15-BP15</f>
        <v>-1.373866</v>
      </c>
      <c r="BR15" s="23">
        <f>(BQ15-BQ$77)/BQ$78</f>
        <v>-8.6074122395667405E-2</v>
      </c>
      <c r="BS15" s="23">
        <f t="shared" si="16"/>
        <v>-5.6394092183820993E-2</v>
      </c>
      <c r="BT15" s="119">
        <v>2</v>
      </c>
      <c r="BU15" s="119">
        <f t="shared" si="17"/>
        <v>-1</v>
      </c>
      <c r="BV15" s="23">
        <v>-0.20200000000000001</v>
      </c>
      <c r="BW15" s="23">
        <v>-0.11799999999999999</v>
      </c>
      <c r="BX15" s="23">
        <f t="shared" si="18"/>
        <v>-0.11197350466622494</v>
      </c>
      <c r="BY15" s="34">
        <v>0</v>
      </c>
      <c r="BZ15" s="77">
        <v>0</v>
      </c>
      <c r="CA15" s="34">
        <v>18209</v>
      </c>
      <c r="CB15" s="34">
        <v>0</v>
      </c>
      <c r="CC15" s="34">
        <f>AB15*CB$80</f>
        <v>9855.2459999999992</v>
      </c>
      <c r="CD15" s="34">
        <f t="shared" si="19"/>
        <v>-9855.2459999999992</v>
      </c>
      <c r="CE15" s="36">
        <f>(CD15-CD$77)/CD$78</f>
        <v>-6.170341111683908E-2</v>
      </c>
      <c r="CF15" s="36">
        <f>(0.6*BS15)+(0.4*CE15)</f>
        <v>-5.8517819757028224E-2</v>
      </c>
      <c r="CG15" s="34">
        <v>16041.58</v>
      </c>
      <c r="CH15">
        <f>BY15-CA15</f>
        <v>-18209</v>
      </c>
      <c r="CI15" s="34">
        <f t="shared" si="22"/>
        <v>-16041.58</v>
      </c>
      <c r="CJ15" s="23">
        <v>-8.5999999999999993E-2</v>
      </c>
      <c r="CK15" s="23">
        <f>(CI15-CI$78)/CI$79</f>
        <v>-9.5094299837675769E-2</v>
      </c>
    </row>
    <row r="16" spans="1:89" x14ac:dyDescent="0.25">
      <c r="A16" s="7" t="s">
        <v>43</v>
      </c>
      <c r="B16" s="7" t="s">
        <v>48</v>
      </c>
      <c r="C16" s="32">
        <f t="shared" si="0"/>
        <v>4</v>
      </c>
      <c r="D16">
        <v>0</v>
      </c>
      <c r="E16">
        <v>0</v>
      </c>
      <c r="F16">
        <v>0</v>
      </c>
      <c r="G16">
        <v>0</v>
      </c>
      <c r="H16">
        <v>4</v>
      </c>
      <c r="I16">
        <v>0</v>
      </c>
      <c r="J16">
        <v>0</v>
      </c>
      <c r="L16">
        <v>0</v>
      </c>
      <c r="M16" s="23">
        <f t="shared" si="1"/>
        <v>0</v>
      </c>
      <c r="N16" s="23">
        <f>M16/M79</f>
        <v>0</v>
      </c>
      <c r="O16">
        <v>0</v>
      </c>
      <c r="P16" s="23">
        <f t="shared" si="2"/>
        <v>0</v>
      </c>
      <c r="Q16" s="40">
        <f>P16/P79</f>
        <v>0</v>
      </c>
      <c r="R16" s="23">
        <f t="shared" si="3"/>
        <v>0</v>
      </c>
      <c r="S16" s="40">
        <f>R16/R79</f>
        <v>0</v>
      </c>
      <c r="T16" s="40">
        <f t="shared" si="4"/>
        <v>0</v>
      </c>
      <c r="U16" s="44">
        <v>0</v>
      </c>
      <c r="V16" s="34">
        <f t="shared" si="5"/>
        <v>0</v>
      </c>
      <c r="W16" s="34"/>
      <c r="X16" s="40">
        <f>V16/V79</f>
        <v>0</v>
      </c>
      <c r="Y16" s="48">
        <f t="shared" si="6"/>
        <v>0</v>
      </c>
      <c r="Z16" s="48"/>
      <c r="AA16" s="23"/>
      <c r="AB16" s="225">
        <v>4</v>
      </c>
      <c r="AC16" s="233"/>
      <c r="AE16" s="61"/>
      <c r="AF16" s="40"/>
      <c r="AG16" s="40"/>
      <c r="AH16" s="37"/>
      <c r="AI16" s="37"/>
      <c r="AJ16" s="23"/>
      <c r="AK16" s="23"/>
      <c r="AL16" s="23"/>
      <c r="AM16" s="23"/>
      <c r="AN16" s="23"/>
      <c r="AO16" s="23"/>
      <c r="AP16" s="23"/>
      <c r="AQ16" s="23"/>
      <c r="AR16" s="26"/>
      <c r="AS16" s="26"/>
      <c r="BE16" s="119"/>
      <c r="BG16" s="119"/>
      <c r="BU16" s="119"/>
      <c r="BY16" s="34"/>
      <c r="BZ16" s="77"/>
      <c r="CA16" s="34"/>
      <c r="CB16" s="34"/>
      <c r="CC16" s="34"/>
      <c r="CD16" s="34"/>
      <c r="CE16" s="36"/>
      <c r="CF16" s="36"/>
      <c r="CK16" s="23"/>
    </row>
    <row r="17" spans="1:89" x14ac:dyDescent="0.25">
      <c r="A17" s="9" t="s">
        <v>43</v>
      </c>
      <c r="B17" s="9" t="s">
        <v>49</v>
      </c>
      <c r="C17" s="10">
        <f t="shared" si="0"/>
        <v>12</v>
      </c>
      <c r="D17">
        <v>4</v>
      </c>
      <c r="E17">
        <v>0</v>
      </c>
      <c r="F17">
        <v>0</v>
      </c>
      <c r="G17">
        <v>0</v>
      </c>
      <c r="H17">
        <v>8</v>
      </c>
      <c r="I17">
        <v>0</v>
      </c>
      <c r="J17">
        <v>0</v>
      </c>
      <c r="L17">
        <v>4.5</v>
      </c>
      <c r="M17" s="23">
        <f t="shared" si="1"/>
        <v>0.375</v>
      </c>
      <c r="N17" s="23">
        <f>M17/M79</f>
        <v>5.8128511061600746E-3</v>
      </c>
      <c r="O17">
        <v>0</v>
      </c>
      <c r="P17" s="23">
        <f t="shared" si="2"/>
        <v>0</v>
      </c>
      <c r="Q17" s="40">
        <f>P17/P79</f>
        <v>0</v>
      </c>
      <c r="R17" s="23">
        <f t="shared" si="3"/>
        <v>0.28125</v>
      </c>
      <c r="S17" s="40">
        <f>R17/R79</f>
        <v>5.396210696198704E-3</v>
      </c>
      <c r="T17" s="40">
        <f t="shared" si="4"/>
        <v>4.359638329620056E-3</v>
      </c>
      <c r="U17" s="34">
        <v>0</v>
      </c>
      <c r="V17" s="34">
        <f t="shared" si="5"/>
        <v>0</v>
      </c>
      <c r="W17" s="34"/>
      <c r="X17" s="40">
        <f>V17/V79</f>
        <v>0</v>
      </c>
      <c r="Y17" s="48">
        <f t="shared" si="6"/>
        <v>2.6157829977720335E-3</v>
      </c>
      <c r="Z17" s="48">
        <v>-0.74</v>
      </c>
      <c r="AA17" s="137">
        <v>-0.156</v>
      </c>
      <c r="AB17" s="222">
        <v>7</v>
      </c>
      <c r="AC17" s="232">
        <v>-7.8004811348763595E-2</v>
      </c>
      <c r="AD17" s="137">
        <f>(0.6*BX17)+(0.4*CK17)</f>
        <v>-0.15773780376443342</v>
      </c>
      <c r="AE17" s="61"/>
      <c r="AF17" s="40"/>
      <c r="AG17" s="40"/>
      <c r="AH17" s="37"/>
      <c r="AI17" s="37"/>
      <c r="AJ17" s="23"/>
      <c r="AK17" s="23"/>
      <c r="AL17" s="23"/>
      <c r="AM17" s="23"/>
      <c r="AN17" s="23"/>
      <c r="AO17" s="23"/>
      <c r="AP17" s="23"/>
      <c r="AQ17" s="23"/>
      <c r="AR17" s="26"/>
      <c r="AS17" s="26"/>
      <c r="AX17">
        <v>23</v>
      </c>
      <c r="AY17">
        <v>23</v>
      </c>
      <c r="AZ17">
        <f>AX17-AY17</f>
        <v>0</v>
      </c>
      <c r="BA17">
        <v>27</v>
      </c>
      <c r="BB17">
        <v>38</v>
      </c>
      <c r="BC17" s="119">
        <v>27.35708</v>
      </c>
      <c r="BD17">
        <f t="shared" ref="BD17:BD26" si="25">AX17-BA17</f>
        <v>-4</v>
      </c>
      <c r="BE17" s="119">
        <f t="shared" ref="BE17:BE26" si="26">AB17*BB$78</f>
        <v>22.715315315315316</v>
      </c>
      <c r="BF17" s="119">
        <v>21.952660000000002</v>
      </c>
      <c r="BG17" s="119">
        <f t="shared" ref="BG17:BG26" si="27">BB17-BE17</f>
        <v>15.284684684684684</v>
      </c>
      <c r="BH17" s="119">
        <f t="shared" ref="BH17:BH26" si="28">BB17-BF17</f>
        <v>16.047339999999998</v>
      </c>
      <c r="BI17" s="119">
        <f t="shared" si="13"/>
        <v>-4.3570799999999998</v>
      </c>
      <c r="BJ17" s="23">
        <v>-0.107</v>
      </c>
      <c r="BK17" s="26">
        <f t="shared" ref="BK17:BK26" si="29">(BH17-BG$77)/BG$78</f>
        <v>0.10648509071388582</v>
      </c>
      <c r="BL17" s="23">
        <f t="shared" ref="BL17:BL26" si="30">(BI17-BH$77)/BH$78</f>
        <v>-6.298955950417981E-2</v>
      </c>
      <c r="BM17" s="23">
        <f t="shared" ref="BM17:BM26" si="31">(BI17-BI$78)/BI$79</f>
        <v>-0.1033528910845541</v>
      </c>
      <c r="BN17" s="119">
        <v>0</v>
      </c>
      <c r="BO17" s="119">
        <v>0</v>
      </c>
      <c r="BP17" s="119">
        <v>2.7695099999999999</v>
      </c>
      <c r="BQ17" s="119">
        <f t="shared" ref="BQ17:BQ26" si="32">BN17-BP17</f>
        <v>-2.7695099999999999</v>
      </c>
      <c r="BR17" s="23">
        <f t="shared" ref="BR17:BR26" si="33">(BQ17-BQ$77)/BQ$78</f>
        <v>-0.1454648408675103</v>
      </c>
      <c r="BS17" s="23">
        <f t="shared" si="16"/>
        <v>-8.3608379845012432E-2</v>
      </c>
      <c r="BT17" s="119">
        <v>4</v>
      </c>
      <c r="BU17" s="119">
        <f t="shared" si="17"/>
        <v>-4</v>
      </c>
      <c r="BV17" s="23">
        <v>-0.32200000000000001</v>
      </c>
      <c r="BW17" s="23">
        <v>-0.161</v>
      </c>
      <c r="BX17" s="23">
        <f t="shared" si="18"/>
        <v>-0.1580146683134156</v>
      </c>
      <c r="BY17" s="34">
        <v>0</v>
      </c>
      <c r="BZ17" s="77">
        <v>0</v>
      </c>
      <c r="CA17" s="34">
        <v>29556</v>
      </c>
      <c r="CB17" s="34">
        <v>0</v>
      </c>
      <c r="CC17" s="34">
        <f t="shared" ref="CC17:CC26" si="34">AB17*CB$80</f>
        <v>11497.787</v>
      </c>
      <c r="CD17" s="34">
        <f t="shared" si="19"/>
        <v>-11497.787</v>
      </c>
      <c r="CE17" s="36">
        <f t="shared" ref="CE17:CE26" si="35">(CD17-CD$77)/CD$78</f>
        <v>-6.9599458604390346E-2</v>
      </c>
      <c r="CF17" s="36">
        <f t="shared" ref="CF17:CF26" si="36">(0.6*BS17)+(0.4*CE17)</f>
        <v>-7.8004811348763595E-2</v>
      </c>
      <c r="CG17" s="34">
        <v>26399.65</v>
      </c>
      <c r="CH17">
        <f t="shared" ref="CH17:CH26" si="37">BY17-CA17</f>
        <v>-29556</v>
      </c>
      <c r="CI17" s="34">
        <f t="shared" si="22"/>
        <v>-26399.65</v>
      </c>
      <c r="CJ17" s="23">
        <v>-0.14799999999999999</v>
      </c>
      <c r="CK17" s="23">
        <f t="shared" ref="CK17:CK26" si="38">(CI17-CI$78)/CI$79</f>
        <v>-0.1573225069409602</v>
      </c>
    </row>
    <row r="18" spans="1:89" x14ac:dyDescent="0.25">
      <c r="A18" s="9" t="s">
        <v>43</v>
      </c>
      <c r="B18" s="9" t="s">
        <v>50</v>
      </c>
      <c r="C18" s="10">
        <f t="shared" si="0"/>
        <v>11</v>
      </c>
      <c r="D18">
        <v>5</v>
      </c>
      <c r="E18">
        <v>0</v>
      </c>
      <c r="F18">
        <v>0</v>
      </c>
      <c r="G18">
        <v>0</v>
      </c>
      <c r="H18">
        <v>6</v>
      </c>
      <c r="I18">
        <v>0</v>
      </c>
      <c r="J18">
        <v>0</v>
      </c>
      <c r="L18">
        <v>1</v>
      </c>
      <c r="M18" s="23">
        <f t="shared" si="1"/>
        <v>9.0909090909090912E-2</v>
      </c>
      <c r="N18" s="23">
        <f>M18/M79</f>
        <v>1.4091760257357758E-3</v>
      </c>
      <c r="O18">
        <v>0</v>
      </c>
      <c r="P18" s="23">
        <f t="shared" si="2"/>
        <v>0</v>
      </c>
      <c r="Q18" s="40">
        <f>P18/P79</f>
        <v>0</v>
      </c>
      <c r="R18" s="23">
        <f t="shared" si="3"/>
        <v>6.8181818181818177E-2</v>
      </c>
      <c r="S18" s="40">
        <f>R18/R79</f>
        <v>1.3081722899875644E-3</v>
      </c>
      <c r="T18" s="40">
        <f t="shared" si="4"/>
        <v>1.0568820193018317E-3</v>
      </c>
      <c r="U18" s="34">
        <v>0</v>
      </c>
      <c r="V18" s="34">
        <f t="shared" si="5"/>
        <v>0</v>
      </c>
      <c r="W18" s="34"/>
      <c r="X18" s="40">
        <f>V18/V79</f>
        <v>0</v>
      </c>
      <c r="Y18" s="48">
        <f t="shared" si="6"/>
        <v>6.3412921158109898E-4</v>
      </c>
      <c r="Z18" s="48">
        <v>-0.57199999999999995</v>
      </c>
      <c r="AA18" s="137">
        <v>-0.219</v>
      </c>
      <c r="AB18" s="222">
        <v>5</v>
      </c>
      <c r="AC18" s="232">
        <v>-0.11849555934579376</v>
      </c>
      <c r="AD18" s="137">
        <f>(0.6*BX18)+(0.4*CK18)</f>
        <v>-0.21992285568191325</v>
      </c>
      <c r="AE18" s="61"/>
      <c r="AF18" s="40"/>
      <c r="AG18" s="40"/>
      <c r="AH18" s="37"/>
      <c r="AI18" s="37"/>
      <c r="AJ18" s="23"/>
      <c r="AK18" s="23"/>
      <c r="AL18" s="23"/>
      <c r="AM18" s="23"/>
      <c r="AN18" s="23"/>
      <c r="AO18" s="23"/>
      <c r="AP18" s="23"/>
      <c r="AQ18" s="23"/>
      <c r="AR18" s="26"/>
      <c r="AS18" s="26"/>
      <c r="AX18">
        <v>4</v>
      </c>
      <c r="AY18">
        <v>4</v>
      </c>
      <c r="AZ18">
        <f>AX18-AY18</f>
        <v>0</v>
      </c>
      <c r="BA18">
        <v>25</v>
      </c>
      <c r="BB18">
        <v>3</v>
      </c>
      <c r="BC18" s="119">
        <v>25.07733</v>
      </c>
      <c r="BD18">
        <f t="shared" si="25"/>
        <v>-21</v>
      </c>
      <c r="BE18" s="119">
        <f t="shared" si="26"/>
        <v>16.225225225225227</v>
      </c>
      <c r="BF18">
        <v>16</v>
      </c>
      <c r="BG18" s="119">
        <f t="shared" si="27"/>
        <v>-13.225225225225227</v>
      </c>
      <c r="BH18" s="119">
        <f t="shared" si="28"/>
        <v>-13</v>
      </c>
      <c r="BI18" s="119">
        <f t="shared" si="13"/>
        <v>-21.07733</v>
      </c>
      <c r="BJ18" s="23">
        <v>-0.25900000000000001</v>
      </c>
      <c r="BK18" s="23">
        <f t="shared" si="29"/>
        <v>-9.2589900527123681E-2</v>
      </c>
      <c r="BL18" s="23">
        <f t="shared" si="30"/>
        <v>-0.17792174899763252</v>
      </c>
      <c r="BM18" s="23">
        <f t="shared" si="31"/>
        <v>-0.25243548944535371</v>
      </c>
      <c r="BN18" s="119">
        <v>0</v>
      </c>
      <c r="BO18" s="119">
        <v>0</v>
      </c>
      <c r="BP18">
        <v>2</v>
      </c>
      <c r="BQ18" s="119">
        <f t="shared" si="32"/>
        <v>-2</v>
      </c>
      <c r="BR18" s="23">
        <f t="shared" si="33"/>
        <v>-0.11271884563429334</v>
      </c>
      <c r="BS18" s="23">
        <f t="shared" si="16"/>
        <v>-0.16162102315679772</v>
      </c>
      <c r="BT18" s="119">
        <v>4</v>
      </c>
      <c r="BU18" s="119">
        <f t="shared" si="17"/>
        <v>-4</v>
      </c>
      <c r="BV18" s="23">
        <v>-0.32200000000000001</v>
      </c>
      <c r="BW18" s="23">
        <v>-0.27500000000000002</v>
      </c>
      <c r="BX18" s="23">
        <f t="shared" si="18"/>
        <v>-0.26982661708401529</v>
      </c>
      <c r="BY18" s="34">
        <v>0</v>
      </c>
      <c r="BZ18" s="77">
        <v>0</v>
      </c>
      <c r="CA18" s="34">
        <v>27333</v>
      </c>
      <c r="CB18" s="34">
        <v>0</v>
      </c>
      <c r="CC18" s="34">
        <f t="shared" si="34"/>
        <v>8212.7049999999999</v>
      </c>
      <c r="CD18" s="34">
        <f t="shared" si="19"/>
        <v>-8212.7049999999999</v>
      </c>
      <c r="CE18" s="36">
        <f t="shared" si="35"/>
        <v>-5.3807363629287827E-2</v>
      </c>
      <c r="CF18" s="36">
        <f t="shared" si="36"/>
        <v>-0.11849555934579376</v>
      </c>
      <c r="CG18" s="34">
        <v>24359.72</v>
      </c>
      <c r="CH18">
        <f t="shared" si="37"/>
        <v>-27333</v>
      </c>
      <c r="CI18" s="34">
        <f t="shared" si="22"/>
        <v>-24359.72</v>
      </c>
      <c r="CJ18" s="23">
        <v>-0.13600000000000001</v>
      </c>
      <c r="CK18" s="23">
        <f t="shared" si="38"/>
        <v>-0.14506721357876021</v>
      </c>
    </row>
    <row r="19" spans="1:89" x14ac:dyDescent="0.25">
      <c r="A19" s="9" t="s">
        <v>52</v>
      </c>
      <c r="B19" s="9" t="s">
        <v>53</v>
      </c>
      <c r="C19" s="10">
        <f t="shared" si="0"/>
        <v>36</v>
      </c>
      <c r="D19">
        <v>0</v>
      </c>
      <c r="E19">
        <v>0</v>
      </c>
      <c r="F19">
        <v>0</v>
      </c>
      <c r="G19" s="8">
        <v>36</v>
      </c>
      <c r="H19">
        <v>0</v>
      </c>
      <c r="I19">
        <v>0</v>
      </c>
      <c r="J19">
        <v>0</v>
      </c>
      <c r="L19">
        <v>61.5</v>
      </c>
      <c r="M19" s="25">
        <f t="shared" si="1"/>
        <v>1.7083333333333333</v>
      </c>
      <c r="N19" s="23">
        <f>M19/M79</f>
        <v>2.6480766150284784E-2</v>
      </c>
      <c r="O19">
        <v>0.5</v>
      </c>
      <c r="P19" s="23">
        <f t="shared" si="2"/>
        <v>1.3888888888888888E-2</v>
      </c>
      <c r="Q19" s="40">
        <f>P19/P79</f>
        <v>9.2946210631386465E-4</v>
      </c>
      <c r="R19" s="23">
        <f t="shared" si="3"/>
        <v>1.2847222222222223</v>
      </c>
      <c r="S19" s="42">
        <f>R19/R79</f>
        <v>2.4649357501154573E-2</v>
      </c>
      <c r="T19" s="42">
        <f t="shared" si="4"/>
        <v>2.0092940139292054E-2</v>
      </c>
      <c r="U19" s="34">
        <v>20288</v>
      </c>
      <c r="V19" s="34">
        <f t="shared" si="5"/>
        <v>563.55555555555554</v>
      </c>
      <c r="W19" s="34"/>
      <c r="X19" s="40">
        <f>V19/V79</f>
        <v>7.2368446176705849E-3</v>
      </c>
      <c r="Y19" s="48">
        <f t="shared" si="6"/>
        <v>1.4950501930643467E-2</v>
      </c>
      <c r="Z19" s="48">
        <v>-2.3E-2</v>
      </c>
      <c r="AA19" s="137">
        <v>-0.14499999999999999</v>
      </c>
      <c r="AB19" s="222">
        <v>35</v>
      </c>
      <c r="AC19" s="232">
        <v>-9.0845012532428396E-2</v>
      </c>
      <c r="AD19" s="137">
        <f t="shared" ref="AD19:AD26" si="39">(0.6*BX19)+(0.4*CK19)</f>
        <v>-0.13706326906652733</v>
      </c>
      <c r="AE19" s="61"/>
      <c r="AF19" s="40"/>
      <c r="AG19" s="40"/>
      <c r="AH19" s="37"/>
      <c r="AI19" s="37"/>
      <c r="AJ19" s="23"/>
      <c r="AK19" s="23"/>
      <c r="AL19" s="23"/>
      <c r="AM19" s="23"/>
      <c r="AN19" s="23"/>
      <c r="AO19" s="23"/>
      <c r="AP19" s="23"/>
      <c r="AQ19" s="23"/>
      <c r="AR19" s="26"/>
      <c r="AS19" s="26"/>
      <c r="AX19">
        <v>104</v>
      </c>
      <c r="AY19">
        <v>106</v>
      </c>
      <c r="AZ19">
        <f t="shared" ref="AZ19:AZ26" si="40">AX19-AY19</f>
        <v>-2</v>
      </c>
      <c r="BA19">
        <v>82</v>
      </c>
      <c r="BB19">
        <v>104</v>
      </c>
      <c r="BC19" s="119">
        <v>82.071250000000006</v>
      </c>
      <c r="BD19">
        <f t="shared" si="25"/>
        <v>22</v>
      </c>
      <c r="BE19" s="119">
        <f t="shared" si="26"/>
        <v>113.57657657657658</v>
      </c>
      <c r="BF19" s="119">
        <v>109.76331</v>
      </c>
      <c r="BG19" s="119">
        <f t="shared" si="27"/>
        <v>-9.5765765765765849</v>
      </c>
      <c r="BH19" s="119">
        <f t="shared" si="28"/>
        <v>-5.7633100000000042</v>
      </c>
      <c r="BI19" s="119">
        <f t="shared" si="13"/>
        <v>23.928749999999994</v>
      </c>
      <c r="BJ19" s="23">
        <v>0.125</v>
      </c>
      <c r="BK19" s="23">
        <f t="shared" si="29"/>
        <v>-4.2993483149012628E-2</v>
      </c>
      <c r="BL19" s="25">
        <f t="shared" si="30"/>
        <v>0.13144248388868746</v>
      </c>
      <c r="BM19" s="23">
        <f t="shared" si="31"/>
        <v>0.14885177291220766</v>
      </c>
      <c r="BN19" s="119">
        <v>4</v>
      </c>
      <c r="BO19" s="119">
        <v>3</v>
      </c>
      <c r="BP19" s="119">
        <v>13.847549000000001</v>
      </c>
      <c r="BQ19" s="119">
        <f t="shared" si="32"/>
        <v>-9.8475490000000008</v>
      </c>
      <c r="BR19" s="23">
        <f t="shared" si="33"/>
        <v>-0.44666616554753225</v>
      </c>
      <c r="BS19" s="23">
        <f t="shared" si="16"/>
        <v>-1.308467847036747E-2</v>
      </c>
      <c r="BT19" s="119">
        <v>12</v>
      </c>
      <c r="BU19" s="119">
        <f t="shared" si="17"/>
        <v>-8</v>
      </c>
      <c r="BV19" s="23">
        <v>-0.48099999999999998</v>
      </c>
      <c r="BW19" s="23">
        <v>-2.7E-2</v>
      </c>
      <c r="BX19" s="23">
        <f t="shared" si="18"/>
        <v>-8.611170315844241E-3</v>
      </c>
      <c r="BY19" s="34">
        <v>17775</v>
      </c>
      <c r="BZ19" s="77">
        <v>17775.38</v>
      </c>
      <c r="CA19" s="34">
        <v>79324</v>
      </c>
      <c r="CB19" s="34">
        <v>17308</v>
      </c>
      <c r="CC19" s="34">
        <f t="shared" si="34"/>
        <v>57488.934999999998</v>
      </c>
      <c r="CD19" s="34">
        <f t="shared" si="19"/>
        <v>-40180.934999999998</v>
      </c>
      <c r="CE19" s="36">
        <f t="shared" si="35"/>
        <v>-0.20748551362551976</v>
      </c>
      <c r="CF19" s="36">
        <f t="shared" si="36"/>
        <v>-9.0845012532428396E-2</v>
      </c>
      <c r="CG19" s="34">
        <v>72874.67</v>
      </c>
      <c r="CH19">
        <f t="shared" si="37"/>
        <v>-61549</v>
      </c>
      <c r="CI19" s="34">
        <f t="shared" si="22"/>
        <v>-55099.289999999994</v>
      </c>
      <c r="CJ19" s="23">
        <v>-0.32200000000000001</v>
      </c>
      <c r="CK19" s="23">
        <f t="shared" si="38"/>
        <v>-0.32974141719255196</v>
      </c>
    </row>
    <row r="20" spans="1:89" x14ac:dyDescent="0.25">
      <c r="A20" s="9" t="s">
        <v>52</v>
      </c>
      <c r="B20" s="9" t="s">
        <v>54</v>
      </c>
      <c r="C20" s="10">
        <f t="shared" si="0"/>
        <v>82</v>
      </c>
      <c r="D20">
        <v>0</v>
      </c>
      <c r="E20">
        <v>0</v>
      </c>
      <c r="F20">
        <v>0</v>
      </c>
      <c r="G20" s="8">
        <v>82</v>
      </c>
      <c r="H20">
        <v>0</v>
      </c>
      <c r="I20">
        <v>0</v>
      </c>
      <c r="J20">
        <v>0</v>
      </c>
      <c r="L20">
        <v>6</v>
      </c>
      <c r="M20" s="23">
        <f t="shared" si="1"/>
        <v>7.3170731707317069E-2</v>
      </c>
      <c r="N20" s="23">
        <f>M20/M79</f>
        <v>1.1342148499824535E-3</v>
      </c>
      <c r="O20">
        <v>52</v>
      </c>
      <c r="P20" s="23">
        <f t="shared" si="2"/>
        <v>0.63414634146341464</v>
      </c>
      <c r="Q20" s="40">
        <f>P20/P79</f>
        <v>4.2437879585842803E-2</v>
      </c>
      <c r="R20" s="23">
        <f t="shared" si="3"/>
        <v>0.21341463414634146</v>
      </c>
      <c r="S20" s="40">
        <f>R20/R79</f>
        <v>4.0946856231318073E-3</v>
      </c>
      <c r="T20" s="40">
        <f t="shared" si="4"/>
        <v>1.1460131033947541E-2</v>
      </c>
      <c r="U20" s="34">
        <v>383890</v>
      </c>
      <c r="V20" s="72">
        <f t="shared" si="5"/>
        <v>4681.5853658536589</v>
      </c>
      <c r="W20" s="72"/>
      <c r="X20" s="40">
        <f>V20/V79</f>
        <v>6.01181294781922E-2</v>
      </c>
      <c r="Y20" s="47">
        <f t="shared" si="6"/>
        <v>3.0923330411645408E-2</v>
      </c>
      <c r="Z20" s="47">
        <v>0.79900000000000004</v>
      </c>
      <c r="AA20" s="139">
        <v>0.72799999999999998</v>
      </c>
      <c r="AB20" s="222">
        <v>75</v>
      </c>
      <c r="AC20" s="234">
        <v>0.65065793899049218</v>
      </c>
      <c r="AD20" s="139">
        <f t="shared" si="39"/>
        <v>0.80871933302000931</v>
      </c>
      <c r="AE20" s="67">
        <f>AJ20*AQ3</f>
        <v>251316.29664988173</v>
      </c>
      <c r="AF20" s="40">
        <f>C20*AO20</f>
        <v>0</v>
      </c>
      <c r="AG20" s="40" t="e">
        <f>C20*AP20</f>
        <v>#REF!</v>
      </c>
      <c r="AH20" s="37">
        <f>AM20*AS$3</f>
        <v>271814.34211604291</v>
      </c>
      <c r="AI20" s="37">
        <f>AH20-AE20</f>
        <v>20498.045466161188</v>
      </c>
      <c r="AJ20" s="23">
        <f>C20*AQ20</f>
        <v>4.2509435305846326</v>
      </c>
      <c r="AK20" s="68">
        <f>AL20*AW$9</f>
        <v>242148.4388826713</v>
      </c>
      <c r="AL20" s="23">
        <f>AB20*AR20</f>
        <v>4.6434033177052978</v>
      </c>
      <c r="AM20" s="23">
        <f>C20*AS20</f>
        <v>4.5821365988788187</v>
      </c>
      <c r="AN20" s="23"/>
      <c r="AO20" s="23"/>
      <c r="AP20" s="23" t="e">
        <f>Z20/#REF!</f>
        <v>#REF!</v>
      </c>
      <c r="AQ20" s="23">
        <f>AA20/AT$2</f>
        <v>5.1840774763227231E-2</v>
      </c>
      <c r="AR20" s="243">
        <f>AC20/AW$5</f>
        <v>6.1912044236070635E-2</v>
      </c>
      <c r="AS20" s="26">
        <f>AD20/AW$2</f>
        <v>5.5879714620473399E-2</v>
      </c>
      <c r="AX20">
        <v>194</v>
      </c>
      <c r="AY20">
        <v>194</v>
      </c>
      <c r="AZ20">
        <f t="shared" si="40"/>
        <v>0</v>
      </c>
      <c r="BA20">
        <v>186</v>
      </c>
      <c r="BB20">
        <v>284</v>
      </c>
      <c r="BC20" s="119">
        <v>186.94006999999999</v>
      </c>
      <c r="BD20">
        <f t="shared" si="25"/>
        <v>8</v>
      </c>
      <c r="BE20" s="119">
        <f t="shared" si="26"/>
        <v>243.37837837837839</v>
      </c>
      <c r="BF20" s="119">
        <v>235.2071</v>
      </c>
      <c r="BG20" s="119">
        <f t="shared" si="27"/>
        <v>40.621621621621614</v>
      </c>
      <c r="BH20" s="119">
        <f t="shared" si="28"/>
        <v>48.792900000000003</v>
      </c>
      <c r="BI20" s="119">
        <f t="shared" si="13"/>
        <v>7.0599300000000085</v>
      </c>
      <c r="BJ20" s="23">
        <v>0</v>
      </c>
      <c r="BK20" s="227">
        <f t="shared" si="29"/>
        <v>0.33090571133463637</v>
      </c>
      <c r="BL20" s="23">
        <f t="shared" si="30"/>
        <v>1.5489049175035238E-2</v>
      </c>
      <c r="BM20" s="23">
        <f t="shared" si="31"/>
        <v>-1.5555186582306745E-3</v>
      </c>
      <c r="BN20" s="119">
        <v>55</v>
      </c>
      <c r="BO20" s="119">
        <v>48</v>
      </c>
      <c r="BP20" s="119">
        <v>29.67332</v>
      </c>
      <c r="BQ20" s="119">
        <f t="shared" si="32"/>
        <v>25.32668</v>
      </c>
      <c r="BR20" s="23">
        <f t="shared" si="33"/>
        <v>1.0501501658400798</v>
      </c>
      <c r="BS20" s="25">
        <f t="shared" si="16"/>
        <v>0.27415432834129638</v>
      </c>
      <c r="BT20" s="119">
        <v>26</v>
      </c>
      <c r="BU20" s="119">
        <f t="shared" si="17"/>
        <v>29</v>
      </c>
      <c r="BV20" s="23">
        <v>0.99299999999999999</v>
      </c>
      <c r="BW20" s="23">
        <v>0.248</v>
      </c>
      <c r="BX20" s="23">
        <f t="shared" si="18"/>
        <v>0.247083361006327</v>
      </c>
      <c r="BY20" s="34">
        <v>430588</v>
      </c>
      <c r="BZ20" s="77">
        <v>430587.17000000004</v>
      </c>
      <c r="CA20" s="34">
        <v>166217</v>
      </c>
      <c r="CB20" s="34">
        <v>379002</v>
      </c>
      <c r="CC20" s="34">
        <f t="shared" si="34"/>
        <v>123190.575</v>
      </c>
      <c r="CD20" s="34">
        <f t="shared" si="19"/>
        <v>255811.42499999999</v>
      </c>
      <c r="CE20" s="36">
        <f t="shared" si="35"/>
        <v>1.2154133549642858</v>
      </c>
      <c r="CF20" s="231">
        <f t="shared" si="36"/>
        <v>0.65065793899049218</v>
      </c>
      <c r="CG20" s="34">
        <v>155957.32</v>
      </c>
      <c r="CH20">
        <f t="shared" si="37"/>
        <v>264371</v>
      </c>
      <c r="CI20" s="34">
        <f t="shared" si="22"/>
        <v>274629.85000000003</v>
      </c>
      <c r="CJ20" s="23">
        <v>1.4470000000000001</v>
      </c>
      <c r="CK20" s="23">
        <f t="shared" si="38"/>
        <v>1.6511732910405326</v>
      </c>
    </row>
    <row r="21" spans="1:89" x14ac:dyDescent="0.25">
      <c r="A21" s="7" t="s">
        <v>52</v>
      </c>
      <c r="B21" s="7" t="s">
        <v>55</v>
      </c>
      <c r="C21" s="10">
        <f t="shared" si="0"/>
        <v>73</v>
      </c>
      <c r="D21">
        <v>0</v>
      </c>
      <c r="E21">
        <v>0</v>
      </c>
      <c r="F21">
        <v>0</v>
      </c>
      <c r="G21" s="8">
        <v>73</v>
      </c>
      <c r="H21">
        <v>0</v>
      </c>
      <c r="I21">
        <v>0</v>
      </c>
      <c r="J21">
        <v>0</v>
      </c>
      <c r="L21">
        <v>69</v>
      </c>
      <c r="M21" s="23">
        <f t="shared" si="1"/>
        <v>0.9452054794520548</v>
      </c>
      <c r="N21" s="23">
        <f>M21/M79</f>
        <v>1.4651569911417176E-2</v>
      </c>
      <c r="O21">
        <v>17.5</v>
      </c>
      <c r="P21" s="23">
        <f t="shared" si="2"/>
        <v>0.23972602739726026</v>
      </c>
      <c r="Q21" s="40">
        <f>P21/P79</f>
        <v>1.6042770602129719E-2</v>
      </c>
      <c r="R21" s="23">
        <f t="shared" si="3"/>
        <v>0.76883561643835618</v>
      </c>
      <c r="S21" s="40">
        <f>R21/R79</f>
        <v>1.475128525170909E-2</v>
      </c>
      <c r="T21" s="40">
        <f t="shared" si="4"/>
        <v>1.4999370084095312E-2</v>
      </c>
      <c r="U21" s="34">
        <v>7597</v>
      </c>
      <c r="V21" s="34">
        <f t="shared" si="5"/>
        <v>104.06849315068493</v>
      </c>
      <c r="W21" s="34"/>
      <c r="X21" s="40">
        <f>V21/V79</f>
        <v>1.3363855738839907E-3</v>
      </c>
      <c r="Y21" s="48">
        <f t="shared" si="6"/>
        <v>9.5341762800107838E-3</v>
      </c>
      <c r="Z21" s="48">
        <v>-0.19500000000000001</v>
      </c>
      <c r="AA21" s="137">
        <v>-8.2000000000000003E-2</v>
      </c>
      <c r="AB21" s="222">
        <v>65</v>
      </c>
      <c r="AC21" s="232">
        <v>5.8636645644814633E-2</v>
      </c>
      <c r="AD21" s="137">
        <f t="shared" si="39"/>
        <v>0.1988353253842072</v>
      </c>
      <c r="AE21" s="61"/>
      <c r="AF21" s="40"/>
      <c r="AG21" s="40"/>
      <c r="AH21" s="37"/>
      <c r="AI21" s="37"/>
      <c r="AJ21" s="23"/>
      <c r="AK21" s="23"/>
      <c r="AL21" s="23"/>
      <c r="AM21" s="23"/>
      <c r="AN21" s="23"/>
      <c r="AO21" s="23"/>
      <c r="AP21" s="23"/>
      <c r="AQ21" s="23"/>
      <c r="AR21" s="26"/>
      <c r="AS21" s="26"/>
      <c r="AX21">
        <v>191</v>
      </c>
      <c r="AY21">
        <v>191</v>
      </c>
      <c r="AZ21">
        <f t="shared" si="40"/>
        <v>0</v>
      </c>
      <c r="BA21">
        <v>165</v>
      </c>
      <c r="BB21">
        <v>224</v>
      </c>
      <c r="BC21" s="119">
        <v>166.42225999999999</v>
      </c>
      <c r="BD21">
        <f t="shared" si="25"/>
        <v>26</v>
      </c>
      <c r="BE21" s="119">
        <f t="shared" si="26"/>
        <v>210.92792792792793</v>
      </c>
      <c r="BF21" s="119">
        <v>203.84614999999999</v>
      </c>
      <c r="BG21" s="119">
        <f t="shared" si="27"/>
        <v>13.072072072072075</v>
      </c>
      <c r="BH21" s="119">
        <f t="shared" si="28"/>
        <v>20.153850000000006</v>
      </c>
      <c r="BI21" s="119">
        <f t="shared" si="13"/>
        <v>24.577740000000006</v>
      </c>
      <c r="BJ21" s="23">
        <v>0.161</v>
      </c>
      <c r="BK21" s="25">
        <f t="shared" si="29"/>
        <v>0.13462892220692854</v>
      </c>
      <c r="BL21" s="25">
        <f t="shared" si="30"/>
        <v>0.13590353211819103</v>
      </c>
      <c r="BM21" s="23">
        <f t="shared" si="31"/>
        <v>0.15463835597826092</v>
      </c>
      <c r="BN21" s="119">
        <v>40</v>
      </c>
      <c r="BO21" s="119">
        <v>54</v>
      </c>
      <c r="BP21" s="119">
        <v>25.716877</v>
      </c>
      <c r="BQ21" s="119">
        <f t="shared" si="32"/>
        <v>14.283123</v>
      </c>
      <c r="BR21" s="23">
        <f t="shared" si="33"/>
        <v>0.5801988138371692</v>
      </c>
      <c r="BS21" s="25">
        <f t="shared" si="16"/>
        <v>0.24697735254793557</v>
      </c>
      <c r="BT21" s="119">
        <v>23</v>
      </c>
      <c r="BU21" s="119">
        <f t="shared" si="17"/>
        <v>17</v>
      </c>
      <c r="BV21" s="23">
        <v>0.51500000000000001</v>
      </c>
      <c r="BW21" s="23">
        <v>0.249</v>
      </c>
      <c r="BX21" s="23">
        <f t="shared" si="18"/>
        <v>0.24472876698369569</v>
      </c>
      <c r="BY21" s="34">
        <v>40800</v>
      </c>
      <c r="BZ21" s="77">
        <v>161493.44</v>
      </c>
      <c r="CA21" s="34">
        <v>149727</v>
      </c>
      <c r="CB21" s="34">
        <v>63175</v>
      </c>
      <c r="CC21" s="34">
        <f t="shared" si="34"/>
        <v>106765.16499999999</v>
      </c>
      <c r="CD21" s="34">
        <f t="shared" si="19"/>
        <v>-43590.164999999994</v>
      </c>
      <c r="CE21" s="36">
        <f t="shared" si="35"/>
        <v>-0.22387441470986671</v>
      </c>
      <c r="CF21" s="36">
        <f t="shared" si="36"/>
        <v>5.8636645644814633E-2</v>
      </c>
      <c r="CG21" s="34">
        <v>140068.21</v>
      </c>
      <c r="CH21">
        <f t="shared" si="37"/>
        <v>-108927</v>
      </c>
      <c r="CI21" s="34">
        <f t="shared" si="22"/>
        <v>21425.23000000001</v>
      </c>
      <c r="CJ21" s="23">
        <v>-0.57899999999999996</v>
      </c>
      <c r="CK21" s="23">
        <f t="shared" si="38"/>
        <v>0.12999516298497443</v>
      </c>
    </row>
    <row r="22" spans="1:89" x14ac:dyDescent="0.25">
      <c r="A22" s="7" t="s">
        <v>52</v>
      </c>
      <c r="B22" s="7" t="s">
        <v>56</v>
      </c>
      <c r="C22" s="10">
        <f t="shared" si="0"/>
        <v>90</v>
      </c>
      <c r="D22">
        <v>0</v>
      </c>
      <c r="E22">
        <v>0</v>
      </c>
      <c r="F22">
        <v>0</v>
      </c>
      <c r="G22" s="8">
        <v>90</v>
      </c>
      <c r="H22">
        <v>0</v>
      </c>
      <c r="I22">
        <v>0</v>
      </c>
      <c r="J22">
        <v>0</v>
      </c>
      <c r="L22">
        <v>102.5</v>
      </c>
      <c r="M22" s="26">
        <f t="shared" si="1"/>
        <v>1.1388888888888888</v>
      </c>
      <c r="N22" s="23">
        <f>M22/M79</f>
        <v>1.7653844100189855E-2</v>
      </c>
      <c r="O22">
        <v>16</v>
      </c>
      <c r="P22" s="23">
        <f t="shared" si="2"/>
        <v>0.17777777777777778</v>
      </c>
      <c r="Q22" s="40">
        <f>P22/P79</f>
        <v>1.1897114960817469E-2</v>
      </c>
      <c r="R22" s="23">
        <f t="shared" si="3"/>
        <v>0.89861111111111103</v>
      </c>
      <c r="S22" s="40">
        <f>R22/R79</f>
        <v>1.7241226273780549E-2</v>
      </c>
      <c r="T22" s="40">
        <f t="shared" si="4"/>
        <v>1.6214661815346757E-2</v>
      </c>
      <c r="U22" s="34">
        <v>132415</v>
      </c>
      <c r="V22" s="72">
        <f t="shared" si="5"/>
        <v>1471.2777777777778</v>
      </c>
      <c r="W22" s="72"/>
      <c r="X22" s="40">
        <f>V22/V79</f>
        <v>1.8893272477303834E-2</v>
      </c>
      <c r="Y22" s="48">
        <f t="shared" si="6"/>
        <v>1.7286106080129586E-2</v>
      </c>
      <c r="Z22" s="47">
        <v>0.89500000000000002</v>
      </c>
      <c r="AA22" s="137">
        <v>-0.246</v>
      </c>
      <c r="AB22" s="222">
        <v>92</v>
      </c>
      <c r="AC22" s="232">
        <v>-0.20375760563998274</v>
      </c>
      <c r="AD22" s="137">
        <f t="shared" si="39"/>
        <v>-0.1937797441371914</v>
      </c>
      <c r="AE22" s="70"/>
      <c r="AF22" s="40"/>
      <c r="AG22" s="40" t="e">
        <f>C22*AP22</f>
        <v>#REF!</v>
      </c>
      <c r="AH22" s="37"/>
      <c r="AI22" s="37"/>
      <c r="AJ22" s="23"/>
      <c r="AK22" s="23"/>
      <c r="AL22" s="23"/>
      <c r="AM22" s="23"/>
      <c r="AN22" s="23"/>
      <c r="AO22" s="23"/>
      <c r="AP22" s="23" t="e">
        <f>Z22/#REF!</f>
        <v>#REF!</v>
      </c>
      <c r="AQ22" s="23"/>
      <c r="AR22" s="26"/>
      <c r="AS22" s="26"/>
      <c r="AX22">
        <v>197</v>
      </c>
      <c r="AY22">
        <v>197</v>
      </c>
      <c r="AZ22">
        <f t="shared" si="40"/>
        <v>0</v>
      </c>
      <c r="BA22">
        <v>204</v>
      </c>
      <c r="BB22">
        <v>242</v>
      </c>
      <c r="BC22" s="119">
        <v>205.17813000000001</v>
      </c>
      <c r="BD22">
        <f t="shared" si="25"/>
        <v>-7</v>
      </c>
      <c r="BE22" s="119">
        <f t="shared" si="26"/>
        <v>298.54414414414418</v>
      </c>
      <c r="BF22" s="119">
        <v>288.52071000000001</v>
      </c>
      <c r="BG22" s="119">
        <f t="shared" si="27"/>
        <v>-56.544144144144184</v>
      </c>
      <c r="BH22" s="119">
        <f t="shared" si="28"/>
        <v>-46.520710000000008</v>
      </c>
      <c r="BI22" s="119">
        <f t="shared" si="13"/>
        <v>-8.1781300000000101</v>
      </c>
      <c r="BJ22" s="23">
        <v>-0.13400000000000001</v>
      </c>
      <c r="BK22" s="23">
        <f t="shared" si="29"/>
        <v>-0.32232298622937461</v>
      </c>
      <c r="BL22" s="23">
        <f t="shared" si="30"/>
        <v>-8.9254815266740686E-2</v>
      </c>
      <c r="BM22" s="23">
        <f t="shared" si="31"/>
        <v>-0.13742248110064448</v>
      </c>
      <c r="BN22" s="119">
        <v>44</v>
      </c>
      <c r="BO22" s="119">
        <v>35</v>
      </c>
      <c r="BP22" s="119">
        <v>36.399272000000003</v>
      </c>
      <c r="BQ22" s="119">
        <f t="shared" si="32"/>
        <v>7.6007279999999966</v>
      </c>
      <c r="BR22" s="23">
        <f t="shared" si="33"/>
        <v>0.29583386105361498</v>
      </c>
      <c r="BS22" s="23">
        <f t="shared" si="16"/>
        <v>7.0173538133482261E-3</v>
      </c>
      <c r="BT22" s="119">
        <v>29</v>
      </c>
      <c r="BU22" s="119">
        <f t="shared" si="17"/>
        <v>15</v>
      </c>
      <c r="BV22" s="23">
        <v>0.435</v>
      </c>
      <c r="BW22" s="23">
        <v>8.0000000000000002E-3</v>
      </c>
      <c r="BX22" s="23">
        <f t="shared" si="18"/>
        <v>5.683139174516641E-3</v>
      </c>
      <c r="BY22" s="34">
        <v>62700</v>
      </c>
      <c r="BZ22" s="77">
        <v>87700</v>
      </c>
      <c r="CA22" s="34">
        <v>180720</v>
      </c>
      <c r="CB22" s="34">
        <v>45940</v>
      </c>
      <c r="CC22" s="34">
        <f t="shared" si="34"/>
        <v>151113.772</v>
      </c>
      <c r="CD22" s="34">
        <f t="shared" si="19"/>
        <v>-105173.772</v>
      </c>
      <c r="CE22" s="36">
        <f t="shared" si="35"/>
        <v>-0.51992004481997922</v>
      </c>
      <c r="CF22" s="36">
        <f t="shared" si="36"/>
        <v>-0.20375760563998274</v>
      </c>
      <c r="CG22" s="34">
        <v>169969.85</v>
      </c>
      <c r="CH22">
        <f t="shared" si="37"/>
        <v>-118020</v>
      </c>
      <c r="CI22" s="34">
        <f t="shared" si="22"/>
        <v>-82269.850000000006</v>
      </c>
      <c r="CJ22" s="23">
        <v>-0.628</v>
      </c>
      <c r="CK22" s="23">
        <f t="shared" si="38"/>
        <v>-0.49297406910475344</v>
      </c>
    </row>
    <row r="23" spans="1:89" x14ac:dyDescent="0.25">
      <c r="A23" s="9" t="s">
        <v>52</v>
      </c>
      <c r="B23" s="9" t="s">
        <v>57</v>
      </c>
      <c r="C23" s="10">
        <f t="shared" si="0"/>
        <v>65</v>
      </c>
      <c r="D23">
        <v>0</v>
      </c>
      <c r="E23">
        <v>0</v>
      </c>
      <c r="F23">
        <v>0</v>
      </c>
      <c r="G23" s="8">
        <v>65</v>
      </c>
      <c r="H23">
        <v>0</v>
      </c>
      <c r="I23">
        <v>0</v>
      </c>
      <c r="J23">
        <v>0</v>
      </c>
      <c r="L23">
        <v>16.5</v>
      </c>
      <c r="M23" s="23">
        <f t="shared" si="1"/>
        <v>0.25384615384615383</v>
      </c>
      <c r="N23" s="23">
        <f>M23/M79</f>
        <v>3.9348530564775885E-3</v>
      </c>
      <c r="O23">
        <v>10</v>
      </c>
      <c r="P23" s="23">
        <f t="shared" si="2"/>
        <v>0.15384615384615385</v>
      </c>
      <c r="Q23" s="40">
        <f>P23/P79</f>
        <v>1.029558025455358E-2</v>
      </c>
      <c r="R23" s="23">
        <f t="shared" si="3"/>
        <v>0.22884615384615384</v>
      </c>
      <c r="S23" s="40">
        <f>R23/R79</f>
        <v>4.3907628912659537E-3</v>
      </c>
      <c r="T23" s="40">
        <f t="shared" si="4"/>
        <v>5.525034855996586E-3</v>
      </c>
      <c r="U23" s="34">
        <v>0</v>
      </c>
      <c r="V23" s="34">
        <f t="shared" si="5"/>
        <v>0</v>
      </c>
      <c r="W23" s="34"/>
      <c r="X23" s="40">
        <f>V23/V79</f>
        <v>0</v>
      </c>
      <c r="Y23" s="48">
        <f t="shared" si="6"/>
        <v>3.3150209135979513E-3</v>
      </c>
      <c r="Z23" s="48">
        <v>-0.68500000000000005</v>
      </c>
      <c r="AA23" s="137">
        <v>-0.66600000000000004</v>
      </c>
      <c r="AB23" s="222">
        <v>59</v>
      </c>
      <c r="AC23" s="232">
        <v>-0.48065035046327953</v>
      </c>
      <c r="AD23" s="137">
        <f t="shared" si="39"/>
        <v>-0.68087108286532172</v>
      </c>
      <c r="AE23" s="61"/>
      <c r="AF23" s="40"/>
      <c r="AG23" s="40"/>
      <c r="AH23" s="37"/>
      <c r="AI23" s="37"/>
      <c r="AJ23" s="23"/>
      <c r="AK23" s="23"/>
      <c r="AL23" s="23"/>
      <c r="AM23" s="23"/>
      <c r="AN23" s="23"/>
      <c r="AO23" s="23"/>
      <c r="AP23" s="23"/>
      <c r="AQ23" s="23"/>
      <c r="AR23" s="26"/>
      <c r="AS23" s="26"/>
      <c r="AX23">
        <v>70</v>
      </c>
      <c r="AY23">
        <v>70</v>
      </c>
      <c r="AZ23">
        <f t="shared" si="40"/>
        <v>0</v>
      </c>
      <c r="BA23">
        <v>147</v>
      </c>
      <c r="BB23">
        <v>84</v>
      </c>
      <c r="BC23" s="119">
        <v>148.1842</v>
      </c>
      <c r="BD23">
        <f t="shared" si="25"/>
        <v>-77</v>
      </c>
      <c r="BE23" s="119">
        <f t="shared" si="26"/>
        <v>191.45765765765768</v>
      </c>
      <c r="BF23" s="119">
        <v>185.02958000000001</v>
      </c>
      <c r="BG23" s="119">
        <f t="shared" si="27"/>
        <v>-107.45765765765768</v>
      </c>
      <c r="BH23" s="119">
        <f t="shared" si="28"/>
        <v>-101.02958000000001</v>
      </c>
      <c r="BI23" s="119">
        <f t="shared" si="13"/>
        <v>-78.184200000000004</v>
      </c>
      <c r="BJ23" s="23">
        <v>-0.76</v>
      </c>
      <c r="BK23" s="23">
        <f t="shared" si="29"/>
        <v>-0.6958977375769102</v>
      </c>
      <c r="BL23" s="23">
        <f t="shared" si="30"/>
        <v>-0.5704647794079416</v>
      </c>
      <c r="BM23" s="23">
        <f t="shared" si="31"/>
        <v>-0.7616169050254078</v>
      </c>
      <c r="BN23" s="119">
        <v>19</v>
      </c>
      <c r="BO23" s="119">
        <v>12</v>
      </c>
      <c r="BP23" s="119">
        <v>23.343012000000002</v>
      </c>
      <c r="BQ23" s="119">
        <f t="shared" si="32"/>
        <v>-4.3430120000000016</v>
      </c>
      <c r="BR23" s="23">
        <f t="shared" si="33"/>
        <v>-0.21242419031255633</v>
      </c>
      <c r="BS23" s="23">
        <f t="shared" si="16"/>
        <v>-0.48095463213409528</v>
      </c>
      <c r="BT23" s="119">
        <v>21</v>
      </c>
      <c r="BU23" s="119">
        <f t="shared" si="17"/>
        <v>-2</v>
      </c>
      <c r="BV23" s="23">
        <v>-0.24199999999999999</v>
      </c>
      <c r="BW23" s="23">
        <v>-0.63</v>
      </c>
      <c r="BX23" s="23">
        <f t="shared" si="18"/>
        <v>-0.6317126787690559</v>
      </c>
      <c r="BY23" s="34">
        <v>0</v>
      </c>
      <c r="BZ23" s="77">
        <v>0</v>
      </c>
      <c r="CA23" s="34">
        <v>134897</v>
      </c>
      <c r="CB23" s="34">
        <v>0</v>
      </c>
      <c r="CC23" s="34">
        <f t="shared" si="34"/>
        <v>96909.918999999994</v>
      </c>
      <c r="CD23" s="34">
        <f t="shared" si="19"/>
        <v>-96909.918999999994</v>
      </c>
      <c r="CE23" s="36">
        <f t="shared" si="35"/>
        <v>-0.4801939279570559</v>
      </c>
      <c r="CF23" s="36">
        <f t="shared" si="36"/>
        <v>-0.48065035046327953</v>
      </c>
      <c r="CG23" s="34">
        <v>125819.71</v>
      </c>
      <c r="CH23">
        <f t="shared" si="37"/>
        <v>-134897</v>
      </c>
      <c r="CI23" s="34">
        <f t="shared" si="22"/>
        <v>-125819.71</v>
      </c>
      <c r="CJ23" s="23">
        <v>-0.72</v>
      </c>
      <c r="CK23" s="23">
        <f t="shared" si="38"/>
        <v>-0.75460868900972056</v>
      </c>
    </row>
    <row r="24" spans="1:89" x14ac:dyDescent="0.25">
      <c r="A24" s="9" t="s">
        <v>52</v>
      </c>
      <c r="B24" s="9" t="s">
        <v>59</v>
      </c>
      <c r="C24" s="10">
        <f t="shared" si="0"/>
        <v>27</v>
      </c>
      <c r="D24">
        <v>0</v>
      </c>
      <c r="E24">
        <v>0</v>
      </c>
      <c r="F24">
        <v>0</v>
      </c>
      <c r="G24" s="8">
        <v>27</v>
      </c>
      <c r="H24">
        <v>0</v>
      </c>
      <c r="I24">
        <v>0</v>
      </c>
      <c r="J24">
        <v>0</v>
      </c>
      <c r="L24">
        <v>12.5</v>
      </c>
      <c r="M24" s="23">
        <f t="shared" si="1"/>
        <v>0.46296296296296297</v>
      </c>
      <c r="N24" s="23">
        <f>M24/M79</f>
        <v>7.1763593903210804E-3</v>
      </c>
      <c r="O24">
        <v>0.5</v>
      </c>
      <c r="P24" s="23">
        <f t="shared" si="2"/>
        <v>1.8518518518518517E-2</v>
      </c>
      <c r="Q24" s="40">
        <f>P24/P79</f>
        <v>1.2392828084184862E-3</v>
      </c>
      <c r="R24" s="23">
        <f t="shared" si="3"/>
        <v>0.35185185185185186</v>
      </c>
      <c r="S24" s="40">
        <f>R24/R79</f>
        <v>6.7508150273432347E-3</v>
      </c>
      <c r="T24" s="40">
        <f t="shared" si="4"/>
        <v>5.6920902448454316E-3</v>
      </c>
      <c r="U24" s="34">
        <v>133821</v>
      </c>
      <c r="V24" s="72">
        <f t="shared" si="5"/>
        <v>4956.333333333333</v>
      </c>
      <c r="W24" s="72"/>
      <c r="X24" s="40">
        <f>V24/V79</f>
        <v>6.3646279152293331E-2</v>
      </c>
      <c r="Y24" s="47">
        <f t="shared" si="6"/>
        <v>2.8873765807824595E-2</v>
      </c>
      <c r="Z24" s="48">
        <v>9.9000000000000005E-2</v>
      </c>
      <c r="AA24" s="137">
        <v>-0.312</v>
      </c>
      <c r="AB24" s="222">
        <v>26</v>
      </c>
      <c r="AC24" s="232">
        <v>-0.25058004608268086</v>
      </c>
      <c r="AD24" s="137">
        <f t="shared" si="39"/>
        <v>-0.31297170576938588</v>
      </c>
      <c r="AE24" s="70"/>
      <c r="AF24" s="40">
        <f>C24*AO24</f>
        <v>0</v>
      </c>
      <c r="AG24" s="40"/>
      <c r="AH24" s="37"/>
      <c r="AI24" s="37"/>
      <c r="AJ24" s="23"/>
      <c r="AK24" s="23"/>
      <c r="AL24" s="23"/>
      <c r="AM24" s="23"/>
      <c r="AN24" s="23"/>
      <c r="AO24" s="23"/>
      <c r="AP24" s="23"/>
      <c r="AQ24" s="23"/>
      <c r="AR24" s="26"/>
      <c r="AS24" s="26"/>
      <c r="AX24">
        <v>26</v>
      </c>
      <c r="AY24">
        <v>26</v>
      </c>
      <c r="AZ24">
        <f t="shared" si="40"/>
        <v>0</v>
      </c>
      <c r="BA24">
        <v>61</v>
      </c>
      <c r="BB24">
        <v>42</v>
      </c>
      <c r="BC24" s="119">
        <v>61.553440000000002</v>
      </c>
      <c r="BD24">
        <f t="shared" si="25"/>
        <v>-35</v>
      </c>
      <c r="BE24" s="119">
        <f t="shared" si="26"/>
        <v>84.37117117117117</v>
      </c>
      <c r="BF24" s="119">
        <v>81.538460000000001</v>
      </c>
      <c r="BG24" s="119">
        <f t="shared" si="27"/>
        <v>-42.37117117117117</v>
      </c>
      <c r="BH24" s="119">
        <f t="shared" si="28"/>
        <v>-39.538460000000001</v>
      </c>
      <c r="BI24" s="119">
        <f t="shared" si="13"/>
        <v>-35.553440000000002</v>
      </c>
      <c r="BJ24" s="23">
        <v>-0.38400000000000001</v>
      </c>
      <c r="BK24" s="23">
        <f t="shared" si="29"/>
        <v>-0.27447036503953282</v>
      </c>
      <c r="BL24" s="23">
        <f t="shared" si="30"/>
        <v>-0.27742809714721556</v>
      </c>
      <c r="BM24" s="23">
        <f t="shared" si="31"/>
        <v>-0.38150868470001531</v>
      </c>
      <c r="BN24" s="119">
        <v>5</v>
      </c>
      <c r="BO24" s="119">
        <v>15</v>
      </c>
      <c r="BP24" s="119">
        <v>10.286751000000001</v>
      </c>
      <c r="BQ24" s="119">
        <f t="shared" si="32"/>
        <v>-5.2867510000000006</v>
      </c>
      <c r="BR24" s="23">
        <f t="shared" si="33"/>
        <v>-0.2525843867952543</v>
      </c>
      <c r="BS24" s="23">
        <f t="shared" si="16"/>
        <v>-0.27121716955922526</v>
      </c>
      <c r="BT24" s="119">
        <v>9</v>
      </c>
      <c r="BU24" s="119">
        <f t="shared" si="17"/>
        <v>-4</v>
      </c>
      <c r="BV24" s="23">
        <v>-0.32200000000000001</v>
      </c>
      <c r="BW24" s="23">
        <v>-0.36899999999999999</v>
      </c>
      <c r="BX24" s="23">
        <f t="shared" si="18"/>
        <v>-0.3666315135250115</v>
      </c>
      <c r="BY24" s="34">
        <v>16950</v>
      </c>
      <c r="BZ24" s="77">
        <v>16950</v>
      </c>
      <c r="CA24" s="34">
        <v>61253</v>
      </c>
      <c r="CB24" s="34">
        <v>0</v>
      </c>
      <c r="CC24" s="34">
        <f t="shared" si="34"/>
        <v>42706.065999999999</v>
      </c>
      <c r="CD24" s="34">
        <f t="shared" si="19"/>
        <v>-42706.065999999999</v>
      </c>
      <c r="CE24" s="36">
        <f t="shared" si="35"/>
        <v>-0.21962436086786427</v>
      </c>
      <c r="CF24" s="36">
        <f t="shared" si="36"/>
        <v>-0.25058004608268086</v>
      </c>
      <c r="CG24" s="34">
        <v>55860.17</v>
      </c>
      <c r="CH24">
        <f t="shared" si="37"/>
        <v>-44303</v>
      </c>
      <c r="CI24" s="34">
        <f t="shared" si="22"/>
        <v>-38910.17</v>
      </c>
      <c r="CJ24" s="23">
        <v>-0.22800000000000001</v>
      </c>
      <c r="CK24" s="23">
        <f t="shared" si="38"/>
        <v>-0.23248199413594745</v>
      </c>
    </row>
    <row r="25" spans="1:89" x14ac:dyDescent="0.25">
      <c r="A25" s="7" t="s">
        <v>60</v>
      </c>
      <c r="B25" s="7" t="s">
        <v>62</v>
      </c>
      <c r="C25" s="10">
        <f t="shared" si="0"/>
        <v>107</v>
      </c>
      <c r="D25">
        <v>0</v>
      </c>
      <c r="E25">
        <v>0</v>
      </c>
      <c r="F25">
        <v>0</v>
      </c>
      <c r="G25" s="8">
        <v>107</v>
      </c>
      <c r="H25">
        <v>0</v>
      </c>
      <c r="I25">
        <v>0</v>
      </c>
      <c r="J25">
        <v>0</v>
      </c>
      <c r="L25">
        <v>56.5</v>
      </c>
      <c r="M25" s="23">
        <f t="shared" si="1"/>
        <v>0.5280373831775701</v>
      </c>
      <c r="N25" s="23">
        <f>M25/M79</f>
        <v>8.1850738317269592E-3</v>
      </c>
      <c r="O25">
        <v>12</v>
      </c>
      <c r="P25" s="23">
        <f t="shared" si="2"/>
        <v>0.11214953271028037</v>
      </c>
      <c r="Q25" s="40">
        <f>P25/P79</f>
        <v>7.5051893444409261E-3</v>
      </c>
      <c r="R25" s="23">
        <f t="shared" si="3"/>
        <v>0.4240654205607477</v>
      </c>
      <c r="S25" s="40">
        <f>R25/R79</f>
        <v>8.1363426073525636E-3</v>
      </c>
      <c r="T25" s="40">
        <f t="shared" si="4"/>
        <v>8.01510270990545E-3</v>
      </c>
      <c r="U25" s="34">
        <v>160731</v>
      </c>
      <c r="V25" s="72">
        <f t="shared" si="5"/>
        <v>1502.1588785046729</v>
      </c>
      <c r="W25" s="72"/>
      <c r="X25" s="40">
        <f>V25/V79</f>
        <v>1.9289829170570507E-2</v>
      </c>
      <c r="Y25" s="48">
        <f t="shared" si="6"/>
        <v>1.2524993294171474E-2</v>
      </c>
      <c r="Z25" s="48">
        <v>0.01</v>
      </c>
      <c r="AA25" s="137">
        <v>-0.39500000000000002</v>
      </c>
      <c r="AB25" s="222">
        <v>90</v>
      </c>
      <c r="AC25" s="232">
        <v>-4.1549140613106439E-2</v>
      </c>
      <c r="AD25" s="137">
        <f t="shared" si="39"/>
        <v>-0.3842598272949983</v>
      </c>
      <c r="AE25" s="61"/>
      <c r="AF25" s="40"/>
      <c r="AG25" s="40"/>
      <c r="AH25" s="37"/>
      <c r="AI25" s="37"/>
      <c r="AJ25" s="23"/>
      <c r="AK25" s="23"/>
      <c r="AL25" s="23"/>
      <c r="AM25" s="23"/>
      <c r="AN25" s="23"/>
      <c r="AO25" s="23"/>
      <c r="AP25" s="23"/>
      <c r="AQ25" s="23"/>
      <c r="AR25" s="26"/>
      <c r="AS25" s="26"/>
      <c r="AX25">
        <v>227</v>
      </c>
      <c r="AY25">
        <v>227</v>
      </c>
      <c r="AZ25">
        <f t="shared" si="40"/>
        <v>0</v>
      </c>
      <c r="BA25">
        <v>242</v>
      </c>
      <c r="BB25">
        <v>353</v>
      </c>
      <c r="BC25" s="119">
        <v>243.93398999999999</v>
      </c>
      <c r="BD25">
        <f t="shared" si="25"/>
        <v>-15</v>
      </c>
      <c r="BE25" s="119">
        <f t="shared" si="26"/>
        <v>292.05405405405406</v>
      </c>
      <c r="BF25" s="119">
        <v>282.24851999999998</v>
      </c>
      <c r="BG25" s="119">
        <f t="shared" si="27"/>
        <v>60.945945945945937</v>
      </c>
      <c r="BH25" s="119">
        <f t="shared" si="28"/>
        <v>70.751480000000015</v>
      </c>
      <c r="BI25" s="119">
        <f t="shared" si="13"/>
        <v>-16.933989999999994</v>
      </c>
      <c r="BJ25" s="23">
        <v>-0.20599999999999999</v>
      </c>
      <c r="BK25" s="227">
        <f t="shared" si="29"/>
        <v>0.48139811859688514</v>
      </c>
      <c r="BL25" s="23">
        <f t="shared" si="30"/>
        <v>-0.14944112591987929</v>
      </c>
      <c r="BM25" s="23">
        <f t="shared" si="31"/>
        <v>-0.21549226831575122</v>
      </c>
      <c r="BN25" s="119">
        <v>7</v>
      </c>
      <c r="BO25" s="119">
        <v>20</v>
      </c>
      <c r="BP25" s="119">
        <v>35.607984000000002</v>
      </c>
      <c r="BQ25" s="119">
        <f t="shared" si="32"/>
        <v>-28.607984000000002</v>
      </c>
      <c r="BR25" s="23">
        <f t="shared" si="33"/>
        <v>-1.2450042184423307</v>
      </c>
      <c r="BS25" s="23">
        <f t="shared" si="16"/>
        <v>-0.42333189905049212</v>
      </c>
      <c r="BT25" s="119">
        <v>34</v>
      </c>
      <c r="BU25" s="119">
        <f t="shared" si="17"/>
        <v>-27</v>
      </c>
      <c r="BV25" s="23">
        <v>-1.238</v>
      </c>
      <c r="BW25" s="23">
        <v>-0.46400000000000002</v>
      </c>
      <c r="BX25" s="23">
        <f t="shared" si="18"/>
        <v>-0.47111920123681339</v>
      </c>
      <c r="BY25" s="34">
        <v>154957</v>
      </c>
      <c r="BZ25" s="77">
        <v>156957</v>
      </c>
      <c r="CA25" s="34">
        <v>211120</v>
      </c>
      <c r="CB25" s="34">
        <v>261294</v>
      </c>
      <c r="CC25" s="34">
        <f t="shared" si="34"/>
        <v>147828.69</v>
      </c>
      <c r="CD25" s="34">
        <f t="shared" si="19"/>
        <v>113465.31</v>
      </c>
      <c r="CE25" s="36">
        <f t="shared" si="35"/>
        <v>0.53112499704297211</v>
      </c>
      <c r="CF25" s="36">
        <f t="shared" si="36"/>
        <v>-4.1549140613106439E-2</v>
      </c>
      <c r="CG25" s="34">
        <v>199444.04</v>
      </c>
      <c r="CH25">
        <f t="shared" si="37"/>
        <v>-56163</v>
      </c>
      <c r="CI25" s="34">
        <f t="shared" si="22"/>
        <v>-42487.040000000008</v>
      </c>
      <c r="CJ25" s="23">
        <v>-0.29199999999999998</v>
      </c>
      <c r="CK25" s="23">
        <f t="shared" si="38"/>
        <v>-0.25397076638227573</v>
      </c>
    </row>
    <row r="26" spans="1:89" x14ac:dyDescent="0.25">
      <c r="A26" s="9" t="s">
        <v>60</v>
      </c>
      <c r="B26" s="9" t="s">
        <v>64</v>
      </c>
      <c r="C26" s="10">
        <f t="shared" si="0"/>
        <v>24</v>
      </c>
      <c r="D26">
        <v>0</v>
      </c>
      <c r="E26">
        <v>0</v>
      </c>
      <c r="F26">
        <v>0</v>
      </c>
      <c r="G26" s="8">
        <v>24</v>
      </c>
      <c r="H26">
        <v>0</v>
      </c>
      <c r="I26">
        <v>0</v>
      </c>
      <c r="J26">
        <v>0</v>
      </c>
      <c r="L26">
        <v>30.5</v>
      </c>
      <c r="M26" s="25">
        <f t="shared" si="1"/>
        <v>1.2708333333333333</v>
      </c>
      <c r="N26" s="23">
        <f>M26/M79</f>
        <v>1.9699106526431365E-2</v>
      </c>
      <c r="O26">
        <v>13</v>
      </c>
      <c r="P26" s="23">
        <f t="shared" si="2"/>
        <v>0.54166666666666663</v>
      </c>
      <c r="Q26" s="40">
        <f>P26/P79</f>
        <v>3.624902214624072E-2</v>
      </c>
      <c r="R26" s="23">
        <f t="shared" si="3"/>
        <v>1.0885416666666667</v>
      </c>
      <c r="S26" s="42">
        <f>R26/R79</f>
        <v>2.0885333990843132E-2</v>
      </c>
      <c r="T26" s="42">
        <f t="shared" si="4"/>
        <v>2.3836585431383703E-2</v>
      </c>
      <c r="U26" s="34">
        <v>204898</v>
      </c>
      <c r="V26" s="72">
        <f t="shared" si="5"/>
        <v>8537.4166666666661</v>
      </c>
      <c r="W26" s="72"/>
      <c r="X26" s="40">
        <f>V26/V79</f>
        <v>0.10963241732586756</v>
      </c>
      <c r="Y26" s="47">
        <f t="shared" si="6"/>
        <v>5.815491818917725E-2</v>
      </c>
      <c r="Z26" s="47">
        <v>0.75800000000000001</v>
      </c>
      <c r="AA26" s="139">
        <v>1.1439999999999999</v>
      </c>
      <c r="AB26" s="222">
        <v>29</v>
      </c>
      <c r="AC26" s="234">
        <v>0.88103006432769859</v>
      </c>
      <c r="AD26" s="139">
        <f t="shared" si="39"/>
        <v>1.3004179716373017</v>
      </c>
      <c r="AE26" s="67">
        <f>AJ26*AQ$3</f>
        <v>115587.98312816861</v>
      </c>
      <c r="AF26" s="40">
        <f>C26*AO26</f>
        <v>0</v>
      </c>
      <c r="AG26" s="40" t="e">
        <f>C26*AP26</f>
        <v>#REF!</v>
      </c>
      <c r="AH26" s="37">
        <f>AM26*AS$3</f>
        <v>127924.84370041605</v>
      </c>
      <c r="AI26" s="37">
        <f>AH26-AE26</f>
        <v>12336.860572247446</v>
      </c>
      <c r="AJ26" s="23">
        <f>C26*AQ26</f>
        <v>1.9551377910702841</v>
      </c>
      <c r="AK26" s="68">
        <f>AL26*AW$9</f>
        <v>126781.65110806514</v>
      </c>
      <c r="AL26" s="23">
        <f>AB26*AR26</f>
        <v>2.4311465400963765</v>
      </c>
      <c r="AM26" s="23">
        <f>C26*AS26</f>
        <v>2.1565054428779247</v>
      </c>
      <c r="AN26" s="23"/>
      <c r="AO26" s="23"/>
      <c r="AP26" s="23" t="e">
        <f>Z26/#REF!</f>
        <v>#REF!</v>
      </c>
      <c r="AQ26" s="23">
        <f>AA26/AT$2</f>
        <v>8.1464074627928498E-2</v>
      </c>
      <c r="AR26" s="243">
        <f>AC26/AW$5</f>
        <v>8.3832639313668161E-2</v>
      </c>
      <c r="AS26" s="26">
        <f>AD26/AW$2</f>
        <v>8.9854393453246861E-2</v>
      </c>
      <c r="AX26">
        <v>61</v>
      </c>
      <c r="AY26">
        <v>61</v>
      </c>
      <c r="AZ26">
        <f t="shared" si="40"/>
        <v>0</v>
      </c>
      <c r="BA26">
        <v>54</v>
      </c>
      <c r="BB26">
        <v>40</v>
      </c>
      <c r="BC26" s="119">
        <v>54.714170000000003</v>
      </c>
      <c r="BD26">
        <f t="shared" si="25"/>
        <v>7</v>
      </c>
      <c r="BE26" s="119">
        <f t="shared" si="26"/>
        <v>94.106306306306308</v>
      </c>
      <c r="BF26" s="119">
        <v>90.946749999999994</v>
      </c>
      <c r="BG26" s="119">
        <f t="shared" si="27"/>
        <v>-54.106306306306308</v>
      </c>
      <c r="BH26" s="119">
        <f t="shared" si="28"/>
        <v>-50.946749999999994</v>
      </c>
      <c r="BI26" s="119">
        <f t="shared" si="13"/>
        <v>6.2858299999999971</v>
      </c>
      <c r="BJ26" s="23">
        <v>-8.9999999999999993E-3</v>
      </c>
      <c r="BK26" s="23">
        <f t="shared" si="29"/>
        <v>-0.35265670608917438</v>
      </c>
      <c r="BL26" s="23">
        <f t="shared" si="30"/>
        <v>1.0168015824045687E-2</v>
      </c>
      <c r="BM26" s="23">
        <f t="shared" si="31"/>
        <v>-8.457618769837659E-3</v>
      </c>
      <c r="BN26" s="119">
        <v>16</v>
      </c>
      <c r="BO26" s="119">
        <v>10</v>
      </c>
      <c r="BP26" s="119">
        <v>11.473684</v>
      </c>
      <c r="BQ26" s="119">
        <f t="shared" si="32"/>
        <v>4.5263159999999996</v>
      </c>
      <c r="BR26" s="23">
        <f t="shared" si="33"/>
        <v>0.1650042672901228</v>
      </c>
      <c r="BS26" s="23">
        <f t="shared" si="16"/>
        <v>4.8877078690564964E-2</v>
      </c>
      <c r="BT26" s="119">
        <v>8</v>
      </c>
      <c r="BU26" s="119">
        <f t="shared" si="17"/>
        <v>8</v>
      </c>
      <c r="BV26" s="23">
        <v>0.156</v>
      </c>
      <c r="BW26" s="23">
        <v>3.2000000000000001E-2</v>
      </c>
      <c r="BX26" s="23">
        <f t="shared" si="18"/>
        <v>3.2656785922621757E-2</v>
      </c>
      <c r="BY26" s="34">
        <v>571008</v>
      </c>
      <c r="BZ26" s="77">
        <v>582878</v>
      </c>
      <c r="CA26" s="34">
        <v>55101</v>
      </c>
      <c r="CB26" s="34">
        <v>493544</v>
      </c>
      <c r="CC26" s="34">
        <f t="shared" si="34"/>
        <v>47633.688999999998</v>
      </c>
      <c r="CD26" s="34">
        <f t="shared" si="19"/>
        <v>445910.31099999999</v>
      </c>
      <c r="CE26" s="36">
        <f t="shared" si="35"/>
        <v>2.1292595427833989</v>
      </c>
      <c r="CF26" s="231">
        <f t="shared" si="36"/>
        <v>0.88103006432769859</v>
      </c>
      <c r="CG26" s="34">
        <v>50098.49</v>
      </c>
      <c r="CH26">
        <f t="shared" si="37"/>
        <v>515907</v>
      </c>
      <c r="CI26" s="34">
        <f t="shared" si="22"/>
        <v>532779.51</v>
      </c>
      <c r="CJ26" s="23">
        <v>2.8130000000000002</v>
      </c>
      <c r="CK26" s="23">
        <f t="shared" si="38"/>
        <v>3.2020597502093215</v>
      </c>
    </row>
    <row r="27" spans="1:89" x14ac:dyDescent="0.25">
      <c r="A27" s="9" t="s">
        <v>60</v>
      </c>
      <c r="B27" s="223" t="s">
        <v>317</v>
      </c>
      <c r="C27" s="10">
        <v>0</v>
      </c>
      <c r="G27" s="8"/>
      <c r="M27" s="25"/>
      <c r="N27" s="23"/>
      <c r="P27" s="23"/>
      <c r="Q27" s="40"/>
      <c r="R27" s="23"/>
      <c r="S27" s="42"/>
      <c r="T27" s="42"/>
      <c r="U27" s="34"/>
      <c r="V27" s="72"/>
      <c r="W27" s="72"/>
      <c r="X27" s="40"/>
      <c r="Y27" s="47"/>
      <c r="Z27" s="47"/>
      <c r="AA27" s="139"/>
      <c r="AB27" s="225">
        <v>4</v>
      </c>
      <c r="AC27" s="233"/>
      <c r="AD27" s="137"/>
      <c r="AE27" s="67"/>
      <c r="AF27" s="40"/>
      <c r="AG27" s="40"/>
      <c r="AH27" s="37"/>
      <c r="AI27" s="37"/>
      <c r="AJ27" s="23"/>
      <c r="AK27" s="23"/>
      <c r="AL27" s="23"/>
      <c r="AM27" s="23"/>
      <c r="AN27" s="23"/>
      <c r="AO27" s="23"/>
      <c r="AP27" s="23"/>
      <c r="AQ27" s="23"/>
      <c r="AR27" s="26"/>
      <c r="AS27" s="26"/>
      <c r="BC27" s="119"/>
      <c r="BE27" s="119"/>
      <c r="BG27" s="119"/>
      <c r="BI27" s="119"/>
      <c r="BJ27" s="23"/>
      <c r="BK27" s="23"/>
      <c r="BL27" s="23"/>
      <c r="BM27" s="23"/>
      <c r="BN27" s="119"/>
      <c r="BO27" s="119"/>
      <c r="BQ27" s="119"/>
      <c r="BR27" s="119"/>
      <c r="BS27" s="119"/>
      <c r="BT27" s="119"/>
      <c r="BU27" s="119"/>
      <c r="BV27" s="23"/>
      <c r="BW27" s="23"/>
      <c r="BX27" s="23"/>
      <c r="BY27" s="34"/>
      <c r="BZ27" s="77"/>
      <c r="CA27" s="34"/>
      <c r="CB27" s="34"/>
      <c r="CC27" s="34"/>
      <c r="CD27" s="34"/>
      <c r="CE27" s="36"/>
      <c r="CF27" s="36"/>
      <c r="CG27" s="34"/>
      <c r="CI27" s="34"/>
      <c r="CJ27" s="23"/>
      <c r="CK27" s="23"/>
    </row>
    <row r="28" spans="1:89" x14ac:dyDescent="0.25">
      <c r="A28" s="9" t="s">
        <v>68</v>
      </c>
      <c r="B28" s="9" t="s">
        <v>70</v>
      </c>
      <c r="C28" s="10">
        <f t="shared" si="0"/>
        <v>31</v>
      </c>
      <c r="D28" s="8">
        <v>0</v>
      </c>
      <c r="E28" s="8">
        <v>0</v>
      </c>
      <c r="F28" s="8">
        <v>0</v>
      </c>
      <c r="G28" s="8">
        <v>20</v>
      </c>
      <c r="H28" s="8">
        <v>0</v>
      </c>
      <c r="I28" s="8">
        <v>0</v>
      </c>
      <c r="J28" s="8">
        <v>11</v>
      </c>
      <c r="K28" s="8"/>
      <c r="L28" s="8">
        <v>34.5</v>
      </c>
      <c r="M28" s="26">
        <f t="shared" si="1"/>
        <v>1.1129032258064515</v>
      </c>
      <c r="N28" s="23">
        <f>M28/M79</f>
        <v>1.7251041992475059E-2</v>
      </c>
      <c r="O28" s="8">
        <v>3</v>
      </c>
      <c r="P28" s="23">
        <f t="shared" si="2"/>
        <v>9.6774193548387094E-2</v>
      </c>
      <c r="Q28" s="40">
        <f>P28/P79</f>
        <v>6.4762520956062834E-3</v>
      </c>
      <c r="R28" s="23">
        <f t="shared" si="3"/>
        <v>0.85887096774193539</v>
      </c>
      <c r="S28" s="40">
        <f>R28/R79</f>
        <v>1.6478750943230449E-2</v>
      </c>
      <c r="T28" s="40">
        <f t="shared" si="4"/>
        <v>1.4557344518257865E-2</v>
      </c>
      <c r="U28" s="34">
        <v>0</v>
      </c>
      <c r="V28" s="34">
        <f t="shared" si="5"/>
        <v>0</v>
      </c>
      <c r="W28" s="34"/>
      <c r="X28" s="40">
        <f>V28/V79</f>
        <v>0</v>
      </c>
      <c r="Y28" s="48">
        <f t="shared" si="6"/>
        <v>8.7344067109547188E-3</v>
      </c>
      <c r="Z28" s="48">
        <v>-7.4999999999999997E-2</v>
      </c>
      <c r="AA28" s="139">
        <v>0.50800000000000001</v>
      </c>
      <c r="AB28" s="222">
        <v>32</v>
      </c>
      <c r="AC28" s="234">
        <v>0.40203772911968666</v>
      </c>
      <c r="AD28" s="139">
        <f t="shared" ref="AD28:AD69" si="41">(0.6*BX28)+(0.4*CK28)</f>
        <v>0.50822415567649426</v>
      </c>
      <c r="AE28" s="67">
        <f>AJ28*AQ$3</f>
        <v>66298.06083560604</v>
      </c>
      <c r="AF28" s="40"/>
      <c r="AG28" s="40"/>
      <c r="AH28" s="37">
        <f>AM28*AS$3</f>
        <v>64576.973520190164</v>
      </c>
      <c r="AI28" s="37">
        <f>AH28-AE28</f>
        <v>-1721.0873154158762</v>
      </c>
      <c r="AJ28" s="23">
        <f>C28*AQ28</f>
        <v>1.121412803532009</v>
      </c>
      <c r="AK28" s="68">
        <f>AL28*AW$9</f>
        <v>63838.763496079155</v>
      </c>
      <c r="AL28" s="23">
        <f>AB28*AR28</f>
        <v>1.2241628630095247</v>
      </c>
      <c r="AM28" s="23">
        <f>C28*AS28</f>
        <v>1.088612585738268</v>
      </c>
      <c r="AN28" s="23"/>
      <c r="AO28" s="23"/>
      <c r="AP28" s="23"/>
      <c r="AQ28" s="23">
        <f>AA28/AT$2</f>
        <v>3.6174606565548675E-2</v>
      </c>
      <c r="AR28" s="243">
        <f>AC28/AW$5</f>
        <v>3.8255089469047647E-2</v>
      </c>
      <c r="AS28" s="26">
        <f>AD28/AW$2</f>
        <v>3.51165350238151E-2</v>
      </c>
      <c r="AX28">
        <v>251</v>
      </c>
      <c r="AY28">
        <v>253</v>
      </c>
      <c r="AZ28">
        <f t="shared" ref="AZ28:AZ69" si="42">AX28-AY28</f>
        <v>-2</v>
      </c>
      <c r="BA28">
        <v>70</v>
      </c>
      <c r="BB28">
        <v>320</v>
      </c>
      <c r="BC28" s="119">
        <v>70.672470000000004</v>
      </c>
      <c r="BD28">
        <f>AX28-BA28</f>
        <v>181</v>
      </c>
      <c r="BE28" s="119">
        <f>AB28*BB$78</f>
        <v>103.84144144144145</v>
      </c>
      <c r="BF28" s="119">
        <v>100.35503</v>
      </c>
      <c r="BG28" s="119">
        <f>BB28-BE28</f>
        <v>216.15855855855855</v>
      </c>
      <c r="BH28" s="119">
        <f>BB28-BF28</f>
        <v>219.64497</v>
      </c>
      <c r="BI28" s="119">
        <f>AY28-BC28</f>
        <v>182.32753</v>
      </c>
      <c r="BJ28" s="23">
        <v>1.546</v>
      </c>
      <c r="BK28" s="25">
        <f t="shared" ref="BK28:BK30" si="43">(BH28-BG$77)/BG$78</f>
        <v>1.5018347650365707</v>
      </c>
      <c r="BL28" s="25">
        <f>(BI28-BH$77)/BH$78</f>
        <v>1.2202490865705686</v>
      </c>
      <c r="BM28" s="23">
        <f>(BI28-BI$78)/BI$79</f>
        <v>1.5611812356642993</v>
      </c>
      <c r="BN28" s="119">
        <v>7</v>
      </c>
      <c r="BO28" s="119">
        <v>7</v>
      </c>
      <c r="BP28" s="119">
        <v>12.660617</v>
      </c>
      <c r="BQ28" s="119">
        <f>BN28-BP28</f>
        <v>-5.6606170000000002</v>
      </c>
      <c r="BR28" s="23">
        <f>(BQ28-BQ$77)/BQ$78</f>
        <v>-0.26849401013200347</v>
      </c>
      <c r="BS28" s="25">
        <f t="shared" si="16"/>
        <v>0.84806331239492572</v>
      </c>
      <c r="BT28" s="119">
        <v>10</v>
      </c>
      <c r="BU28" s="119">
        <f t="shared" si="17"/>
        <v>-3</v>
      </c>
      <c r="BV28" s="23">
        <v>-0.28199999999999997</v>
      </c>
      <c r="BW28" s="23">
        <v>1.089</v>
      </c>
      <c r="BX28" s="23">
        <f t="shared" ref="BX28:BX76" si="44">(0.75*BM28)+(0.25*BV28)</f>
        <v>1.1003859267482246</v>
      </c>
      <c r="BY28" s="34">
        <v>0</v>
      </c>
      <c r="BZ28" s="77">
        <v>0</v>
      </c>
      <c r="CA28" s="34">
        <v>69350</v>
      </c>
      <c r="CB28" s="34">
        <v>0</v>
      </c>
      <c r="CC28" s="34">
        <f>AB28*CB$80</f>
        <v>52561.311999999998</v>
      </c>
      <c r="CD28" s="34">
        <f t="shared" si="19"/>
        <v>-52561.311999999998</v>
      </c>
      <c r="CE28" s="36">
        <f>(CD28-CD$77)/CD$78</f>
        <v>-0.26700064579317184</v>
      </c>
      <c r="CF28" s="231">
        <f>(0.6*BS28)+(0.4*CE28)</f>
        <v>0.40203772911968666</v>
      </c>
      <c r="CG28" s="34">
        <v>63468.06</v>
      </c>
      <c r="CH28">
        <f>BY28-CA28</f>
        <v>-69350</v>
      </c>
      <c r="CI28" s="34">
        <f>BZ28-CG28</f>
        <v>-63468.06</v>
      </c>
      <c r="CJ28" s="23">
        <v>-0.36399999999999999</v>
      </c>
      <c r="CK28" s="23">
        <f>(CI28-CI$78)/CI$79</f>
        <v>-0.38001850093110112</v>
      </c>
    </row>
    <row r="29" spans="1:89" x14ac:dyDescent="0.25">
      <c r="A29" s="9" t="s">
        <v>68</v>
      </c>
      <c r="B29" s="9" t="s">
        <v>73</v>
      </c>
      <c r="C29" s="10">
        <f t="shared" si="0"/>
        <v>7</v>
      </c>
      <c r="D29" s="8">
        <v>0</v>
      </c>
      <c r="E29" s="8">
        <v>0</v>
      </c>
      <c r="F29" s="8">
        <v>0</v>
      </c>
      <c r="G29" s="8">
        <v>7</v>
      </c>
      <c r="H29" s="8">
        <v>0</v>
      </c>
      <c r="I29" s="8">
        <v>0</v>
      </c>
      <c r="J29" s="8">
        <v>0</v>
      </c>
      <c r="K29" s="8"/>
      <c r="L29" s="8">
        <v>0.5</v>
      </c>
      <c r="M29" s="23">
        <f t="shared" si="1"/>
        <v>7.1428571428571425E-2</v>
      </c>
      <c r="N29" s="23">
        <f>M29/M79</f>
        <v>1.1072097345066808E-3</v>
      </c>
      <c r="O29" s="8">
        <v>0</v>
      </c>
      <c r="P29" s="23">
        <f t="shared" si="2"/>
        <v>0</v>
      </c>
      <c r="Q29" s="40">
        <f>P29/P79</f>
        <v>0</v>
      </c>
      <c r="R29" s="23">
        <f t="shared" si="3"/>
        <v>5.3571428571428568E-2</v>
      </c>
      <c r="S29" s="40">
        <f>R29/R79</f>
        <v>1.0278496564188006E-3</v>
      </c>
      <c r="T29" s="40">
        <f t="shared" si="4"/>
        <v>8.304073008800106E-4</v>
      </c>
      <c r="U29" s="34">
        <v>0</v>
      </c>
      <c r="V29" s="34">
        <f t="shared" si="5"/>
        <v>0</v>
      </c>
      <c r="W29" s="34"/>
      <c r="X29" s="40">
        <f>V29/V79</f>
        <v>0</v>
      </c>
      <c r="Y29" s="48">
        <f t="shared" si="6"/>
        <v>4.9824438052800636E-4</v>
      </c>
      <c r="Z29" s="48">
        <v>-0.38900000000000001</v>
      </c>
      <c r="AA29" s="139">
        <v>0.77500000000000002</v>
      </c>
      <c r="AB29" s="225">
        <v>0</v>
      </c>
      <c r="AC29" s="233"/>
      <c r="AD29" s="139">
        <f t="shared" si="41"/>
        <v>0.77318059348555523</v>
      </c>
      <c r="AE29" s="67">
        <f>AJ29*AQ$3</f>
        <v>22838.898909903655</v>
      </c>
      <c r="AF29" s="40"/>
      <c r="AG29" s="40"/>
      <c r="AH29" s="37">
        <f>AM29*AS$3</f>
        <v>22183.990747513173</v>
      </c>
      <c r="AI29" s="37">
        <f>AH29-AE29</f>
        <v>-654.90816239048218</v>
      </c>
      <c r="AJ29" s="23">
        <f>C29*AQ29</f>
        <v>0.38631346578366449</v>
      </c>
      <c r="AK29" s="23"/>
      <c r="AL29" s="23"/>
      <c r="AM29" s="23">
        <f>C29*AS29</f>
        <v>0.37396877266311712</v>
      </c>
      <c r="AN29" s="23"/>
      <c r="AO29" s="23"/>
      <c r="AP29" s="23"/>
      <c r="AQ29" s="23">
        <f>AA29/AT$2</f>
        <v>5.5187637969094927E-2</v>
      </c>
      <c r="AR29" s="26"/>
      <c r="AS29" s="26">
        <f>AD29/AW$2</f>
        <v>5.3424110380445304E-2</v>
      </c>
      <c r="AX29">
        <v>221</v>
      </c>
      <c r="AY29">
        <v>221</v>
      </c>
      <c r="AZ29">
        <f t="shared" si="42"/>
        <v>0</v>
      </c>
      <c r="BA29">
        <v>16</v>
      </c>
      <c r="BC29" s="119">
        <v>15.958299999999999</v>
      </c>
      <c r="BD29">
        <f>AX29-BA29</f>
        <v>205</v>
      </c>
      <c r="BE29" s="119"/>
      <c r="BG29" s="119"/>
      <c r="BI29" s="119">
        <f>AY29-BC29</f>
        <v>205.04169999999999</v>
      </c>
      <c r="BJ29" s="23">
        <v>1.76</v>
      </c>
      <c r="BK29" s="23"/>
      <c r="BL29" s="23"/>
      <c r="BM29" s="23">
        <f>(BI29-BI$78)/BI$79</f>
        <v>1.763707363156946</v>
      </c>
      <c r="BN29" s="119">
        <v>9</v>
      </c>
      <c r="BO29" s="119"/>
      <c r="BQ29" s="119"/>
      <c r="BR29" s="119"/>
      <c r="BS29" s="119"/>
      <c r="BT29" s="119">
        <v>2</v>
      </c>
      <c r="BU29" s="119">
        <f t="shared" si="17"/>
        <v>7</v>
      </c>
      <c r="BV29" s="23">
        <v>0.11700000000000001</v>
      </c>
      <c r="BW29" s="23">
        <v>1.349</v>
      </c>
      <c r="BX29" s="23">
        <f t="shared" si="44"/>
        <v>1.3520305223677094</v>
      </c>
      <c r="BY29" s="34">
        <v>0</v>
      </c>
      <c r="BZ29" s="77">
        <v>0</v>
      </c>
      <c r="CA29" s="34">
        <v>18209</v>
      </c>
      <c r="CB29" s="34"/>
      <c r="CC29" s="34"/>
      <c r="CD29" s="34"/>
      <c r="CE29" s="36"/>
      <c r="CF29" s="36"/>
      <c r="CG29" s="34">
        <v>16041.58</v>
      </c>
      <c r="CH29">
        <f>BY29-CA29</f>
        <v>-18209</v>
      </c>
      <c r="CI29" s="34">
        <f>BZ29-CG29</f>
        <v>-16041.58</v>
      </c>
      <c r="CJ29" s="23">
        <v>-8.5999999999999993E-2</v>
      </c>
      <c r="CK29" s="23">
        <f>(CI29-CI$78)/CI$79</f>
        <v>-9.5094299837675769E-2</v>
      </c>
    </row>
    <row r="30" spans="1:89" x14ac:dyDescent="0.25">
      <c r="A30" s="223" t="s">
        <v>318</v>
      </c>
      <c r="B30" s="223" t="s">
        <v>319</v>
      </c>
      <c r="C30" s="10">
        <v>0</v>
      </c>
      <c r="D30" s="8"/>
      <c r="E30" s="8"/>
      <c r="F30" s="8"/>
      <c r="G30" s="8"/>
      <c r="H30" s="8"/>
      <c r="I30" s="8"/>
      <c r="J30" s="8"/>
      <c r="K30" s="8"/>
      <c r="L30" s="8"/>
      <c r="M30" s="23"/>
      <c r="N30" s="23"/>
      <c r="O30" s="8"/>
      <c r="P30" s="23"/>
      <c r="Q30" s="40"/>
      <c r="R30" s="23"/>
      <c r="S30" s="40"/>
      <c r="T30" s="40"/>
      <c r="U30" s="34"/>
      <c r="V30" s="34"/>
      <c r="W30" s="34"/>
      <c r="X30" s="40"/>
      <c r="Y30" s="48"/>
      <c r="Z30" s="48"/>
      <c r="AA30" s="139"/>
      <c r="AB30" s="222">
        <v>9</v>
      </c>
      <c r="AC30" s="232">
        <v>-7.5895134739526152E-2</v>
      </c>
      <c r="AD30" s="137"/>
      <c r="AE30" s="67"/>
      <c r="AF30" s="40"/>
      <c r="AG30" s="40"/>
      <c r="AH30" s="37"/>
      <c r="AI30" s="37"/>
      <c r="AJ30" s="23"/>
      <c r="AK30" s="23"/>
      <c r="AL30" s="23"/>
      <c r="AM30" s="23"/>
      <c r="AN30" s="23"/>
      <c r="AO30" s="23"/>
      <c r="AP30" s="23"/>
      <c r="AQ30" s="23"/>
      <c r="AR30" s="26"/>
      <c r="AS30" s="26"/>
      <c r="BB30">
        <v>0</v>
      </c>
      <c r="BC30" s="119"/>
      <c r="BE30" s="119">
        <f t="shared" ref="BE30:BE76" si="45">AB30*BB$78</f>
        <v>29.205405405405408</v>
      </c>
      <c r="BF30" s="119">
        <v>28.22485</v>
      </c>
      <c r="BG30" s="119">
        <f t="shared" ref="BG30:BG76" si="46">BB30-BE30</f>
        <v>-29.205405405405408</v>
      </c>
      <c r="BH30" s="119">
        <f t="shared" ref="BH30:BH76" si="47">BB30-BF30</f>
        <v>-28.22485</v>
      </c>
      <c r="BI30" s="119"/>
      <c r="BJ30" s="23"/>
      <c r="BK30" s="23">
        <f t="shared" si="43"/>
        <v>-0.19693291026211779</v>
      </c>
      <c r="BL30" s="23">
        <f t="shared" ref="BL30:BL76" si="48">(BI30-BH$77)/BH$78</f>
        <v>-3.3039723574804773E-2</v>
      </c>
      <c r="BM30" s="23"/>
      <c r="BN30" s="119"/>
      <c r="BO30" s="119">
        <v>0</v>
      </c>
      <c r="BP30" s="119">
        <v>3.5607980000000001</v>
      </c>
      <c r="BQ30" s="119">
        <f t="shared" ref="BQ30:BQ76" si="49">BN30-BP30</f>
        <v>-3.5607980000000001</v>
      </c>
      <c r="BR30" s="23">
        <f t="shared" ref="BR30:BR76" si="50">(BQ30-BQ$77)/BQ$78</f>
        <v>-0.17913758466044577</v>
      </c>
      <c r="BS30" s="23">
        <f t="shared" si="16"/>
        <v>-6.9564188846215014E-2</v>
      </c>
      <c r="BT30" s="119"/>
      <c r="BU30" s="119"/>
      <c r="BV30" s="23"/>
      <c r="BW30" s="23"/>
      <c r="BX30" s="23"/>
      <c r="BY30" s="34"/>
      <c r="BZ30" s="77"/>
      <c r="CA30" s="34"/>
      <c r="CB30" s="34">
        <v>0</v>
      </c>
      <c r="CC30" s="34">
        <f t="shared" ref="CC30:CC76" si="51">AB30*CB$80</f>
        <v>14782.868999999999</v>
      </c>
      <c r="CD30" s="34">
        <f t="shared" si="19"/>
        <v>-14782.868999999999</v>
      </c>
      <c r="CE30" s="36">
        <f t="shared" ref="CE30:CE76" si="52">(CD30-CD$77)/CD$78</f>
        <v>-8.5391553579492852E-2</v>
      </c>
      <c r="CF30" s="36">
        <f t="shared" ref="CF30:CF76" si="53">(0.6*BS30)+(0.4*CE30)</f>
        <v>-7.5895134739526152E-2</v>
      </c>
      <c r="CG30" s="34"/>
      <c r="CI30" s="34"/>
      <c r="CJ30" s="23"/>
      <c r="CK30" s="23"/>
    </row>
    <row r="31" spans="1:89" x14ac:dyDescent="0.25">
      <c r="A31" s="7" t="s">
        <v>83</v>
      </c>
      <c r="B31" s="7" t="s">
        <v>86</v>
      </c>
      <c r="C31" s="10">
        <f t="shared" si="0"/>
        <v>10</v>
      </c>
      <c r="D31">
        <v>0</v>
      </c>
      <c r="E31">
        <v>0</v>
      </c>
      <c r="F31">
        <v>0</v>
      </c>
      <c r="G31">
        <v>10</v>
      </c>
      <c r="H31">
        <v>0</v>
      </c>
      <c r="I31">
        <v>0</v>
      </c>
      <c r="J31">
        <v>0</v>
      </c>
      <c r="L31" s="8">
        <v>26</v>
      </c>
      <c r="M31" s="25">
        <f t="shared" si="1"/>
        <v>2.6</v>
      </c>
      <c r="N31" s="23">
        <f>M31/M79</f>
        <v>4.0302434336043184E-2</v>
      </c>
      <c r="O31" s="8">
        <v>1</v>
      </c>
      <c r="P31" s="23">
        <f t="shared" si="2"/>
        <v>0.1</v>
      </c>
      <c r="Q31" s="40">
        <f>P31/P79</f>
        <v>6.6921271654598264E-3</v>
      </c>
      <c r="R31" s="23">
        <f t="shared" si="3"/>
        <v>1.9750000000000001</v>
      </c>
      <c r="S31" s="42">
        <f>R31/R79</f>
        <v>3.7893390666639784E-2</v>
      </c>
      <c r="T31" s="42">
        <f t="shared" si="4"/>
        <v>3.1899857543397345E-2</v>
      </c>
      <c r="U31" s="34">
        <v>0</v>
      </c>
      <c r="V31" s="34">
        <f t="shared" si="5"/>
        <v>0</v>
      </c>
      <c r="W31" s="34"/>
      <c r="X31" s="40">
        <f>V31/V79</f>
        <v>0</v>
      </c>
      <c r="Y31" s="47">
        <f t="shared" si="6"/>
        <v>1.9139914526038405E-2</v>
      </c>
      <c r="Z31" s="48">
        <v>-0.15</v>
      </c>
      <c r="AA31" s="137">
        <v>7.0000000000000001E-3</v>
      </c>
      <c r="AB31" s="222">
        <v>23</v>
      </c>
      <c r="AC31" s="232">
        <v>-5.2570137387223798E-2</v>
      </c>
      <c r="AD31" s="137">
        <f t="shared" si="41"/>
        <v>6.7768934674492728E-3</v>
      </c>
      <c r="AE31" s="70"/>
      <c r="AF31" s="40">
        <f>C31*AO31</f>
        <v>0</v>
      </c>
      <c r="AG31" s="40"/>
      <c r="AH31" s="37"/>
      <c r="AI31" s="37"/>
      <c r="AJ31" s="23"/>
      <c r="AK31" s="23"/>
      <c r="AL31" s="23"/>
      <c r="AM31" s="23"/>
      <c r="AN31" s="23"/>
      <c r="AO31" s="23"/>
      <c r="AP31" s="23"/>
      <c r="AQ31" s="23"/>
      <c r="AR31" s="26"/>
      <c r="AS31" s="26"/>
      <c r="AX31">
        <v>54</v>
      </c>
      <c r="AY31">
        <v>54</v>
      </c>
      <c r="AZ31">
        <f t="shared" si="42"/>
        <v>0</v>
      </c>
      <c r="BA31">
        <v>23</v>
      </c>
      <c r="BB31">
        <v>88</v>
      </c>
      <c r="BC31" s="119">
        <v>22.79757</v>
      </c>
      <c r="BD31">
        <f>AX31-BA31</f>
        <v>31</v>
      </c>
      <c r="BE31" s="119">
        <f t="shared" si="45"/>
        <v>74.636036036036046</v>
      </c>
      <c r="BF31">
        <v>72</v>
      </c>
      <c r="BG31" s="119">
        <f t="shared" si="46"/>
        <v>13.363963963963954</v>
      </c>
      <c r="BH31" s="119">
        <f t="shared" si="47"/>
        <v>16</v>
      </c>
      <c r="BI31" s="119">
        <f>AY31-BC31</f>
        <v>31.20243</v>
      </c>
      <c r="BJ31" s="23">
        <v>0.20499999999999999</v>
      </c>
      <c r="BK31" s="25">
        <f t="shared" ref="BK31:BK76" si="54">(BH31-BG$77)/BG$78</f>
        <v>0.10616064757777254</v>
      </c>
      <c r="BL31" s="25">
        <f t="shared" si="48"/>
        <v>0.18144053822846931</v>
      </c>
      <c r="BM31" s="23">
        <f>(BI31-BI$78)/BI$79</f>
        <v>0.2137060133718289</v>
      </c>
      <c r="BN31" s="119">
        <v>1</v>
      </c>
      <c r="BO31" s="119">
        <v>1</v>
      </c>
      <c r="BP31" s="119">
        <v>9.0998180000000009</v>
      </c>
      <c r="BQ31" s="119">
        <f t="shared" si="49"/>
        <v>-8.0998180000000009</v>
      </c>
      <c r="BR31" s="23">
        <f t="shared" si="50"/>
        <v>-0.37229261485300524</v>
      </c>
      <c r="BS31" s="23">
        <f t="shared" si="16"/>
        <v>4.300724995810068E-2</v>
      </c>
      <c r="BT31" s="119">
        <v>3</v>
      </c>
      <c r="BU31" s="119">
        <f t="shared" si="17"/>
        <v>-2</v>
      </c>
      <c r="BV31" s="23">
        <v>-0.24199999999999999</v>
      </c>
      <c r="BW31" s="23">
        <v>9.4E-2</v>
      </c>
      <c r="BX31" s="23">
        <f t="shared" si="44"/>
        <v>9.9779510028871671E-2</v>
      </c>
      <c r="BY31" s="34">
        <v>0</v>
      </c>
      <c r="BZ31" s="77">
        <v>0</v>
      </c>
      <c r="CA31" s="34">
        <v>25089</v>
      </c>
      <c r="CB31" s="34">
        <v>0</v>
      </c>
      <c r="CC31" s="34">
        <f t="shared" si="51"/>
        <v>37778.442999999999</v>
      </c>
      <c r="CD31" s="34">
        <f t="shared" si="19"/>
        <v>-37778.442999999999</v>
      </c>
      <c r="CE31" s="36">
        <f t="shared" si="52"/>
        <v>-0.1959362184052105</v>
      </c>
      <c r="CF31" s="36">
        <f t="shared" si="53"/>
        <v>-5.2570137387223798E-2</v>
      </c>
      <c r="CG31" s="34">
        <v>22305.66</v>
      </c>
      <c r="CH31">
        <f>BY31-CA31</f>
        <v>-25089</v>
      </c>
      <c r="CI31" s="34">
        <f>BZ31-CG31</f>
        <v>-22305.66</v>
      </c>
      <c r="CJ31" s="23">
        <v>-0.124</v>
      </c>
      <c r="CK31" s="23">
        <f>(CI31-CI$78)/CI$79</f>
        <v>-0.13272703137468431</v>
      </c>
    </row>
    <row r="32" spans="1:89" x14ac:dyDescent="0.25">
      <c r="A32" s="7" t="s">
        <v>83</v>
      </c>
      <c r="B32" s="7" t="s">
        <v>89</v>
      </c>
      <c r="C32" s="10">
        <f t="shared" si="0"/>
        <v>64</v>
      </c>
      <c r="D32">
        <v>0</v>
      </c>
      <c r="E32">
        <v>0</v>
      </c>
      <c r="F32">
        <v>0</v>
      </c>
      <c r="G32">
        <v>64</v>
      </c>
      <c r="H32">
        <v>0</v>
      </c>
      <c r="I32">
        <v>0</v>
      </c>
      <c r="J32">
        <v>0</v>
      </c>
      <c r="L32" s="8">
        <v>139.5</v>
      </c>
      <c r="M32" s="25">
        <f t="shared" si="1"/>
        <v>2.1796875</v>
      </c>
      <c r="N32" s="23">
        <f>M32/M79</f>
        <v>3.3787197054555435E-2</v>
      </c>
      <c r="O32" s="8">
        <v>9.5</v>
      </c>
      <c r="P32" s="23">
        <f t="shared" si="2"/>
        <v>0.1484375</v>
      </c>
      <c r="Q32" s="40">
        <f>P32/P79</f>
        <v>9.9336262612294297E-3</v>
      </c>
      <c r="R32" s="23">
        <f t="shared" si="3"/>
        <v>1.671875</v>
      </c>
      <c r="S32" s="42">
        <f>R32/R79</f>
        <v>3.2077474694070074E-2</v>
      </c>
      <c r="T32" s="42">
        <f t="shared" si="4"/>
        <v>2.7823804356223933E-2</v>
      </c>
      <c r="U32" s="34">
        <v>666789</v>
      </c>
      <c r="V32" s="72">
        <f t="shared" si="5"/>
        <v>10418.578125</v>
      </c>
      <c r="W32" s="72"/>
      <c r="X32" s="40">
        <f>V32/V79</f>
        <v>0.13378917177625801</v>
      </c>
      <c r="Y32" s="47">
        <f t="shared" si="6"/>
        <v>7.0209951324237574E-2</v>
      </c>
      <c r="Z32" s="47">
        <v>3.637</v>
      </c>
      <c r="AA32" s="139">
        <v>2.0179999999999998</v>
      </c>
      <c r="AB32" s="222">
        <v>63</v>
      </c>
      <c r="AC32" s="234">
        <v>2.8711247193259215</v>
      </c>
      <c r="AD32" s="139">
        <f t="shared" si="41"/>
        <v>2.2477873943286348</v>
      </c>
      <c r="AE32" s="67">
        <f>AJ32*AQ$3</f>
        <v>543721.56166117545</v>
      </c>
      <c r="AF32" s="40">
        <f>C32*AO32</f>
        <v>0</v>
      </c>
      <c r="AG32" s="40" t="e">
        <f>C32*AP32</f>
        <v>#REF!</v>
      </c>
      <c r="AH32" s="37">
        <f>AM32*AS$3</f>
        <v>589652.1628436466</v>
      </c>
      <c r="AI32" s="37">
        <f>AH32-AE32</f>
        <v>45930.601182471146</v>
      </c>
      <c r="AJ32" s="23">
        <f>C32*AQ32</f>
        <v>9.1968952503026422</v>
      </c>
      <c r="AK32" s="68">
        <f>AL32*AW$9</f>
        <v>897553.37581641064</v>
      </c>
      <c r="AL32" s="23">
        <f>AB32*AR32</f>
        <v>17.211353260480433</v>
      </c>
      <c r="AM32" s="23">
        <f>C32*AS32</f>
        <v>9.9401184460695085</v>
      </c>
      <c r="AN32" s="23"/>
      <c r="AO32" s="23"/>
      <c r="AP32" s="23" t="e">
        <f>Z32/#REF!</f>
        <v>#REF!</v>
      </c>
      <c r="AQ32" s="23">
        <f>AA32/AT$2</f>
        <v>0.14370148828597878</v>
      </c>
      <c r="AR32" s="243">
        <f>AC32/AW$5</f>
        <v>0.27319608349968943</v>
      </c>
      <c r="AS32" s="26">
        <f>AD32/AW$2</f>
        <v>0.15531435071983607</v>
      </c>
      <c r="AX32">
        <v>193</v>
      </c>
      <c r="AY32">
        <v>193</v>
      </c>
      <c r="AZ32">
        <f t="shared" si="42"/>
        <v>0</v>
      </c>
      <c r="BA32">
        <v>145</v>
      </c>
      <c r="BB32">
        <v>288</v>
      </c>
      <c r="BC32" s="119">
        <v>145.90443999999999</v>
      </c>
      <c r="BD32">
        <f>AX32-BA32</f>
        <v>48</v>
      </c>
      <c r="BE32" s="119">
        <f t="shared" si="45"/>
        <v>204.43783783783786</v>
      </c>
      <c r="BF32" s="119">
        <v>197.57396</v>
      </c>
      <c r="BG32" s="119">
        <f t="shared" si="46"/>
        <v>83.562162162162139</v>
      </c>
      <c r="BH32" s="119">
        <f t="shared" si="47"/>
        <v>90.42604</v>
      </c>
      <c r="BI32" s="119">
        <f>AY32-BC32</f>
        <v>47.095560000000006</v>
      </c>
      <c r="BJ32" s="23">
        <v>0.35699999999999998</v>
      </c>
      <c r="BK32" s="25">
        <f t="shared" si="54"/>
        <v>0.61623706975973569</v>
      </c>
      <c r="BL32" s="25">
        <f t="shared" si="48"/>
        <v>0.29068724379830702</v>
      </c>
      <c r="BM32" s="23">
        <f>(BI32-BI$78)/BI$79</f>
        <v>0.35541376992367335</v>
      </c>
      <c r="BN32" s="119">
        <v>0</v>
      </c>
      <c r="BO32" s="119">
        <v>3</v>
      </c>
      <c r="BP32" s="119">
        <v>24.925588999999999</v>
      </c>
      <c r="BQ32" s="119">
        <f t="shared" si="49"/>
        <v>-24.925588999999999</v>
      </c>
      <c r="BR32" s="23">
        <f t="shared" si="50"/>
        <v>-1.0883023053849019</v>
      </c>
      <c r="BS32" s="23">
        <f t="shared" si="16"/>
        <v>-5.4060143497495217E-2</v>
      </c>
      <c r="BT32" s="119">
        <v>20</v>
      </c>
      <c r="BU32" s="119">
        <f t="shared" si="17"/>
        <v>-20</v>
      </c>
      <c r="BV32" s="23">
        <v>-0.95899999999999996</v>
      </c>
      <c r="BW32" s="23">
        <v>2.8000000000000001E-2</v>
      </c>
      <c r="BX32" s="23">
        <f t="shared" si="44"/>
        <v>2.681032744275505E-2</v>
      </c>
      <c r="BY32" s="34">
        <v>1052450</v>
      </c>
      <c r="BZ32" s="77">
        <v>1052500</v>
      </c>
      <c r="CA32" s="34">
        <v>133030</v>
      </c>
      <c r="CB32" s="34">
        <v>1616462</v>
      </c>
      <c r="CC32" s="34">
        <f t="shared" si="51"/>
        <v>103480.083</v>
      </c>
      <c r="CD32" s="34">
        <f t="shared" si="19"/>
        <v>1512981.9169999999</v>
      </c>
      <c r="CE32" s="36">
        <f t="shared" si="52"/>
        <v>7.2589020135610456</v>
      </c>
      <c r="CF32" s="231">
        <f t="shared" si="53"/>
        <v>2.8711247193259215</v>
      </c>
      <c r="CG32" s="34">
        <v>124029.61</v>
      </c>
      <c r="CH32">
        <f>BY32-CA32</f>
        <v>919420</v>
      </c>
      <c r="CI32" s="34">
        <f>BZ32-CG32</f>
        <v>928470.39</v>
      </c>
      <c r="CJ32" s="23">
        <v>5.0030000000000001</v>
      </c>
      <c r="CK32" s="23">
        <f>(CI32-CI$78)/CI$79</f>
        <v>5.5792529946574536</v>
      </c>
    </row>
    <row r="33" spans="1:89" x14ac:dyDescent="0.25">
      <c r="A33" s="7" t="s">
        <v>83</v>
      </c>
      <c r="B33" s="9" t="s">
        <v>320</v>
      </c>
      <c r="C33" s="10">
        <v>0</v>
      </c>
      <c r="L33" s="8"/>
      <c r="M33" s="25"/>
      <c r="N33" s="23"/>
      <c r="O33" s="8"/>
      <c r="P33" s="23"/>
      <c r="Q33" s="40"/>
      <c r="R33" s="23"/>
      <c r="S33" s="42"/>
      <c r="T33" s="42"/>
      <c r="U33" s="34"/>
      <c r="V33" s="72"/>
      <c r="W33" s="72"/>
      <c r="X33" s="40"/>
      <c r="Y33" s="47"/>
      <c r="Z33" s="47"/>
      <c r="AA33" s="139"/>
      <c r="AB33" s="222">
        <v>18</v>
      </c>
      <c r="AC33" s="232">
        <v>-0.12705002690439809</v>
      </c>
      <c r="AD33" s="137"/>
      <c r="AE33" s="67"/>
      <c r="AF33" s="40"/>
      <c r="AG33" s="40"/>
      <c r="AH33" s="37"/>
      <c r="AI33" s="37"/>
      <c r="AJ33" s="23"/>
      <c r="AK33" s="23"/>
      <c r="AL33" s="23"/>
      <c r="AM33" s="23"/>
      <c r="AN33" s="23"/>
      <c r="AO33" s="23"/>
      <c r="AP33" s="23"/>
      <c r="AQ33" s="23"/>
      <c r="AR33" s="26"/>
      <c r="AS33" s="26"/>
      <c r="BB33">
        <v>6</v>
      </c>
      <c r="BC33" s="119"/>
      <c r="BE33" s="119">
        <f t="shared" si="45"/>
        <v>58.410810810810815</v>
      </c>
      <c r="BF33" s="119">
        <v>56.4497</v>
      </c>
      <c r="BG33" s="119">
        <f t="shared" si="46"/>
        <v>-52.410810810810815</v>
      </c>
      <c r="BH33" s="119">
        <f t="shared" si="47"/>
        <v>-50.4497</v>
      </c>
      <c r="BI33" s="119"/>
      <c r="BJ33" s="23"/>
      <c r="BK33" s="23">
        <f t="shared" si="54"/>
        <v>-0.34925019022932824</v>
      </c>
      <c r="BL33" s="23">
        <f t="shared" si="48"/>
        <v>-3.3039723574804773E-2</v>
      </c>
      <c r="BM33" s="23"/>
      <c r="BN33" s="119"/>
      <c r="BO33" s="119">
        <v>0</v>
      </c>
      <c r="BP33" s="119">
        <v>7.1215970000000004</v>
      </c>
      <c r="BQ33" s="119">
        <f t="shared" si="49"/>
        <v>-7.1215970000000004</v>
      </c>
      <c r="BR33" s="23">
        <f t="shared" si="50"/>
        <v>-0.3306650593916951</v>
      </c>
      <c r="BS33" s="23">
        <f t="shared" si="16"/>
        <v>-0.10744605752902736</v>
      </c>
      <c r="BT33" s="119"/>
      <c r="BU33" s="119"/>
      <c r="BV33" s="23"/>
      <c r="BW33" s="23"/>
      <c r="BX33" s="23"/>
      <c r="BY33" s="34"/>
      <c r="BZ33" s="77"/>
      <c r="CA33" s="34"/>
      <c r="CB33" s="34">
        <v>0</v>
      </c>
      <c r="CC33" s="34">
        <f t="shared" si="51"/>
        <v>29565.737999999998</v>
      </c>
      <c r="CD33" s="34">
        <f t="shared" si="19"/>
        <v>-29565.737999999998</v>
      </c>
      <c r="CE33" s="36">
        <f t="shared" si="52"/>
        <v>-0.15645598096745419</v>
      </c>
      <c r="CF33" s="36">
        <f t="shared" si="53"/>
        <v>-0.12705002690439809</v>
      </c>
      <c r="CG33" s="34"/>
      <c r="CI33" s="34"/>
      <c r="CJ33" s="23"/>
      <c r="CK33" s="23"/>
    </row>
    <row r="34" spans="1:89" x14ac:dyDescent="0.25">
      <c r="A34" s="9" t="s">
        <v>92</v>
      </c>
      <c r="B34" s="9" t="s">
        <v>93</v>
      </c>
      <c r="C34" s="10">
        <f t="shared" si="0"/>
        <v>22</v>
      </c>
      <c r="D34" s="11">
        <v>0</v>
      </c>
      <c r="E34" s="11">
        <v>0</v>
      </c>
      <c r="F34" s="11">
        <v>0</v>
      </c>
      <c r="G34" s="11">
        <v>22</v>
      </c>
      <c r="H34" s="11">
        <v>0</v>
      </c>
      <c r="I34" s="11">
        <v>0</v>
      </c>
      <c r="J34" s="11">
        <v>0</v>
      </c>
      <c r="K34" s="11"/>
      <c r="L34" s="33">
        <v>44.5</v>
      </c>
      <c r="M34" s="25">
        <f t="shared" si="1"/>
        <v>2.0227272727272729</v>
      </c>
      <c r="N34" s="23">
        <f>M34/M79</f>
        <v>3.1354166572621016E-2</v>
      </c>
      <c r="O34" s="33">
        <v>3</v>
      </c>
      <c r="P34" s="23">
        <f t="shared" si="2"/>
        <v>0.13636363636363635</v>
      </c>
      <c r="Q34" s="40">
        <f>P34/P79</f>
        <v>9.1256279528997616E-3</v>
      </c>
      <c r="R34" s="23">
        <f t="shared" si="3"/>
        <v>1.5511363636363638</v>
      </c>
      <c r="S34" s="42">
        <f>R34/R79</f>
        <v>2.9760919597217095E-2</v>
      </c>
      <c r="T34" s="42">
        <f t="shared" si="4"/>
        <v>2.5797031917690699E-2</v>
      </c>
      <c r="U34" s="34">
        <v>0</v>
      </c>
      <c r="V34" s="34">
        <f t="shared" si="5"/>
        <v>0</v>
      </c>
      <c r="W34" s="34"/>
      <c r="X34" s="40">
        <f>V34/V79</f>
        <v>0</v>
      </c>
      <c r="Y34" s="48">
        <f t="shared" si="6"/>
        <v>1.5478219150614418E-2</v>
      </c>
      <c r="Z34" s="48">
        <v>0.13200000000000001</v>
      </c>
      <c r="AA34" s="137">
        <v>3.6999999999999998E-2</v>
      </c>
      <c r="AB34" s="222">
        <v>22</v>
      </c>
      <c r="AC34" s="232">
        <v>3.8816195206682891E-2</v>
      </c>
      <c r="AD34" s="137">
        <f t="shared" si="41"/>
        <v>3.4329097466860317E-2</v>
      </c>
      <c r="AE34" s="61"/>
      <c r="AF34" s="40"/>
      <c r="AG34" s="40"/>
      <c r="AH34" s="37"/>
      <c r="AI34" s="37"/>
      <c r="AJ34" s="23"/>
      <c r="AK34" s="23"/>
      <c r="AL34" s="23"/>
      <c r="AM34" s="23"/>
      <c r="AN34" s="23"/>
      <c r="AO34" s="23"/>
      <c r="AP34" s="23"/>
      <c r="AQ34" s="23"/>
      <c r="AR34" s="26"/>
      <c r="AS34" s="26"/>
      <c r="AX34">
        <v>107</v>
      </c>
      <c r="AY34">
        <v>107</v>
      </c>
      <c r="AZ34">
        <f t="shared" si="42"/>
        <v>0</v>
      </c>
      <c r="BA34">
        <v>50</v>
      </c>
      <c r="BB34">
        <v>119</v>
      </c>
      <c r="BC34" s="119">
        <v>50.154649999999997</v>
      </c>
      <c r="BD34">
        <f t="shared" ref="BD34:BD69" si="55">AX34-BA34</f>
        <v>57</v>
      </c>
      <c r="BE34" s="119">
        <f t="shared" si="45"/>
        <v>71.390990990991</v>
      </c>
      <c r="BF34" s="119">
        <v>68.994079999999997</v>
      </c>
      <c r="BG34" s="119">
        <f t="shared" si="46"/>
        <v>47.609009009009</v>
      </c>
      <c r="BH34" s="119">
        <f t="shared" si="47"/>
        <v>50.005920000000003</v>
      </c>
      <c r="BI34" s="119">
        <f t="shared" ref="BI34:BI69" si="56">AY34-BC34</f>
        <v>56.845350000000003</v>
      </c>
      <c r="BJ34" s="23">
        <v>0.438</v>
      </c>
      <c r="BK34" s="25">
        <f t="shared" si="54"/>
        <v>0.33921910408850536</v>
      </c>
      <c r="BL34" s="25">
        <f t="shared" si="48"/>
        <v>0.35770566229093542</v>
      </c>
      <c r="BM34" s="23">
        <f t="shared" ref="BM34:BM69" si="57">(BI34-BI$78)/BI$79</f>
        <v>0.44234572528750704</v>
      </c>
      <c r="BN34" s="119">
        <v>2</v>
      </c>
      <c r="BO34" s="119">
        <v>8</v>
      </c>
      <c r="BP34" s="119">
        <v>8.7041740000000001</v>
      </c>
      <c r="BQ34" s="119">
        <f t="shared" si="49"/>
        <v>-6.7041740000000001</v>
      </c>
      <c r="BR34" s="23">
        <f t="shared" si="50"/>
        <v>-0.31290189638116223</v>
      </c>
      <c r="BS34" s="25">
        <f t="shared" si="16"/>
        <v>0.19005377262291101</v>
      </c>
      <c r="BT34" s="119">
        <v>7</v>
      </c>
      <c r="BU34" s="119">
        <f t="shared" si="17"/>
        <v>-5</v>
      </c>
      <c r="BV34" s="23">
        <v>-0.36099999999999999</v>
      </c>
      <c r="BW34" s="23">
        <v>0.23799999999999999</v>
      </c>
      <c r="BX34" s="23">
        <f t="shared" si="44"/>
        <v>0.24150929396563031</v>
      </c>
      <c r="BY34" s="34">
        <v>0</v>
      </c>
      <c r="BZ34" s="77">
        <v>0</v>
      </c>
      <c r="CA34" s="34">
        <v>50957</v>
      </c>
      <c r="CB34" s="34">
        <v>0</v>
      </c>
      <c r="CC34" s="34">
        <f t="shared" si="51"/>
        <v>36135.902000000002</v>
      </c>
      <c r="CD34" s="34">
        <f t="shared" si="19"/>
        <v>-36135.902000000002</v>
      </c>
      <c r="CE34" s="36">
        <f t="shared" si="52"/>
        <v>-0.18804017091765926</v>
      </c>
      <c r="CF34" s="36">
        <f t="shared" si="53"/>
        <v>3.8816195206682891E-2</v>
      </c>
      <c r="CG34" s="34">
        <v>46227.31</v>
      </c>
      <c r="CH34">
        <f t="shared" ref="CH34:CH69" si="58">BY34-CA34</f>
        <v>-50957</v>
      </c>
      <c r="CI34" s="34">
        <f t="shared" ref="CI34:CI69" si="59">BZ34-CG34</f>
        <v>-46227.31</v>
      </c>
      <c r="CJ34" s="23">
        <v>-0.26400000000000001</v>
      </c>
      <c r="CK34" s="23">
        <f t="shared" ref="CK34:CK69" si="60">(CI34-CI$78)/CI$79</f>
        <v>-0.27644119728129463</v>
      </c>
    </row>
    <row r="35" spans="1:89" x14ac:dyDescent="0.25">
      <c r="A35" s="9" t="s">
        <v>92</v>
      </c>
      <c r="B35" s="9" t="s">
        <v>94</v>
      </c>
      <c r="C35" s="10">
        <f t="shared" si="0"/>
        <v>44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44</v>
      </c>
      <c r="K35" s="11"/>
      <c r="L35" s="33">
        <v>29.5</v>
      </c>
      <c r="M35" s="23">
        <f t="shared" si="1"/>
        <v>0.67045454545454541</v>
      </c>
      <c r="N35" s="23">
        <f>M35/M79</f>
        <v>1.0392673189801345E-2</v>
      </c>
      <c r="O35" s="33">
        <v>2.5</v>
      </c>
      <c r="P35" s="23">
        <f t="shared" si="2"/>
        <v>5.6818181818181816E-2</v>
      </c>
      <c r="Q35" s="40">
        <f>P35/P79</f>
        <v>3.8023449803749011E-3</v>
      </c>
      <c r="R35" s="23">
        <f t="shared" si="3"/>
        <v>0.51704545454545447</v>
      </c>
      <c r="S35" s="40">
        <f>R35/R79</f>
        <v>9.9203065324056962E-3</v>
      </c>
      <c r="T35" s="40">
        <f t="shared" si="4"/>
        <v>8.7450911374447327E-3</v>
      </c>
      <c r="U35" s="34">
        <v>37489</v>
      </c>
      <c r="V35" s="34">
        <f t="shared" si="5"/>
        <v>852.02272727272725</v>
      </c>
      <c r="W35" s="34"/>
      <c r="X35" s="40">
        <f>V35/V79</f>
        <v>1.0941168137218028E-2</v>
      </c>
      <c r="Y35" s="48">
        <f t="shared" si="6"/>
        <v>9.6235219373540515E-3</v>
      </c>
      <c r="Z35" s="48">
        <v>5.7000000000000002E-2</v>
      </c>
      <c r="AA35" s="137">
        <v>-0.37</v>
      </c>
      <c r="AB35" s="222">
        <v>44</v>
      </c>
      <c r="AC35" s="232">
        <v>-0.24106838910655379</v>
      </c>
      <c r="AD35" s="137">
        <f t="shared" si="41"/>
        <v>-0.37669067984051924</v>
      </c>
      <c r="AE35" s="61"/>
      <c r="AF35" s="40"/>
      <c r="AG35" s="40"/>
      <c r="AH35" s="37"/>
      <c r="AI35" s="37"/>
      <c r="AJ35" s="23"/>
      <c r="AK35" s="23"/>
      <c r="AL35" s="23"/>
      <c r="AM35" s="23"/>
      <c r="AN35" s="23"/>
      <c r="AO35" s="23"/>
      <c r="AP35" s="23"/>
      <c r="AQ35" s="23"/>
      <c r="AR35" s="26"/>
      <c r="AS35" s="26"/>
      <c r="AX35">
        <v>90</v>
      </c>
      <c r="AY35">
        <v>90</v>
      </c>
      <c r="AZ35">
        <f t="shared" si="42"/>
        <v>0</v>
      </c>
      <c r="BA35">
        <v>100</v>
      </c>
      <c r="BB35">
        <v>311</v>
      </c>
      <c r="BC35" s="119">
        <v>100.30931</v>
      </c>
      <c r="BD35">
        <f t="shared" si="55"/>
        <v>-10</v>
      </c>
      <c r="BE35" s="119">
        <f t="shared" si="45"/>
        <v>142.781981981982</v>
      </c>
      <c r="BF35" s="119">
        <v>137.98815999999999</v>
      </c>
      <c r="BG35" s="119">
        <f t="shared" si="46"/>
        <v>168.218018018018</v>
      </c>
      <c r="BH35" s="119">
        <f t="shared" si="47"/>
        <v>173.01184000000001</v>
      </c>
      <c r="BI35" s="119">
        <f t="shared" si="56"/>
        <v>-10.309309999999996</v>
      </c>
      <c r="BJ35" s="23">
        <v>-0.161</v>
      </c>
      <c r="BK35" s="23">
        <f t="shared" si="54"/>
        <v>1.1822361392659886</v>
      </c>
      <c r="BL35" s="23">
        <f t="shared" si="48"/>
        <v>-0.10390418854792099</v>
      </c>
      <c r="BM35" s="23">
        <f t="shared" si="57"/>
        <v>-0.15642470008508352</v>
      </c>
      <c r="BN35" s="119">
        <v>2</v>
      </c>
      <c r="BO35" s="119">
        <v>1</v>
      </c>
      <c r="BP35" s="119">
        <v>17.408348</v>
      </c>
      <c r="BQ35" s="119">
        <f t="shared" si="49"/>
        <v>-15.408348</v>
      </c>
      <c r="BR35" s="23">
        <f t="shared" si="50"/>
        <v>-0.68330233342953184</v>
      </c>
      <c r="BS35" s="23">
        <f t="shared" si="16"/>
        <v>-0.24875372476832369</v>
      </c>
      <c r="BT35" s="119">
        <v>14</v>
      </c>
      <c r="BU35" s="119">
        <f t="shared" si="17"/>
        <v>-12</v>
      </c>
      <c r="BV35" s="23">
        <v>-0.64</v>
      </c>
      <c r="BW35" s="23">
        <v>-0.28100000000000003</v>
      </c>
      <c r="BX35" s="23">
        <f t="shared" si="44"/>
        <v>-0.27731852506381266</v>
      </c>
      <c r="BY35" s="34">
        <v>0</v>
      </c>
      <c r="BZ35" s="77">
        <v>0</v>
      </c>
      <c r="CA35" s="34">
        <v>94999</v>
      </c>
      <c r="CB35" s="34">
        <v>27503</v>
      </c>
      <c r="CC35" s="34">
        <f t="shared" si="51"/>
        <v>72271.804000000004</v>
      </c>
      <c r="CD35" s="34">
        <f t="shared" si="19"/>
        <v>-44768.804000000004</v>
      </c>
      <c r="CE35" s="36">
        <f t="shared" si="52"/>
        <v>-0.22954038561389895</v>
      </c>
      <c r="CF35" s="36">
        <f t="shared" si="53"/>
        <v>-0.24106838910655379</v>
      </c>
      <c r="CG35" s="34">
        <v>87725.32</v>
      </c>
      <c r="CH35">
        <f t="shared" si="58"/>
        <v>-94999</v>
      </c>
      <c r="CI35" s="34">
        <f t="shared" si="59"/>
        <v>-87725.32</v>
      </c>
      <c r="CJ35" s="23">
        <v>-0.503</v>
      </c>
      <c r="CK35" s="23">
        <f t="shared" si="60"/>
        <v>-0.52574891200557905</v>
      </c>
    </row>
    <row r="36" spans="1:89" x14ac:dyDescent="0.25">
      <c r="A36" s="7" t="s">
        <v>92</v>
      </c>
      <c r="B36" s="7" t="s">
        <v>95</v>
      </c>
      <c r="C36" s="10">
        <f t="shared" si="0"/>
        <v>16</v>
      </c>
      <c r="D36" s="11">
        <v>9</v>
      </c>
      <c r="E36" s="11">
        <v>5</v>
      </c>
      <c r="F36" s="11">
        <v>0</v>
      </c>
      <c r="G36" s="11">
        <v>2</v>
      </c>
      <c r="H36" s="11">
        <v>0</v>
      </c>
      <c r="I36" s="11">
        <v>0</v>
      </c>
      <c r="J36" s="11">
        <v>0</v>
      </c>
      <c r="K36" s="11"/>
      <c r="L36" s="33">
        <v>9</v>
      </c>
      <c r="M36" s="23">
        <f t="shared" si="1"/>
        <v>0.5625</v>
      </c>
      <c r="N36" s="23">
        <f>M36/M79</f>
        <v>8.7192766592401119E-3</v>
      </c>
      <c r="O36" s="33">
        <v>1.5</v>
      </c>
      <c r="P36" s="23">
        <f t="shared" si="2"/>
        <v>9.375E-2</v>
      </c>
      <c r="Q36" s="40">
        <f>P36/P79</f>
        <v>6.2738692176185868E-3</v>
      </c>
      <c r="R36" s="23">
        <f t="shared" si="3"/>
        <v>0.4453125</v>
      </c>
      <c r="S36" s="40">
        <f>R36/R79</f>
        <v>8.5440002689812812E-3</v>
      </c>
      <c r="T36" s="40">
        <f t="shared" si="4"/>
        <v>8.10792479883473E-3</v>
      </c>
      <c r="U36" s="34"/>
      <c r="V36" s="34">
        <f t="shared" ref="V36:V75" si="61">U36/C36</f>
        <v>0</v>
      </c>
      <c r="W36" s="34"/>
      <c r="X36" s="40">
        <f>V36/V79</f>
        <v>0</v>
      </c>
      <c r="Y36" s="48">
        <f t="shared" si="6"/>
        <v>4.8647548793008377E-3</v>
      </c>
      <c r="Z36" s="48">
        <v>-0.25600000000000001</v>
      </c>
      <c r="AA36" s="137">
        <v>-0.193</v>
      </c>
      <c r="AB36" s="222">
        <v>13</v>
      </c>
      <c r="AC36" s="232">
        <v>-0.11826929533583014</v>
      </c>
      <c r="AD36" s="137">
        <f t="shared" si="41"/>
        <v>-0.19561279043692403</v>
      </c>
      <c r="AE36" s="61"/>
      <c r="AF36" s="40"/>
      <c r="AG36" s="40"/>
      <c r="AH36" s="37"/>
      <c r="AI36" s="37"/>
      <c r="AJ36" s="23"/>
      <c r="AK36" s="23"/>
      <c r="AL36" s="23"/>
      <c r="AM36" s="23"/>
      <c r="AN36" s="23"/>
      <c r="AO36" s="23"/>
      <c r="AP36" s="23"/>
      <c r="AQ36" s="23"/>
      <c r="AR36" s="26"/>
      <c r="AS36" s="26"/>
      <c r="AX36">
        <v>26</v>
      </c>
      <c r="AY36">
        <v>26</v>
      </c>
      <c r="AZ36">
        <f t="shared" si="42"/>
        <v>0</v>
      </c>
      <c r="BA36">
        <v>36</v>
      </c>
      <c r="BB36">
        <v>34</v>
      </c>
      <c r="BC36" s="119">
        <v>36.476109999999998</v>
      </c>
      <c r="BD36">
        <f t="shared" si="55"/>
        <v>-10</v>
      </c>
      <c r="BE36" s="119">
        <f t="shared" si="45"/>
        <v>42.185585585585585</v>
      </c>
      <c r="BF36" s="119">
        <v>40.76923</v>
      </c>
      <c r="BG36" s="119">
        <f t="shared" si="46"/>
        <v>-8.185585585585585</v>
      </c>
      <c r="BH36" s="119">
        <f t="shared" si="47"/>
        <v>-6.7692300000000003</v>
      </c>
      <c r="BI36" s="119">
        <f t="shared" si="56"/>
        <v>-10.476109999999998</v>
      </c>
      <c r="BJ36" s="23">
        <v>-0.161</v>
      </c>
      <c r="BK36" s="23">
        <f t="shared" si="54"/>
        <v>-4.9887522850725605E-2</v>
      </c>
      <c r="BL36" s="23">
        <f t="shared" si="48"/>
        <v>-0.10505074372547564</v>
      </c>
      <c r="BM36" s="23">
        <f t="shared" si="57"/>
        <v>-0.15791193726195477</v>
      </c>
      <c r="BN36" s="119">
        <v>2</v>
      </c>
      <c r="BO36" s="119">
        <v>2</v>
      </c>
      <c r="BP36" s="119">
        <v>5.1433749999999998</v>
      </c>
      <c r="BQ36" s="119">
        <f t="shared" si="49"/>
        <v>-3.1433749999999998</v>
      </c>
      <c r="BR36" s="23">
        <f t="shared" si="50"/>
        <v>-0.16137442164991292</v>
      </c>
      <c r="BS36" s="23">
        <f t="shared" si="16"/>
        <v>-0.11913166320658497</v>
      </c>
      <c r="BT36" s="119">
        <v>5</v>
      </c>
      <c r="BU36" s="119">
        <f t="shared" si="17"/>
        <v>-3</v>
      </c>
      <c r="BV36" s="23">
        <v>-0.28199999999999997</v>
      </c>
      <c r="BW36" s="23">
        <v>-0.191</v>
      </c>
      <c r="BX36" s="23">
        <f t="shared" si="44"/>
        <v>-0.18893395294646609</v>
      </c>
      <c r="BY36" s="34">
        <v>0</v>
      </c>
      <c r="BZ36" s="77">
        <v>0</v>
      </c>
      <c r="CA36" s="34">
        <v>38275</v>
      </c>
      <c r="CB36" s="34">
        <v>0</v>
      </c>
      <c r="CC36" s="34">
        <f t="shared" si="51"/>
        <v>21353.032999999999</v>
      </c>
      <c r="CD36" s="34">
        <f t="shared" si="19"/>
        <v>-21353.032999999999</v>
      </c>
      <c r="CE36" s="36">
        <f t="shared" si="52"/>
        <v>-0.1169757435296979</v>
      </c>
      <c r="CF36" s="36">
        <f t="shared" si="53"/>
        <v>-0.11826929533583014</v>
      </c>
      <c r="CG36" s="34">
        <v>34440.75</v>
      </c>
      <c r="CH36">
        <f t="shared" si="58"/>
        <v>-38275</v>
      </c>
      <c r="CI36" s="34">
        <f t="shared" si="59"/>
        <v>-34440.75</v>
      </c>
      <c r="CJ36" s="23">
        <v>-0.19500000000000001</v>
      </c>
      <c r="CK36" s="23">
        <f t="shared" si="60"/>
        <v>-0.20563104667261098</v>
      </c>
    </row>
    <row r="37" spans="1:89" x14ac:dyDescent="0.25">
      <c r="A37" s="9" t="s">
        <v>92</v>
      </c>
      <c r="B37" s="9" t="s">
        <v>96</v>
      </c>
      <c r="C37" s="10">
        <f t="shared" ref="C37:C68" si="62">SUM(D37:J37)</f>
        <v>36</v>
      </c>
      <c r="D37" s="11">
        <v>0</v>
      </c>
      <c r="E37" s="11">
        <v>0</v>
      </c>
      <c r="F37" s="11">
        <v>0</v>
      </c>
      <c r="G37" s="11">
        <v>36</v>
      </c>
      <c r="H37" s="11">
        <v>0</v>
      </c>
      <c r="I37" s="11">
        <v>0</v>
      </c>
      <c r="J37" s="11">
        <v>0</v>
      </c>
      <c r="K37" s="11"/>
      <c r="L37" s="33">
        <v>192.5</v>
      </c>
      <c r="M37" s="25">
        <f t="shared" ref="M37:M68" si="63">L37/C37</f>
        <v>5.3472222222222223</v>
      </c>
      <c r="N37" s="23">
        <f>M37/M79</f>
        <v>8.2886950958208472E-2</v>
      </c>
      <c r="O37" s="33">
        <v>2</v>
      </c>
      <c r="P37" s="23">
        <f t="shared" ref="P37:P68" si="64">O37/C37</f>
        <v>5.5555555555555552E-2</v>
      </c>
      <c r="Q37" s="40">
        <f>P37/P79</f>
        <v>3.7178484252554586E-3</v>
      </c>
      <c r="R37" s="23">
        <f t="shared" ref="R37:R68" si="65">(0.75*M37)+(0.25*P37)</f>
        <v>4.0243055555555562</v>
      </c>
      <c r="S37" s="40">
        <f>R37/R79</f>
        <v>7.7212446875238261E-2</v>
      </c>
      <c r="T37" s="42">
        <f t="shared" ref="T37:T68" si="66">(0.75*N37)+(0.25*Q37)</f>
        <v>6.309467532497022E-2</v>
      </c>
      <c r="U37" s="34"/>
      <c r="V37" s="34">
        <f t="shared" si="61"/>
        <v>0</v>
      </c>
      <c r="W37" s="34"/>
      <c r="X37" s="40">
        <f>V37/V79</f>
        <v>0</v>
      </c>
      <c r="Y37" s="47">
        <f t="shared" ref="Y37:Y68" si="67">(0.6*T37)+(0.4*X37)</f>
        <v>3.7856805194982128E-2</v>
      </c>
      <c r="Z37" s="47">
        <v>2.1</v>
      </c>
      <c r="AA37" s="139">
        <v>1.1619999999999999</v>
      </c>
      <c r="AB37" s="222">
        <v>41</v>
      </c>
      <c r="AC37" s="234">
        <v>0.88620086562933409</v>
      </c>
      <c r="AD37" s="139">
        <f t="shared" si="41"/>
        <v>1.1809747443387673</v>
      </c>
      <c r="AE37" s="67">
        <f>AJ37*AQ$3</f>
        <v>176110.01275559256</v>
      </c>
      <c r="AF37" s="40">
        <f>C37*AO37</f>
        <v>0</v>
      </c>
      <c r="AG37" s="40" t="e">
        <f>C37*AP37</f>
        <v>#REF!</v>
      </c>
      <c r="AH37" s="37">
        <f>AM37*AS$3</f>
        <v>174262.44432026206</v>
      </c>
      <c r="AI37" s="37">
        <f>AH37-AE37</f>
        <v>-1847.5684353304969</v>
      </c>
      <c r="AJ37" s="23">
        <f>C37*AQ37</f>
        <v>2.9788506729331337</v>
      </c>
      <c r="AK37" s="68">
        <f>AL37*AW$9</f>
        <v>180295.00858252114</v>
      </c>
      <c r="AL37" s="23">
        <f>AB37*AR37</f>
        <v>3.4573109159023967</v>
      </c>
      <c r="AM37" s="23">
        <f>C37*AS37</f>
        <v>2.9376460333688428</v>
      </c>
      <c r="AN37" s="23"/>
      <c r="AO37" s="23"/>
      <c r="AP37" s="23" t="e">
        <f>Z37/#REF!</f>
        <v>#REF!</v>
      </c>
      <c r="AQ37" s="23">
        <f>AA37/AT$2</f>
        <v>8.2745852025920386E-2</v>
      </c>
      <c r="AR37" s="243">
        <f>AC37/AW$5</f>
        <v>8.432465648542431E-2</v>
      </c>
      <c r="AS37" s="26">
        <f>AD37/AW$2</f>
        <v>8.1601278704690083E-2</v>
      </c>
      <c r="AX37">
        <v>443</v>
      </c>
      <c r="AY37">
        <v>443</v>
      </c>
      <c r="AZ37">
        <f t="shared" si="42"/>
        <v>0</v>
      </c>
      <c r="BA37">
        <v>82</v>
      </c>
      <c r="BB37">
        <v>550</v>
      </c>
      <c r="BC37" s="119">
        <v>82.071250000000006</v>
      </c>
      <c r="BD37">
        <f t="shared" si="55"/>
        <v>361</v>
      </c>
      <c r="BE37" s="119">
        <f t="shared" si="45"/>
        <v>133.04684684684685</v>
      </c>
      <c r="BF37" s="119">
        <v>128.57988</v>
      </c>
      <c r="BG37" s="119">
        <f t="shared" si="46"/>
        <v>416.95315315315315</v>
      </c>
      <c r="BH37" s="119">
        <f t="shared" si="47"/>
        <v>421.42012</v>
      </c>
      <c r="BI37" s="119">
        <f t="shared" si="56"/>
        <v>360.92874999999998</v>
      </c>
      <c r="BJ37" s="23">
        <v>3.1539999999999999</v>
      </c>
      <c r="BK37" s="25">
        <f t="shared" si="54"/>
        <v>2.8846941325002828</v>
      </c>
      <c r="BL37" s="25">
        <f t="shared" si="48"/>
        <v>2.4479238677970359</v>
      </c>
      <c r="BM37" s="23">
        <f t="shared" si="57"/>
        <v>3.153641512753985</v>
      </c>
      <c r="BN37" s="119">
        <v>1</v>
      </c>
      <c r="BO37" s="119">
        <v>3</v>
      </c>
      <c r="BP37" s="119">
        <v>16.221415</v>
      </c>
      <c r="BQ37" s="119">
        <f t="shared" si="49"/>
        <v>-15.221415</v>
      </c>
      <c r="BR37" s="23">
        <f t="shared" si="50"/>
        <v>-0.67534752176115731</v>
      </c>
      <c r="BS37" s="25">
        <f t="shared" si="16"/>
        <v>1.6671060204074877</v>
      </c>
      <c r="BT37" s="119">
        <v>12</v>
      </c>
      <c r="BU37" s="119">
        <f t="shared" si="17"/>
        <v>-11</v>
      </c>
      <c r="BV37" s="23">
        <v>-0.6</v>
      </c>
      <c r="BW37" s="23">
        <v>2.2149999999999999</v>
      </c>
      <c r="BX37" s="23">
        <f t="shared" si="44"/>
        <v>2.2152311345654887</v>
      </c>
      <c r="BY37" s="34">
        <v>0</v>
      </c>
      <c r="BZ37" s="77">
        <v>11006</v>
      </c>
      <c r="CA37" s="34">
        <v>79324</v>
      </c>
      <c r="CB37" s="34">
        <v>11006</v>
      </c>
      <c r="CC37" s="34">
        <f t="shared" si="51"/>
        <v>67344.180999999997</v>
      </c>
      <c r="CD37" s="34">
        <f t="shared" si="19"/>
        <v>-56338.180999999997</v>
      </c>
      <c r="CE37" s="36">
        <f t="shared" si="52"/>
        <v>-0.28515686653789618</v>
      </c>
      <c r="CF37" s="231">
        <f t="shared" si="53"/>
        <v>0.88620086562933409</v>
      </c>
      <c r="CG37" s="34">
        <v>72874.67</v>
      </c>
      <c r="CH37">
        <f t="shared" si="58"/>
        <v>-79324</v>
      </c>
      <c r="CI37" s="34">
        <f t="shared" si="59"/>
        <v>-61868.67</v>
      </c>
      <c r="CJ37" s="23">
        <v>-0.41799999999999998</v>
      </c>
      <c r="CK37" s="23">
        <f t="shared" si="60"/>
        <v>-0.3704098410013148</v>
      </c>
    </row>
    <row r="38" spans="1:89" x14ac:dyDescent="0.25">
      <c r="A38" s="7" t="s">
        <v>92</v>
      </c>
      <c r="B38" s="7" t="s">
        <v>98</v>
      </c>
      <c r="C38" s="10">
        <f t="shared" si="62"/>
        <v>11</v>
      </c>
      <c r="D38" s="11">
        <v>0</v>
      </c>
      <c r="E38" s="11">
        <v>2</v>
      </c>
      <c r="F38" s="11">
        <v>0</v>
      </c>
      <c r="G38" s="11">
        <v>6</v>
      </c>
      <c r="H38" s="11">
        <v>0</v>
      </c>
      <c r="I38" s="11">
        <v>0</v>
      </c>
      <c r="J38" s="11">
        <v>3</v>
      </c>
      <c r="K38" s="11"/>
      <c r="L38" s="33">
        <v>5.5</v>
      </c>
      <c r="M38" s="23">
        <f t="shared" si="63"/>
        <v>0.5</v>
      </c>
      <c r="N38" s="23">
        <f>M38/M79</f>
        <v>7.7504681415467664E-3</v>
      </c>
      <c r="O38" s="33">
        <v>2.5</v>
      </c>
      <c r="P38" s="23">
        <f t="shared" si="64"/>
        <v>0.22727272727272727</v>
      </c>
      <c r="Q38" s="40">
        <f>P38/P79</f>
        <v>1.5209379921499604E-2</v>
      </c>
      <c r="R38" s="23">
        <f t="shared" si="65"/>
        <v>0.43181818181818182</v>
      </c>
      <c r="S38" s="40">
        <f>R38/R79</f>
        <v>8.2850911699212416E-3</v>
      </c>
      <c r="T38" s="40">
        <f t="shared" si="66"/>
        <v>9.6151960865349766E-3</v>
      </c>
      <c r="U38" s="34"/>
      <c r="V38" s="34">
        <f t="shared" si="61"/>
        <v>0</v>
      </c>
      <c r="W38" s="34"/>
      <c r="X38" s="40">
        <f>V38/V79</f>
        <v>0</v>
      </c>
      <c r="Y38" s="48">
        <f t="shared" si="67"/>
        <v>5.7691176519209858E-3</v>
      </c>
      <c r="Z38" s="48">
        <v>-0.30399999999999999</v>
      </c>
      <c r="AA38" s="137">
        <v>-0.12</v>
      </c>
      <c r="AB38" s="222">
        <v>12</v>
      </c>
      <c r="AC38" s="232">
        <v>-7.38922533985088E-2</v>
      </c>
      <c r="AD38" s="137">
        <f t="shared" si="41"/>
        <v>-7.8315803246011451E-2</v>
      </c>
      <c r="AE38" s="61"/>
      <c r="AF38" s="40"/>
      <c r="AG38" s="40"/>
      <c r="AH38" s="37"/>
      <c r="AI38" s="37"/>
      <c r="AJ38" s="23"/>
      <c r="AK38" s="23"/>
      <c r="AL38" s="23"/>
      <c r="AM38" s="23"/>
      <c r="AN38" s="23"/>
      <c r="AO38" s="23"/>
      <c r="AP38" s="23"/>
      <c r="AQ38" s="23"/>
      <c r="AR38" s="26"/>
      <c r="AS38" s="26"/>
      <c r="AX38">
        <v>12</v>
      </c>
      <c r="AY38">
        <v>12</v>
      </c>
      <c r="AZ38">
        <f t="shared" si="42"/>
        <v>0</v>
      </c>
      <c r="BA38">
        <v>25</v>
      </c>
      <c r="BB38">
        <v>31</v>
      </c>
      <c r="BC38" s="119">
        <v>25.07733</v>
      </c>
      <c r="BD38">
        <f t="shared" si="55"/>
        <v>-13</v>
      </c>
      <c r="BE38" s="119">
        <f t="shared" si="45"/>
        <v>38.940540540540539</v>
      </c>
      <c r="BF38" s="119">
        <v>37.633139999999997</v>
      </c>
      <c r="BG38" s="119">
        <f t="shared" si="46"/>
        <v>-7.9405405405405389</v>
      </c>
      <c r="BH38" s="119">
        <f t="shared" si="47"/>
        <v>-6.6331399999999974</v>
      </c>
      <c r="BI38" s="119">
        <f t="shared" si="56"/>
        <v>-13.07733</v>
      </c>
      <c r="BJ38" s="23">
        <v>-0.188</v>
      </c>
      <c r="BK38" s="23">
        <f t="shared" si="54"/>
        <v>-4.895483450273954E-2</v>
      </c>
      <c r="BL38" s="23">
        <f t="shared" si="48"/>
        <v>-0.12293109299980823</v>
      </c>
      <c r="BM38" s="23">
        <f t="shared" si="57"/>
        <v>-0.18110516921172104</v>
      </c>
      <c r="BN38" s="119">
        <v>0</v>
      </c>
      <c r="BO38" s="119">
        <v>0</v>
      </c>
      <c r="BP38" s="119">
        <v>4.7477309999999999</v>
      </c>
      <c r="BQ38" s="119">
        <f t="shared" si="49"/>
        <v>-4.7477309999999999</v>
      </c>
      <c r="BR38" s="23">
        <f t="shared" si="50"/>
        <v>-0.22964674290419554</v>
      </c>
      <c r="BS38" s="23">
        <f t="shared" si="16"/>
        <v>-0.14961000547590506</v>
      </c>
      <c r="BT38" s="119">
        <v>4</v>
      </c>
      <c r="BU38" s="119">
        <f t="shared" si="17"/>
        <v>-4</v>
      </c>
      <c r="BV38" s="23">
        <v>-0.32200000000000001</v>
      </c>
      <c r="BW38" s="23">
        <v>-0.221</v>
      </c>
      <c r="BX38" s="23">
        <f t="shared" si="44"/>
        <v>-0.21632887690879077</v>
      </c>
      <c r="BY38" s="34">
        <v>30946</v>
      </c>
      <c r="BZ38" s="77">
        <v>45570</v>
      </c>
      <c r="CA38" s="34">
        <v>27333</v>
      </c>
      <c r="CB38" s="34">
        <v>30946</v>
      </c>
      <c r="CC38" s="34">
        <f t="shared" si="51"/>
        <v>19710.491999999998</v>
      </c>
      <c r="CD38" s="34">
        <f t="shared" si="19"/>
        <v>11235.508000000002</v>
      </c>
      <c r="CE38" s="36">
        <f t="shared" si="52"/>
        <v>3.9684374717585569E-2</v>
      </c>
      <c r="CF38" s="36">
        <f t="shared" si="53"/>
        <v>-7.38922533985088E-2</v>
      </c>
      <c r="CG38" s="34">
        <v>24359.72</v>
      </c>
      <c r="CH38">
        <f t="shared" si="58"/>
        <v>3613</v>
      </c>
      <c r="CI38" s="34">
        <f t="shared" si="59"/>
        <v>21210.28</v>
      </c>
      <c r="CJ38" s="23">
        <v>3.2000000000000001E-2</v>
      </c>
      <c r="CK38" s="23">
        <f t="shared" si="60"/>
        <v>0.12870380724815747</v>
      </c>
    </row>
    <row r="39" spans="1:89" x14ac:dyDescent="0.25">
      <c r="A39" s="7" t="s">
        <v>99</v>
      </c>
      <c r="B39" s="7" t="s">
        <v>100</v>
      </c>
      <c r="C39" s="10">
        <f t="shared" si="62"/>
        <v>37</v>
      </c>
      <c r="D39">
        <v>3</v>
      </c>
      <c r="E39" s="8">
        <v>34</v>
      </c>
      <c r="F39" s="8">
        <v>0</v>
      </c>
      <c r="G39" s="8">
        <v>0</v>
      </c>
      <c r="H39" s="8">
        <v>0</v>
      </c>
      <c r="I39">
        <v>0</v>
      </c>
      <c r="J39">
        <v>0</v>
      </c>
      <c r="L39" s="33">
        <v>30.5</v>
      </c>
      <c r="M39" s="23">
        <f t="shared" si="63"/>
        <v>0.82432432432432434</v>
      </c>
      <c r="N39" s="23">
        <f>M39/M79</f>
        <v>1.277779882795548E-2</v>
      </c>
      <c r="O39" s="33">
        <v>6.5</v>
      </c>
      <c r="P39" s="23">
        <f t="shared" si="64"/>
        <v>0.17567567567567569</v>
      </c>
      <c r="Q39" s="40">
        <f>P39/P79</f>
        <v>1.1756439614996993E-2</v>
      </c>
      <c r="R39" s="23">
        <f t="shared" si="65"/>
        <v>0.66216216216216217</v>
      </c>
      <c r="S39" s="40">
        <f>R39/R79</f>
        <v>1.270459214960896E-2</v>
      </c>
      <c r="T39" s="40">
        <f t="shared" si="66"/>
        <v>1.2522459024715858E-2</v>
      </c>
      <c r="U39" s="34"/>
      <c r="V39" s="34">
        <f t="shared" si="61"/>
        <v>0</v>
      </c>
      <c r="W39" s="34"/>
      <c r="X39" s="40">
        <f>V39/V79</f>
        <v>0</v>
      </c>
      <c r="Y39" s="48">
        <f t="shared" si="67"/>
        <v>7.513475414829514E-3</v>
      </c>
      <c r="Z39" s="48">
        <v>-3.9E-2</v>
      </c>
      <c r="AA39" s="139">
        <v>0.33300000000000002</v>
      </c>
      <c r="AB39" s="222">
        <v>34</v>
      </c>
      <c r="AC39" s="234">
        <v>7.6732795506595744E-2</v>
      </c>
      <c r="AD39" s="137">
        <f t="shared" si="41"/>
        <v>3.7845935970673983E-3</v>
      </c>
      <c r="AE39" s="67">
        <f>AJ39*AQ$3</f>
        <v>51870.612620999622</v>
      </c>
      <c r="AF39" s="40"/>
      <c r="AG39" s="40"/>
      <c r="AH39" s="37">
        <v>0</v>
      </c>
      <c r="AI39" s="37">
        <f>AH39-AE39</f>
        <v>-51870.612620999622</v>
      </c>
      <c r="AJ39" s="23">
        <f>C39*AQ39</f>
        <v>0.87737662892544332</v>
      </c>
      <c r="AK39" s="68">
        <f>AL39*AW$9</f>
        <v>12945.761882052857</v>
      </c>
      <c r="AL39" s="23">
        <f>AB39*AR39</f>
        <v>0.24824605085508483</v>
      </c>
      <c r="AM39" s="23"/>
      <c r="AN39" s="23"/>
      <c r="AO39" s="23"/>
      <c r="AP39" s="23"/>
      <c r="AQ39" s="23">
        <f>AA39/AT$2</f>
        <v>2.3712881862849821E-2</v>
      </c>
      <c r="AR39" s="243">
        <f>AC39/AW$5</f>
        <v>7.3013544369142595E-3</v>
      </c>
      <c r="AS39" s="26"/>
      <c r="AX39">
        <v>81</v>
      </c>
      <c r="AY39">
        <v>82</v>
      </c>
      <c r="AZ39">
        <f t="shared" si="42"/>
        <v>-1</v>
      </c>
      <c r="BA39">
        <v>84</v>
      </c>
      <c r="BB39">
        <v>188</v>
      </c>
      <c r="BC39" s="119">
        <v>84.351010000000002</v>
      </c>
      <c r="BD39">
        <f t="shared" si="55"/>
        <v>-3</v>
      </c>
      <c r="BE39" s="119">
        <f t="shared" si="45"/>
        <v>110.33153153153154</v>
      </c>
      <c r="BF39" s="119">
        <v>106.62721999999999</v>
      </c>
      <c r="BG39" s="119">
        <f t="shared" si="46"/>
        <v>77.668468468468461</v>
      </c>
      <c r="BH39" s="119">
        <f t="shared" si="47"/>
        <v>81.372780000000006</v>
      </c>
      <c r="BI39" s="119">
        <f t="shared" si="56"/>
        <v>-2.3510100000000023</v>
      </c>
      <c r="BJ39" s="23">
        <v>-9.8000000000000004E-2</v>
      </c>
      <c r="BK39" s="23">
        <f t="shared" si="54"/>
        <v>0.55419084951366215</v>
      </c>
      <c r="BL39" s="23">
        <f t="shared" si="48"/>
        <v>-4.9200171344485406E-2</v>
      </c>
      <c r="BM39" s="23">
        <f t="shared" si="57"/>
        <v>-8.5466189145668683E-2</v>
      </c>
      <c r="BN39" s="119">
        <v>30</v>
      </c>
      <c r="BO39" s="119">
        <v>10</v>
      </c>
      <c r="BP39" s="119">
        <v>13.451905</v>
      </c>
      <c r="BQ39" s="119">
        <f t="shared" si="49"/>
        <v>16.548095</v>
      </c>
      <c r="BR39" s="23">
        <f t="shared" si="50"/>
        <v>0.67658321730868987</v>
      </c>
      <c r="BS39" s="25">
        <f t="shared" si="16"/>
        <v>0.13224567581880842</v>
      </c>
      <c r="BT39" s="119">
        <v>12</v>
      </c>
      <c r="BU39" s="119">
        <f t="shared" si="17"/>
        <v>18</v>
      </c>
      <c r="BV39" s="23">
        <v>0.55500000000000005</v>
      </c>
      <c r="BW39" s="23">
        <v>6.5000000000000002E-2</v>
      </c>
      <c r="BX39" s="23">
        <f t="shared" si="44"/>
        <v>7.4650358140748496E-2</v>
      </c>
      <c r="BY39" s="34">
        <v>214422</v>
      </c>
      <c r="BZ39" s="77">
        <v>57467.05</v>
      </c>
      <c r="CA39" s="34">
        <v>81301</v>
      </c>
      <c r="CB39" s="34">
        <v>57467</v>
      </c>
      <c r="CC39" s="34">
        <f t="shared" si="51"/>
        <v>55846.394</v>
      </c>
      <c r="CD39" s="34">
        <f t="shared" si="19"/>
        <v>1620.6059999999998</v>
      </c>
      <c r="CE39" s="36">
        <f t="shared" si="52"/>
        <v>-6.5365249617232602E-3</v>
      </c>
      <c r="CF39" s="231">
        <f t="shared" si="53"/>
        <v>7.6732795506595744E-2</v>
      </c>
      <c r="CG39" s="34">
        <v>74743.67</v>
      </c>
      <c r="CH39">
        <f t="shared" si="58"/>
        <v>133121</v>
      </c>
      <c r="CI39" s="34">
        <f t="shared" si="59"/>
        <v>-17276.619999999995</v>
      </c>
      <c r="CJ39" s="23">
        <v>0.73499999999999999</v>
      </c>
      <c r="CK39" s="23">
        <f t="shared" si="60"/>
        <v>-0.10251405321845425</v>
      </c>
    </row>
    <row r="40" spans="1:89" x14ac:dyDescent="0.25">
      <c r="A40" s="9" t="s">
        <v>99</v>
      </c>
      <c r="B40" s="9" t="s">
        <v>101</v>
      </c>
      <c r="C40" s="10">
        <f t="shared" si="62"/>
        <v>53</v>
      </c>
      <c r="D40">
        <v>0</v>
      </c>
      <c r="E40" s="8">
        <v>0</v>
      </c>
      <c r="F40" s="8">
        <v>53</v>
      </c>
      <c r="G40" s="8">
        <v>0</v>
      </c>
      <c r="H40" s="8">
        <v>0</v>
      </c>
      <c r="I40">
        <v>0</v>
      </c>
      <c r="J40">
        <v>0</v>
      </c>
      <c r="L40" s="33">
        <v>2</v>
      </c>
      <c r="M40" s="23">
        <f t="shared" si="63"/>
        <v>3.7735849056603772E-2</v>
      </c>
      <c r="N40" s="23">
        <f>M40/M79</f>
        <v>5.8494099181485024E-4</v>
      </c>
      <c r="O40" s="33">
        <v>30.5</v>
      </c>
      <c r="P40" s="23">
        <f t="shared" si="64"/>
        <v>0.57547169811320753</v>
      </c>
      <c r="Q40" s="40">
        <f>P40/P79</f>
        <v>3.8511297838966924E-2</v>
      </c>
      <c r="R40" s="23">
        <f t="shared" si="65"/>
        <v>0.17216981132075471</v>
      </c>
      <c r="S40" s="40">
        <f>R40/R79</f>
        <v>3.3033407196855795E-3</v>
      </c>
      <c r="T40" s="40">
        <f t="shared" si="66"/>
        <v>1.0066530203602868E-2</v>
      </c>
      <c r="U40" s="34"/>
      <c r="V40" s="34">
        <f t="shared" si="61"/>
        <v>0</v>
      </c>
      <c r="W40" s="34"/>
      <c r="X40" s="40">
        <f>V40/V79</f>
        <v>0</v>
      </c>
      <c r="Y40" s="48">
        <f t="shared" si="67"/>
        <v>6.0399181221617209E-3</v>
      </c>
      <c r="Z40" s="48">
        <v>-0.35599999999999998</v>
      </c>
      <c r="AA40" s="137">
        <v>-0.76400000000000001</v>
      </c>
      <c r="AB40" s="222">
        <v>52</v>
      </c>
      <c r="AC40" s="232">
        <v>-0.57993729959908058</v>
      </c>
      <c r="AD40" s="137">
        <f t="shared" si="41"/>
        <v>-0.77389176303299534</v>
      </c>
      <c r="AE40" s="61"/>
      <c r="AF40" s="40"/>
      <c r="AG40" s="40"/>
      <c r="AH40" s="37"/>
      <c r="AI40" s="37"/>
      <c r="AJ40" s="23"/>
      <c r="AK40" s="23"/>
      <c r="AL40" s="23"/>
      <c r="AM40" s="23"/>
      <c r="AN40" s="23"/>
      <c r="AO40" s="23"/>
      <c r="AP40" s="23"/>
      <c r="AQ40" s="23"/>
      <c r="AR40" s="26"/>
      <c r="AS40" s="26"/>
      <c r="AX40">
        <v>8</v>
      </c>
      <c r="AY40">
        <v>8</v>
      </c>
      <c r="AZ40">
        <f t="shared" si="42"/>
        <v>0</v>
      </c>
      <c r="BA40">
        <v>120</v>
      </c>
      <c r="BB40">
        <v>9</v>
      </c>
      <c r="BC40" s="119">
        <v>120.82711999999999</v>
      </c>
      <c r="BD40">
        <f t="shared" si="55"/>
        <v>-112</v>
      </c>
      <c r="BE40" s="119">
        <f t="shared" si="45"/>
        <v>168.74234234234234</v>
      </c>
      <c r="BF40" s="119">
        <v>163.07692</v>
      </c>
      <c r="BG40" s="119">
        <f t="shared" si="46"/>
        <v>-159.74234234234234</v>
      </c>
      <c r="BH40" s="119">
        <f t="shared" si="47"/>
        <v>-154.07692</v>
      </c>
      <c r="BI40" s="119">
        <f t="shared" si="56"/>
        <v>-112.82711999999999</v>
      </c>
      <c r="BJ40" s="23">
        <v>-1.0720000000000001</v>
      </c>
      <c r="BK40" s="23">
        <f t="shared" si="54"/>
        <v>-1.0594559410426614</v>
      </c>
      <c r="BL40" s="23">
        <f t="shared" si="48"/>
        <v>-0.80859439146795986</v>
      </c>
      <c r="BM40" s="23">
        <f t="shared" si="57"/>
        <v>-1.0705032272039225</v>
      </c>
      <c r="BN40" s="119">
        <v>14</v>
      </c>
      <c r="BO40" s="119">
        <v>59</v>
      </c>
      <c r="BP40" s="119">
        <v>20.573502000000001</v>
      </c>
      <c r="BQ40" s="119">
        <f t="shared" si="49"/>
        <v>-6.5735020000000013</v>
      </c>
      <c r="BR40" s="23">
        <f t="shared" si="50"/>
        <v>-0.30734123480546488</v>
      </c>
      <c r="BS40" s="23">
        <f t="shared" si="16"/>
        <v>-0.68328110230233619</v>
      </c>
      <c r="BT40" s="119">
        <v>17</v>
      </c>
      <c r="BU40" s="119">
        <f t="shared" si="17"/>
        <v>-3</v>
      </c>
      <c r="BV40" s="23">
        <v>-0.28199999999999997</v>
      </c>
      <c r="BW40" s="23">
        <v>-0.875</v>
      </c>
      <c r="BX40" s="23">
        <f t="shared" si="44"/>
        <v>-0.87337742040294186</v>
      </c>
      <c r="BY40" s="34">
        <v>0</v>
      </c>
      <c r="BZ40" s="77">
        <v>0</v>
      </c>
      <c r="CA40" s="34">
        <v>112292</v>
      </c>
      <c r="CB40" s="34">
        <v>0</v>
      </c>
      <c r="CC40" s="34">
        <f t="shared" si="51"/>
        <v>85412.131999999998</v>
      </c>
      <c r="CD40" s="34">
        <f t="shared" si="19"/>
        <v>-85412.131999999998</v>
      </c>
      <c r="CE40" s="36">
        <f t="shared" si="52"/>
        <v>-0.42492159554419706</v>
      </c>
      <c r="CF40" s="36">
        <f t="shared" si="53"/>
        <v>-0.57993729959908058</v>
      </c>
      <c r="CG40" s="34">
        <v>104189.91</v>
      </c>
      <c r="CH40">
        <f t="shared" si="58"/>
        <v>-112292</v>
      </c>
      <c r="CI40" s="34">
        <f t="shared" si="59"/>
        <v>-104189.91</v>
      </c>
      <c r="CJ40" s="23">
        <v>-0.59699999999999998</v>
      </c>
      <c r="CK40" s="23">
        <f t="shared" si="60"/>
        <v>-0.62466327697807544</v>
      </c>
    </row>
    <row r="41" spans="1:89" x14ac:dyDescent="0.25">
      <c r="A41" s="9" t="s">
        <v>99</v>
      </c>
      <c r="B41" s="9" t="s">
        <v>104</v>
      </c>
      <c r="C41" s="10">
        <f t="shared" si="62"/>
        <v>30</v>
      </c>
      <c r="D41">
        <v>0</v>
      </c>
      <c r="E41" s="8">
        <v>12</v>
      </c>
      <c r="F41" s="8">
        <v>11</v>
      </c>
      <c r="G41" s="8">
        <v>7</v>
      </c>
      <c r="H41" s="8">
        <v>0</v>
      </c>
      <c r="I41">
        <v>0</v>
      </c>
      <c r="J41">
        <v>0</v>
      </c>
      <c r="L41" s="33">
        <v>7</v>
      </c>
      <c r="M41" s="23">
        <f t="shared" si="63"/>
        <v>0.23333333333333334</v>
      </c>
      <c r="N41" s="23">
        <f>M41/M79</f>
        <v>3.6168851327218242E-3</v>
      </c>
      <c r="O41" s="33">
        <v>3</v>
      </c>
      <c r="P41" s="23">
        <f t="shared" si="64"/>
        <v>0.1</v>
      </c>
      <c r="Q41" s="40">
        <f>P41/P79</f>
        <v>6.6921271654598264E-3</v>
      </c>
      <c r="R41" s="23">
        <f t="shared" si="65"/>
        <v>0.19999999999999998</v>
      </c>
      <c r="S41" s="40">
        <f>R41/R79</f>
        <v>3.8373053839635225E-3</v>
      </c>
      <c r="T41" s="40">
        <f t="shared" si="66"/>
        <v>4.3856956409063248E-3</v>
      </c>
      <c r="U41" s="34"/>
      <c r="V41" s="34">
        <f t="shared" si="61"/>
        <v>0</v>
      </c>
      <c r="W41" s="34"/>
      <c r="X41" s="40">
        <f>V41/V79</f>
        <v>0</v>
      </c>
      <c r="Y41" s="48">
        <f t="shared" si="67"/>
        <v>2.6314173845437949E-3</v>
      </c>
      <c r="Z41" s="48">
        <v>-0.312</v>
      </c>
      <c r="AA41" s="137">
        <v>-0.38700000000000001</v>
      </c>
      <c r="AB41" s="222">
        <v>31</v>
      </c>
      <c r="AC41" s="232">
        <v>-0.29377167121833081</v>
      </c>
      <c r="AD41" s="137">
        <f t="shared" si="41"/>
        <v>-0.39487481860493812</v>
      </c>
      <c r="AE41" s="61"/>
      <c r="AF41" s="40"/>
      <c r="AG41" s="40"/>
      <c r="AH41" s="37"/>
      <c r="AI41" s="37"/>
      <c r="AJ41" s="23"/>
      <c r="AK41" s="23"/>
      <c r="AL41" s="23"/>
      <c r="AM41" s="23"/>
      <c r="AN41" s="23"/>
      <c r="AO41" s="23"/>
      <c r="AP41" s="23"/>
      <c r="AQ41" s="23"/>
      <c r="AR41" s="26"/>
      <c r="AS41" s="26"/>
      <c r="AX41">
        <v>27</v>
      </c>
      <c r="AY41">
        <v>26</v>
      </c>
      <c r="AZ41">
        <f t="shared" si="42"/>
        <v>1</v>
      </c>
      <c r="BA41">
        <v>68</v>
      </c>
      <c r="BB41">
        <v>25</v>
      </c>
      <c r="BC41" s="119">
        <v>68.392709999999994</v>
      </c>
      <c r="BD41">
        <f t="shared" si="55"/>
        <v>-41</v>
      </c>
      <c r="BE41" s="119">
        <f t="shared" si="45"/>
        <v>100.5963963963964</v>
      </c>
      <c r="BF41" s="119">
        <v>97.21893</v>
      </c>
      <c r="BG41" s="119">
        <f t="shared" si="46"/>
        <v>-75.596396396396401</v>
      </c>
      <c r="BH41" s="119">
        <f t="shared" si="47"/>
        <v>-72.21893</v>
      </c>
      <c r="BI41" s="119">
        <f t="shared" si="56"/>
        <v>-42.392709999999994</v>
      </c>
      <c r="BJ41" s="23">
        <v>-0.438</v>
      </c>
      <c r="BK41" s="23">
        <f t="shared" si="54"/>
        <v>-0.49844489348179544</v>
      </c>
      <c r="BL41" s="23">
        <f t="shared" si="48"/>
        <v>-0.32444009012799546</v>
      </c>
      <c r="BM41" s="23">
        <f t="shared" si="57"/>
        <v>-0.44248959960804984</v>
      </c>
      <c r="BN41" s="119">
        <v>6</v>
      </c>
      <c r="BO41" s="119">
        <v>12</v>
      </c>
      <c r="BP41" s="119">
        <v>12.264972</v>
      </c>
      <c r="BQ41" s="119">
        <f t="shared" si="49"/>
        <v>-6.2649720000000002</v>
      </c>
      <c r="BR41" s="23">
        <f t="shared" si="50"/>
        <v>-0.29421194225656433</v>
      </c>
      <c r="BS41" s="23">
        <f t="shared" si="16"/>
        <v>-0.31688305316013765</v>
      </c>
      <c r="BT41" s="119">
        <v>10</v>
      </c>
      <c r="BU41" s="119">
        <f t="shared" si="17"/>
        <v>-4</v>
      </c>
      <c r="BV41" s="23">
        <v>-0.32200000000000001</v>
      </c>
      <c r="BW41" s="23">
        <v>-0.40899999999999997</v>
      </c>
      <c r="BX41" s="23">
        <f t="shared" si="44"/>
        <v>-0.41236719970603741</v>
      </c>
      <c r="BY41" s="34">
        <v>0</v>
      </c>
      <c r="BZ41" s="77">
        <v>0</v>
      </c>
      <c r="CA41" s="34">
        <v>67336</v>
      </c>
      <c r="CB41" s="34">
        <v>0</v>
      </c>
      <c r="CC41" s="34">
        <f t="shared" si="51"/>
        <v>50918.771000000001</v>
      </c>
      <c r="CD41" s="34">
        <f t="shared" si="19"/>
        <v>-50918.771000000001</v>
      </c>
      <c r="CE41" s="36">
        <f t="shared" si="52"/>
        <v>-0.2591045983056206</v>
      </c>
      <c r="CF41" s="36">
        <f t="shared" si="53"/>
        <v>-0.29377167121833081</v>
      </c>
      <c r="CG41" s="34">
        <v>61573.45</v>
      </c>
      <c r="CH41">
        <f t="shared" si="58"/>
        <v>-67336</v>
      </c>
      <c r="CI41" s="34">
        <f t="shared" si="59"/>
        <v>-61573.45</v>
      </c>
      <c r="CJ41" s="23">
        <v>-0.35299999999999998</v>
      </c>
      <c r="CK41" s="23">
        <f t="shared" si="60"/>
        <v>-0.36863624695328923</v>
      </c>
    </row>
    <row r="42" spans="1:89" x14ac:dyDescent="0.25">
      <c r="A42" s="9" t="s">
        <v>99</v>
      </c>
      <c r="B42" s="9" t="s">
        <v>105</v>
      </c>
      <c r="C42" s="10">
        <f t="shared" si="62"/>
        <v>12</v>
      </c>
      <c r="D42">
        <v>0</v>
      </c>
      <c r="E42" s="8">
        <v>0</v>
      </c>
      <c r="F42" s="8">
        <v>0</v>
      </c>
      <c r="G42" s="8">
        <v>0</v>
      </c>
      <c r="H42" s="8">
        <v>12</v>
      </c>
      <c r="I42">
        <v>0</v>
      </c>
      <c r="J42">
        <v>0</v>
      </c>
      <c r="L42" s="33">
        <v>11</v>
      </c>
      <c r="M42" s="23">
        <f t="shared" si="63"/>
        <v>0.91666666666666663</v>
      </c>
      <c r="N42" s="23">
        <f>M42/M79</f>
        <v>1.4209191592835738E-2</v>
      </c>
      <c r="O42" s="33">
        <v>0.5</v>
      </c>
      <c r="P42" s="23">
        <f t="shared" si="64"/>
        <v>4.1666666666666664E-2</v>
      </c>
      <c r="Q42" s="40">
        <f>P42/P79</f>
        <v>2.788386318941594E-3</v>
      </c>
      <c r="R42" s="23">
        <f t="shared" si="65"/>
        <v>0.69791666666666663</v>
      </c>
      <c r="S42" s="40">
        <f>R42/R79</f>
        <v>1.3390596912789375E-2</v>
      </c>
      <c r="T42" s="40">
        <f t="shared" si="66"/>
        <v>1.1353990274362203E-2</v>
      </c>
      <c r="U42" s="34"/>
      <c r="V42" s="34">
        <f t="shared" si="61"/>
        <v>0</v>
      </c>
      <c r="W42" s="34"/>
      <c r="X42" s="40">
        <f>V42/V79</f>
        <v>0</v>
      </c>
      <c r="Y42" s="48">
        <f t="shared" si="67"/>
        <v>6.8123941646173218E-3</v>
      </c>
      <c r="Z42" s="48">
        <v>-0.19700000000000001</v>
      </c>
      <c r="AA42" s="137">
        <v>-0.20399999999999999</v>
      </c>
      <c r="AB42" s="222">
        <v>11</v>
      </c>
      <c r="AC42" s="232">
        <v>-0.13785900964840964</v>
      </c>
      <c r="AD42" s="137">
        <f t="shared" si="41"/>
        <v>-0.20588576992213548</v>
      </c>
      <c r="AE42" s="61"/>
      <c r="AF42" s="40"/>
      <c r="AG42" s="40"/>
      <c r="AH42" s="37"/>
      <c r="AI42" s="37"/>
      <c r="AJ42" s="23"/>
      <c r="AK42" s="23"/>
      <c r="AL42" s="23"/>
      <c r="AM42" s="23"/>
      <c r="AN42" s="23"/>
      <c r="AO42" s="23"/>
      <c r="AP42" s="23"/>
      <c r="AQ42" s="23"/>
      <c r="AR42" s="26"/>
      <c r="AS42" s="26"/>
      <c r="AX42">
        <v>11</v>
      </c>
      <c r="AY42">
        <v>11</v>
      </c>
      <c r="AZ42">
        <f t="shared" si="42"/>
        <v>0</v>
      </c>
      <c r="BA42">
        <v>27</v>
      </c>
      <c r="BB42">
        <v>26</v>
      </c>
      <c r="BC42" s="119">
        <v>27.35708</v>
      </c>
      <c r="BD42">
        <f t="shared" si="55"/>
        <v>-16</v>
      </c>
      <c r="BE42" s="119">
        <f t="shared" si="45"/>
        <v>35.6954954954955</v>
      </c>
      <c r="BF42" s="119">
        <v>34.497039999999998</v>
      </c>
      <c r="BG42" s="119">
        <f t="shared" si="46"/>
        <v>-9.6954954954954999</v>
      </c>
      <c r="BH42" s="119">
        <f t="shared" si="47"/>
        <v>-8.4970399999999984</v>
      </c>
      <c r="BI42" s="119">
        <f t="shared" si="56"/>
        <v>-16.35708</v>
      </c>
      <c r="BJ42" s="23">
        <v>-0.215</v>
      </c>
      <c r="BK42" s="23">
        <f t="shared" si="54"/>
        <v>-6.1729011972143553E-2</v>
      </c>
      <c r="BL42" s="23">
        <f t="shared" si="48"/>
        <v>-0.14547554350091627</v>
      </c>
      <c r="BM42" s="23">
        <f t="shared" si="57"/>
        <v>-0.21034837143500315</v>
      </c>
      <c r="BN42" s="119">
        <v>0</v>
      </c>
      <c r="BO42" s="119">
        <v>1</v>
      </c>
      <c r="BP42" s="119">
        <v>4.352087</v>
      </c>
      <c r="BQ42" s="119">
        <f t="shared" si="49"/>
        <v>-4.352087</v>
      </c>
      <c r="BR42" s="23">
        <f t="shared" si="50"/>
        <v>-0.21281037100772779</v>
      </c>
      <c r="BS42" s="23">
        <f t="shared" si="16"/>
        <v>-0.16230925037761915</v>
      </c>
      <c r="BT42" s="119">
        <v>4</v>
      </c>
      <c r="BU42" s="119">
        <f t="shared" si="17"/>
        <v>-4</v>
      </c>
      <c r="BV42" s="23">
        <v>-0.32200000000000001</v>
      </c>
      <c r="BW42" s="23">
        <v>-0.24099999999999999</v>
      </c>
      <c r="BX42" s="23">
        <f t="shared" si="44"/>
        <v>-0.23826127857625234</v>
      </c>
      <c r="BY42" s="34">
        <v>0</v>
      </c>
      <c r="BZ42" s="77">
        <v>0</v>
      </c>
      <c r="CA42" s="34">
        <v>29556</v>
      </c>
      <c r="CB42" s="34">
        <v>0</v>
      </c>
      <c r="CC42" s="34">
        <f t="shared" si="51"/>
        <v>18067.951000000001</v>
      </c>
      <c r="CD42" s="34">
        <f t="shared" si="19"/>
        <v>-18067.951000000001</v>
      </c>
      <c r="CE42" s="36">
        <f t="shared" si="52"/>
        <v>-0.10118364855459538</v>
      </c>
      <c r="CF42" s="36">
        <f t="shared" si="53"/>
        <v>-0.13785900964840964</v>
      </c>
      <c r="CG42" s="34">
        <v>26399.65</v>
      </c>
      <c r="CH42">
        <f t="shared" si="58"/>
        <v>-29556</v>
      </c>
      <c r="CI42" s="34">
        <f t="shared" si="59"/>
        <v>-26399.65</v>
      </c>
      <c r="CJ42" s="23">
        <v>-0.14799999999999999</v>
      </c>
      <c r="CK42" s="23">
        <f t="shared" si="60"/>
        <v>-0.1573225069409602</v>
      </c>
    </row>
    <row r="43" spans="1:89" x14ac:dyDescent="0.25">
      <c r="A43" s="7" t="s">
        <v>106</v>
      </c>
      <c r="B43" s="7" t="s">
        <v>100</v>
      </c>
      <c r="C43" s="10">
        <f t="shared" si="62"/>
        <v>24</v>
      </c>
      <c r="D43" s="8">
        <v>0</v>
      </c>
      <c r="E43" s="8">
        <v>24</v>
      </c>
      <c r="F43" s="8">
        <v>0</v>
      </c>
      <c r="G43">
        <v>0</v>
      </c>
      <c r="H43">
        <v>0</v>
      </c>
      <c r="I43">
        <v>0</v>
      </c>
      <c r="J43">
        <v>0</v>
      </c>
      <c r="L43" s="33">
        <v>12</v>
      </c>
      <c r="M43" s="23">
        <f t="shared" si="63"/>
        <v>0.5</v>
      </c>
      <c r="N43" s="23">
        <f>M43/M79</f>
        <v>7.7504681415467664E-3</v>
      </c>
      <c r="O43" s="33">
        <v>7.5</v>
      </c>
      <c r="P43" s="23">
        <f t="shared" si="64"/>
        <v>0.3125</v>
      </c>
      <c r="Q43" s="40">
        <f>P43/P79</f>
        <v>2.0912897392061956E-2</v>
      </c>
      <c r="R43" s="23">
        <f t="shared" si="65"/>
        <v>0.453125</v>
      </c>
      <c r="S43" s="40">
        <f>R43/R79</f>
        <v>8.6938950105423553E-3</v>
      </c>
      <c r="T43" s="40">
        <f t="shared" si="66"/>
        <v>1.1041075454175563E-2</v>
      </c>
      <c r="U43" s="34">
        <v>87047</v>
      </c>
      <c r="V43" s="72">
        <f>U43/C43</f>
        <v>3626.9583333333335</v>
      </c>
      <c r="W43" s="72"/>
      <c r="X43" s="40">
        <f>V43/V79</f>
        <v>4.6575237586334639E-2</v>
      </c>
      <c r="Y43" s="47">
        <f t="shared" si="67"/>
        <v>2.5254740307039194E-2</v>
      </c>
      <c r="Z43" s="48">
        <v>8.7999999999999995E-2</v>
      </c>
      <c r="AA43" s="137">
        <v>-0.26500000000000001</v>
      </c>
      <c r="AB43" s="222">
        <v>25</v>
      </c>
      <c r="AC43" s="232">
        <v>-0.15518001204982396</v>
      </c>
      <c r="AD43" s="137">
        <f t="shared" si="41"/>
        <v>-0.2665259743527677</v>
      </c>
      <c r="AE43" s="70"/>
      <c r="AF43" s="40">
        <f>C43*AO43</f>
        <v>0</v>
      </c>
      <c r="AG43" s="40"/>
      <c r="AH43" s="37"/>
      <c r="AI43" s="37"/>
      <c r="AJ43" s="23"/>
      <c r="AK43" s="23"/>
      <c r="AL43" s="23"/>
      <c r="AM43" s="23"/>
      <c r="AN43" s="23"/>
      <c r="AO43" s="23"/>
      <c r="AP43" s="23"/>
      <c r="AQ43" s="23"/>
      <c r="AR43" s="26"/>
      <c r="AS43" s="26"/>
      <c r="AX43">
        <v>26</v>
      </c>
      <c r="AY43">
        <v>26</v>
      </c>
      <c r="AZ43">
        <f t="shared" si="42"/>
        <v>0</v>
      </c>
      <c r="BA43">
        <v>54</v>
      </c>
      <c r="BB43">
        <v>81</v>
      </c>
      <c r="BC43" s="119">
        <v>54.714170000000003</v>
      </c>
      <c r="BD43">
        <f t="shared" si="55"/>
        <v>-28</v>
      </c>
      <c r="BE43" s="119">
        <f t="shared" si="45"/>
        <v>81.126126126126124</v>
      </c>
      <c r="BF43" s="119">
        <v>78.402370000000005</v>
      </c>
      <c r="BG43" s="119">
        <f t="shared" si="46"/>
        <v>-0.12612612612612395</v>
      </c>
      <c r="BH43" s="119">
        <f t="shared" si="47"/>
        <v>2.5976299999999952</v>
      </c>
      <c r="BI43" s="119">
        <f t="shared" si="56"/>
        <v>-28.714170000000003</v>
      </c>
      <c r="BJ43" s="23">
        <v>-0.32200000000000001</v>
      </c>
      <c r="BK43" s="23">
        <f t="shared" si="54"/>
        <v>1.4307944701751193E-2</v>
      </c>
      <c r="BL43" s="23">
        <f t="shared" si="48"/>
        <v>-0.23041610416643557</v>
      </c>
      <c r="BM43" s="23">
        <f t="shared" si="57"/>
        <v>-0.32052776979198067</v>
      </c>
      <c r="BN43" s="119">
        <v>7</v>
      </c>
      <c r="BO43" s="119">
        <v>15</v>
      </c>
      <c r="BP43" s="119">
        <v>9.8911069999999999</v>
      </c>
      <c r="BQ43" s="119">
        <f t="shared" si="49"/>
        <v>-2.8911069999999999</v>
      </c>
      <c r="BR43" s="23">
        <f t="shared" si="50"/>
        <v>-0.15063932174803618</v>
      </c>
      <c r="BS43" s="23">
        <f t="shared" si="16"/>
        <v>-0.21047190856183573</v>
      </c>
      <c r="BT43" s="119">
        <v>8</v>
      </c>
      <c r="BU43" s="119">
        <f t="shared" si="17"/>
        <v>-1</v>
      </c>
      <c r="BV43" s="23">
        <v>-0.20200000000000001</v>
      </c>
      <c r="BW43" s="23">
        <v>-0.29199999999999998</v>
      </c>
      <c r="BX43" s="23">
        <f t="shared" si="44"/>
        <v>-0.2908958273439855</v>
      </c>
      <c r="BY43" s="34">
        <v>11606</v>
      </c>
      <c r="BZ43" s="77">
        <v>11606.25</v>
      </c>
      <c r="CA43" s="34">
        <v>55101</v>
      </c>
      <c r="CB43" s="34">
        <v>29016</v>
      </c>
      <c r="CC43" s="34">
        <f t="shared" si="51"/>
        <v>41063.525000000001</v>
      </c>
      <c r="CD43" s="34">
        <f t="shared" si="19"/>
        <v>-12047.525000000001</v>
      </c>
      <c r="CE43" s="36">
        <f t="shared" si="52"/>
        <v>-7.2242167281806283E-2</v>
      </c>
      <c r="CF43" s="36">
        <f t="shared" si="53"/>
        <v>-0.15518001204982396</v>
      </c>
      <c r="CG43" s="34">
        <v>50098.49</v>
      </c>
      <c r="CH43">
        <f t="shared" si="58"/>
        <v>-43495</v>
      </c>
      <c r="CI43" s="34">
        <f t="shared" si="59"/>
        <v>-38492.239999999998</v>
      </c>
      <c r="CJ43" s="23">
        <v>-0.224</v>
      </c>
      <c r="CK43" s="23">
        <f t="shared" si="60"/>
        <v>-0.229971194865941</v>
      </c>
    </row>
    <row r="44" spans="1:89" x14ac:dyDescent="0.25">
      <c r="A44" s="9" t="s">
        <v>106</v>
      </c>
      <c r="B44" s="9" t="s">
        <v>101</v>
      </c>
      <c r="C44" s="10">
        <f t="shared" si="62"/>
        <v>44</v>
      </c>
      <c r="D44" s="8">
        <v>0</v>
      </c>
      <c r="E44" s="8">
        <v>0</v>
      </c>
      <c r="F44" s="8">
        <v>44</v>
      </c>
      <c r="G44">
        <v>0</v>
      </c>
      <c r="H44">
        <v>0</v>
      </c>
      <c r="I44">
        <v>0</v>
      </c>
      <c r="J44">
        <v>0</v>
      </c>
      <c r="L44" s="33">
        <v>4.5</v>
      </c>
      <c r="M44" s="23">
        <f t="shared" si="63"/>
        <v>0.10227272727272728</v>
      </c>
      <c r="N44" s="23">
        <f>M44/M79</f>
        <v>1.5853230289527478E-3</v>
      </c>
      <c r="O44" s="33">
        <v>39.5</v>
      </c>
      <c r="P44" s="23">
        <f t="shared" si="64"/>
        <v>0.89772727272727271</v>
      </c>
      <c r="Q44" s="40">
        <f>P44/P79</f>
        <v>6.0077050689923438E-2</v>
      </c>
      <c r="R44" s="23">
        <f t="shared" si="65"/>
        <v>0.30113636363636365</v>
      </c>
      <c r="S44" s="40">
        <f>R44/R79</f>
        <v>5.7777609474450771E-3</v>
      </c>
      <c r="T44" s="40">
        <f t="shared" si="66"/>
        <v>1.6208254944195422E-2</v>
      </c>
      <c r="U44" s="34"/>
      <c r="V44" s="34">
        <f t="shared" si="61"/>
        <v>0</v>
      </c>
      <c r="W44" s="34"/>
      <c r="X44" s="40">
        <f>V44/V79</f>
        <v>0</v>
      </c>
      <c r="Y44" s="48">
        <f t="shared" si="67"/>
        <v>9.7249529665172519E-3</v>
      </c>
      <c r="Z44" s="48">
        <v>-0.38</v>
      </c>
      <c r="AA44" s="137">
        <v>-0.154</v>
      </c>
      <c r="AB44" s="222">
        <v>47</v>
      </c>
      <c r="AC44" s="232">
        <v>1.9507212093354015E-2</v>
      </c>
      <c r="AD44" s="137">
        <f t="shared" si="41"/>
        <v>-0.16011411243129184</v>
      </c>
      <c r="AE44" s="61"/>
      <c r="AF44" s="40"/>
      <c r="AG44" s="40"/>
      <c r="AH44" s="37"/>
      <c r="AI44" s="37"/>
      <c r="AJ44" s="23"/>
      <c r="AK44" s="23"/>
      <c r="AL44" s="23"/>
      <c r="AM44" s="23"/>
      <c r="AN44" s="23"/>
      <c r="AO44" s="23"/>
      <c r="AP44" s="23"/>
      <c r="AQ44" s="23"/>
      <c r="AR44" s="26"/>
      <c r="AS44" s="26"/>
      <c r="AX44">
        <v>7</v>
      </c>
      <c r="AY44">
        <v>7</v>
      </c>
      <c r="AZ44">
        <f t="shared" si="42"/>
        <v>0</v>
      </c>
      <c r="BA44">
        <v>100</v>
      </c>
      <c r="BB44">
        <v>11</v>
      </c>
      <c r="BC44" s="119">
        <v>100.30931</v>
      </c>
      <c r="BD44">
        <f t="shared" si="55"/>
        <v>-93</v>
      </c>
      <c r="BE44" s="119">
        <f t="shared" si="45"/>
        <v>152.51711711711712</v>
      </c>
      <c r="BF44" s="119">
        <v>147.39644999999999</v>
      </c>
      <c r="BG44" s="119">
        <f t="shared" si="46"/>
        <v>-141.51711711711712</v>
      </c>
      <c r="BH44" s="119">
        <f t="shared" si="47"/>
        <v>-136.39644999999999</v>
      </c>
      <c r="BI44" s="119">
        <f t="shared" si="56"/>
        <v>-93.309309999999996</v>
      </c>
      <c r="BJ44" s="23">
        <v>-0.90300000000000002</v>
      </c>
      <c r="BK44" s="23">
        <f t="shared" si="54"/>
        <v>-0.9382834202408622</v>
      </c>
      <c r="BL44" s="23">
        <f t="shared" si="48"/>
        <v>-0.67443224452534811</v>
      </c>
      <c r="BM44" s="23">
        <f t="shared" si="57"/>
        <v>-0.89647677250902269</v>
      </c>
      <c r="BN44" s="119">
        <v>94</v>
      </c>
      <c r="BO44" s="119">
        <v>62</v>
      </c>
      <c r="BP44" s="119">
        <v>18.595279999999999</v>
      </c>
      <c r="BQ44" s="119">
        <f t="shared" si="49"/>
        <v>75.404719999999998</v>
      </c>
      <c r="BR44" s="23">
        <f t="shared" si="50"/>
        <v>3.1811884358155802</v>
      </c>
      <c r="BS44" s="25">
        <f t="shared" si="16"/>
        <v>0.28947292555988391</v>
      </c>
      <c r="BT44" s="119">
        <v>14</v>
      </c>
      <c r="BU44" s="119">
        <f t="shared" si="17"/>
        <v>80</v>
      </c>
      <c r="BV44" s="23">
        <v>3.024</v>
      </c>
      <c r="BW44" s="23">
        <v>7.9000000000000001E-2</v>
      </c>
      <c r="BX44" s="23">
        <f t="shared" si="44"/>
        <v>8.3642420618233015E-2</v>
      </c>
      <c r="BY44" s="34">
        <v>0</v>
      </c>
      <c r="BZ44" s="77">
        <v>0</v>
      </c>
      <c r="CA44" s="34">
        <v>94999</v>
      </c>
      <c r="CB44" s="34">
        <v>0</v>
      </c>
      <c r="CC44" s="34">
        <f t="shared" si="51"/>
        <v>77199.426999999996</v>
      </c>
      <c r="CD44" s="34">
        <f t="shared" si="19"/>
        <v>-77199.426999999996</v>
      </c>
      <c r="CE44" s="36">
        <f t="shared" si="52"/>
        <v>-0.38544135810644076</v>
      </c>
      <c r="CF44" s="36">
        <f t="shared" si="53"/>
        <v>1.9507212093354015E-2</v>
      </c>
      <c r="CG44" s="34">
        <v>87725.32</v>
      </c>
      <c r="CH44">
        <f t="shared" si="58"/>
        <v>-94999</v>
      </c>
      <c r="CI44" s="34">
        <f t="shared" si="59"/>
        <v>-87725.32</v>
      </c>
      <c r="CJ44" s="23">
        <v>-0.503</v>
      </c>
      <c r="CK44" s="23">
        <f t="shared" si="60"/>
        <v>-0.52574891200557905</v>
      </c>
    </row>
    <row r="45" spans="1:89" x14ac:dyDescent="0.25">
      <c r="A45" s="7" t="s">
        <v>106</v>
      </c>
      <c r="B45" s="7" t="s">
        <v>107</v>
      </c>
      <c r="C45" s="10">
        <f t="shared" si="62"/>
        <v>82</v>
      </c>
      <c r="D45" s="8">
        <v>82</v>
      </c>
      <c r="E45" s="8">
        <v>0</v>
      </c>
      <c r="F45" s="8">
        <v>0</v>
      </c>
      <c r="G45">
        <v>0</v>
      </c>
      <c r="H45">
        <v>0</v>
      </c>
      <c r="I45">
        <v>0</v>
      </c>
      <c r="J45">
        <v>0</v>
      </c>
      <c r="L45" s="33">
        <v>103</v>
      </c>
      <c r="M45" s="26">
        <f t="shared" si="63"/>
        <v>1.2560975609756098</v>
      </c>
      <c r="N45" s="23">
        <f>M45/M79</f>
        <v>1.947068825803212E-2</v>
      </c>
      <c r="O45" s="33">
        <v>11</v>
      </c>
      <c r="P45" s="23">
        <f t="shared" si="64"/>
        <v>0.13414634146341464</v>
      </c>
      <c r="Q45" s="40">
        <f>P45/P79</f>
        <v>8.9772437585436699E-3</v>
      </c>
      <c r="R45" s="23">
        <f t="shared" si="65"/>
        <v>0.97560975609756106</v>
      </c>
      <c r="S45" s="40">
        <f>R45/R79</f>
        <v>1.871856284860255E-2</v>
      </c>
      <c r="T45" s="40">
        <f t="shared" si="66"/>
        <v>1.6847327133160006E-2</v>
      </c>
      <c r="U45" s="34">
        <v>134599</v>
      </c>
      <c r="V45" s="72">
        <f>U45/C45</f>
        <v>1641.4512195121952</v>
      </c>
      <c r="W45" s="72"/>
      <c r="X45" s="40">
        <f>V45/V79</f>
        <v>2.1078538408489909E-2</v>
      </c>
      <c r="Y45" s="47">
        <f t="shared" si="67"/>
        <v>1.8539811643291965E-2</v>
      </c>
      <c r="Z45" s="47">
        <v>1.1000000000000001</v>
      </c>
      <c r="AA45" s="139">
        <v>0.23</v>
      </c>
      <c r="AB45" s="222">
        <v>91</v>
      </c>
      <c r="AC45" s="232">
        <v>-0.17698776627548835</v>
      </c>
      <c r="AD45" s="139">
        <f t="shared" si="41"/>
        <v>0.48307566404161989</v>
      </c>
      <c r="AE45" s="67">
        <f>AJ45*AQ$3</f>
        <v>79399.379436089032</v>
      </c>
      <c r="AF45" s="40">
        <f>C45*AO45</f>
        <v>0</v>
      </c>
      <c r="AG45" s="40" t="e">
        <f>C45*AP45</f>
        <v>#REF!</v>
      </c>
      <c r="AH45" s="37">
        <f>AM45*AS$3</f>
        <v>162363.98519546053</v>
      </c>
      <c r="AI45" s="37">
        <f>AH45-AE45</f>
        <v>82964.605759371494</v>
      </c>
      <c r="AJ45" s="23">
        <f>C45*AQ45</f>
        <v>1.3430178736737166</v>
      </c>
      <c r="AK45" s="23"/>
      <c r="AL45" s="23"/>
      <c r="AM45" s="23">
        <f>C45*AS45</f>
        <v>2.7370666062437614</v>
      </c>
      <c r="AN45" s="23"/>
      <c r="AO45" s="23"/>
      <c r="AP45" s="23" t="e">
        <f>Z45/#REF!</f>
        <v>#REF!</v>
      </c>
      <c r="AQ45" s="23">
        <f>AA45/AT$2</f>
        <v>1.6378266752118495E-2</v>
      </c>
      <c r="AR45" s="26"/>
      <c r="AS45" s="26">
        <f>AD45/AW$2</f>
        <v>3.3378861051753188E-2</v>
      </c>
      <c r="AX45">
        <v>203</v>
      </c>
      <c r="AY45">
        <v>196</v>
      </c>
      <c r="AZ45">
        <f t="shared" si="42"/>
        <v>7</v>
      </c>
      <c r="BA45">
        <v>186</v>
      </c>
      <c r="BB45">
        <v>125</v>
      </c>
      <c r="BC45" s="119">
        <v>186.94006999999999</v>
      </c>
      <c r="BD45">
        <f t="shared" si="55"/>
        <v>17</v>
      </c>
      <c r="BE45" s="119">
        <f t="shared" si="45"/>
        <v>295.29909909909912</v>
      </c>
      <c r="BF45" s="119">
        <v>285.38461000000001</v>
      </c>
      <c r="BG45" s="119">
        <f t="shared" si="46"/>
        <v>-170.29909909909912</v>
      </c>
      <c r="BH45" s="119">
        <f t="shared" si="47"/>
        <v>-160.38461000000001</v>
      </c>
      <c r="BI45" s="119">
        <f t="shared" si="56"/>
        <v>9.0599300000000085</v>
      </c>
      <c r="BJ45" s="23">
        <v>0.08</v>
      </c>
      <c r="BK45" s="23">
        <f t="shared" si="54"/>
        <v>-1.1026854874142398</v>
      </c>
      <c r="BL45" s="23">
        <f t="shared" si="48"/>
        <v>2.9236713174491311E-2</v>
      </c>
      <c r="BM45" s="23">
        <f t="shared" si="57"/>
        <v>1.6277061400177498E-2</v>
      </c>
      <c r="BN45" s="119">
        <v>37</v>
      </c>
      <c r="BO45" s="119">
        <v>33</v>
      </c>
      <c r="BP45" s="119">
        <v>36.003627999999999</v>
      </c>
      <c r="BQ45" s="119">
        <f t="shared" si="49"/>
        <v>0.99637200000000092</v>
      </c>
      <c r="BR45" s="23">
        <f t="shared" si="50"/>
        <v>1.4789806922456733E-2</v>
      </c>
      <c r="BS45" s="23">
        <f t="shared" si="16"/>
        <v>2.5624986611482669E-2</v>
      </c>
      <c r="BT45" s="119">
        <v>26</v>
      </c>
      <c r="BU45" s="119">
        <f t="shared" si="17"/>
        <v>11</v>
      </c>
      <c r="BV45" s="23">
        <v>0.27600000000000002</v>
      </c>
      <c r="BW45" s="23">
        <v>0.129</v>
      </c>
      <c r="BX45" s="23">
        <f t="shared" si="44"/>
        <v>8.1207796050133133E-2</v>
      </c>
      <c r="BY45" s="34">
        <v>234031</v>
      </c>
      <c r="BZ45" s="77">
        <v>336492</v>
      </c>
      <c r="CA45" s="34">
        <v>166217</v>
      </c>
      <c r="CB45" s="34">
        <v>52413</v>
      </c>
      <c r="CC45" s="34">
        <f t="shared" si="51"/>
        <v>149471.231</v>
      </c>
      <c r="CD45" s="34">
        <f t="shared" si="19"/>
        <v>-97058.231</v>
      </c>
      <c r="CE45" s="36">
        <f t="shared" si="52"/>
        <v>-0.48090689560594485</v>
      </c>
      <c r="CF45" s="36">
        <f t="shared" si="53"/>
        <v>-0.17698776627548835</v>
      </c>
      <c r="CG45" s="34">
        <v>155957.32</v>
      </c>
      <c r="CH45">
        <f t="shared" si="58"/>
        <v>67814</v>
      </c>
      <c r="CI45" s="34">
        <f t="shared" si="59"/>
        <v>180534.68</v>
      </c>
      <c r="CJ45" s="23">
        <v>0.38100000000000001</v>
      </c>
      <c r="CK45" s="23">
        <f t="shared" si="60"/>
        <v>1.0858774660288499</v>
      </c>
    </row>
    <row r="46" spans="1:89" x14ac:dyDescent="0.25">
      <c r="A46" s="9" t="s">
        <v>106</v>
      </c>
      <c r="B46" s="9" t="s">
        <v>109</v>
      </c>
      <c r="C46" s="10">
        <f t="shared" si="62"/>
        <v>13</v>
      </c>
      <c r="D46" s="8">
        <v>0</v>
      </c>
      <c r="E46" s="8">
        <v>13</v>
      </c>
      <c r="F46" s="8">
        <v>0</v>
      </c>
      <c r="G46">
        <v>0</v>
      </c>
      <c r="H46">
        <v>0</v>
      </c>
      <c r="I46">
        <v>0</v>
      </c>
      <c r="J46">
        <v>0</v>
      </c>
      <c r="L46" s="33">
        <v>2.5</v>
      </c>
      <c r="M46" s="23">
        <f t="shared" si="63"/>
        <v>0.19230769230769232</v>
      </c>
      <c r="N46" s="23">
        <f>M46/M79</f>
        <v>2.9809492852102952E-3</v>
      </c>
      <c r="O46" s="33">
        <v>1.5</v>
      </c>
      <c r="P46" s="23">
        <f t="shared" si="64"/>
        <v>0.11538461538461539</v>
      </c>
      <c r="Q46" s="40">
        <f>P46/P79</f>
        <v>7.7216851909151845E-3</v>
      </c>
      <c r="R46" s="23">
        <f t="shared" si="65"/>
        <v>0.1730769230769231</v>
      </c>
      <c r="S46" s="40">
        <f>R46/R79</f>
        <v>3.3207450438145873E-3</v>
      </c>
      <c r="T46" s="40">
        <f t="shared" si="66"/>
        <v>4.1661332616365178E-3</v>
      </c>
      <c r="U46" s="34"/>
      <c r="V46" s="34">
        <f t="shared" si="61"/>
        <v>0</v>
      </c>
      <c r="W46" s="34"/>
      <c r="X46" s="40">
        <f>V46/V79</f>
        <v>0</v>
      </c>
      <c r="Y46" s="48">
        <f t="shared" si="67"/>
        <v>2.4996799569819107E-3</v>
      </c>
      <c r="Z46" s="48">
        <v>-0.52700000000000002</v>
      </c>
      <c r="AA46" s="137">
        <v>-0.21299999999999999</v>
      </c>
      <c r="AB46" s="222">
        <v>14</v>
      </c>
      <c r="AC46" s="232">
        <v>-0.15538259445504127</v>
      </c>
      <c r="AD46" s="137">
        <f t="shared" si="41"/>
        <v>-0.21592884334188178</v>
      </c>
      <c r="AE46" s="61"/>
      <c r="AF46" s="40"/>
      <c r="AG46" s="40"/>
      <c r="AH46" s="37"/>
      <c r="AI46" s="37"/>
      <c r="AJ46" s="23"/>
      <c r="AK46" s="23"/>
      <c r="AL46" s="23"/>
      <c r="AM46" s="23"/>
      <c r="AN46" s="23"/>
      <c r="AO46" s="23"/>
      <c r="AP46" s="23"/>
      <c r="AQ46" s="23"/>
      <c r="AR46" s="26"/>
      <c r="AS46" s="26"/>
      <c r="AX46">
        <v>9</v>
      </c>
      <c r="AY46">
        <v>9</v>
      </c>
      <c r="AZ46">
        <f t="shared" si="42"/>
        <v>0</v>
      </c>
      <c r="BA46">
        <v>29</v>
      </c>
      <c r="BB46">
        <v>22</v>
      </c>
      <c r="BC46" s="119">
        <v>29.636839999999999</v>
      </c>
      <c r="BD46">
        <f t="shared" si="55"/>
        <v>-20</v>
      </c>
      <c r="BE46" s="119">
        <f t="shared" si="45"/>
        <v>45.430630630630631</v>
      </c>
      <c r="BF46" s="119">
        <v>43.905329999999999</v>
      </c>
      <c r="BG46" s="119">
        <f t="shared" si="46"/>
        <v>-23.430630630630631</v>
      </c>
      <c r="BH46" s="119">
        <f t="shared" si="47"/>
        <v>-21.905329999999999</v>
      </c>
      <c r="BI46" s="119">
        <f t="shared" si="56"/>
        <v>-20.636839999999999</v>
      </c>
      <c r="BJ46" s="23">
        <v>-0.25</v>
      </c>
      <c r="BK46" s="23">
        <f t="shared" si="54"/>
        <v>-0.15362228737384695</v>
      </c>
      <c r="BL46" s="23">
        <f t="shared" si="48"/>
        <v>-0.1748938947400723</v>
      </c>
      <c r="BM46" s="23">
        <f t="shared" si="57"/>
        <v>-0.24850795285038962</v>
      </c>
      <c r="BN46" s="119">
        <v>2</v>
      </c>
      <c r="BO46" s="119">
        <v>3</v>
      </c>
      <c r="BP46" s="119">
        <v>5.5390199999999998</v>
      </c>
      <c r="BQ46" s="119">
        <f t="shared" si="49"/>
        <v>-3.5390199999999998</v>
      </c>
      <c r="BR46" s="23">
        <f t="shared" si="50"/>
        <v>-0.17821083610072722</v>
      </c>
      <c r="BS46" s="23">
        <f t="shared" si="16"/>
        <v>-0.17572313008023602</v>
      </c>
      <c r="BT46" s="119">
        <v>4</v>
      </c>
      <c r="BU46" s="119">
        <f t="shared" si="17"/>
        <v>-2</v>
      </c>
      <c r="BV46" s="23">
        <v>-0.24199999999999999</v>
      </c>
      <c r="BW46" s="23">
        <v>-0.248</v>
      </c>
      <c r="BX46" s="23">
        <f t="shared" si="44"/>
        <v>-0.24688096463779222</v>
      </c>
      <c r="BY46" s="34">
        <v>0</v>
      </c>
      <c r="BZ46" s="77">
        <v>0</v>
      </c>
      <c r="CA46" s="34">
        <v>31760</v>
      </c>
      <c r="CB46" s="34">
        <v>0</v>
      </c>
      <c r="CC46" s="34">
        <f t="shared" si="51"/>
        <v>22995.574000000001</v>
      </c>
      <c r="CD46" s="34">
        <f t="shared" si="19"/>
        <v>-22995.574000000001</v>
      </c>
      <c r="CE46" s="36">
        <f t="shared" si="52"/>
        <v>-0.12487179101724917</v>
      </c>
      <c r="CF46" s="36">
        <f t="shared" si="53"/>
        <v>-0.15538259445504127</v>
      </c>
      <c r="CG46" s="34">
        <v>28426.74</v>
      </c>
      <c r="CH46">
        <f t="shared" si="58"/>
        <v>-31760</v>
      </c>
      <c r="CI46" s="34">
        <f t="shared" si="59"/>
        <v>-28426.74</v>
      </c>
      <c r="CJ46" s="23">
        <v>-0.16</v>
      </c>
      <c r="CK46" s="23">
        <f t="shared" si="60"/>
        <v>-0.16950066139801609</v>
      </c>
    </row>
    <row r="47" spans="1:89" x14ac:dyDescent="0.25">
      <c r="A47" s="7" t="s">
        <v>111</v>
      </c>
      <c r="B47" s="7" t="s">
        <v>100</v>
      </c>
      <c r="C47" s="10">
        <f t="shared" si="62"/>
        <v>29</v>
      </c>
      <c r="D47" s="8">
        <v>0</v>
      </c>
      <c r="E47" s="8">
        <v>0</v>
      </c>
      <c r="F47" s="8">
        <v>0</v>
      </c>
      <c r="G47" s="8">
        <v>0</v>
      </c>
      <c r="H47" s="8">
        <v>29</v>
      </c>
      <c r="I47">
        <v>0</v>
      </c>
      <c r="J47">
        <v>0</v>
      </c>
      <c r="L47" s="33">
        <v>24.5</v>
      </c>
      <c r="M47" s="23">
        <f t="shared" si="63"/>
        <v>0.84482758620689657</v>
      </c>
      <c r="N47" s="23">
        <f>M47/M79</f>
        <v>1.3095618583992812E-2</v>
      </c>
      <c r="O47" s="33">
        <v>25</v>
      </c>
      <c r="P47" s="23">
        <f t="shared" si="64"/>
        <v>0.86206896551724133</v>
      </c>
      <c r="Q47" s="40">
        <f>P47/P79</f>
        <v>5.7690751426377807E-2</v>
      </c>
      <c r="R47" s="23">
        <f t="shared" si="65"/>
        <v>0.84913793103448265</v>
      </c>
      <c r="S47" s="40">
        <f>R47/R79</f>
        <v>1.6292007772431335E-2</v>
      </c>
      <c r="T47" s="40">
        <f t="shared" si="66"/>
        <v>2.424440179458906E-2</v>
      </c>
      <c r="U47" s="34"/>
      <c r="V47" s="34">
        <f t="shared" si="61"/>
        <v>0</v>
      </c>
      <c r="W47" s="34"/>
      <c r="X47" s="40">
        <f>V47/V79</f>
        <v>0</v>
      </c>
      <c r="Y47" s="48">
        <f t="shared" si="67"/>
        <v>1.4546641076753436E-2</v>
      </c>
      <c r="Z47" s="48">
        <v>-3.2000000000000001E-2</v>
      </c>
      <c r="AA47" s="137">
        <v>-4.5999999999999999E-2</v>
      </c>
      <c r="AB47" s="222">
        <v>25</v>
      </c>
      <c r="AC47" s="234">
        <v>7.3947976000144106E-2</v>
      </c>
      <c r="AD47" s="137">
        <f t="shared" si="41"/>
        <v>9.7508049954604006E-2</v>
      </c>
      <c r="AE47" s="61"/>
      <c r="AF47" s="40"/>
      <c r="AG47" s="40"/>
      <c r="AH47" s="37"/>
      <c r="AI47" s="37"/>
      <c r="AJ47" s="23"/>
      <c r="AK47" s="68">
        <f>AL47*AW$9</f>
        <v>9173.477016587356</v>
      </c>
      <c r="AL47" s="23">
        <f>AB47*AR47</f>
        <v>0.17590926379812111</v>
      </c>
      <c r="AM47" s="23"/>
      <c r="AN47" s="23"/>
      <c r="AO47" s="23"/>
      <c r="AP47" s="23"/>
      <c r="AQ47" s="23"/>
      <c r="AR47" s="243">
        <f>AC47/AW$5</f>
        <v>7.0363705519248445E-3</v>
      </c>
      <c r="AS47" s="26"/>
      <c r="AX47">
        <v>67</v>
      </c>
      <c r="AY47">
        <v>67</v>
      </c>
      <c r="AZ47">
        <f t="shared" si="42"/>
        <v>0</v>
      </c>
      <c r="BA47">
        <v>66</v>
      </c>
      <c r="BB47">
        <v>94</v>
      </c>
      <c r="BC47" s="119">
        <v>66.112949999999998</v>
      </c>
      <c r="BD47">
        <f t="shared" si="55"/>
        <v>1</v>
      </c>
      <c r="BE47" s="119">
        <f t="shared" si="45"/>
        <v>81.126126126126124</v>
      </c>
      <c r="BF47" s="119">
        <v>78.402370000000005</v>
      </c>
      <c r="BG47" s="119">
        <f t="shared" si="46"/>
        <v>12.873873873873876</v>
      </c>
      <c r="BH47" s="119">
        <f t="shared" si="47"/>
        <v>15.597629999999995</v>
      </c>
      <c r="BI47" s="119">
        <f t="shared" si="56"/>
        <v>0.88705000000000211</v>
      </c>
      <c r="BJ47" s="23">
        <v>-6.3E-2</v>
      </c>
      <c r="BK47" s="23">
        <f t="shared" si="54"/>
        <v>0.10340301799015295</v>
      </c>
      <c r="BL47" s="23">
        <f t="shared" si="48"/>
        <v>-2.6942290899446008E-2</v>
      </c>
      <c r="BM47" s="23">
        <f t="shared" si="57"/>
        <v>-5.6594707053704056E-2</v>
      </c>
      <c r="BN47" s="119">
        <v>33</v>
      </c>
      <c r="BO47" s="119">
        <v>8</v>
      </c>
      <c r="BP47" s="119">
        <v>9.8911069999999999</v>
      </c>
      <c r="BQ47" s="119">
        <f t="shared" si="49"/>
        <v>23.108893000000002</v>
      </c>
      <c r="BR47" s="23">
        <f t="shared" si="50"/>
        <v>0.95577368921171835</v>
      </c>
      <c r="BS47" s="25">
        <f t="shared" si="16"/>
        <v>0.21873670412834509</v>
      </c>
      <c r="BT47" s="119">
        <v>9</v>
      </c>
      <c r="BU47" s="119">
        <f t="shared" si="17"/>
        <v>24</v>
      </c>
      <c r="BV47" s="23">
        <v>0.79400000000000004</v>
      </c>
      <c r="BW47" s="23">
        <v>0.151</v>
      </c>
      <c r="BX47" s="23">
        <f t="shared" si="44"/>
        <v>0.15605396970972196</v>
      </c>
      <c r="BY47" s="34">
        <v>0</v>
      </c>
      <c r="BZ47" s="77">
        <v>61074</v>
      </c>
      <c r="CA47" s="34">
        <v>65316</v>
      </c>
      <c r="CB47" s="34">
        <v>14248</v>
      </c>
      <c r="CC47" s="34">
        <f t="shared" si="51"/>
        <v>41063.525000000001</v>
      </c>
      <c r="CD47" s="34">
        <f t="shared" si="19"/>
        <v>-26815.525000000001</v>
      </c>
      <c r="CE47" s="36">
        <f t="shared" si="52"/>
        <v>-0.1432351161921574</v>
      </c>
      <c r="CF47" s="231">
        <f t="shared" si="53"/>
        <v>7.3947976000144106E-2</v>
      </c>
      <c r="CG47" s="34">
        <v>59674.06</v>
      </c>
      <c r="CH47">
        <f t="shared" si="58"/>
        <v>-65316</v>
      </c>
      <c r="CI47" s="34">
        <f t="shared" si="59"/>
        <v>1399.9400000000023</v>
      </c>
      <c r="CJ47" s="23">
        <v>-0.34200000000000003</v>
      </c>
      <c r="CK47" s="23">
        <f t="shared" si="60"/>
        <v>9.689170321927074E-3</v>
      </c>
    </row>
    <row r="48" spans="1:89" x14ac:dyDescent="0.25">
      <c r="A48" s="7" t="s">
        <v>111</v>
      </c>
      <c r="B48" s="7" t="s">
        <v>101</v>
      </c>
      <c r="C48" s="10">
        <f t="shared" si="62"/>
        <v>45</v>
      </c>
      <c r="D48" s="8">
        <v>0</v>
      </c>
      <c r="E48" s="8">
        <v>0</v>
      </c>
      <c r="F48" s="8">
        <v>45</v>
      </c>
      <c r="G48" s="8">
        <v>0</v>
      </c>
      <c r="H48" s="8">
        <v>0</v>
      </c>
      <c r="I48">
        <v>0</v>
      </c>
      <c r="J48">
        <v>0</v>
      </c>
      <c r="L48" s="33">
        <v>2</v>
      </c>
      <c r="M48" s="23">
        <f t="shared" si="63"/>
        <v>4.4444444444444446E-2</v>
      </c>
      <c r="N48" s="23">
        <f>M48/M79</f>
        <v>6.8893050147082367E-4</v>
      </c>
      <c r="O48" s="33">
        <v>29</v>
      </c>
      <c r="P48" s="23">
        <f t="shared" si="64"/>
        <v>0.64444444444444449</v>
      </c>
      <c r="Q48" s="40">
        <f>P48/P79</f>
        <v>4.3127041732963327E-2</v>
      </c>
      <c r="R48" s="23">
        <f t="shared" si="65"/>
        <v>0.19444444444444445</v>
      </c>
      <c r="S48" s="40">
        <f>R48/R79</f>
        <v>3.7307135677423138E-3</v>
      </c>
      <c r="T48" s="40">
        <f t="shared" si="66"/>
        <v>1.1298458309343949E-2</v>
      </c>
      <c r="U48" s="34">
        <v>22648</v>
      </c>
      <c r="V48" s="34">
        <f>U48/C48</f>
        <v>503.28888888888889</v>
      </c>
      <c r="W48" s="34"/>
      <c r="X48" s="40">
        <f>V48/V79</f>
        <v>6.4629359976736359E-3</v>
      </c>
      <c r="Y48" s="48">
        <f t="shared" si="67"/>
        <v>9.364249384675824E-3</v>
      </c>
      <c r="Z48" s="48">
        <v>-0.38100000000000001</v>
      </c>
      <c r="AA48" s="137">
        <v>-0.32</v>
      </c>
      <c r="AB48" s="222">
        <v>39</v>
      </c>
      <c r="AC48" s="232">
        <v>-0.16956061508339007</v>
      </c>
      <c r="AD48" s="137">
        <f t="shared" si="41"/>
        <v>-0.32209972315677049</v>
      </c>
      <c r="AE48" s="61"/>
      <c r="AF48" s="40"/>
      <c r="AG48" s="40"/>
      <c r="AH48" s="37"/>
      <c r="AI48" s="37"/>
      <c r="AJ48" s="23"/>
      <c r="AK48" s="23"/>
      <c r="AL48" s="23"/>
      <c r="AM48" s="23"/>
      <c r="AN48" s="23"/>
      <c r="AO48" s="23"/>
      <c r="AP48" s="23"/>
      <c r="AQ48" s="23"/>
      <c r="AR48" s="26"/>
      <c r="AS48" s="26"/>
      <c r="AX48">
        <v>16</v>
      </c>
      <c r="AY48">
        <v>16</v>
      </c>
      <c r="AZ48">
        <f t="shared" si="42"/>
        <v>0</v>
      </c>
      <c r="BA48">
        <v>102</v>
      </c>
      <c r="BB48">
        <v>24</v>
      </c>
      <c r="BC48" s="119">
        <v>102.58906</v>
      </c>
      <c r="BD48">
        <f t="shared" si="55"/>
        <v>-86</v>
      </c>
      <c r="BE48" s="119">
        <f t="shared" si="45"/>
        <v>126.55675675675677</v>
      </c>
      <c r="BF48" s="119">
        <v>122.30768999999999</v>
      </c>
      <c r="BG48" s="119">
        <f t="shared" si="46"/>
        <v>-102.55675675675677</v>
      </c>
      <c r="BH48" s="119">
        <f t="shared" si="47"/>
        <v>-98.307689999999994</v>
      </c>
      <c r="BI48" s="119">
        <f t="shared" si="56"/>
        <v>-86.589060000000003</v>
      </c>
      <c r="BJ48" s="23">
        <v>-0.84</v>
      </c>
      <c r="BK48" s="23">
        <f t="shared" si="54"/>
        <v>-0.67724335380514333</v>
      </c>
      <c r="BL48" s="23">
        <f t="shared" si="48"/>
        <v>-0.62823837502917579</v>
      </c>
      <c r="BM48" s="23">
        <f t="shared" si="57"/>
        <v>-0.83655707444026406</v>
      </c>
      <c r="BN48" s="119">
        <v>54</v>
      </c>
      <c r="BO48" s="119">
        <v>97</v>
      </c>
      <c r="BP48" s="119">
        <v>15.430126</v>
      </c>
      <c r="BQ48" s="119">
        <f t="shared" si="49"/>
        <v>38.569873999999999</v>
      </c>
      <c r="BR48" s="23">
        <f t="shared" si="50"/>
        <v>1.6137056330810087</v>
      </c>
      <c r="BS48" s="23">
        <f t="shared" si="16"/>
        <v>-6.7752373001629673E-2</v>
      </c>
      <c r="BT48" s="119">
        <v>14</v>
      </c>
      <c r="BU48" s="119">
        <f t="shared" si="17"/>
        <v>40</v>
      </c>
      <c r="BV48" s="23">
        <v>1.431</v>
      </c>
      <c r="BW48" s="23">
        <v>-0.27200000000000002</v>
      </c>
      <c r="BX48" s="23">
        <f t="shared" si="44"/>
        <v>-0.269667805830198</v>
      </c>
      <c r="BY48" s="34">
        <v>22648</v>
      </c>
      <c r="BZ48" s="77">
        <v>22648</v>
      </c>
      <c r="CA48" s="34">
        <v>96937</v>
      </c>
      <c r="CB48" s="34">
        <v>0</v>
      </c>
      <c r="CC48" s="34">
        <f t="shared" si="51"/>
        <v>64059.098999999995</v>
      </c>
      <c r="CD48" s="34">
        <f t="shared" si="19"/>
        <v>-64059.098999999995</v>
      </c>
      <c r="CE48" s="36">
        <f t="shared" si="52"/>
        <v>-0.32227297820603062</v>
      </c>
      <c r="CF48" s="36">
        <f t="shared" si="53"/>
        <v>-0.16956061508339007</v>
      </c>
      <c r="CG48" s="34">
        <v>89566.48</v>
      </c>
      <c r="CH48">
        <f t="shared" si="58"/>
        <v>-74289</v>
      </c>
      <c r="CI48" s="34">
        <f t="shared" si="59"/>
        <v>-66918.48</v>
      </c>
      <c r="CJ48" s="23">
        <v>-0.39100000000000001</v>
      </c>
      <c r="CK48" s="23">
        <f t="shared" si="60"/>
        <v>-0.40074759914662922</v>
      </c>
    </row>
    <row r="49" spans="1:89" x14ac:dyDescent="0.25">
      <c r="A49" s="9" t="s">
        <v>111</v>
      </c>
      <c r="B49" s="9" t="s">
        <v>107</v>
      </c>
      <c r="C49" s="10">
        <f t="shared" si="62"/>
        <v>66</v>
      </c>
      <c r="D49" s="8">
        <v>44</v>
      </c>
      <c r="E49" s="8">
        <v>22</v>
      </c>
      <c r="F49" s="8">
        <v>0</v>
      </c>
      <c r="G49" s="8">
        <v>0</v>
      </c>
      <c r="H49" s="8">
        <v>0</v>
      </c>
      <c r="I49">
        <v>0</v>
      </c>
      <c r="J49">
        <v>0</v>
      </c>
      <c r="L49" s="33">
        <v>21.5</v>
      </c>
      <c r="M49" s="23">
        <f t="shared" si="63"/>
        <v>0.32575757575757575</v>
      </c>
      <c r="N49" s="23">
        <f>M49/M79</f>
        <v>5.0495474255531966E-3</v>
      </c>
      <c r="O49" s="33">
        <v>15</v>
      </c>
      <c r="P49" s="23">
        <f t="shared" si="64"/>
        <v>0.22727272727272727</v>
      </c>
      <c r="Q49" s="40">
        <f>P49/P79</f>
        <v>1.5209379921499604E-2</v>
      </c>
      <c r="R49" s="23">
        <f t="shared" si="65"/>
        <v>0.30113636363636365</v>
      </c>
      <c r="S49" s="40">
        <f>R49/R79</f>
        <v>5.7777609474450771E-3</v>
      </c>
      <c r="T49" s="40">
        <f t="shared" si="66"/>
        <v>7.5895055495397989E-3</v>
      </c>
      <c r="U49" s="34">
        <v>2778</v>
      </c>
      <c r="V49" s="34">
        <f>U49/C49</f>
        <v>42.090909090909093</v>
      </c>
      <c r="W49" s="34"/>
      <c r="X49" s="40">
        <f>V49/V79</f>
        <v>5.4050637227260777E-4</v>
      </c>
      <c r="Y49" s="48">
        <f t="shared" si="67"/>
        <v>4.7699058786329221E-3</v>
      </c>
      <c r="Z49" s="48">
        <v>-0.30199999999999999</v>
      </c>
      <c r="AA49" s="137">
        <v>-0.78500000000000003</v>
      </c>
      <c r="AB49" s="222">
        <v>50</v>
      </c>
      <c r="AC49" s="232">
        <v>-0.50521164704492827</v>
      </c>
      <c r="AD49" s="137">
        <f t="shared" si="41"/>
        <v>-0.8006972365539442</v>
      </c>
      <c r="AE49" s="61"/>
      <c r="AF49" s="40"/>
      <c r="AG49" s="40"/>
      <c r="AH49" s="37"/>
      <c r="AI49" s="37"/>
      <c r="AJ49" s="23"/>
      <c r="AK49" s="23"/>
      <c r="AL49" s="23"/>
      <c r="AM49" s="23"/>
      <c r="AN49" s="23"/>
      <c r="AO49" s="23"/>
      <c r="AP49" s="23"/>
      <c r="AQ49" s="23"/>
      <c r="AR49" s="26"/>
      <c r="AS49" s="26"/>
      <c r="AX49">
        <v>39</v>
      </c>
      <c r="AY49">
        <v>39</v>
      </c>
      <c r="AZ49">
        <f t="shared" si="42"/>
        <v>0</v>
      </c>
      <c r="BA49">
        <v>149</v>
      </c>
      <c r="BB49">
        <v>68</v>
      </c>
      <c r="BC49" s="119">
        <v>150.46395999999999</v>
      </c>
      <c r="BD49">
        <f t="shared" si="55"/>
        <v>-110</v>
      </c>
      <c r="BE49" s="119">
        <f t="shared" si="45"/>
        <v>162.25225225225225</v>
      </c>
      <c r="BF49" s="119">
        <v>156.80473000000001</v>
      </c>
      <c r="BG49" s="119">
        <f t="shared" si="46"/>
        <v>-94.252252252252248</v>
      </c>
      <c r="BH49" s="119">
        <f t="shared" si="47"/>
        <v>-88.804730000000006</v>
      </c>
      <c r="BI49" s="119">
        <f t="shared" si="56"/>
        <v>-111.46395999999999</v>
      </c>
      <c r="BJ49" s="23">
        <v>-1.054</v>
      </c>
      <c r="BK49" s="23">
        <f t="shared" si="54"/>
        <v>-0.61211512937000878</v>
      </c>
      <c r="BL49" s="23">
        <f t="shared" si="48"/>
        <v>-0.79922425863921054</v>
      </c>
      <c r="BM49" s="23">
        <f t="shared" si="57"/>
        <v>-1.0583488972877126</v>
      </c>
      <c r="BN49" s="119">
        <v>22</v>
      </c>
      <c r="BO49" s="119">
        <v>36</v>
      </c>
      <c r="BP49" s="119">
        <v>19.782212999999999</v>
      </c>
      <c r="BQ49" s="119">
        <f t="shared" si="49"/>
        <v>2.2177870000000013</v>
      </c>
      <c r="BR49" s="23">
        <f t="shared" si="50"/>
        <v>6.6766324144818603E-2</v>
      </c>
      <c r="BS49" s="23">
        <f t="shared" si="16"/>
        <v>-0.58272661294320327</v>
      </c>
      <c r="BT49" s="119">
        <v>21</v>
      </c>
      <c r="BU49" s="119">
        <f t="shared" si="17"/>
        <v>1</v>
      </c>
      <c r="BV49" s="23">
        <v>-0.122</v>
      </c>
      <c r="BW49" s="23">
        <v>-0.82099999999999995</v>
      </c>
      <c r="BX49" s="23">
        <f t="shared" si="44"/>
        <v>-0.82426167296578445</v>
      </c>
      <c r="BY49" s="34">
        <v>0</v>
      </c>
      <c r="BZ49" s="77">
        <v>0</v>
      </c>
      <c r="CA49" s="34">
        <v>136760</v>
      </c>
      <c r="CB49" s="34">
        <v>4200</v>
      </c>
      <c r="CC49" s="34">
        <f t="shared" si="51"/>
        <v>82127.05</v>
      </c>
      <c r="CD49" s="34">
        <f t="shared" si="19"/>
        <v>-77927.05</v>
      </c>
      <c r="CE49" s="36">
        <f t="shared" si="52"/>
        <v>-0.38893919819751582</v>
      </c>
      <c r="CF49" s="36">
        <f t="shared" si="53"/>
        <v>-0.50521164704492827</v>
      </c>
      <c r="CG49" s="34">
        <v>127607.73</v>
      </c>
      <c r="CH49">
        <f t="shared" si="58"/>
        <v>-136760</v>
      </c>
      <c r="CI49" s="34">
        <f t="shared" si="59"/>
        <v>-127607.73</v>
      </c>
      <c r="CJ49" s="23">
        <v>-0.73</v>
      </c>
      <c r="CK49" s="23">
        <f t="shared" si="60"/>
        <v>-0.76535058193618399</v>
      </c>
    </row>
    <row r="50" spans="1:89" x14ac:dyDescent="0.25">
      <c r="A50" s="7" t="s">
        <v>111</v>
      </c>
      <c r="B50" s="7" t="s">
        <v>112</v>
      </c>
      <c r="C50" s="10">
        <f t="shared" si="62"/>
        <v>38</v>
      </c>
      <c r="D50" s="8">
        <v>0</v>
      </c>
      <c r="E50" s="8">
        <v>11</v>
      </c>
      <c r="F50" s="8">
        <v>27</v>
      </c>
      <c r="G50" s="8">
        <v>0</v>
      </c>
      <c r="H50" s="8">
        <v>0</v>
      </c>
      <c r="I50">
        <v>0</v>
      </c>
      <c r="J50">
        <v>0</v>
      </c>
      <c r="L50" s="33">
        <v>15.5</v>
      </c>
      <c r="M50" s="23">
        <f t="shared" si="63"/>
        <v>0.40789473684210525</v>
      </c>
      <c r="N50" s="23">
        <f>M50/M79</f>
        <v>6.322750325998678E-3</v>
      </c>
      <c r="O50" s="33">
        <v>3.5</v>
      </c>
      <c r="P50" s="23">
        <f t="shared" si="64"/>
        <v>9.2105263157894732E-2</v>
      </c>
      <c r="Q50" s="40">
        <f>P50/P79</f>
        <v>6.1638013366077347E-3</v>
      </c>
      <c r="R50" s="23">
        <f t="shared" si="65"/>
        <v>0.3289473684210526</v>
      </c>
      <c r="S50" s="40">
        <f>R50/R79</f>
        <v>6.3113575394136883E-3</v>
      </c>
      <c r="T50" s="40">
        <f t="shared" si="66"/>
        <v>6.2830130786509421E-3</v>
      </c>
      <c r="U50" s="34"/>
      <c r="V50" s="34">
        <f t="shared" si="61"/>
        <v>0</v>
      </c>
      <c r="W50" s="34"/>
      <c r="X50" s="40">
        <f>V50/V79</f>
        <v>0</v>
      </c>
      <c r="Y50" s="48">
        <f t="shared" si="67"/>
        <v>3.7698078471905651E-3</v>
      </c>
      <c r="Z50" s="48">
        <v>-0.33600000000000002</v>
      </c>
      <c r="AA50" s="137">
        <v>-0.49399999999999999</v>
      </c>
      <c r="AB50" s="222">
        <v>37</v>
      </c>
      <c r="AC50" s="232">
        <v>-0.36842978555527661</v>
      </c>
      <c r="AD50" s="137">
        <f t="shared" si="41"/>
        <v>-0.50017085903703173</v>
      </c>
      <c r="AE50" s="61"/>
      <c r="AF50" s="40"/>
      <c r="AG50" s="40"/>
      <c r="AH50" s="37"/>
      <c r="AI50" s="37"/>
      <c r="AJ50" s="23"/>
      <c r="AK50" s="23"/>
      <c r="AL50" s="23"/>
      <c r="AM50" s="23"/>
      <c r="AN50" s="23"/>
      <c r="AO50" s="23"/>
      <c r="AP50" s="23"/>
      <c r="AQ50" s="23"/>
      <c r="AR50" s="26"/>
      <c r="AS50" s="26"/>
      <c r="AX50">
        <v>27</v>
      </c>
      <c r="AY50">
        <v>27</v>
      </c>
      <c r="AZ50">
        <f t="shared" si="42"/>
        <v>0</v>
      </c>
      <c r="BA50">
        <v>86</v>
      </c>
      <c r="BB50">
        <v>37</v>
      </c>
      <c r="BC50" s="119">
        <v>86.630759999999995</v>
      </c>
      <c r="BD50">
        <f t="shared" si="55"/>
        <v>-59</v>
      </c>
      <c r="BE50" s="119">
        <f t="shared" si="45"/>
        <v>120.06666666666668</v>
      </c>
      <c r="BF50" s="119">
        <v>116.0355</v>
      </c>
      <c r="BG50" s="119">
        <f t="shared" si="46"/>
        <v>-83.066666666666677</v>
      </c>
      <c r="BH50" s="119">
        <f t="shared" si="47"/>
        <v>-79.035499999999999</v>
      </c>
      <c r="BI50" s="119">
        <f t="shared" si="56"/>
        <v>-59.630759999999995</v>
      </c>
      <c r="BJ50" s="23">
        <v>-0.59899999999999998</v>
      </c>
      <c r="BK50" s="23">
        <f t="shared" si="54"/>
        <v>-0.54516203222991244</v>
      </c>
      <c r="BL50" s="23">
        <f t="shared" si="48"/>
        <v>-0.44293154983090738</v>
      </c>
      <c r="BM50" s="23">
        <f t="shared" si="57"/>
        <v>-0.59618905294597146</v>
      </c>
      <c r="BN50" s="119">
        <v>8</v>
      </c>
      <c r="BO50" s="119">
        <v>7</v>
      </c>
      <c r="BP50" s="119">
        <v>14.638838</v>
      </c>
      <c r="BQ50" s="119">
        <f t="shared" si="49"/>
        <v>-6.6388379999999998</v>
      </c>
      <c r="BR50" s="23">
        <f t="shared" si="50"/>
        <v>-0.31012156559331355</v>
      </c>
      <c r="BS50" s="23">
        <f t="shared" si="16"/>
        <v>-0.40972905377150892</v>
      </c>
      <c r="BT50" s="119">
        <v>12</v>
      </c>
      <c r="BU50" s="119">
        <f t="shared" si="17"/>
        <v>-4</v>
      </c>
      <c r="BV50" s="23">
        <v>-0.32200000000000001</v>
      </c>
      <c r="BW50" s="23">
        <v>-0.53</v>
      </c>
      <c r="BX50" s="23">
        <f t="shared" si="44"/>
        <v>-0.52764178970947861</v>
      </c>
      <c r="BY50" s="34">
        <v>0</v>
      </c>
      <c r="BZ50" s="77">
        <v>0</v>
      </c>
      <c r="CA50" s="34">
        <v>83273</v>
      </c>
      <c r="CB50" s="34">
        <v>0</v>
      </c>
      <c r="CC50" s="34">
        <f t="shared" si="51"/>
        <v>60774.017</v>
      </c>
      <c r="CD50" s="34">
        <f t="shared" si="19"/>
        <v>-60774.017</v>
      </c>
      <c r="CE50" s="36">
        <f t="shared" si="52"/>
        <v>-0.30648088323092815</v>
      </c>
      <c r="CF50" s="36">
        <f t="shared" si="53"/>
        <v>-0.36842978555527661</v>
      </c>
      <c r="CG50" s="34">
        <v>76608.850000000006</v>
      </c>
      <c r="CH50">
        <f t="shared" si="58"/>
        <v>-83273</v>
      </c>
      <c r="CI50" s="34">
        <f t="shared" si="59"/>
        <v>-76608.850000000006</v>
      </c>
      <c r="CJ50" s="23">
        <v>-0.44</v>
      </c>
      <c r="CK50" s="23">
        <f t="shared" si="60"/>
        <v>-0.45896446302836152</v>
      </c>
    </row>
    <row r="51" spans="1:89" x14ac:dyDescent="0.25">
      <c r="A51" s="9" t="s">
        <v>111</v>
      </c>
      <c r="B51" s="9" t="s">
        <v>113</v>
      </c>
      <c r="C51" s="10">
        <f t="shared" si="62"/>
        <v>20</v>
      </c>
      <c r="D51" s="11">
        <v>20</v>
      </c>
      <c r="E51" s="11">
        <v>0</v>
      </c>
      <c r="F51" s="11">
        <v>0</v>
      </c>
      <c r="G51" s="11">
        <v>0</v>
      </c>
      <c r="H51" s="11">
        <v>0</v>
      </c>
      <c r="I51">
        <v>0</v>
      </c>
      <c r="J51">
        <v>0</v>
      </c>
      <c r="L51" s="33">
        <v>8</v>
      </c>
      <c r="M51" s="23">
        <f t="shared" si="63"/>
        <v>0.4</v>
      </c>
      <c r="N51" s="23">
        <f>M51/M79</f>
        <v>6.2003745132374133E-3</v>
      </c>
      <c r="O51" s="33">
        <v>3.5</v>
      </c>
      <c r="P51" s="23">
        <f t="shared" si="64"/>
        <v>0.17499999999999999</v>
      </c>
      <c r="Q51" s="40">
        <f>P51/P79</f>
        <v>1.1711222539554695E-2</v>
      </c>
      <c r="R51" s="23">
        <f t="shared" si="65"/>
        <v>0.34375000000000006</v>
      </c>
      <c r="S51" s="40">
        <f>R51/R79</f>
        <v>6.5953686286873052E-3</v>
      </c>
      <c r="T51" s="40">
        <f t="shared" si="66"/>
        <v>7.5780865198167343E-3</v>
      </c>
      <c r="U51" s="34"/>
      <c r="V51" s="34">
        <f t="shared" si="61"/>
        <v>0</v>
      </c>
      <c r="W51" s="34"/>
      <c r="X51" s="40">
        <f>V51/V79</f>
        <v>0</v>
      </c>
      <c r="Y51" s="48">
        <f t="shared" si="67"/>
        <v>4.5468519118900402E-3</v>
      </c>
      <c r="Z51" s="48">
        <v>-0.29199999999999998</v>
      </c>
      <c r="AA51" s="137">
        <v>-0.23799999999999999</v>
      </c>
      <c r="AB51" s="222">
        <v>15</v>
      </c>
      <c r="AC51" s="232">
        <v>-0.13849809823170958</v>
      </c>
      <c r="AD51" s="137">
        <f t="shared" si="41"/>
        <v>-0.24118293576784883</v>
      </c>
      <c r="AE51" s="61"/>
      <c r="AF51" s="40"/>
      <c r="AG51" s="40"/>
      <c r="AH51" s="37"/>
      <c r="AI51" s="37"/>
      <c r="AJ51" s="23"/>
      <c r="AK51" s="23"/>
      <c r="AL51" s="23"/>
      <c r="AM51" s="23"/>
      <c r="AN51" s="23"/>
      <c r="AO51" s="23"/>
      <c r="AP51" s="23"/>
      <c r="AQ51" s="157"/>
      <c r="AR51" s="137"/>
      <c r="AS51" s="137"/>
      <c r="AX51">
        <v>24</v>
      </c>
      <c r="AY51">
        <v>24</v>
      </c>
      <c r="AZ51">
        <f t="shared" si="42"/>
        <v>0</v>
      </c>
      <c r="BA51">
        <v>45</v>
      </c>
      <c r="BB51">
        <v>31</v>
      </c>
      <c r="BC51" s="119">
        <v>45.595140000000001</v>
      </c>
      <c r="BD51">
        <f t="shared" si="55"/>
        <v>-21</v>
      </c>
      <c r="BE51" s="119">
        <f t="shared" si="45"/>
        <v>48.675675675675677</v>
      </c>
      <c r="BF51" s="119">
        <v>47.041420000000002</v>
      </c>
      <c r="BG51" s="119">
        <f t="shared" si="46"/>
        <v>-17.675675675675677</v>
      </c>
      <c r="BH51" s="119">
        <f t="shared" si="47"/>
        <v>-16.041420000000002</v>
      </c>
      <c r="BI51" s="119">
        <f t="shared" si="56"/>
        <v>-21.595140000000001</v>
      </c>
      <c r="BJ51" s="23">
        <v>-0.25900000000000001</v>
      </c>
      <c r="BK51" s="23">
        <f t="shared" si="54"/>
        <v>-0.11343417266564761</v>
      </c>
      <c r="BL51" s="23">
        <f t="shared" si="48"/>
        <v>-0.18148108794541168</v>
      </c>
      <c r="BM51" s="23">
        <f t="shared" si="57"/>
        <v>-0.25705243358537594</v>
      </c>
      <c r="BN51" s="119">
        <v>6</v>
      </c>
      <c r="BO51" s="119">
        <v>4</v>
      </c>
      <c r="BP51" s="119">
        <v>5.9346639999999997</v>
      </c>
      <c r="BQ51" s="119">
        <f t="shared" si="49"/>
        <v>6.5336000000000283E-2</v>
      </c>
      <c r="BR51" s="23">
        <f t="shared" si="50"/>
        <v>-2.4829821695694289E-2</v>
      </c>
      <c r="BS51" s="23">
        <f t="shared" si="16"/>
        <v>-0.14231827138298234</v>
      </c>
      <c r="BT51" s="119">
        <v>6</v>
      </c>
      <c r="BU51" s="119">
        <f t="shared" si="17"/>
        <v>0</v>
      </c>
      <c r="BV51" s="23">
        <v>-0.16200000000000001</v>
      </c>
      <c r="BW51" s="23">
        <v>-0.23499999999999999</v>
      </c>
      <c r="BX51" s="23">
        <f t="shared" si="44"/>
        <v>-0.23328932518903198</v>
      </c>
      <c r="BY51" s="34">
        <v>0</v>
      </c>
      <c r="BZ51" s="77">
        <v>0</v>
      </c>
      <c r="CA51" s="34">
        <v>46774</v>
      </c>
      <c r="CB51" s="34">
        <v>0</v>
      </c>
      <c r="CC51" s="34">
        <f t="shared" si="51"/>
        <v>24638.114999999998</v>
      </c>
      <c r="CD51" s="34">
        <f t="shared" si="19"/>
        <v>-24638.114999999998</v>
      </c>
      <c r="CE51" s="36">
        <f t="shared" si="52"/>
        <v>-0.13276783850480042</v>
      </c>
      <c r="CF51" s="36">
        <f t="shared" si="53"/>
        <v>-0.13849809823170958</v>
      </c>
      <c r="CG51" s="34">
        <v>42329.34</v>
      </c>
      <c r="CH51">
        <f t="shared" si="58"/>
        <v>-46774</v>
      </c>
      <c r="CI51" s="34">
        <f t="shared" si="59"/>
        <v>-42329.34</v>
      </c>
      <c r="CJ51" s="23">
        <v>-0.24099999999999999</v>
      </c>
      <c r="CK51" s="23">
        <f t="shared" si="60"/>
        <v>-0.25302335163607409</v>
      </c>
    </row>
    <row r="52" spans="1:89" x14ac:dyDescent="0.25">
      <c r="A52" s="9" t="s">
        <v>111</v>
      </c>
      <c r="B52" s="9" t="s">
        <v>89</v>
      </c>
      <c r="C52" s="10">
        <f t="shared" si="62"/>
        <v>110</v>
      </c>
      <c r="D52" s="8">
        <v>0</v>
      </c>
      <c r="E52" s="8">
        <v>0</v>
      </c>
      <c r="F52" s="8">
        <v>0</v>
      </c>
      <c r="G52" s="8">
        <v>110</v>
      </c>
      <c r="H52" s="8">
        <v>0</v>
      </c>
      <c r="I52">
        <v>0</v>
      </c>
      <c r="J52">
        <v>0</v>
      </c>
      <c r="L52" s="33">
        <v>170.5</v>
      </c>
      <c r="M52" s="25">
        <f t="shared" si="63"/>
        <v>1.55</v>
      </c>
      <c r="N52" s="23">
        <f>M52/M79</f>
        <v>2.4026451238794978E-2</v>
      </c>
      <c r="O52" s="33">
        <v>10</v>
      </c>
      <c r="P52" s="23">
        <f t="shared" si="64"/>
        <v>9.0909090909090912E-2</v>
      </c>
      <c r="Q52" s="40">
        <f>P52/P79</f>
        <v>6.0837519685998419E-3</v>
      </c>
      <c r="R52" s="23">
        <f t="shared" si="65"/>
        <v>1.1852272727272728</v>
      </c>
      <c r="S52" s="42">
        <f>R52/R79</f>
        <v>2.2740394974283831E-2</v>
      </c>
      <c r="T52" s="42">
        <f t="shared" si="66"/>
        <v>1.9540776421246193E-2</v>
      </c>
      <c r="U52" s="34">
        <v>120</v>
      </c>
      <c r="V52" s="34">
        <f>U52/C52</f>
        <v>1.0909090909090908</v>
      </c>
      <c r="W52" s="34"/>
      <c r="X52" s="40">
        <f>V52/V79</f>
        <v>1.4008804464948793E-5</v>
      </c>
      <c r="Y52" s="48">
        <f t="shared" si="67"/>
        <v>1.1730069374533695E-2</v>
      </c>
      <c r="Z52" s="47">
        <v>1.59</v>
      </c>
      <c r="AA52" s="139">
        <v>0.25900000000000001</v>
      </c>
      <c r="AB52" s="222">
        <v>96</v>
      </c>
      <c r="AC52" s="234">
        <v>0.22287602265883183</v>
      </c>
      <c r="AD52" s="139">
        <f t="shared" si="41"/>
        <v>0.4360977548425029</v>
      </c>
      <c r="AE52" s="67">
        <f>AJ52*AQ$3</f>
        <v>119941.05621071985</v>
      </c>
      <c r="AF52" s="40"/>
      <c r="AG52" s="40" t="e">
        <f>C52*AP52</f>
        <v>#REF!</v>
      </c>
      <c r="AH52" s="37">
        <f>AM52*AS$3</f>
        <v>196624.31674979886</v>
      </c>
      <c r="AI52" s="37">
        <f>AH52-AE52</f>
        <v>76683.260539079012</v>
      </c>
      <c r="AJ52" s="23">
        <f>C52*AQ52</f>
        <v>2.0287687815993736</v>
      </c>
      <c r="AK52" s="68">
        <f>AL52*AW$9</f>
        <v>106170.10794448269</v>
      </c>
      <c r="AL52" s="23">
        <f>AB52*AR52</f>
        <v>2.035902580026173</v>
      </c>
      <c r="AM52" s="23">
        <f>C52*AS52</f>
        <v>3.3146134637154554</v>
      </c>
      <c r="AN52" s="23"/>
      <c r="AO52" s="23"/>
      <c r="AP52" s="23" t="e">
        <f>Z52/#REF!</f>
        <v>#REF!</v>
      </c>
      <c r="AQ52" s="23">
        <f>AA52/AT$2</f>
        <v>1.8443352559994304E-2</v>
      </c>
      <c r="AR52" s="243">
        <f>AC52/AW$5</f>
        <v>2.1207318541939302E-2</v>
      </c>
      <c r="AS52" s="26">
        <f>AD52/AW$2</f>
        <v>3.0132849670140502E-2</v>
      </c>
      <c r="AX52">
        <v>436</v>
      </c>
      <c r="AY52">
        <v>423</v>
      </c>
      <c r="AZ52">
        <f t="shared" si="42"/>
        <v>13</v>
      </c>
      <c r="BA52">
        <v>249</v>
      </c>
      <c r="BB52">
        <v>560</v>
      </c>
      <c r="BC52" s="119">
        <v>250.77325999999999</v>
      </c>
      <c r="BD52">
        <f t="shared" si="55"/>
        <v>187</v>
      </c>
      <c r="BE52" s="119">
        <f t="shared" si="45"/>
        <v>311.52432432432431</v>
      </c>
      <c r="BF52" s="119">
        <v>301.06509</v>
      </c>
      <c r="BG52" s="119">
        <f t="shared" si="46"/>
        <v>248.47567567567569</v>
      </c>
      <c r="BH52" s="119">
        <f t="shared" si="47"/>
        <v>258.93491</v>
      </c>
      <c r="BI52" s="119">
        <f t="shared" si="56"/>
        <v>172.22674000000001</v>
      </c>
      <c r="BJ52" s="23">
        <v>1.599</v>
      </c>
      <c r="BK52" s="25">
        <f t="shared" si="54"/>
        <v>1.7711070791747943</v>
      </c>
      <c r="BL52" s="25">
        <f t="shared" si="48"/>
        <v>1.1508179530460358</v>
      </c>
      <c r="BM52" s="23">
        <f t="shared" si="57"/>
        <v>1.4711196625002152</v>
      </c>
      <c r="BN52" s="119">
        <v>34</v>
      </c>
      <c r="BO52" s="119">
        <v>50</v>
      </c>
      <c r="BP52" s="119">
        <v>37.981850000000001</v>
      </c>
      <c r="BQ52" s="119">
        <f t="shared" si="49"/>
        <v>-3.9818500000000014</v>
      </c>
      <c r="BR52" s="23">
        <f t="shared" si="50"/>
        <v>-0.19705517739470069</v>
      </c>
      <c r="BS52" s="25">
        <f t="shared" si="16"/>
        <v>0.81384967043585177</v>
      </c>
      <c r="BT52" s="119">
        <v>35</v>
      </c>
      <c r="BU52" s="119">
        <f t="shared" si="17"/>
        <v>-1</v>
      </c>
      <c r="BV52" s="23">
        <v>-0.20200000000000001</v>
      </c>
      <c r="BW52" s="23">
        <v>1.149</v>
      </c>
      <c r="BX52" s="23">
        <f t="shared" si="44"/>
        <v>1.0528397468751614</v>
      </c>
      <c r="BY52" s="34">
        <v>15713</v>
      </c>
      <c r="BZ52" s="77">
        <v>122996</v>
      </c>
      <c r="CA52" s="34">
        <v>216432</v>
      </c>
      <c r="CB52" s="34">
        <v>22625</v>
      </c>
      <c r="CC52" s="34">
        <f t="shared" si="51"/>
        <v>157683.93599999999</v>
      </c>
      <c r="CD52" s="34">
        <f t="shared" si="19"/>
        <v>-135058.93599999999</v>
      </c>
      <c r="CE52" s="36">
        <f t="shared" si="52"/>
        <v>-0.663584449006698</v>
      </c>
      <c r="CF52" s="231">
        <f t="shared" si="53"/>
        <v>0.22287602265883183</v>
      </c>
      <c r="CG52" s="34">
        <v>204606.89</v>
      </c>
      <c r="CH52">
        <f t="shared" si="58"/>
        <v>-200719</v>
      </c>
      <c r="CI52" s="34">
        <f t="shared" si="59"/>
        <v>-81610.890000000014</v>
      </c>
      <c r="CJ52" s="23">
        <v>-1.077</v>
      </c>
      <c r="CK52" s="23">
        <f t="shared" si="60"/>
        <v>-0.48901523320648477</v>
      </c>
    </row>
    <row r="53" spans="1:89" x14ac:dyDescent="0.25">
      <c r="A53" s="7" t="s">
        <v>114</v>
      </c>
      <c r="B53" s="7" t="s">
        <v>115</v>
      </c>
      <c r="C53" s="10">
        <f t="shared" si="62"/>
        <v>28</v>
      </c>
      <c r="D53" s="15">
        <v>0</v>
      </c>
      <c r="E53" s="15">
        <v>28</v>
      </c>
      <c r="F53">
        <v>0</v>
      </c>
      <c r="G53">
        <v>0</v>
      </c>
      <c r="H53" s="12">
        <v>0</v>
      </c>
      <c r="I53">
        <v>0</v>
      </c>
      <c r="J53" s="12">
        <v>0</v>
      </c>
      <c r="K53" s="15"/>
      <c r="L53" s="33">
        <v>42</v>
      </c>
      <c r="M53" s="25">
        <f t="shared" si="63"/>
        <v>1.5</v>
      </c>
      <c r="N53" s="23">
        <f>M53/M79</f>
        <v>2.3251404424640298E-2</v>
      </c>
      <c r="O53" s="33">
        <v>6.5</v>
      </c>
      <c r="P53" s="23">
        <f t="shared" si="64"/>
        <v>0.23214285714285715</v>
      </c>
      <c r="Q53" s="40">
        <f>P53/P79</f>
        <v>1.553529520553174E-2</v>
      </c>
      <c r="R53" s="23">
        <f t="shared" si="65"/>
        <v>1.1830357142857142</v>
      </c>
      <c r="S53" s="42">
        <f>R53/R79</f>
        <v>2.2698346579248515E-2</v>
      </c>
      <c r="T53" s="42">
        <f t="shared" si="66"/>
        <v>2.1322377119863158E-2</v>
      </c>
      <c r="U53" s="34">
        <v>13056</v>
      </c>
      <c r="V53" s="34">
        <f>U53/C53</f>
        <v>466.28571428571428</v>
      </c>
      <c r="W53" s="34"/>
      <c r="X53" s="40">
        <f>V53/V79</f>
        <v>5.9877632798752568E-3</v>
      </c>
      <c r="Y53" s="48">
        <f t="shared" si="67"/>
        <v>1.5188531583867997E-2</v>
      </c>
      <c r="Z53" s="47">
        <v>0.23</v>
      </c>
      <c r="AA53" s="137">
        <v>0.217</v>
      </c>
      <c r="AB53" s="222">
        <v>27</v>
      </c>
      <c r="AC53" s="234">
        <v>0.16394267436842058</v>
      </c>
      <c r="AD53" s="139">
        <f t="shared" si="41"/>
        <v>0.21358714294721337</v>
      </c>
      <c r="AE53" s="70"/>
      <c r="AF53" s="40"/>
      <c r="AG53" s="40" t="e">
        <f>C53*AP53</f>
        <v>#REF!</v>
      </c>
      <c r="AH53" s="37">
        <f>AM53*AS$3</f>
        <v>24512.851164918826</v>
      </c>
      <c r="AI53" s="37">
        <f>AH53-AE53</f>
        <v>24512.851164918826</v>
      </c>
      <c r="AJ53" s="23">
        <f>C53*AQ53</f>
        <v>0</v>
      </c>
      <c r="AK53" s="68">
        <f>AL53*AW$9</f>
        <v>21964.607980371657</v>
      </c>
      <c r="AL53" s="23">
        <f>AB53*AR53</f>
        <v>0.42119013460818433</v>
      </c>
      <c r="AM53" s="23">
        <f>C53*AS53</f>
        <v>0.41322776271198991</v>
      </c>
      <c r="AN53" s="23"/>
      <c r="AO53" s="23"/>
      <c r="AP53" s="23" t="e">
        <f>Z53/#REF!</f>
        <v>#REF!</v>
      </c>
      <c r="AQ53" s="23"/>
      <c r="AR53" s="243">
        <f>AC53/AW$5</f>
        <v>1.5599634615117939E-2</v>
      </c>
      <c r="AS53" s="26">
        <f>AD53/AW$2</f>
        <v>1.4758134382571068E-2</v>
      </c>
      <c r="AX53">
        <v>160</v>
      </c>
      <c r="AY53">
        <v>160</v>
      </c>
      <c r="AZ53">
        <f t="shared" si="42"/>
        <v>0</v>
      </c>
      <c r="BA53">
        <v>63</v>
      </c>
      <c r="BB53">
        <v>123</v>
      </c>
      <c r="BC53" s="119">
        <v>63.833190000000002</v>
      </c>
      <c r="BD53">
        <f t="shared" si="55"/>
        <v>97</v>
      </c>
      <c r="BE53" s="119">
        <f t="shared" si="45"/>
        <v>87.616216216216216</v>
      </c>
      <c r="BF53" s="119">
        <v>84.67456</v>
      </c>
      <c r="BG53" s="119">
        <f t="shared" si="46"/>
        <v>35.383783783783784</v>
      </c>
      <c r="BH53" s="119">
        <f t="shared" si="47"/>
        <v>38.32544</v>
      </c>
      <c r="BI53" s="119">
        <f t="shared" si="56"/>
        <v>96.166809999999998</v>
      </c>
      <c r="BJ53" s="23">
        <v>0.79500000000000004</v>
      </c>
      <c r="BK53" s="25">
        <f t="shared" si="54"/>
        <v>0.25916731780821989</v>
      </c>
      <c r="BL53" s="25">
        <f t="shared" si="48"/>
        <v>0.62799477231496126</v>
      </c>
      <c r="BM53" s="23">
        <f t="shared" si="57"/>
        <v>0.79294726701925422</v>
      </c>
      <c r="BN53" s="119">
        <v>7</v>
      </c>
      <c r="BO53" s="119">
        <v>4</v>
      </c>
      <c r="BP53" s="119">
        <v>10.682395</v>
      </c>
      <c r="BQ53" s="119">
        <f t="shared" si="49"/>
        <v>-3.6823949999999996</v>
      </c>
      <c r="BR53" s="23">
        <f t="shared" si="50"/>
        <v>-0.18431206554097163</v>
      </c>
      <c r="BS53" s="25">
        <f t="shared" si="16"/>
        <v>0.42491806285097805</v>
      </c>
      <c r="BT53" s="119">
        <v>9</v>
      </c>
      <c r="BU53" s="119">
        <f t="shared" si="17"/>
        <v>-2</v>
      </c>
      <c r="BV53" s="23">
        <v>-0.24199999999999999</v>
      </c>
      <c r="BW53" s="23">
        <v>0.53600000000000003</v>
      </c>
      <c r="BX53" s="23">
        <f t="shared" si="44"/>
        <v>0.53421045026444069</v>
      </c>
      <c r="BY53" s="34">
        <v>13056</v>
      </c>
      <c r="BZ53" s="77">
        <v>13056</v>
      </c>
      <c r="CA53" s="34">
        <v>63288</v>
      </c>
      <c r="CB53" s="34">
        <v>0</v>
      </c>
      <c r="CC53" s="34">
        <f t="shared" si="51"/>
        <v>44348.606999999996</v>
      </c>
      <c r="CD53" s="34">
        <f t="shared" si="19"/>
        <v>-44348.606999999996</v>
      </c>
      <c r="CE53" s="36">
        <f t="shared" si="52"/>
        <v>-0.22752040835541554</v>
      </c>
      <c r="CF53" s="231">
        <f t="shared" si="53"/>
        <v>0.16394267436842058</v>
      </c>
      <c r="CG53" s="34">
        <v>57769.69</v>
      </c>
      <c r="CH53">
        <f t="shared" si="58"/>
        <v>-50232</v>
      </c>
      <c r="CI53" s="34">
        <f t="shared" si="59"/>
        <v>-44713.69</v>
      </c>
      <c r="CJ53" s="23">
        <v>-0.26</v>
      </c>
      <c r="CK53" s="23">
        <f t="shared" si="60"/>
        <v>-0.26734781802862762</v>
      </c>
    </row>
    <row r="54" spans="1:89" x14ac:dyDescent="0.25">
      <c r="A54" s="9" t="s">
        <v>114</v>
      </c>
      <c r="B54" s="9" t="s">
        <v>116</v>
      </c>
      <c r="C54" s="10">
        <f t="shared" si="62"/>
        <v>78</v>
      </c>
      <c r="D54" s="15">
        <v>59</v>
      </c>
      <c r="E54" s="15">
        <v>7</v>
      </c>
      <c r="F54">
        <v>0</v>
      </c>
      <c r="G54">
        <v>0</v>
      </c>
      <c r="H54" s="12">
        <v>11</v>
      </c>
      <c r="I54">
        <v>0</v>
      </c>
      <c r="J54" s="12">
        <v>1</v>
      </c>
      <c r="K54" s="15"/>
      <c r="L54" s="38">
        <v>51</v>
      </c>
      <c r="M54" s="23">
        <f t="shared" si="63"/>
        <v>0.65384615384615385</v>
      </c>
      <c r="N54" s="23">
        <f>M54/M79</f>
        <v>1.0135227569715003E-2</v>
      </c>
      <c r="O54" s="33">
        <v>11</v>
      </c>
      <c r="P54" s="23">
        <f t="shared" si="64"/>
        <v>0.14102564102564102</v>
      </c>
      <c r="Q54" s="40">
        <f>P54/P79</f>
        <v>9.4376152333407806E-3</v>
      </c>
      <c r="R54" s="23">
        <f t="shared" si="65"/>
        <v>0.52564102564102566</v>
      </c>
      <c r="S54" s="40">
        <f>R54/R79</f>
        <v>1.0085225688622079E-2</v>
      </c>
      <c r="T54" s="40">
        <f t="shared" si="66"/>
        <v>9.9608244856214476E-3</v>
      </c>
      <c r="U54" s="34">
        <v>14577</v>
      </c>
      <c r="V54" s="34">
        <f>U54/C54</f>
        <v>186.88461538461539</v>
      </c>
      <c r="W54" s="34"/>
      <c r="X54" s="40">
        <f>V54/V79</f>
        <v>2.399860864894385E-3</v>
      </c>
      <c r="Y54" s="48">
        <f t="shared" si="67"/>
        <v>6.9364390373306221E-3</v>
      </c>
      <c r="Z54" s="48">
        <v>0.123</v>
      </c>
      <c r="AA54" s="137">
        <v>-0.64800000000000002</v>
      </c>
      <c r="AB54" s="222">
        <v>82</v>
      </c>
      <c r="AC54" s="232">
        <v>-0.50757462014149923</v>
      </c>
      <c r="AD54" s="137">
        <f t="shared" si="41"/>
        <v>-0.65145710008902702</v>
      </c>
      <c r="AE54" s="61"/>
      <c r="AF54" s="40"/>
      <c r="AG54" s="40"/>
      <c r="AH54" s="37"/>
      <c r="AI54" s="37"/>
      <c r="AJ54" s="23"/>
      <c r="AK54" s="23"/>
      <c r="AL54" s="23"/>
      <c r="AM54" s="23"/>
      <c r="AN54" s="23"/>
      <c r="AO54" s="23"/>
      <c r="AP54" s="23"/>
      <c r="AQ54" s="23"/>
      <c r="AR54" s="26"/>
      <c r="AS54" s="26"/>
      <c r="AX54">
        <v>107</v>
      </c>
      <c r="AY54">
        <v>107</v>
      </c>
      <c r="AZ54">
        <f t="shared" si="42"/>
        <v>0</v>
      </c>
      <c r="BA54">
        <v>177</v>
      </c>
      <c r="BB54">
        <v>120</v>
      </c>
      <c r="BC54" s="119">
        <v>177.82104000000001</v>
      </c>
      <c r="BD54">
        <f t="shared" si="55"/>
        <v>-70</v>
      </c>
      <c r="BE54" s="119">
        <f t="shared" si="45"/>
        <v>266.09369369369369</v>
      </c>
      <c r="BF54" s="119">
        <v>257.15976000000001</v>
      </c>
      <c r="BG54" s="119">
        <f t="shared" si="46"/>
        <v>-146.09369369369369</v>
      </c>
      <c r="BH54" s="119">
        <f t="shared" si="47"/>
        <v>-137.15976000000001</v>
      </c>
      <c r="BI54" s="119">
        <f t="shared" si="56"/>
        <v>-70.821040000000011</v>
      </c>
      <c r="BJ54" s="23">
        <v>-0.69699999999999995</v>
      </c>
      <c r="BK54" s="23">
        <f t="shared" si="54"/>
        <v>-0.94351474027099846</v>
      </c>
      <c r="BL54" s="23">
        <f t="shared" si="48"/>
        <v>-0.51985165458082416</v>
      </c>
      <c r="BM54" s="23">
        <f t="shared" si="57"/>
        <v>-0.69596483493397343</v>
      </c>
      <c r="BN54" s="119">
        <v>30</v>
      </c>
      <c r="BO54" s="119">
        <v>57</v>
      </c>
      <c r="BP54" s="119">
        <v>32.442830000000001</v>
      </c>
      <c r="BQ54" s="119">
        <f t="shared" si="49"/>
        <v>-2.4428300000000007</v>
      </c>
      <c r="BR54" s="23">
        <f t="shared" si="50"/>
        <v>-0.13156318692826677</v>
      </c>
      <c r="BS54" s="23">
        <f t="shared" si="16"/>
        <v>-0.42277953766768478</v>
      </c>
      <c r="BT54" s="119">
        <v>25</v>
      </c>
      <c r="BU54" s="119">
        <f t="shared" si="17"/>
        <v>5</v>
      </c>
      <c r="BV54" s="23">
        <v>3.6999999999999998E-2</v>
      </c>
      <c r="BW54" s="23">
        <v>-0.51400000000000001</v>
      </c>
      <c r="BX54" s="23">
        <f t="shared" si="44"/>
        <v>-0.51272362620048006</v>
      </c>
      <c r="BY54" s="34">
        <v>0</v>
      </c>
      <c r="BZ54" s="77">
        <v>5624</v>
      </c>
      <c r="CA54" s="34">
        <v>158912</v>
      </c>
      <c r="CB54" s="34">
        <v>5624</v>
      </c>
      <c r="CC54" s="34">
        <f t="shared" si="51"/>
        <v>134688.36199999999</v>
      </c>
      <c r="CD54" s="34">
        <f t="shared" si="19"/>
        <v>-129064.36199999999</v>
      </c>
      <c r="CE54" s="36">
        <f t="shared" si="52"/>
        <v>-0.63476724385222083</v>
      </c>
      <c r="CF54" s="36">
        <f t="shared" si="53"/>
        <v>-0.50757462014149923</v>
      </c>
      <c r="CG54" s="34">
        <v>148912.72</v>
      </c>
      <c r="CH54">
        <f t="shared" si="58"/>
        <v>-158912</v>
      </c>
      <c r="CI54" s="34">
        <f t="shared" si="59"/>
        <v>-143288.72</v>
      </c>
      <c r="CJ54" s="23">
        <v>-0.85</v>
      </c>
      <c r="CK54" s="23">
        <f t="shared" si="60"/>
        <v>-0.85955731092184762</v>
      </c>
    </row>
    <row r="55" spans="1:89" x14ac:dyDescent="0.25">
      <c r="A55" s="7" t="s">
        <v>114</v>
      </c>
      <c r="B55" s="7" t="s">
        <v>100</v>
      </c>
      <c r="C55" s="10">
        <f t="shared" si="62"/>
        <v>14</v>
      </c>
      <c r="D55" s="20">
        <v>0</v>
      </c>
      <c r="E55" s="20">
        <v>14</v>
      </c>
      <c r="F55">
        <v>0</v>
      </c>
      <c r="G55">
        <v>0</v>
      </c>
      <c r="H55" s="13">
        <v>0</v>
      </c>
      <c r="I55">
        <v>0</v>
      </c>
      <c r="J55" s="13">
        <v>0</v>
      </c>
      <c r="K55" s="15"/>
      <c r="L55" s="38">
        <v>7.5</v>
      </c>
      <c r="M55" s="23">
        <f t="shared" si="63"/>
        <v>0.5357142857142857</v>
      </c>
      <c r="N55" s="23">
        <f>M55/M79</f>
        <v>8.3040730088001068E-3</v>
      </c>
      <c r="O55" s="33">
        <v>18</v>
      </c>
      <c r="P55" s="23">
        <f t="shared" si="64"/>
        <v>1.2857142857142858</v>
      </c>
      <c r="Q55" s="40">
        <f>P55/P79</f>
        <v>8.6041634984483487E-2</v>
      </c>
      <c r="R55" s="23">
        <f t="shared" si="65"/>
        <v>0.72321428571428581</v>
      </c>
      <c r="S55" s="40">
        <f>R55/R79</f>
        <v>1.3875970361653811E-2</v>
      </c>
      <c r="T55" s="40">
        <f t="shared" si="66"/>
        <v>2.7738463502720953E-2</v>
      </c>
      <c r="U55" s="34"/>
      <c r="V55" s="34">
        <f t="shared" si="61"/>
        <v>0</v>
      </c>
      <c r="W55" s="34"/>
      <c r="X55" s="40">
        <f>V55/V79</f>
        <v>0</v>
      </c>
      <c r="Y55" s="48">
        <f t="shared" si="67"/>
        <v>1.6643078101632573E-2</v>
      </c>
      <c r="Z55" s="48">
        <v>-0.52500000000000002</v>
      </c>
      <c r="AA55" s="137">
        <v>0.16200000000000001</v>
      </c>
      <c r="AB55" s="222">
        <v>22</v>
      </c>
      <c r="AC55" s="234">
        <v>0.17193645347842423</v>
      </c>
      <c r="AD55" s="137">
        <f t="shared" si="41"/>
        <v>0.16142567704284871</v>
      </c>
      <c r="AE55" s="61"/>
      <c r="AF55" s="40"/>
      <c r="AG55" s="40"/>
      <c r="AH55" s="37"/>
      <c r="AI55" s="37"/>
      <c r="AJ55" s="23"/>
      <c r="AK55" s="68">
        <f>AL55*AW$9</f>
        <v>18769.74282270305</v>
      </c>
      <c r="AL55" s="23">
        <f>AB55*AR55</f>
        <v>0.35992586405912858</v>
      </c>
      <c r="AM55" s="23"/>
      <c r="AN55" s="23"/>
      <c r="AO55" s="23"/>
      <c r="AP55" s="23"/>
      <c r="AQ55" s="23"/>
      <c r="AR55" s="243">
        <f>AC55/AW$5</f>
        <v>1.6360266548142207E-2</v>
      </c>
      <c r="AS55" s="26"/>
      <c r="AX55">
        <v>41</v>
      </c>
      <c r="AY55">
        <v>41</v>
      </c>
      <c r="AZ55">
        <f t="shared" si="42"/>
        <v>0</v>
      </c>
      <c r="BA55">
        <v>32</v>
      </c>
      <c r="BB55">
        <v>52</v>
      </c>
      <c r="BC55" s="119">
        <v>31.916599999999999</v>
      </c>
      <c r="BD55">
        <f t="shared" si="55"/>
        <v>9</v>
      </c>
      <c r="BE55" s="119">
        <f t="shared" si="45"/>
        <v>71.390990990991</v>
      </c>
      <c r="BF55" s="119">
        <v>68.994079999999997</v>
      </c>
      <c r="BG55" s="119">
        <f t="shared" si="46"/>
        <v>-19.390990990991</v>
      </c>
      <c r="BH55" s="119">
        <f t="shared" si="47"/>
        <v>-16.994079999999997</v>
      </c>
      <c r="BI55" s="119">
        <f t="shared" si="56"/>
        <v>9.083400000000001</v>
      </c>
      <c r="BJ55" s="23">
        <v>8.9999999999999993E-3</v>
      </c>
      <c r="BK55" s="23">
        <f t="shared" si="54"/>
        <v>-0.11996319670556517</v>
      </c>
      <c r="BL55" s="23">
        <f t="shared" si="48"/>
        <v>2.9398042011524878E-2</v>
      </c>
      <c r="BM55" s="23">
        <f t="shared" si="57"/>
        <v>1.6486326727162853E-2</v>
      </c>
      <c r="BN55" s="119">
        <v>46</v>
      </c>
      <c r="BO55" s="119">
        <v>33</v>
      </c>
      <c r="BP55" s="119">
        <v>8.7041740000000001</v>
      </c>
      <c r="BQ55" s="119">
        <f t="shared" si="49"/>
        <v>37.295825999999998</v>
      </c>
      <c r="BR55" s="23">
        <f t="shared" si="50"/>
        <v>1.5594893529353451</v>
      </c>
      <c r="BS55" s="25">
        <f t="shared" si="16"/>
        <v>0.41192086974247993</v>
      </c>
      <c r="BT55" s="119">
        <v>4</v>
      </c>
      <c r="BU55" s="119">
        <f t="shared" si="17"/>
        <v>42</v>
      </c>
      <c r="BV55" s="23">
        <v>1.5109999999999999</v>
      </c>
      <c r="BW55" s="23">
        <v>0.38400000000000001</v>
      </c>
      <c r="BX55" s="23">
        <f t="shared" si="44"/>
        <v>0.39011474504537214</v>
      </c>
      <c r="BY55" s="34">
        <v>0</v>
      </c>
      <c r="BZ55" s="77">
        <v>0</v>
      </c>
      <c r="CA55" s="34">
        <v>33947</v>
      </c>
      <c r="CB55" s="34">
        <v>0</v>
      </c>
      <c r="CC55" s="34">
        <f t="shared" si="51"/>
        <v>36135.902000000002</v>
      </c>
      <c r="CD55" s="34">
        <f t="shared" si="19"/>
        <v>-36135.902000000002</v>
      </c>
      <c r="CE55" s="36">
        <f t="shared" si="52"/>
        <v>-0.18804017091765926</v>
      </c>
      <c r="CF55" s="231">
        <f t="shared" si="53"/>
        <v>0.17193645347842423</v>
      </c>
      <c r="CG55" s="34">
        <v>30442.03</v>
      </c>
      <c r="CH55">
        <f t="shared" si="58"/>
        <v>-33947</v>
      </c>
      <c r="CI55" s="34">
        <f t="shared" si="59"/>
        <v>-30442.03</v>
      </c>
      <c r="CJ55" s="23">
        <v>-0.17199999999999999</v>
      </c>
      <c r="CK55" s="23">
        <f t="shared" si="60"/>
        <v>-0.18160792496093639</v>
      </c>
    </row>
    <row r="56" spans="1:89" x14ac:dyDescent="0.25">
      <c r="A56" s="9" t="s">
        <v>114</v>
      </c>
      <c r="B56" s="9" t="s">
        <v>113</v>
      </c>
      <c r="C56" s="10">
        <f t="shared" si="62"/>
        <v>15</v>
      </c>
      <c r="D56" s="15">
        <v>15</v>
      </c>
      <c r="E56" s="15">
        <v>0</v>
      </c>
      <c r="F56">
        <v>0</v>
      </c>
      <c r="G56">
        <v>0</v>
      </c>
      <c r="H56" s="12">
        <v>0</v>
      </c>
      <c r="I56">
        <v>0</v>
      </c>
      <c r="J56" s="12">
        <v>0</v>
      </c>
      <c r="K56" s="15"/>
      <c r="L56" s="38">
        <v>12.5</v>
      </c>
      <c r="M56" s="23">
        <f t="shared" si="63"/>
        <v>0.83333333333333337</v>
      </c>
      <c r="N56" s="23">
        <f>M56/M79</f>
        <v>1.2917446902577946E-2</v>
      </c>
      <c r="O56" s="33">
        <v>4.5</v>
      </c>
      <c r="P56" s="23">
        <f t="shared" si="64"/>
        <v>0.3</v>
      </c>
      <c r="Q56" s="40">
        <f>P56/P79</f>
        <v>2.0076381496379476E-2</v>
      </c>
      <c r="R56" s="23">
        <f t="shared" si="65"/>
        <v>0.7</v>
      </c>
      <c r="S56" s="40">
        <f>R56/R79</f>
        <v>1.3430568843872328E-2</v>
      </c>
      <c r="T56" s="40">
        <f t="shared" si="66"/>
        <v>1.4707180551028329E-2</v>
      </c>
      <c r="U56" s="34"/>
      <c r="V56" s="34">
        <f t="shared" si="61"/>
        <v>0</v>
      </c>
      <c r="W56" s="34"/>
      <c r="X56" s="40">
        <f>V56/V79</f>
        <v>0</v>
      </c>
      <c r="Y56" s="48">
        <f t="shared" si="67"/>
        <v>8.8243083306169968E-3</v>
      </c>
      <c r="Z56" s="48">
        <v>-0.30299999999999999</v>
      </c>
      <c r="AA56" s="137">
        <v>0.193</v>
      </c>
      <c r="AB56" s="222">
        <v>37</v>
      </c>
      <c r="AC56" s="232">
        <v>5.3978558963473672E-2</v>
      </c>
      <c r="AD56" s="137">
        <f t="shared" si="41"/>
        <v>0.20266384672531246</v>
      </c>
      <c r="AE56" s="61"/>
      <c r="AF56" s="40"/>
      <c r="AG56" s="40"/>
      <c r="AH56" s="37"/>
      <c r="AI56" s="37"/>
      <c r="AJ56" s="23"/>
      <c r="AK56" s="23"/>
      <c r="AL56" s="23"/>
      <c r="AM56" s="23"/>
      <c r="AN56" s="23"/>
      <c r="AO56" s="23"/>
      <c r="AP56" s="23"/>
      <c r="AQ56" s="23"/>
      <c r="AR56" s="26"/>
      <c r="AS56" s="26"/>
      <c r="AX56">
        <v>90</v>
      </c>
      <c r="AY56">
        <v>90</v>
      </c>
      <c r="AZ56">
        <f t="shared" si="42"/>
        <v>0</v>
      </c>
      <c r="BA56">
        <v>34</v>
      </c>
      <c r="BB56">
        <v>147</v>
      </c>
      <c r="BC56" s="119">
        <v>34.196350000000002</v>
      </c>
      <c r="BD56">
        <f t="shared" si="55"/>
        <v>56</v>
      </c>
      <c r="BE56" s="119">
        <f t="shared" si="45"/>
        <v>120.06666666666668</v>
      </c>
      <c r="BF56" s="119">
        <v>116.0355</v>
      </c>
      <c r="BG56" s="119">
        <f t="shared" si="46"/>
        <v>26.933333333333323</v>
      </c>
      <c r="BH56" s="119">
        <f t="shared" si="47"/>
        <v>30.964500000000001</v>
      </c>
      <c r="BI56" s="119">
        <f t="shared" si="56"/>
        <v>55.803649999999998</v>
      </c>
      <c r="BJ56" s="23">
        <v>0.42899999999999999</v>
      </c>
      <c r="BK56" s="25">
        <f t="shared" si="54"/>
        <v>0.20871935713348699</v>
      </c>
      <c r="BL56" s="25">
        <f t="shared" si="48"/>
        <v>0.35054519149681868</v>
      </c>
      <c r="BM56" s="23">
        <f t="shared" si="57"/>
        <v>0.43305762596408509</v>
      </c>
      <c r="BN56" s="119">
        <v>3</v>
      </c>
      <c r="BO56" s="119">
        <v>9</v>
      </c>
      <c r="BP56" s="119">
        <v>14.638838</v>
      </c>
      <c r="BQ56" s="119">
        <f t="shared" si="49"/>
        <v>-11.638838</v>
      </c>
      <c r="BR56" s="23">
        <f t="shared" si="50"/>
        <v>-0.52289329847018939</v>
      </c>
      <c r="BS56" s="25">
        <f t="shared" si="16"/>
        <v>0.13218556900506664</v>
      </c>
      <c r="BT56" s="119">
        <v>5</v>
      </c>
      <c r="BU56" s="119">
        <f t="shared" si="17"/>
        <v>-2</v>
      </c>
      <c r="BV56" s="23">
        <v>-0.24199999999999999</v>
      </c>
      <c r="BW56" s="23">
        <v>0.26100000000000001</v>
      </c>
      <c r="BX56" s="23">
        <f t="shared" si="44"/>
        <v>0.26429321947306383</v>
      </c>
      <c r="BY56" s="34">
        <v>50580</v>
      </c>
      <c r="BZ56" s="77">
        <v>50580</v>
      </c>
      <c r="CA56" s="34">
        <v>36119</v>
      </c>
      <c r="CB56" s="34">
        <v>50580</v>
      </c>
      <c r="CC56" s="34">
        <f t="shared" si="51"/>
        <v>60774.017</v>
      </c>
      <c r="CD56" s="34">
        <f t="shared" si="19"/>
        <v>-10194.017</v>
      </c>
      <c r="CE56" s="36">
        <f t="shared" si="52"/>
        <v>-6.3331956098915773E-2</v>
      </c>
      <c r="CF56" s="36">
        <f t="shared" si="53"/>
        <v>5.3978558963473672E-2</v>
      </c>
      <c r="CG56" s="34">
        <v>32446.44</v>
      </c>
      <c r="CH56">
        <f t="shared" si="58"/>
        <v>14461</v>
      </c>
      <c r="CI56" s="34">
        <f t="shared" si="59"/>
        <v>18133.560000000001</v>
      </c>
      <c r="CJ56" s="23">
        <v>9.0999999999999998E-2</v>
      </c>
      <c r="CK56" s="23">
        <f t="shared" si="60"/>
        <v>0.11021978760368538</v>
      </c>
    </row>
    <row r="57" spans="1:89" x14ac:dyDescent="0.25">
      <c r="A57" s="7" t="s">
        <v>114</v>
      </c>
      <c r="B57" s="7" t="s">
        <v>117</v>
      </c>
      <c r="C57" s="10">
        <f t="shared" si="62"/>
        <v>29</v>
      </c>
      <c r="D57" s="15">
        <v>18</v>
      </c>
      <c r="E57" s="15">
        <v>0</v>
      </c>
      <c r="F57">
        <v>0</v>
      </c>
      <c r="G57">
        <v>9</v>
      </c>
      <c r="H57" s="12">
        <v>2</v>
      </c>
      <c r="I57">
        <v>0</v>
      </c>
      <c r="J57" s="12">
        <v>0</v>
      </c>
      <c r="K57" s="15"/>
      <c r="L57" s="38">
        <v>23.5</v>
      </c>
      <c r="M57" s="23">
        <f t="shared" si="63"/>
        <v>0.81034482758620685</v>
      </c>
      <c r="N57" s="23">
        <f>M57/M79</f>
        <v>1.2561103539748207E-2</v>
      </c>
      <c r="O57" s="33">
        <v>2.5</v>
      </c>
      <c r="P57" s="23">
        <f t="shared" si="64"/>
        <v>8.6206896551724144E-2</v>
      </c>
      <c r="Q57" s="40">
        <f>P57/P79</f>
        <v>5.7690751426377812E-3</v>
      </c>
      <c r="R57" s="23">
        <f t="shared" si="65"/>
        <v>0.62931034482758619</v>
      </c>
      <c r="S57" s="40">
        <f>R57/R79</f>
        <v>1.2074279871954188E-2</v>
      </c>
      <c r="T57" s="40">
        <f t="shared" si="66"/>
        <v>1.08630964404706E-2</v>
      </c>
      <c r="U57" s="34"/>
      <c r="V57" s="34">
        <f t="shared" si="61"/>
        <v>0</v>
      </c>
      <c r="W57" s="34"/>
      <c r="X57" s="40">
        <f>V57/V79</f>
        <v>0</v>
      </c>
      <c r="Y57" s="48">
        <f t="shared" si="67"/>
        <v>6.5178578642823603E-3</v>
      </c>
      <c r="Z57" s="48">
        <v>-0.187</v>
      </c>
      <c r="AA57" s="137">
        <v>-0.20300000000000001</v>
      </c>
      <c r="AB57" s="222">
        <v>23</v>
      </c>
      <c r="AC57" s="232">
        <v>-0.11229980845627943</v>
      </c>
      <c r="AD57" s="137">
        <f t="shared" si="41"/>
        <v>-0.2058759185036278</v>
      </c>
      <c r="AE57" s="61"/>
      <c r="AF57" s="40"/>
      <c r="AG57" s="40"/>
      <c r="AH57" s="37"/>
      <c r="AI57" s="37"/>
      <c r="AJ57" s="23"/>
      <c r="AK57" s="23"/>
      <c r="AL57" s="23"/>
      <c r="AM57" s="23"/>
      <c r="AN57" s="23"/>
      <c r="AO57" s="23"/>
      <c r="AP57" s="23"/>
      <c r="AQ57" s="23"/>
      <c r="AR57" s="26"/>
      <c r="AS57" s="26"/>
      <c r="AX57">
        <v>68</v>
      </c>
      <c r="AY57">
        <v>68</v>
      </c>
      <c r="AZ57">
        <f t="shared" si="42"/>
        <v>0</v>
      </c>
      <c r="BA57">
        <v>66</v>
      </c>
      <c r="BB57">
        <v>95</v>
      </c>
      <c r="BC57" s="119">
        <v>66.112949999999998</v>
      </c>
      <c r="BD57">
        <f t="shared" si="55"/>
        <v>2</v>
      </c>
      <c r="BE57" s="119">
        <f t="shared" si="45"/>
        <v>74.636036036036046</v>
      </c>
      <c r="BF57" s="119">
        <v>72.130179999999996</v>
      </c>
      <c r="BG57" s="119">
        <f t="shared" si="46"/>
        <v>20.363963963963954</v>
      </c>
      <c r="BH57" s="119">
        <f t="shared" si="47"/>
        <v>22.869820000000004</v>
      </c>
      <c r="BI57" s="119">
        <f t="shared" si="56"/>
        <v>1.8870500000000021</v>
      </c>
      <c r="BJ57" s="23">
        <v>-5.3999999999999999E-2</v>
      </c>
      <c r="BK57" s="23">
        <f t="shared" si="54"/>
        <v>0.15324273345301317</v>
      </c>
      <c r="BL57" s="23">
        <f t="shared" si="48"/>
        <v>-2.0068458899717971E-2</v>
      </c>
      <c r="BM57" s="23">
        <f t="shared" si="57"/>
        <v>-4.7678417024499965E-2</v>
      </c>
      <c r="BN57" s="119">
        <v>5</v>
      </c>
      <c r="BO57" s="119">
        <v>3</v>
      </c>
      <c r="BP57" s="119">
        <v>9.0998180000000009</v>
      </c>
      <c r="BQ57" s="119">
        <f t="shared" si="49"/>
        <v>-4.0998180000000009</v>
      </c>
      <c r="BR57" s="23">
        <f t="shared" si="50"/>
        <v>-0.2020752285515045</v>
      </c>
      <c r="BS57" s="23">
        <f t="shared" si="16"/>
        <v>-6.557015131266461E-2</v>
      </c>
      <c r="BT57" s="119">
        <v>9</v>
      </c>
      <c r="BU57" s="119">
        <f t="shared" si="17"/>
        <v>-4</v>
      </c>
      <c r="BV57" s="23">
        <v>-0.32200000000000001</v>
      </c>
      <c r="BW57" s="23">
        <v>-0.121</v>
      </c>
      <c r="BX57" s="23">
        <f t="shared" si="44"/>
        <v>-0.11625881276837498</v>
      </c>
      <c r="BY57" s="34">
        <v>2817</v>
      </c>
      <c r="BZ57" s="77">
        <v>2817</v>
      </c>
      <c r="CA57" s="34">
        <v>65316</v>
      </c>
      <c r="CB57" s="34">
        <v>2817</v>
      </c>
      <c r="CC57" s="34">
        <f t="shared" si="51"/>
        <v>37778.442999999999</v>
      </c>
      <c r="CD57" s="34">
        <f t="shared" si="19"/>
        <v>-34961.442999999999</v>
      </c>
      <c r="CE57" s="36">
        <f t="shared" si="52"/>
        <v>-0.18239429417170164</v>
      </c>
      <c r="CF57" s="36">
        <f t="shared" si="53"/>
        <v>-0.11229980845627943</v>
      </c>
      <c r="CG57" s="34">
        <v>59674.06</v>
      </c>
      <c r="CH57">
        <f t="shared" si="58"/>
        <v>-62499</v>
      </c>
      <c r="CI57" s="34">
        <f t="shared" si="59"/>
        <v>-56857.06</v>
      </c>
      <c r="CJ57" s="23">
        <v>-0.32700000000000001</v>
      </c>
      <c r="CK57" s="23">
        <f t="shared" si="60"/>
        <v>-0.34030157710650705</v>
      </c>
    </row>
    <row r="58" spans="1:89" x14ac:dyDescent="0.25">
      <c r="A58" s="9" t="s">
        <v>118</v>
      </c>
      <c r="B58" s="9" t="s">
        <v>119</v>
      </c>
      <c r="C58" s="10">
        <f t="shared" si="62"/>
        <v>32</v>
      </c>
      <c r="D58" s="8">
        <v>26</v>
      </c>
      <c r="E58" s="8">
        <v>6</v>
      </c>
      <c r="F58">
        <v>0</v>
      </c>
      <c r="G58">
        <v>0</v>
      </c>
      <c r="H58" s="8">
        <v>0</v>
      </c>
      <c r="I58">
        <v>0</v>
      </c>
      <c r="J58">
        <v>0</v>
      </c>
      <c r="L58" s="38">
        <v>10.5</v>
      </c>
      <c r="M58" s="23">
        <f t="shared" si="63"/>
        <v>0.328125</v>
      </c>
      <c r="N58" s="23">
        <f>M58/M79</f>
        <v>5.0862447178900653E-3</v>
      </c>
      <c r="O58" s="33">
        <v>5.5</v>
      </c>
      <c r="P58" s="23">
        <f t="shared" si="64"/>
        <v>0.171875</v>
      </c>
      <c r="Q58" s="40">
        <f>P58/P79</f>
        <v>1.1502093565634076E-2</v>
      </c>
      <c r="R58" s="23">
        <f t="shared" si="65"/>
        <v>0.2890625</v>
      </c>
      <c r="S58" s="40">
        <f>R58/R79</f>
        <v>5.5461054377597789E-3</v>
      </c>
      <c r="T58" s="40">
        <f t="shared" si="66"/>
        <v>6.6902069298260675E-3</v>
      </c>
      <c r="U58" s="34"/>
      <c r="V58" s="34">
        <f t="shared" si="61"/>
        <v>0</v>
      </c>
      <c r="W58" s="34"/>
      <c r="X58" s="40">
        <f>V58/V79</f>
        <v>0</v>
      </c>
      <c r="Y58" s="48">
        <f t="shared" si="67"/>
        <v>4.0141241578956401E-3</v>
      </c>
      <c r="Z58" s="48">
        <v>-0.32600000000000001</v>
      </c>
      <c r="AA58" s="137">
        <v>-0.42899999999999999</v>
      </c>
      <c r="AB58" s="222">
        <v>26</v>
      </c>
      <c r="AC58" s="232">
        <v>-0.28853884853429335</v>
      </c>
      <c r="AD58" s="137">
        <f t="shared" si="41"/>
        <v>-0.43632538515430308</v>
      </c>
      <c r="AE58" s="61"/>
      <c r="AF58" s="40"/>
      <c r="AG58" s="40"/>
      <c r="AH58" s="37"/>
      <c r="AI58" s="37"/>
      <c r="AJ58" s="23"/>
      <c r="AK58" s="23"/>
      <c r="AL58" s="23"/>
      <c r="AM58" s="23"/>
      <c r="AN58" s="23"/>
      <c r="AO58" s="23"/>
      <c r="AP58" s="23"/>
      <c r="AQ58" s="23"/>
      <c r="AR58" s="26"/>
      <c r="AS58" s="26"/>
      <c r="AX58">
        <v>21</v>
      </c>
      <c r="AY58">
        <v>21</v>
      </c>
      <c r="AZ58">
        <f t="shared" si="42"/>
        <v>0</v>
      </c>
      <c r="BA58">
        <v>72</v>
      </c>
      <c r="BB58">
        <v>41</v>
      </c>
      <c r="BC58" s="119">
        <v>72.952219999999997</v>
      </c>
      <c r="BD58">
        <f t="shared" si="55"/>
        <v>-51</v>
      </c>
      <c r="BE58" s="119">
        <f t="shared" si="45"/>
        <v>84.37117117117117</v>
      </c>
      <c r="BF58" s="119">
        <v>81.538460000000001</v>
      </c>
      <c r="BG58" s="119">
        <f t="shared" si="46"/>
        <v>-43.37117117117117</v>
      </c>
      <c r="BH58" s="119">
        <f t="shared" si="47"/>
        <v>-40.538460000000001</v>
      </c>
      <c r="BI58" s="119">
        <f t="shared" si="56"/>
        <v>-51.952219999999997</v>
      </c>
      <c r="BJ58" s="23">
        <v>-0.52700000000000002</v>
      </c>
      <c r="BK58" s="23">
        <f t="shared" si="54"/>
        <v>-0.28132383221556373</v>
      </c>
      <c r="BL58" s="23">
        <f t="shared" si="48"/>
        <v>-0.39015055586771563</v>
      </c>
      <c r="BM58" s="23">
        <f t="shared" si="57"/>
        <v>-0.52772496330512664</v>
      </c>
      <c r="BN58" s="119">
        <v>7</v>
      </c>
      <c r="BO58" s="119">
        <v>19</v>
      </c>
      <c r="BP58" s="119">
        <v>10.286751000000001</v>
      </c>
      <c r="BQ58" s="119">
        <f t="shared" si="49"/>
        <v>-3.2867510000000006</v>
      </c>
      <c r="BR58" s="23">
        <f t="shared" si="50"/>
        <v>-0.16747569364450393</v>
      </c>
      <c r="BS58" s="23">
        <f t="shared" si="16"/>
        <v>-0.33448184031191269</v>
      </c>
      <c r="BT58" s="119">
        <v>10</v>
      </c>
      <c r="BU58" s="119">
        <f t="shared" si="17"/>
        <v>-3</v>
      </c>
      <c r="BV58" s="23">
        <v>-0.28199999999999997</v>
      </c>
      <c r="BW58" s="23">
        <v>-0.46600000000000003</v>
      </c>
      <c r="BX58" s="23">
        <f t="shared" si="44"/>
        <v>-0.46629372247884499</v>
      </c>
      <c r="BY58" s="34">
        <v>0</v>
      </c>
      <c r="BZ58" s="77">
        <v>0</v>
      </c>
      <c r="CA58" s="34">
        <v>71357</v>
      </c>
      <c r="CB58" s="34">
        <v>0</v>
      </c>
      <c r="CC58" s="34">
        <f t="shared" si="51"/>
        <v>42706.065999999999</v>
      </c>
      <c r="CD58" s="34">
        <f t="shared" si="19"/>
        <v>-42706.065999999999</v>
      </c>
      <c r="CE58" s="36">
        <f t="shared" si="52"/>
        <v>-0.21962436086786427</v>
      </c>
      <c r="CF58" s="36">
        <f t="shared" si="53"/>
        <v>-0.28853884853429335</v>
      </c>
      <c r="CG58" s="34">
        <v>65358.03</v>
      </c>
      <c r="CH58">
        <f t="shared" si="58"/>
        <v>-71357</v>
      </c>
      <c r="CI58" s="34">
        <f t="shared" si="59"/>
        <v>-65358.03</v>
      </c>
      <c r="CJ58" s="23">
        <v>-0.375</v>
      </c>
      <c r="CK58" s="23">
        <f t="shared" si="60"/>
        <v>-0.3913728791674902</v>
      </c>
    </row>
    <row r="59" spans="1:89" x14ac:dyDescent="0.25">
      <c r="A59" s="7" t="s">
        <v>118</v>
      </c>
      <c r="B59" s="7" t="s">
        <v>120</v>
      </c>
      <c r="C59" s="10">
        <f t="shared" si="62"/>
        <v>69</v>
      </c>
      <c r="D59" s="8">
        <v>0</v>
      </c>
      <c r="E59" s="8">
        <v>0</v>
      </c>
      <c r="F59">
        <v>0</v>
      </c>
      <c r="G59">
        <v>69</v>
      </c>
      <c r="H59" s="8">
        <v>0</v>
      </c>
      <c r="I59">
        <v>0</v>
      </c>
      <c r="J59">
        <v>0</v>
      </c>
      <c r="L59" s="38">
        <v>174</v>
      </c>
      <c r="M59" s="25">
        <f t="shared" si="63"/>
        <v>2.5217391304347827</v>
      </c>
      <c r="N59" s="23">
        <f>M59/M79</f>
        <v>3.9089317583453256E-2</v>
      </c>
      <c r="O59" s="33">
        <v>18.5</v>
      </c>
      <c r="P59" s="23">
        <f t="shared" si="64"/>
        <v>0.26811594202898553</v>
      </c>
      <c r="Q59" s="40">
        <f>P59/P79</f>
        <v>1.7942659791450259E-2</v>
      </c>
      <c r="R59" s="23">
        <f t="shared" si="65"/>
        <v>1.9583333333333333</v>
      </c>
      <c r="S59" s="42">
        <f>R59/R79</f>
        <v>3.7573615217976156E-2</v>
      </c>
      <c r="T59" s="42">
        <f t="shared" si="66"/>
        <v>3.3802653135452505E-2</v>
      </c>
      <c r="U59" s="34">
        <v>80256</v>
      </c>
      <c r="V59" s="72">
        <f>U59/C59</f>
        <v>1163.1304347826087</v>
      </c>
      <c r="W59" s="72"/>
      <c r="X59" s="40">
        <f>V59/V79</f>
        <v>1.4936227925758739E-2</v>
      </c>
      <c r="Y59" s="47">
        <f t="shared" si="67"/>
        <v>2.6256083051574997E-2</v>
      </c>
      <c r="Z59" s="47">
        <v>2.1720000000000002</v>
      </c>
      <c r="AA59" s="139">
        <v>1.3839999999999999</v>
      </c>
      <c r="AB59" s="222">
        <v>67</v>
      </c>
      <c r="AC59" s="234">
        <v>0.99852414275821433</v>
      </c>
      <c r="AD59" s="139">
        <f t="shared" si="41"/>
        <v>1.38674916294247</v>
      </c>
      <c r="AE59" s="67">
        <f>AJ59*AQ$3</f>
        <v>402031.97977883118</v>
      </c>
      <c r="AF59" s="40">
        <f>C59*AO59</f>
        <v>0</v>
      </c>
      <c r="AG59" s="40" t="e">
        <f>C59*AP59</f>
        <v>#REF!</v>
      </c>
      <c r="AH59" s="37">
        <f>AM59*AS$3</f>
        <v>392200.09423663042</v>
      </c>
      <c r="AI59" s="37">
        <f>AH59-AE59</f>
        <v>-9831.8855422007618</v>
      </c>
      <c r="AJ59" s="23">
        <f>C59*AQ59</f>
        <v>6.8002563554795978</v>
      </c>
      <c r="AK59" s="68">
        <f>AL59*AW$9</f>
        <v>331971.69013172662</v>
      </c>
      <c r="AL59" s="23">
        <f>AB59*AR59</f>
        <v>6.3658409463824395</v>
      </c>
      <c r="AM59" s="23">
        <f>C59*AS59</f>
        <v>6.6115510752488627</v>
      </c>
      <c r="AN59" s="23"/>
      <c r="AO59" s="23"/>
      <c r="AP59" s="23" t="e">
        <f>Z59/#REF!</f>
        <v>#REF!</v>
      </c>
      <c r="AQ59" s="23">
        <f>AA59/AT$2</f>
        <v>9.8554439934486926E-2</v>
      </c>
      <c r="AR59" s="243">
        <f>AC59/AW$5</f>
        <v>9.5012551438543869E-2</v>
      </c>
      <c r="AS59" s="26">
        <f>AD59/AW$2</f>
        <v>9.5819580800708154E-2</v>
      </c>
      <c r="AX59">
        <v>528</v>
      </c>
      <c r="AY59">
        <v>528</v>
      </c>
      <c r="AZ59">
        <f t="shared" si="42"/>
        <v>0</v>
      </c>
      <c r="BA59">
        <v>156</v>
      </c>
      <c r="BB59">
        <v>595</v>
      </c>
      <c r="BC59" s="119">
        <v>157.30323000000001</v>
      </c>
      <c r="BD59">
        <f t="shared" si="55"/>
        <v>372</v>
      </c>
      <c r="BE59" s="119">
        <f t="shared" si="45"/>
        <v>217.41801801801802</v>
      </c>
      <c r="BF59" s="119">
        <v>210.11833999999999</v>
      </c>
      <c r="BG59" s="119">
        <f t="shared" si="46"/>
        <v>377.58198198198198</v>
      </c>
      <c r="BH59" s="119">
        <f t="shared" si="47"/>
        <v>384.88166000000001</v>
      </c>
      <c r="BI59" s="119">
        <f t="shared" si="56"/>
        <v>370.69677000000001</v>
      </c>
      <c r="BJ59" s="23">
        <v>3.2519999999999998</v>
      </c>
      <c r="BK59" s="25">
        <f t="shared" si="54"/>
        <v>2.6342789962275646</v>
      </c>
      <c r="BL59" s="25">
        <f t="shared" si="48"/>
        <v>2.5150675962470195</v>
      </c>
      <c r="BM59" s="23">
        <f t="shared" si="57"/>
        <v>3.2407360120850512</v>
      </c>
      <c r="BN59" s="119">
        <v>28</v>
      </c>
      <c r="BO59" s="119">
        <v>38</v>
      </c>
      <c r="BP59" s="119">
        <v>26.508165999999999</v>
      </c>
      <c r="BQ59" s="119">
        <f t="shared" si="49"/>
        <v>1.4918340000000008</v>
      </c>
      <c r="BR59" s="23">
        <f t="shared" si="50"/>
        <v>3.5873868585385257E-2</v>
      </c>
      <c r="BS59" s="25">
        <f t="shared" si="16"/>
        <v>1.8952691643316109</v>
      </c>
      <c r="BT59" s="119">
        <v>22</v>
      </c>
      <c r="BU59" s="119">
        <f t="shared" si="17"/>
        <v>6</v>
      </c>
      <c r="BV59" s="23">
        <v>7.6999999999999999E-2</v>
      </c>
      <c r="BW59" s="23">
        <v>2.4580000000000002</v>
      </c>
      <c r="BX59" s="23">
        <f t="shared" si="44"/>
        <v>2.4498020090637884</v>
      </c>
      <c r="BY59" s="34">
        <v>98152</v>
      </c>
      <c r="BZ59" s="77">
        <v>98152.82</v>
      </c>
      <c r="CA59" s="34">
        <v>142334</v>
      </c>
      <c r="CB59" s="34">
        <v>40932</v>
      </c>
      <c r="CC59" s="34">
        <f t="shared" si="51"/>
        <v>110050.247</v>
      </c>
      <c r="CD59" s="34">
        <f t="shared" si="19"/>
        <v>-69118.247000000003</v>
      </c>
      <c r="CE59" s="36">
        <f t="shared" si="52"/>
        <v>-0.34659338960188019</v>
      </c>
      <c r="CF59" s="231">
        <f t="shared" si="53"/>
        <v>0.99852414275821433</v>
      </c>
      <c r="CG59" s="34">
        <v>132959.60999999999</v>
      </c>
      <c r="CH59">
        <f t="shared" si="58"/>
        <v>-44182</v>
      </c>
      <c r="CI59" s="34">
        <f t="shared" si="59"/>
        <v>-34806.789999999979</v>
      </c>
      <c r="CJ59" s="23">
        <v>-0.22700000000000001</v>
      </c>
      <c r="CK59" s="23">
        <f t="shared" si="60"/>
        <v>-0.20783010623950762</v>
      </c>
    </row>
    <row r="60" spans="1:89" x14ac:dyDescent="0.25">
      <c r="A60" s="9" t="s">
        <v>118</v>
      </c>
      <c r="B60" s="9" t="s">
        <v>121</v>
      </c>
      <c r="C60" s="10">
        <f t="shared" si="62"/>
        <v>24</v>
      </c>
      <c r="D60" s="8">
        <v>0</v>
      </c>
      <c r="E60" s="8">
        <v>0</v>
      </c>
      <c r="F60">
        <v>0</v>
      </c>
      <c r="G60">
        <v>0</v>
      </c>
      <c r="H60" s="8">
        <v>24</v>
      </c>
      <c r="I60">
        <v>0</v>
      </c>
      <c r="J60">
        <v>0</v>
      </c>
      <c r="L60" s="38">
        <v>11.5</v>
      </c>
      <c r="M60" s="23">
        <f t="shared" si="63"/>
        <v>0.47916666666666669</v>
      </c>
      <c r="N60" s="23">
        <f>M60/M79</f>
        <v>7.4275319689823182E-3</v>
      </c>
      <c r="O60" s="33">
        <v>5</v>
      </c>
      <c r="P60" s="23">
        <f t="shared" si="64"/>
        <v>0.20833333333333334</v>
      </c>
      <c r="Q60" s="40">
        <f>P60/P79</f>
        <v>1.3941931594707972E-2</v>
      </c>
      <c r="R60" s="23">
        <f t="shared" si="65"/>
        <v>0.41145833333333331</v>
      </c>
      <c r="S60" s="40">
        <f>R60/R79</f>
        <v>7.8944563888832878E-3</v>
      </c>
      <c r="T60" s="40">
        <f t="shared" si="66"/>
        <v>9.0561318754137313E-3</v>
      </c>
      <c r="U60" s="34"/>
      <c r="V60" s="34">
        <f t="shared" si="61"/>
        <v>0</v>
      </c>
      <c r="W60" s="34"/>
      <c r="X60" s="40">
        <f>V60/V79</f>
        <v>0</v>
      </c>
      <c r="Y60" s="48">
        <f t="shared" si="67"/>
        <v>5.4336791252482383E-3</v>
      </c>
      <c r="Z60" s="48">
        <v>-0.217</v>
      </c>
      <c r="AA60" s="139">
        <v>0.314</v>
      </c>
      <c r="AB60" s="222">
        <v>24</v>
      </c>
      <c r="AC60" s="234">
        <v>0.3230394506540375</v>
      </c>
      <c r="AD60" s="139">
        <f t="shared" si="41"/>
        <v>0.37464322304453757</v>
      </c>
      <c r="AE60" s="67">
        <f>AJ60*AQ$3</f>
        <v>31726.072292172157</v>
      </c>
      <c r="AF60" s="40"/>
      <c r="AG60" s="40"/>
      <c r="AH60" s="37">
        <f>AM60*AS$3</f>
        <v>36854.439723753385</v>
      </c>
      <c r="AI60" s="37">
        <f>AH60-AE60</f>
        <v>5128.3674315812277</v>
      </c>
      <c r="AJ60" s="23">
        <f>C60*AQ60</f>
        <v>0.5366374706259347</v>
      </c>
      <c r="AK60" s="68">
        <f>AL60*AW$9</f>
        <v>38471.089147581835</v>
      </c>
      <c r="AL60" s="23">
        <f>AB60*AR60</f>
        <v>0.73771602165964423</v>
      </c>
      <c r="AM60" s="23">
        <f>C60*AS60</f>
        <v>0.62127728719071396</v>
      </c>
      <c r="AN60" s="23"/>
      <c r="AO60" s="23"/>
      <c r="AP60" s="23"/>
      <c r="AQ60" s="23">
        <f>AA60/AT$2</f>
        <v>2.2359894609413945E-2</v>
      </c>
      <c r="AR60" s="243">
        <f>AC60/AW$5</f>
        <v>3.0738167569151844E-2</v>
      </c>
      <c r="AS60" s="26">
        <f>AD60/AW$2</f>
        <v>2.5886553632946414E-2</v>
      </c>
      <c r="AX60">
        <v>31</v>
      </c>
      <c r="AY60">
        <v>31</v>
      </c>
      <c r="AZ60">
        <f t="shared" si="42"/>
        <v>0</v>
      </c>
      <c r="BA60">
        <v>54</v>
      </c>
      <c r="BB60">
        <v>205</v>
      </c>
      <c r="BC60" s="119">
        <v>54.714170000000003</v>
      </c>
      <c r="BD60">
        <f t="shared" si="55"/>
        <v>-23</v>
      </c>
      <c r="BE60" s="119">
        <f t="shared" si="45"/>
        <v>77.881081081081078</v>
      </c>
      <c r="BF60" s="119">
        <v>75.266270000000006</v>
      </c>
      <c r="BG60" s="119">
        <f t="shared" si="46"/>
        <v>127.11891891891892</v>
      </c>
      <c r="BH60" s="119">
        <f t="shared" si="47"/>
        <v>129.73372999999998</v>
      </c>
      <c r="BI60" s="119">
        <f t="shared" si="56"/>
        <v>-23.714170000000003</v>
      </c>
      <c r="BJ60" s="23">
        <v>-0.27700000000000002</v>
      </c>
      <c r="BK60" s="23">
        <f t="shared" si="54"/>
        <v>0.88563103294033374</v>
      </c>
      <c r="BL60" s="23">
        <f t="shared" si="48"/>
        <v>-0.19604694416779539</v>
      </c>
      <c r="BM60" s="23">
        <f t="shared" si="57"/>
        <v>-0.27594631964596028</v>
      </c>
      <c r="BN60" s="119">
        <v>3</v>
      </c>
      <c r="BO60" s="119">
        <v>1</v>
      </c>
      <c r="BP60" s="119">
        <v>9.4954619999999998</v>
      </c>
      <c r="BQ60" s="119">
        <f t="shared" si="49"/>
        <v>-6.4954619999999998</v>
      </c>
      <c r="BR60" s="23">
        <f t="shared" si="50"/>
        <v>-0.30402029359872251</v>
      </c>
      <c r="BS60" s="23">
        <f t="shared" si="16"/>
        <v>-0.22304028152552716</v>
      </c>
      <c r="BT60" s="119">
        <v>8</v>
      </c>
      <c r="BU60" s="119">
        <f t="shared" si="17"/>
        <v>-5</v>
      </c>
      <c r="BV60" s="23">
        <v>-0.36099999999999999</v>
      </c>
      <c r="BW60" s="23">
        <v>-0.29799999999999999</v>
      </c>
      <c r="BX60" s="23">
        <f t="shared" si="44"/>
        <v>-0.29720973973447018</v>
      </c>
      <c r="BY60" s="34">
        <v>279994</v>
      </c>
      <c r="BZ60" s="77">
        <v>279994</v>
      </c>
      <c r="CA60" s="34">
        <v>55101</v>
      </c>
      <c r="CB60" s="34">
        <v>279994</v>
      </c>
      <c r="CC60" s="34">
        <f t="shared" si="51"/>
        <v>39420.983999999997</v>
      </c>
      <c r="CD60" s="34">
        <f t="shared" si="19"/>
        <v>240573.016</v>
      </c>
      <c r="CE60" s="36">
        <f t="shared" si="52"/>
        <v>1.1421590489233844</v>
      </c>
      <c r="CF60" s="231">
        <f t="shared" si="53"/>
        <v>0.3230394506540375</v>
      </c>
      <c r="CG60" s="34">
        <v>50098.49</v>
      </c>
      <c r="CH60">
        <f t="shared" si="58"/>
        <v>224893</v>
      </c>
      <c r="CI60" s="34">
        <f t="shared" si="59"/>
        <v>229895.51</v>
      </c>
      <c r="CJ60" s="23">
        <v>1.2330000000000001</v>
      </c>
      <c r="CK60" s="23">
        <f t="shared" si="60"/>
        <v>1.3824226672130491</v>
      </c>
    </row>
    <row r="61" spans="1:89" x14ac:dyDescent="0.25">
      <c r="A61" s="7" t="s">
        <v>118</v>
      </c>
      <c r="B61" s="7" t="s">
        <v>100</v>
      </c>
      <c r="C61" s="10">
        <f t="shared" si="62"/>
        <v>83</v>
      </c>
      <c r="D61" s="8">
        <v>43</v>
      </c>
      <c r="E61" s="8">
        <v>40</v>
      </c>
      <c r="F61">
        <v>0</v>
      </c>
      <c r="G61">
        <v>0</v>
      </c>
      <c r="H61" s="8">
        <v>0</v>
      </c>
      <c r="I61">
        <v>0</v>
      </c>
      <c r="J61">
        <v>0</v>
      </c>
      <c r="L61" s="38">
        <v>38</v>
      </c>
      <c r="M61" s="23">
        <f t="shared" si="63"/>
        <v>0.45783132530120479</v>
      </c>
      <c r="N61" s="23">
        <f>M61/M79</f>
        <v>7.0968142018982437E-3</v>
      </c>
      <c r="O61" s="33">
        <v>9.5</v>
      </c>
      <c r="P61" s="23">
        <f t="shared" si="64"/>
        <v>0.1144578313253012</v>
      </c>
      <c r="Q61" s="40">
        <f>P61/P79</f>
        <v>7.6596636231166682E-3</v>
      </c>
      <c r="R61" s="23">
        <f t="shared" si="65"/>
        <v>0.37198795180722893</v>
      </c>
      <c r="S61" s="40">
        <f>R61/R79</f>
        <v>7.1371568511972147E-3</v>
      </c>
      <c r="T61" s="40">
        <f t="shared" si="66"/>
        <v>7.2375265572028492E-3</v>
      </c>
      <c r="U61" s="34"/>
      <c r="V61" s="34">
        <f t="shared" si="61"/>
        <v>0</v>
      </c>
      <c r="W61" s="34"/>
      <c r="X61" s="40">
        <f>V61/V79</f>
        <v>0</v>
      </c>
      <c r="Y61" s="48">
        <f t="shared" si="67"/>
        <v>4.3425159343217093E-3</v>
      </c>
      <c r="Z61" s="48">
        <v>-0.13200000000000001</v>
      </c>
      <c r="AA61" s="137">
        <v>-0.89400000000000002</v>
      </c>
      <c r="AB61" s="222">
        <v>75</v>
      </c>
      <c r="AC61" s="232">
        <v>-0.66449931604943424</v>
      </c>
      <c r="AD61" s="137">
        <f t="shared" si="41"/>
        <v>-0.91387939002426344</v>
      </c>
      <c r="AE61" s="61"/>
      <c r="AF61" s="40"/>
      <c r="AG61" s="40"/>
      <c r="AH61" s="37"/>
      <c r="AI61" s="37"/>
      <c r="AJ61" s="23"/>
      <c r="AK61" s="23"/>
      <c r="AL61" s="23"/>
      <c r="AM61" s="23"/>
      <c r="AN61" s="23"/>
      <c r="AO61" s="23"/>
      <c r="AP61" s="23"/>
      <c r="AQ61" s="23"/>
      <c r="AR61" s="26"/>
      <c r="AS61" s="26"/>
      <c r="AX61">
        <v>81</v>
      </c>
      <c r="AY61">
        <v>81</v>
      </c>
      <c r="AZ61">
        <f t="shared" si="42"/>
        <v>0</v>
      </c>
      <c r="BA61">
        <v>188</v>
      </c>
      <c r="BB61">
        <v>190</v>
      </c>
      <c r="BC61" s="119">
        <v>189.21983</v>
      </c>
      <c r="BD61">
        <f t="shared" si="55"/>
        <v>-107</v>
      </c>
      <c r="BE61" s="119">
        <f t="shared" si="45"/>
        <v>243.37837837837839</v>
      </c>
      <c r="BF61" s="119">
        <v>235.2071</v>
      </c>
      <c r="BG61" s="119">
        <f t="shared" si="46"/>
        <v>-53.378378378378386</v>
      </c>
      <c r="BH61" s="119">
        <f t="shared" si="47"/>
        <v>-45.207099999999997</v>
      </c>
      <c r="BI61" s="119">
        <f t="shared" si="56"/>
        <v>-108.21983</v>
      </c>
      <c r="BJ61" s="23">
        <v>-1.028</v>
      </c>
      <c r="BK61" s="23">
        <f t="shared" si="54"/>
        <v>-0.31332020321226861</v>
      </c>
      <c r="BL61" s="23">
        <f t="shared" si="48"/>
        <v>-0.77692465403393296</v>
      </c>
      <c r="BM61" s="23">
        <f t="shared" si="57"/>
        <v>-1.0294232933152709</v>
      </c>
      <c r="BN61" s="119">
        <v>19</v>
      </c>
      <c r="BO61" s="119">
        <v>21</v>
      </c>
      <c r="BP61" s="119">
        <v>29.67332</v>
      </c>
      <c r="BQ61" s="119">
        <f t="shared" si="49"/>
        <v>-10.67332</v>
      </c>
      <c r="BR61" s="23">
        <f t="shared" si="50"/>
        <v>-0.48180631087342635</v>
      </c>
      <c r="BS61" s="23">
        <f t="shared" si="16"/>
        <v>-0.70314506824380629</v>
      </c>
      <c r="BT61" s="119">
        <v>27</v>
      </c>
      <c r="BU61" s="119">
        <f t="shared" si="17"/>
        <v>-8</v>
      </c>
      <c r="BV61" s="23">
        <v>-0.48099999999999998</v>
      </c>
      <c r="BW61" s="23">
        <v>-0.89100000000000001</v>
      </c>
      <c r="BX61" s="23">
        <f t="shared" si="44"/>
        <v>-0.89231746998645312</v>
      </c>
      <c r="BY61" s="34">
        <v>0</v>
      </c>
      <c r="BZ61" s="77">
        <v>0</v>
      </c>
      <c r="CA61" s="34">
        <v>168037</v>
      </c>
      <c r="CB61" s="34">
        <v>0</v>
      </c>
      <c r="CC61" s="34">
        <f t="shared" si="51"/>
        <v>123190.575</v>
      </c>
      <c r="CD61" s="34">
        <f t="shared" si="19"/>
        <v>-123190.575</v>
      </c>
      <c r="CE61" s="36">
        <f t="shared" si="52"/>
        <v>-0.60653068775787611</v>
      </c>
      <c r="CF61" s="36">
        <f t="shared" si="53"/>
        <v>-0.66449931604943424</v>
      </c>
      <c r="CG61" s="34">
        <v>157714.35999999999</v>
      </c>
      <c r="CH61">
        <f t="shared" si="58"/>
        <v>-168037</v>
      </c>
      <c r="CI61" s="34">
        <f t="shared" si="59"/>
        <v>-157714.35999999999</v>
      </c>
      <c r="CJ61" s="23">
        <v>-0.9</v>
      </c>
      <c r="CK61" s="23">
        <f t="shared" si="60"/>
        <v>-0.94622227008097892</v>
      </c>
    </row>
    <row r="62" spans="1:89" x14ac:dyDescent="0.25">
      <c r="A62" s="7" t="s">
        <v>118</v>
      </c>
      <c r="B62" s="7" t="s">
        <v>107</v>
      </c>
      <c r="C62" s="10">
        <f t="shared" si="62"/>
        <v>57</v>
      </c>
      <c r="D62" s="8">
        <v>57</v>
      </c>
      <c r="E62" s="8">
        <v>0</v>
      </c>
      <c r="F62">
        <v>0</v>
      </c>
      <c r="G62">
        <v>0</v>
      </c>
      <c r="H62" s="8">
        <v>0</v>
      </c>
      <c r="I62">
        <v>0</v>
      </c>
      <c r="J62">
        <v>0</v>
      </c>
      <c r="L62" s="38">
        <v>12</v>
      </c>
      <c r="M62" s="23">
        <f t="shared" si="63"/>
        <v>0.21052631578947367</v>
      </c>
      <c r="N62" s="23">
        <f>M62/M79</f>
        <v>3.2633550069670592E-3</v>
      </c>
      <c r="O62" s="33">
        <v>8</v>
      </c>
      <c r="P62" s="23">
        <f t="shared" si="64"/>
        <v>0.14035087719298245</v>
      </c>
      <c r="Q62" s="40">
        <f>P62/P79</f>
        <v>9.3924591795927388E-3</v>
      </c>
      <c r="R62" s="23">
        <f t="shared" si="65"/>
        <v>0.19298245614035087</v>
      </c>
      <c r="S62" s="40">
        <f>R62/R79</f>
        <v>3.7026630897893636E-3</v>
      </c>
      <c r="T62" s="40">
        <f t="shared" si="66"/>
        <v>4.795631050123479E-3</v>
      </c>
      <c r="U62" s="34"/>
      <c r="V62" s="34">
        <f t="shared" si="61"/>
        <v>0</v>
      </c>
      <c r="W62" s="34"/>
      <c r="X62" s="40">
        <f>V62/V79</f>
        <v>0</v>
      </c>
      <c r="Y62" s="48">
        <f t="shared" si="67"/>
        <v>2.8773786300740874E-3</v>
      </c>
      <c r="Z62" s="48">
        <v>-0.435</v>
      </c>
      <c r="AA62" s="137">
        <v>-0.80400000000000005</v>
      </c>
      <c r="AB62" s="222">
        <v>57</v>
      </c>
      <c r="AC62" s="232">
        <v>-0.57419459987019761</v>
      </c>
      <c r="AD62" s="137">
        <f t="shared" si="41"/>
        <v>-0.81567264892894431</v>
      </c>
      <c r="AE62" s="61"/>
      <c r="AF62" s="40"/>
      <c r="AG62" s="40"/>
      <c r="AH62" s="37"/>
      <c r="AI62" s="37"/>
      <c r="AJ62" s="23"/>
      <c r="AK62" s="23"/>
      <c r="AL62" s="23"/>
      <c r="AM62" s="23"/>
      <c r="AN62" s="23"/>
      <c r="AO62" s="23"/>
      <c r="AP62" s="23"/>
      <c r="AQ62" s="23"/>
      <c r="AR62" s="26"/>
      <c r="AS62" s="26"/>
      <c r="AX62">
        <v>14</v>
      </c>
      <c r="AY62">
        <v>14</v>
      </c>
      <c r="AZ62">
        <f t="shared" si="42"/>
        <v>0</v>
      </c>
      <c r="BA62">
        <v>129</v>
      </c>
      <c r="BB62">
        <v>94</v>
      </c>
      <c r="BC62" s="119">
        <v>129.94614999999999</v>
      </c>
      <c r="BD62">
        <f t="shared" si="55"/>
        <v>-115</v>
      </c>
      <c r="BE62" s="119">
        <f t="shared" si="45"/>
        <v>184.96756756756758</v>
      </c>
      <c r="BF62" s="119">
        <v>178.75739999999999</v>
      </c>
      <c r="BG62" s="119">
        <f t="shared" si="46"/>
        <v>-90.967567567567585</v>
      </c>
      <c r="BH62" s="119">
        <f t="shared" si="47"/>
        <v>-84.75739999999999</v>
      </c>
      <c r="BI62" s="119">
        <f t="shared" si="56"/>
        <v>-115.94614999999999</v>
      </c>
      <c r="BJ62" s="23">
        <v>-1.099</v>
      </c>
      <c r="BK62" s="23">
        <f t="shared" si="54"/>
        <v>-0.5843768860644436</v>
      </c>
      <c r="BL62" s="23">
        <f t="shared" si="48"/>
        <v>-0.83003407969007159</v>
      </c>
      <c r="BM62" s="23">
        <f t="shared" si="57"/>
        <v>-1.098313403293711</v>
      </c>
      <c r="BN62" s="119">
        <v>13</v>
      </c>
      <c r="BO62" s="119">
        <v>23</v>
      </c>
      <c r="BP62" s="119">
        <v>22.551722999999999</v>
      </c>
      <c r="BQ62" s="119">
        <f t="shared" si="49"/>
        <v>-9.5517229999999991</v>
      </c>
      <c r="BR62" s="23">
        <f t="shared" si="50"/>
        <v>-0.43407748341752522</v>
      </c>
      <c r="BS62" s="23">
        <f t="shared" si="16"/>
        <v>-0.73104493062193499</v>
      </c>
      <c r="BT62" s="119">
        <v>18</v>
      </c>
      <c r="BU62" s="119">
        <f t="shared" si="17"/>
        <v>-5</v>
      </c>
      <c r="BV62" s="23">
        <v>-0.36099999999999999</v>
      </c>
      <c r="BW62" s="23">
        <v>-0.91500000000000004</v>
      </c>
      <c r="BX62" s="23">
        <f t="shared" si="44"/>
        <v>-0.91398505247028328</v>
      </c>
      <c r="BY62" s="34">
        <v>0</v>
      </c>
      <c r="BZ62" s="77">
        <v>0</v>
      </c>
      <c r="CA62" s="34">
        <v>119880</v>
      </c>
      <c r="CB62" s="34">
        <v>26103</v>
      </c>
      <c r="CC62" s="34">
        <f t="shared" si="51"/>
        <v>93624.837</v>
      </c>
      <c r="CD62" s="34">
        <f t="shared" si="19"/>
        <v>-67521.837</v>
      </c>
      <c r="CE62" s="36">
        <f t="shared" si="52"/>
        <v>-0.3389191037425916</v>
      </c>
      <c r="CF62" s="36">
        <f t="shared" si="53"/>
        <v>-0.57419459987019761</v>
      </c>
      <c r="CG62" s="34">
        <v>111437.4</v>
      </c>
      <c r="CH62">
        <f t="shared" si="58"/>
        <v>-119880</v>
      </c>
      <c r="CI62" s="34">
        <f t="shared" si="59"/>
        <v>-111437.4</v>
      </c>
      <c r="CJ62" s="23">
        <v>-0.63800000000000001</v>
      </c>
      <c r="CK62" s="23">
        <f t="shared" si="60"/>
        <v>-0.66820404361693597</v>
      </c>
    </row>
    <row r="63" spans="1:89" x14ac:dyDescent="0.25">
      <c r="A63" s="9" t="s">
        <v>118</v>
      </c>
      <c r="B63" s="9" t="s">
        <v>124</v>
      </c>
      <c r="C63" s="10">
        <f t="shared" si="62"/>
        <v>12</v>
      </c>
      <c r="D63" s="8">
        <v>0</v>
      </c>
      <c r="E63" s="8">
        <v>12</v>
      </c>
      <c r="F63">
        <v>0</v>
      </c>
      <c r="G63">
        <v>0</v>
      </c>
      <c r="H63" s="8">
        <v>0</v>
      </c>
      <c r="I63">
        <v>0</v>
      </c>
      <c r="J63">
        <v>0</v>
      </c>
      <c r="L63" s="38">
        <v>2.5</v>
      </c>
      <c r="M63" s="23">
        <f t="shared" si="63"/>
        <v>0.20833333333333334</v>
      </c>
      <c r="N63" s="23">
        <f>M63/M79</f>
        <v>3.2293617256444864E-3</v>
      </c>
      <c r="O63" s="33">
        <v>2.5</v>
      </c>
      <c r="P63" s="23">
        <f t="shared" si="64"/>
        <v>0.20833333333333334</v>
      </c>
      <c r="Q63" s="40">
        <f>P63/P79</f>
        <v>1.3941931594707972E-2</v>
      </c>
      <c r="R63" s="23">
        <f t="shared" si="65"/>
        <v>0.20833333333333334</v>
      </c>
      <c r="S63" s="40">
        <f>R63/R79</f>
        <v>3.9971931082953358E-3</v>
      </c>
      <c r="T63" s="40">
        <f t="shared" si="66"/>
        <v>5.9075041929103579E-3</v>
      </c>
      <c r="U63" s="34"/>
      <c r="V63" s="34">
        <f t="shared" si="61"/>
        <v>0</v>
      </c>
      <c r="W63" s="34"/>
      <c r="X63" s="40">
        <f>V63/V79</f>
        <v>0</v>
      </c>
      <c r="Y63" s="48">
        <f t="shared" si="67"/>
        <v>3.5445025157462146E-3</v>
      </c>
      <c r="Z63" s="48">
        <v>-0.313</v>
      </c>
      <c r="AA63" s="137">
        <v>-0.17</v>
      </c>
      <c r="AB63" s="222">
        <v>7</v>
      </c>
      <c r="AC63" s="232">
        <v>-7.3141258269926596E-2</v>
      </c>
      <c r="AD63" s="137">
        <f t="shared" si="41"/>
        <v>-0.17209742248784465</v>
      </c>
      <c r="AE63" s="61"/>
      <c r="AF63" s="40"/>
      <c r="AG63" s="40"/>
      <c r="AH63" s="37"/>
      <c r="AI63" s="37"/>
      <c r="AJ63" s="23"/>
      <c r="AK63" s="23"/>
      <c r="AL63" s="23"/>
      <c r="AM63" s="23"/>
      <c r="AN63" s="23"/>
      <c r="AO63" s="23"/>
      <c r="AP63" s="23"/>
      <c r="AQ63" s="23"/>
      <c r="AR63" s="26"/>
      <c r="AS63" s="26"/>
      <c r="AX63">
        <v>6</v>
      </c>
      <c r="AY63">
        <v>6</v>
      </c>
      <c r="AZ63">
        <f t="shared" si="42"/>
        <v>0</v>
      </c>
      <c r="BA63">
        <v>27</v>
      </c>
      <c r="BB63">
        <v>9</v>
      </c>
      <c r="BC63" s="119">
        <v>27.35708</v>
      </c>
      <c r="BD63">
        <f t="shared" si="55"/>
        <v>-21</v>
      </c>
      <c r="BE63" s="119">
        <f t="shared" si="45"/>
        <v>22.715315315315316</v>
      </c>
      <c r="BF63" s="119">
        <v>21.952660000000002</v>
      </c>
      <c r="BG63" s="119">
        <f t="shared" si="46"/>
        <v>-13.715315315315316</v>
      </c>
      <c r="BH63" s="119">
        <f t="shared" si="47"/>
        <v>-12.952660000000002</v>
      </c>
      <c r="BI63" s="119">
        <f t="shared" si="56"/>
        <v>-21.35708</v>
      </c>
      <c r="BJ63" s="23">
        <v>-0.25900000000000001</v>
      </c>
      <c r="BK63" s="23">
        <f t="shared" si="54"/>
        <v>-9.2265457391010386E-2</v>
      </c>
      <c r="BL63" s="23">
        <f t="shared" si="48"/>
        <v>-0.17984470349955645</v>
      </c>
      <c r="BM63" s="23">
        <f t="shared" si="57"/>
        <v>-0.25492982158102356</v>
      </c>
      <c r="BN63" s="119">
        <v>9</v>
      </c>
      <c r="BO63" s="119">
        <v>17</v>
      </c>
      <c r="BP63" s="119">
        <v>2.7695099999999999</v>
      </c>
      <c r="BQ63" s="119">
        <f t="shared" si="49"/>
        <v>6.2304899999999996</v>
      </c>
      <c r="BR63" s="23">
        <f t="shared" si="50"/>
        <v>0.23752427831086623</v>
      </c>
      <c r="BS63" s="23">
        <f t="shared" si="16"/>
        <v>-7.5502458046950771E-2</v>
      </c>
      <c r="BT63" s="119">
        <v>4</v>
      </c>
      <c r="BU63" s="119">
        <f t="shared" si="17"/>
        <v>5</v>
      </c>
      <c r="BV63" s="23">
        <v>3.6999999999999998E-2</v>
      </c>
      <c r="BW63" s="23">
        <v>-0.185</v>
      </c>
      <c r="BX63" s="23">
        <f t="shared" si="44"/>
        <v>-0.18194736618576765</v>
      </c>
      <c r="BY63" s="34">
        <v>0</v>
      </c>
      <c r="BZ63" s="77">
        <v>0</v>
      </c>
      <c r="CA63" s="34">
        <v>29556</v>
      </c>
      <c r="CB63" s="34">
        <v>0</v>
      </c>
      <c r="CC63" s="34">
        <f t="shared" si="51"/>
        <v>11497.787</v>
      </c>
      <c r="CD63" s="34">
        <f t="shared" si="19"/>
        <v>-11497.787</v>
      </c>
      <c r="CE63" s="36">
        <f t="shared" si="52"/>
        <v>-6.9599458604390346E-2</v>
      </c>
      <c r="CF63" s="36">
        <f t="shared" si="53"/>
        <v>-7.3141258269926596E-2</v>
      </c>
      <c r="CG63" s="34">
        <v>26399.65</v>
      </c>
      <c r="CH63">
        <f t="shared" si="58"/>
        <v>-29556</v>
      </c>
      <c r="CI63" s="34">
        <f t="shared" si="59"/>
        <v>-26399.65</v>
      </c>
      <c r="CJ63" s="23">
        <v>-0.14799999999999999</v>
      </c>
      <c r="CK63" s="23">
        <f t="shared" si="60"/>
        <v>-0.1573225069409602</v>
      </c>
    </row>
    <row r="64" spans="1:89" x14ac:dyDescent="0.25">
      <c r="A64" s="9" t="s">
        <v>118</v>
      </c>
      <c r="B64" s="9" t="s">
        <v>144</v>
      </c>
      <c r="C64" s="10">
        <f t="shared" si="62"/>
        <v>13</v>
      </c>
      <c r="D64" s="8">
        <v>13</v>
      </c>
      <c r="E64" s="8">
        <v>0</v>
      </c>
      <c r="F64">
        <v>0</v>
      </c>
      <c r="G64">
        <v>0</v>
      </c>
      <c r="H64" s="8">
        <v>0</v>
      </c>
      <c r="I64">
        <v>0</v>
      </c>
      <c r="J64">
        <v>0</v>
      </c>
      <c r="L64" s="38">
        <v>1.5</v>
      </c>
      <c r="M64" s="23">
        <f t="shared" si="63"/>
        <v>0.11538461538461539</v>
      </c>
      <c r="N64" s="23">
        <f>M64/M79</f>
        <v>1.788569571126177E-3</v>
      </c>
      <c r="O64" s="33">
        <v>1</v>
      </c>
      <c r="P64" s="23">
        <f t="shared" si="64"/>
        <v>7.6923076923076927E-2</v>
      </c>
      <c r="Q64" s="40">
        <f>P64/P79</f>
        <v>5.14779012727679E-3</v>
      </c>
      <c r="R64" s="23">
        <f t="shared" si="65"/>
        <v>0.10576923076923077</v>
      </c>
      <c r="S64" s="40">
        <f>R64/R79</f>
        <v>2.0293441934422477E-3</v>
      </c>
      <c r="T64" s="40">
        <f t="shared" si="66"/>
        <v>2.6283747101638302E-3</v>
      </c>
      <c r="U64" s="34"/>
      <c r="V64" s="34">
        <f t="shared" si="61"/>
        <v>0</v>
      </c>
      <c r="W64" s="34"/>
      <c r="X64" s="40">
        <f>V64/V79</f>
        <v>0</v>
      </c>
      <c r="Y64" s="48">
        <f t="shared" si="67"/>
        <v>1.5770248260982981E-3</v>
      </c>
      <c r="Z64" s="48">
        <v>-0.76300000000000001</v>
      </c>
      <c r="AA64" s="137">
        <v>-0.247</v>
      </c>
      <c r="AB64" s="222">
        <v>10</v>
      </c>
      <c r="AC64" s="232">
        <v>-0.16068281173937621</v>
      </c>
      <c r="AD64" s="137">
        <f t="shared" si="41"/>
        <v>-0.25001515693387466</v>
      </c>
      <c r="AE64" s="61"/>
      <c r="AF64" s="40"/>
      <c r="AG64" s="40"/>
      <c r="AH64" s="37"/>
      <c r="AI64" s="37"/>
      <c r="AJ64" s="23"/>
      <c r="AK64" s="23"/>
      <c r="AL64" s="23"/>
      <c r="AM64" s="23"/>
      <c r="AN64" s="23"/>
      <c r="AO64" s="23"/>
      <c r="AP64" s="23"/>
      <c r="AQ64" s="23"/>
      <c r="AR64" s="26"/>
      <c r="AS64" s="26"/>
      <c r="AX64">
        <v>2</v>
      </c>
      <c r="AY64">
        <v>2</v>
      </c>
      <c r="AZ64">
        <f t="shared" si="42"/>
        <v>0</v>
      </c>
      <c r="BA64">
        <v>29</v>
      </c>
      <c r="BB64">
        <v>13</v>
      </c>
      <c r="BC64" s="119">
        <v>29.636839999999999</v>
      </c>
      <c r="BD64">
        <f t="shared" si="55"/>
        <v>-27</v>
      </c>
      <c r="BE64" s="119">
        <f t="shared" si="45"/>
        <v>32.450450450450454</v>
      </c>
      <c r="BF64" s="119">
        <v>31.360949999999999</v>
      </c>
      <c r="BG64" s="119">
        <f t="shared" si="46"/>
        <v>-19.450450450450454</v>
      </c>
      <c r="BH64" s="119">
        <f t="shared" si="47"/>
        <v>-18.360949999999999</v>
      </c>
      <c r="BI64" s="119">
        <f t="shared" si="56"/>
        <v>-27.636839999999999</v>
      </c>
      <c r="BJ64" s="23">
        <v>-0.313</v>
      </c>
      <c r="BK64" s="23">
        <f t="shared" si="54"/>
        <v>-0.12933099538446655</v>
      </c>
      <c r="BL64" s="23">
        <f t="shared" si="48"/>
        <v>-0.22301071873816855</v>
      </c>
      <c r="BM64" s="23">
        <f t="shared" si="57"/>
        <v>-0.31092198305481822</v>
      </c>
      <c r="BN64" s="119">
        <v>1</v>
      </c>
      <c r="BO64" s="119">
        <v>1</v>
      </c>
      <c r="BP64" s="119">
        <v>3.9564430000000002</v>
      </c>
      <c r="BQ64" s="119">
        <f t="shared" si="49"/>
        <v>-2.9564430000000002</v>
      </c>
      <c r="BR64" s="23">
        <f t="shared" si="50"/>
        <v>-0.15341965253588491</v>
      </c>
      <c r="BS64" s="23">
        <f t="shared" si="16"/>
        <v>-0.20561295218759762</v>
      </c>
      <c r="BT64" s="119">
        <v>4</v>
      </c>
      <c r="BU64" s="119">
        <f t="shared" si="17"/>
        <v>-3</v>
      </c>
      <c r="BV64" s="23">
        <v>-0.28199999999999997</v>
      </c>
      <c r="BW64" s="23">
        <v>-0.30499999999999999</v>
      </c>
      <c r="BX64" s="23">
        <f t="shared" si="44"/>
        <v>-0.30369148729111367</v>
      </c>
      <c r="BY64" s="34">
        <v>0</v>
      </c>
      <c r="BZ64" s="77">
        <v>0</v>
      </c>
      <c r="CA64" s="34">
        <v>31760</v>
      </c>
      <c r="CB64" s="34">
        <v>0</v>
      </c>
      <c r="CC64" s="34">
        <f t="shared" si="51"/>
        <v>16425.41</v>
      </c>
      <c r="CD64" s="34">
        <f t="shared" si="19"/>
        <v>-16425.41</v>
      </c>
      <c r="CE64" s="36">
        <f t="shared" si="52"/>
        <v>-9.3287601067044118E-2</v>
      </c>
      <c r="CF64" s="36">
        <f t="shared" si="53"/>
        <v>-0.16068281173937621</v>
      </c>
      <c r="CG64" s="34">
        <v>28426.74</v>
      </c>
      <c r="CH64">
        <f t="shared" si="58"/>
        <v>-31760</v>
      </c>
      <c r="CI64" s="34">
        <f t="shared" si="59"/>
        <v>-28426.74</v>
      </c>
      <c r="CJ64" s="23">
        <v>-0.16</v>
      </c>
      <c r="CK64" s="23">
        <f t="shared" si="60"/>
        <v>-0.16950066139801609</v>
      </c>
    </row>
    <row r="65" spans="1:89" x14ac:dyDescent="0.25">
      <c r="A65" s="7" t="s">
        <v>129</v>
      </c>
      <c r="B65" s="7" t="s">
        <v>130</v>
      </c>
      <c r="C65" s="10">
        <f t="shared" si="62"/>
        <v>27</v>
      </c>
      <c r="D65">
        <v>0</v>
      </c>
      <c r="E65">
        <v>0</v>
      </c>
      <c r="F65">
        <v>0</v>
      </c>
      <c r="G65">
        <v>27</v>
      </c>
      <c r="H65">
        <v>0</v>
      </c>
      <c r="I65">
        <v>0</v>
      </c>
      <c r="J65">
        <v>0</v>
      </c>
      <c r="L65" s="38">
        <v>86</v>
      </c>
      <c r="M65" s="25">
        <f t="shared" si="63"/>
        <v>3.1851851851851851</v>
      </c>
      <c r="N65" s="23">
        <f>M65/M79</f>
        <v>4.9373352605409031E-2</v>
      </c>
      <c r="O65" s="33">
        <v>0.5</v>
      </c>
      <c r="P65" s="23">
        <f t="shared" si="64"/>
        <v>1.8518518518518517E-2</v>
      </c>
      <c r="Q65" s="40">
        <f>P65/P79</f>
        <v>1.2392828084184862E-3</v>
      </c>
      <c r="R65" s="23">
        <f t="shared" si="65"/>
        <v>2.3935185185185186</v>
      </c>
      <c r="S65" s="42">
        <f>R65/R79</f>
        <v>4.592330748863753E-2</v>
      </c>
      <c r="T65" s="42">
        <f t="shared" si="66"/>
        <v>3.7339835156161391E-2</v>
      </c>
      <c r="U65" s="34"/>
      <c r="V65" s="34">
        <f t="shared" si="61"/>
        <v>0</v>
      </c>
      <c r="W65" s="34"/>
      <c r="X65" s="40">
        <f>V65/V79</f>
        <v>0</v>
      </c>
      <c r="Y65" s="47">
        <f t="shared" si="67"/>
        <v>2.2403901093696835E-2</v>
      </c>
      <c r="Z65" s="47">
        <v>0.64600000000000002</v>
      </c>
      <c r="AA65" s="139">
        <v>0.33</v>
      </c>
      <c r="AB65" s="222">
        <v>26</v>
      </c>
      <c r="AC65" s="234">
        <v>0.2686882467236566</v>
      </c>
      <c r="AD65" s="139">
        <f t="shared" si="41"/>
        <v>0.3245669168775257</v>
      </c>
      <c r="AE65" s="67">
        <f>AJ65*AQ$3</f>
        <v>37510.523370920106</v>
      </c>
      <c r="AF65" s="40">
        <f>C65*AO65</f>
        <v>0</v>
      </c>
      <c r="AG65" s="40" t="e">
        <f>C65*AP65</f>
        <v>#REF!</v>
      </c>
      <c r="AH65" s="37">
        <f>AM65*AS$3</f>
        <v>35919.369498606655</v>
      </c>
      <c r="AI65" s="37">
        <f>AH65-AE65</f>
        <v>-1591.1538723134508</v>
      </c>
      <c r="AJ65" s="23">
        <f>C65*AQ65</f>
        <v>0.63447981200598169</v>
      </c>
      <c r="AK65" s="68">
        <f>AL65*AW$9</f>
        <v>34664.879457680981</v>
      </c>
      <c r="AL65" s="23">
        <f>AB65*AR65</f>
        <v>0.66472869709328108</v>
      </c>
      <c r="AM65" s="23">
        <f>C65*AS65</f>
        <v>0.60551425030380268</v>
      </c>
      <c r="AN65" s="23"/>
      <c r="AO65" s="23"/>
      <c r="AP65" s="23" t="e">
        <f>Z65/#REF!</f>
        <v>#REF!</v>
      </c>
      <c r="AQ65" s="23">
        <f>AA65/AT$2</f>
        <v>2.349925229651784E-2</v>
      </c>
      <c r="AR65" s="243">
        <f>AC65/AW$5</f>
        <v>2.5566488349741581E-2</v>
      </c>
      <c r="AS65" s="26">
        <f>AD65/AW$2</f>
        <v>2.2426453714955656E-2</v>
      </c>
      <c r="AX65">
        <v>198</v>
      </c>
      <c r="AY65">
        <v>198</v>
      </c>
      <c r="AZ65">
        <f t="shared" si="42"/>
        <v>0</v>
      </c>
      <c r="BA65">
        <v>61</v>
      </c>
      <c r="BB65">
        <v>192</v>
      </c>
      <c r="BC65" s="119">
        <v>61.553440000000002</v>
      </c>
      <c r="BD65">
        <f t="shared" si="55"/>
        <v>137</v>
      </c>
      <c r="BE65" s="119">
        <f t="shared" si="45"/>
        <v>84.37117117117117</v>
      </c>
      <c r="BF65" s="119">
        <v>81.538460000000001</v>
      </c>
      <c r="BG65" s="119">
        <f t="shared" si="46"/>
        <v>107.62882882882883</v>
      </c>
      <c r="BH65" s="119">
        <f t="shared" si="47"/>
        <v>110.46154</v>
      </c>
      <c r="BI65" s="119">
        <f t="shared" si="56"/>
        <v>136.44656000000001</v>
      </c>
      <c r="BJ65" s="23">
        <v>1.153</v>
      </c>
      <c r="BK65" s="25">
        <f t="shared" si="54"/>
        <v>0.75354971136510285</v>
      </c>
      <c r="BL65" s="25">
        <f t="shared" si="48"/>
        <v>0.90487100680600674</v>
      </c>
      <c r="BM65" s="23">
        <f t="shared" si="57"/>
        <v>1.1520932003230877</v>
      </c>
      <c r="BN65" s="119">
        <v>3</v>
      </c>
      <c r="BO65" s="119">
        <v>3</v>
      </c>
      <c r="BP65" s="119">
        <v>10.286751000000001</v>
      </c>
      <c r="BQ65" s="119">
        <f t="shared" si="49"/>
        <v>-7.2867510000000006</v>
      </c>
      <c r="BR65" s="23">
        <f t="shared" si="50"/>
        <v>-0.33769307994600462</v>
      </c>
      <c r="BS65" s="25">
        <f t="shared" si="16"/>
        <v>0.59422998511800385</v>
      </c>
      <c r="BT65" s="119">
        <v>9</v>
      </c>
      <c r="BU65" s="119">
        <f t="shared" si="17"/>
        <v>-6</v>
      </c>
      <c r="BV65" s="23">
        <v>-0.40100000000000002</v>
      </c>
      <c r="BW65" s="23">
        <v>0.76400000000000001</v>
      </c>
      <c r="BX65" s="23">
        <f t="shared" si="44"/>
        <v>0.76381990024231583</v>
      </c>
      <c r="BY65" s="34">
        <v>0</v>
      </c>
      <c r="BZ65" s="77">
        <v>0</v>
      </c>
      <c r="CA65" s="34">
        <v>61253</v>
      </c>
      <c r="CB65" s="34">
        <v>0</v>
      </c>
      <c r="CC65" s="34">
        <f t="shared" si="51"/>
        <v>42706.065999999999</v>
      </c>
      <c r="CD65" s="34">
        <f t="shared" si="19"/>
        <v>-42706.065999999999</v>
      </c>
      <c r="CE65" s="36">
        <f t="shared" si="52"/>
        <v>-0.21962436086786427</v>
      </c>
      <c r="CF65" s="231">
        <f t="shared" si="53"/>
        <v>0.2686882467236566</v>
      </c>
      <c r="CG65" s="34">
        <v>55860.17</v>
      </c>
      <c r="CH65">
        <f t="shared" si="58"/>
        <v>-61253</v>
      </c>
      <c r="CI65" s="34">
        <f t="shared" si="59"/>
        <v>-55860.17</v>
      </c>
      <c r="CJ65" s="23">
        <v>-0.32</v>
      </c>
      <c r="CK65" s="23">
        <f t="shared" si="60"/>
        <v>-0.33431255816965944</v>
      </c>
    </row>
    <row r="66" spans="1:89" x14ac:dyDescent="0.25">
      <c r="A66" s="7" t="s">
        <v>129</v>
      </c>
      <c r="B66" s="7" t="s">
        <v>145</v>
      </c>
      <c r="C66" s="10">
        <f t="shared" si="62"/>
        <v>9</v>
      </c>
      <c r="D66">
        <v>0</v>
      </c>
      <c r="E66">
        <v>9</v>
      </c>
      <c r="F66">
        <v>0</v>
      </c>
      <c r="G66">
        <v>0</v>
      </c>
      <c r="H66">
        <v>0</v>
      </c>
      <c r="I66">
        <v>0</v>
      </c>
      <c r="J66">
        <v>0</v>
      </c>
      <c r="L66" s="38">
        <v>2</v>
      </c>
      <c r="M66" s="23">
        <f t="shared" si="63"/>
        <v>0.22222222222222221</v>
      </c>
      <c r="N66" s="23">
        <f>M66/M79</f>
        <v>3.4446525073541182E-3</v>
      </c>
      <c r="O66" s="33">
        <v>1</v>
      </c>
      <c r="P66" s="23">
        <f t="shared" si="64"/>
        <v>0.1111111111111111</v>
      </c>
      <c r="Q66" s="40">
        <f>P66/P79</f>
        <v>7.4356968505109172E-3</v>
      </c>
      <c r="R66" s="23">
        <f t="shared" si="65"/>
        <v>0.19444444444444442</v>
      </c>
      <c r="S66" s="40">
        <f>R66/R79</f>
        <v>3.7307135677423133E-3</v>
      </c>
      <c r="T66" s="40">
        <f t="shared" si="66"/>
        <v>4.4424135931433184E-3</v>
      </c>
      <c r="U66" s="34"/>
      <c r="V66" s="34">
        <f t="shared" si="61"/>
        <v>0</v>
      </c>
      <c r="W66" s="34"/>
      <c r="X66" s="40">
        <f>V66/V79</f>
        <v>0</v>
      </c>
      <c r="Y66" s="48">
        <f t="shared" si="67"/>
        <v>2.6654481558859911E-3</v>
      </c>
      <c r="Z66" s="48">
        <v>-0.67300000000000004</v>
      </c>
      <c r="AA66" s="137">
        <v>-0.158</v>
      </c>
      <c r="AB66" s="222">
        <v>7</v>
      </c>
      <c r="AC66" s="232">
        <v>-8.6798142573433573E-2</v>
      </c>
      <c r="AD66" s="137">
        <f t="shared" si="41"/>
        <v>-0.15988115502121628</v>
      </c>
      <c r="AE66" s="61"/>
      <c r="AF66" s="40"/>
      <c r="AG66" s="40"/>
      <c r="AH66" s="37"/>
      <c r="AI66" s="37"/>
      <c r="AJ66" s="23"/>
      <c r="AK66" s="23"/>
      <c r="AL66" s="23"/>
      <c r="AM66" s="23"/>
      <c r="AN66" s="23"/>
      <c r="AO66" s="23"/>
      <c r="AP66" s="23"/>
      <c r="AQ66" s="23"/>
      <c r="AR66" s="26"/>
      <c r="AS66" s="26"/>
      <c r="AX66">
        <v>3</v>
      </c>
      <c r="AY66">
        <v>3</v>
      </c>
      <c r="AZ66">
        <f t="shared" si="42"/>
        <v>0</v>
      </c>
      <c r="BA66">
        <v>20</v>
      </c>
      <c r="BB66">
        <v>1</v>
      </c>
      <c r="BC66" s="119">
        <v>20.517810000000001</v>
      </c>
      <c r="BD66">
        <f t="shared" si="55"/>
        <v>-17</v>
      </c>
      <c r="BE66" s="119">
        <f t="shared" si="45"/>
        <v>22.715315315315316</v>
      </c>
      <c r="BF66" s="119">
        <v>21.952660000000002</v>
      </c>
      <c r="BG66" s="119">
        <f t="shared" si="46"/>
        <v>-21.715315315315316</v>
      </c>
      <c r="BH66" s="119">
        <f t="shared" si="47"/>
        <v>-20.952660000000002</v>
      </c>
      <c r="BI66" s="119">
        <f t="shared" si="56"/>
        <v>-17.517810000000001</v>
      </c>
      <c r="BJ66" s="23">
        <v>-0.224</v>
      </c>
      <c r="BK66" s="23">
        <f t="shared" si="54"/>
        <v>-0.14709319479925761</v>
      </c>
      <c r="BL66" s="23">
        <f t="shared" si="48"/>
        <v>-0.1534542065179606</v>
      </c>
      <c r="BM66" s="23">
        <f t="shared" si="57"/>
        <v>-0.22069777676060121</v>
      </c>
      <c r="BN66" s="119">
        <v>5</v>
      </c>
      <c r="BO66" s="119">
        <v>6</v>
      </c>
      <c r="BP66" s="119">
        <v>2.7695099999999999</v>
      </c>
      <c r="BQ66" s="119">
        <f t="shared" si="49"/>
        <v>2.2304900000000001</v>
      </c>
      <c r="BR66" s="23">
        <f t="shared" si="50"/>
        <v>6.7306892009365543E-2</v>
      </c>
      <c r="BS66" s="23">
        <f t="shared" si="16"/>
        <v>-9.8263931886129058E-2</v>
      </c>
      <c r="BT66" s="119">
        <v>3</v>
      </c>
      <c r="BU66" s="119">
        <f t="shared" si="17"/>
        <v>2</v>
      </c>
      <c r="BV66" s="23">
        <v>-8.3000000000000004E-2</v>
      </c>
      <c r="BW66" s="23">
        <v>-0.188</v>
      </c>
      <c r="BX66" s="23">
        <f t="shared" si="44"/>
        <v>-0.18627333257045089</v>
      </c>
      <c r="BY66" s="34">
        <v>0</v>
      </c>
      <c r="BZ66" s="77">
        <v>0</v>
      </c>
      <c r="CA66" s="34">
        <v>22823</v>
      </c>
      <c r="CB66" s="34">
        <v>0</v>
      </c>
      <c r="CC66" s="34">
        <f t="shared" si="51"/>
        <v>11497.787</v>
      </c>
      <c r="CD66" s="34">
        <f t="shared" si="19"/>
        <v>-11497.787</v>
      </c>
      <c r="CE66" s="36">
        <f t="shared" si="52"/>
        <v>-6.9599458604390346E-2</v>
      </c>
      <c r="CF66" s="36">
        <f t="shared" si="53"/>
        <v>-8.6798142573433573E-2</v>
      </c>
      <c r="CG66" s="34">
        <v>20235.96</v>
      </c>
      <c r="CH66">
        <f t="shared" si="58"/>
        <v>-22823</v>
      </c>
      <c r="CI66" s="34">
        <f t="shared" si="59"/>
        <v>-20235.96</v>
      </c>
      <c r="CJ66" s="23">
        <v>-0.111</v>
      </c>
      <c r="CK66" s="23">
        <f t="shared" si="60"/>
        <v>-0.12029288869736432</v>
      </c>
    </row>
    <row r="67" spans="1:89" x14ac:dyDescent="0.25">
      <c r="A67" s="9" t="s">
        <v>135</v>
      </c>
      <c r="B67" s="9" t="s">
        <v>100</v>
      </c>
      <c r="C67" s="10">
        <f t="shared" si="62"/>
        <v>19</v>
      </c>
      <c r="D67" s="8">
        <v>6</v>
      </c>
      <c r="E67" s="8">
        <v>13</v>
      </c>
      <c r="F67">
        <v>0</v>
      </c>
      <c r="G67" s="8">
        <v>0</v>
      </c>
      <c r="H67">
        <v>0</v>
      </c>
      <c r="I67">
        <v>0</v>
      </c>
      <c r="J67">
        <v>0</v>
      </c>
      <c r="L67" s="38">
        <v>12</v>
      </c>
      <c r="M67" s="23">
        <f t="shared" si="63"/>
        <v>0.63157894736842102</v>
      </c>
      <c r="N67" s="23">
        <f>M67/M79</f>
        <v>9.7900650209011789E-3</v>
      </c>
      <c r="O67" s="33">
        <v>6</v>
      </c>
      <c r="P67" s="23">
        <f t="shared" si="64"/>
        <v>0.31578947368421051</v>
      </c>
      <c r="Q67" s="40">
        <f>P67/P79</f>
        <v>2.1133033154083661E-2</v>
      </c>
      <c r="R67" s="23">
        <f t="shared" si="65"/>
        <v>0.55263157894736836</v>
      </c>
      <c r="S67" s="40">
        <f>R67/R79</f>
        <v>1.0603080666214995E-2</v>
      </c>
      <c r="T67" s="40">
        <f t="shared" si="66"/>
        <v>1.2625807054196799E-2</v>
      </c>
      <c r="U67" s="34"/>
      <c r="V67" s="34">
        <f t="shared" si="61"/>
        <v>0</v>
      </c>
      <c r="W67" s="34"/>
      <c r="X67" s="40">
        <f>V67/V79</f>
        <v>0</v>
      </c>
      <c r="Y67" s="48">
        <f t="shared" si="67"/>
        <v>7.575484232518079E-3</v>
      </c>
      <c r="Z67" s="48">
        <v>-0.59399999999999997</v>
      </c>
      <c r="AA67" s="137">
        <v>-0.113</v>
      </c>
      <c r="AB67" s="222">
        <v>16</v>
      </c>
      <c r="AC67" s="232">
        <v>-2.9600095918883771E-2</v>
      </c>
      <c r="AD67" s="137">
        <f t="shared" si="41"/>
        <v>-0.11550265723510433</v>
      </c>
      <c r="AE67" s="61"/>
      <c r="AF67" s="40"/>
      <c r="AG67" s="40"/>
      <c r="AH67" s="37"/>
      <c r="AI67" s="37"/>
      <c r="AJ67" s="23"/>
      <c r="AK67" s="23"/>
      <c r="AL67" s="23"/>
      <c r="AM67" s="23"/>
      <c r="AN67" s="23"/>
      <c r="AO67" s="23"/>
      <c r="AP67" s="23"/>
      <c r="AQ67" s="23"/>
      <c r="AR67" s="26"/>
      <c r="AS67" s="26"/>
      <c r="AX67">
        <v>34</v>
      </c>
      <c r="AY67">
        <v>34</v>
      </c>
      <c r="AZ67">
        <f t="shared" si="42"/>
        <v>0</v>
      </c>
      <c r="BA67">
        <v>43</v>
      </c>
      <c r="BB67">
        <v>40</v>
      </c>
      <c r="BC67" s="119">
        <v>43.315379999999998</v>
      </c>
      <c r="BD67">
        <f t="shared" si="55"/>
        <v>-9</v>
      </c>
      <c r="BE67" s="119">
        <f t="shared" si="45"/>
        <v>51.920720720720723</v>
      </c>
      <c r="BF67" s="119">
        <v>50.177509999999998</v>
      </c>
      <c r="BG67" s="119">
        <f t="shared" si="46"/>
        <v>-11.920720720720723</v>
      </c>
      <c r="BH67" s="119">
        <f t="shared" si="47"/>
        <v>-10.177509999999998</v>
      </c>
      <c r="BI67" s="119">
        <f t="shared" si="56"/>
        <v>-9.3153799999999976</v>
      </c>
      <c r="BJ67" s="23">
        <v>-0.152</v>
      </c>
      <c r="BK67" s="23">
        <f t="shared" si="54"/>
        <v>-7.3246057957448207E-2</v>
      </c>
      <c r="BL67" s="23">
        <f t="shared" si="48"/>
        <v>-9.7072080708431319E-2</v>
      </c>
      <c r="BM67" s="23">
        <f t="shared" si="57"/>
        <v>-0.14756253193635671</v>
      </c>
      <c r="BN67" s="119">
        <v>18</v>
      </c>
      <c r="BO67" s="119">
        <v>9</v>
      </c>
      <c r="BP67" s="119">
        <v>6.3303079999999996</v>
      </c>
      <c r="BQ67" s="119">
        <f t="shared" si="49"/>
        <v>11.669692000000001</v>
      </c>
      <c r="BR67" s="23">
        <f t="shared" si="50"/>
        <v>0.46898596531233999</v>
      </c>
      <c r="BS67" s="23">
        <f t="shared" si="16"/>
        <v>4.4442430796761509E-2</v>
      </c>
      <c r="BT67" s="119">
        <v>6</v>
      </c>
      <c r="BU67" s="119">
        <f t="shared" si="17"/>
        <v>12</v>
      </c>
      <c r="BV67" s="23">
        <v>0.316</v>
      </c>
      <c r="BW67" s="23">
        <v>-3.5000000000000003E-2</v>
      </c>
      <c r="BX67" s="23">
        <f t="shared" si="44"/>
        <v>-3.1671898952267533E-2</v>
      </c>
      <c r="BY67" s="34">
        <v>0</v>
      </c>
      <c r="BZ67" s="77">
        <v>0</v>
      </c>
      <c r="CA67" s="34">
        <v>44667</v>
      </c>
      <c r="CB67" s="34">
        <v>0</v>
      </c>
      <c r="CC67" s="34">
        <f t="shared" si="51"/>
        <v>26280.655999999999</v>
      </c>
      <c r="CD67" s="34">
        <f t="shared" si="19"/>
        <v>-26280.655999999999</v>
      </c>
      <c r="CE67" s="36">
        <f t="shared" si="52"/>
        <v>-0.14066388599235169</v>
      </c>
      <c r="CF67" s="36">
        <f t="shared" si="53"/>
        <v>-2.9600095918883771E-2</v>
      </c>
      <c r="CG67" s="34">
        <v>40369.43</v>
      </c>
      <c r="CH67">
        <f t="shared" si="58"/>
        <v>-44667</v>
      </c>
      <c r="CI67" s="34">
        <f t="shared" si="59"/>
        <v>-40369.43</v>
      </c>
      <c r="CJ67" s="23">
        <v>-0.23</v>
      </c>
      <c r="CK67" s="23">
        <f t="shared" si="60"/>
        <v>-0.24124879465935953</v>
      </c>
    </row>
    <row r="68" spans="1:89" x14ac:dyDescent="0.25">
      <c r="A68" s="7" t="s">
        <v>135</v>
      </c>
      <c r="B68" s="7" t="s">
        <v>136</v>
      </c>
      <c r="C68" s="10">
        <f t="shared" si="62"/>
        <v>43</v>
      </c>
      <c r="D68" s="8">
        <v>0</v>
      </c>
      <c r="E68" s="8">
        <v>43</v>
      </c>
      <c r="F68">
        <v>0</v>
      </c>
      <c r="G68" s="8">
        <v>0</v>
      </c>
      <c r="H68">
        <v>0</v>
      </c>
      <c r="I68">
        <v>0</v>
      </c>
      <c r="J68">
        <v>0</v>
      </c>
      <c r="L68" s="38">
        <v>34.5</v>
      </c>
      <c r="M68" s="23">
        <f t="shared" si="63"/>
        <v>0.80232558139534882</v>
      </c>
      <c r="N68" s="23">
        <f>M68/M79</f>
        <v>1.2436797715505276E-2</v>
      </c>
      <c r="O68" s="33">
        <v>3</v>
      </c>
      <c r="P68" s="23">
        <f t="shared" si="64"/>
        <v>6.9767441860465115E-2</v>
      </c>
      <c r="Q68" s="40">
        <f>P68/P79</f>
        <v>4.6689259293905766E-3</v>
      </c>
      <c r="R68" s="23">
        <f t="shared" si="65"/>
        <v>0.6191860465116279</v>
      </c>
      <c r="S68" s="40">
        <f>R68/R79</f>
        <v>1.1880029749770789E-2</v>
      </c>
      <c r="T68" s="40">
        <f t="shared" si="66"/>
        <v>1.04948297689766E-2</v>
      </c>
      <c r="U68" s="34">
        <v>41945</v>
      </c>
      <c r="V68" s="34">
        <f>U68/C68</f>
        <v>975.46511627906978</v>
      </c>
      <c r="W68" s="34"/>
      <c r="X68" s="40">
        <f>V68/V79</f>
        <v>1.2526341736637693E-2</v>
      </c>
      <c r="Y68" s="48">
        <f t="shared" si="67"/>
        <v>1.1307434556041038E-2</v>
      </c>
      <c r="Z68" s="48">
        <v>8.9999999999999993E-3</v>
      </c>
      <c r="AA68" s="137">
        <v>-0.46</v>
      </c>
      <c r="AB68" s="222">
        <v>39</v>
      </c>
      <c r="AC68" s="232">
        <v>-0.34180268080703136</v>
      </c>
      <c r="AD68" s="137">
        <f t="shared" si="41"/>
        <v>-0.47346906347126</v>
      </c>
      <c r="AE68" s="61"/>
      <c r="AF68" s="40"/>
      <c r="AG68" s="40"/>
      <c r="AH68" s="37"/>
      <c r="AI68" s="37"/>
      <c r="AJ68" s="23"/>
      <c r="AK68" s="23"/>
      <c r="AL68" s="23"/>
      <c r="AM68" s="23"/>
      <c r="AN68" s="23"/>
      <c r="AO68" s="23"/>
      <c r="AP68" s="23"/>
      <c r="AQ68" s="23"/>
      <c r="AR68" s="26"/>
      <c r="AS68" s="26"/>
      <c r="AX68">
        <v>62</v>
      </c>
      <c r="AY68">
        <v>61</v>
      </c>
      <c r="AZ68">
        <f t="shared" si="42"/>
        <v>1</v>
      </c>
      <c r="BA68">
        <v>97</v>
      </c>
      <c r="BB68">
        <v>68</v>
      </c>
      <c r="BC68" s="119">
        <v>98.02955</v>
      </c>
      <c r="BD68">
        <f t="shared" si="55"/>
        <v>-35</v>
      </c>
      <c r="BE68" s="119">
        <f t="shared" si="45"/>
        <v>126.55675675675677</v>
      </c>
      <c r="BF68" s="119">
        <v>122.30768999999999</v>
      </c>
      <c r="BG68" s="119">
        <f t="shared" si="46"/>
        <v>-58.556756756756769</v>
      </c>
      <c r="BH68" s="119">
        <f t="shared" si="47"/>
        <v>-54.307689999999994</v>
      </c>
      <c r="BI68" s="119">
        <f t="shared" si="56"/>
        <v>-37.02955</v>
      </c>
      <c r="BJ68" s="23">
        <v>-0.38400000000000001</v>
      </c>
      <c r="BK68" s="23">
        <f t="shared" si="54"/>
        <v>-0.37569079805978367</v>
      </c>
      <c r="BL68" s="23">
        <f t="shared" si="48"/>
        <v>-0.28757462930033406</v>
      </c>
      <c r="BM68" s="23">
        <f t="shared" si="57"/>
        <v>-0.39467010957502374</v>
      </c>
      <c r="BN68" s="119">
        <v>3</v>
      </c>
      <c r="BO68" s="119">
        <v>8</v>
      </c>
      <c r="BP68" s="119">
        <v>15.430126</v>
      </c>
      <c r="BQ68" s="119">
        <f t="shared" si="49"/>
        <v>-12.430126</v>
      </c>
      <c r="BR68" s="23">
        <f t="shared" si="50"/>
        <v>-0.55656604226312489</v>
      </c>
      <c r="BS68" s="23">
        <f t="shared" ref="BS68:BS76" si="68">(0.75*BL68)+(0.25*BR68)</f>
        <v>-0.35482248254103177</v>
      </c>
      <c r="BT68" s="119">
        <v>14</v>
      </c>
      <c r="BU68" s="119">
        <f t="shared" si="17"/>
        <v>-11</v>
      </c>
      <c r="BV68" s="23">
        <v>-0.6</v>
      </c>
      <c r="BW68" s="23">
        <v>-0.438</v>
      </c>
      <c r="BX68" s="23">
        <f t="shared" si="44"/>
        <v>-0.44600258218126776</v>
      </c>
      <c r="BY68" s="34">
        <v>0</v>
      </c>
      <c r="BZ68" s="77">
        <v>0</v>
      </c>
      <c r="CA68" s="34">
        <v>93056</v>
      </c>
      <c r="CB68" s="34">
        <v>0</v>
      </c>
      <c r="CC68" s="34">
        <f t="shared" si="51"/>
        <v>64059.098999999995</v>
      </c>
      <c r="CD68" s="34">
        <f t="shared" ref="CD68:CD76" si="69">CB68-CC68</f>
        <v>-64059.098999999995</v>
      </c>
      <c r="CE68" s="36">
        <f t="shared" si="52"/>
        <v>-0.32227297820603062</v>
      </c>
      <c r="CF68" s="36">
        <f t="shared" si="53"/>
        <v>-0.34180268080703136</v>
      </c>
      <c r="CG68" s="34">
        <v>85881</v>
      </c>
      <c r="CH68">
        <f t="shared" si="58"/>
        <v>-93056</v>
      </c>
      <c r="CI68" s="34">
        <f t="shared" si="59"/>
        <v>-85881</v>
      </c>
      <c r="CJ68" s="23">
        <v>-0.49299999999999999</v>
      </c>
      <c r="CK68" s="23">
        <f t="shared" si="60"/>
        <v>-0.51466878540624839</v>
      </c>
    </row>
    <row r="69" spans="1:89" x14ac:dyDescent="0.25">
      <c r="A69" s="9" t="s">
        <v>135</v>
      </c>
      <c r="B69" s="9" t="s">
        <v>137</v>
      </c>
      <c r="C69" s="10">
        <f t="shared" ref="C69:C76" si="70">SUM(D69:J69)</f>
        <v>75</v>
      </c>
      <c r="D69" s="8">
        <v>0</v>
      </c>
      <c r="E69" s="8">
        <v>75</v>
      </c>
      <c r="F69">
        <v>0</v>
      </c>
      <c r="G69" s="8">
        <v>0</v>
      </c>
      <c r="H69">
        <v>0</v>
      </c>
      <c r="I69">
        <v>0</v>
      </c>
      <c r="J69">
        <v>0</v>
      </c>
      <c r="L69" s="38">
        <v>34</v>
      </c>
      <c r="M69" s="23">
        <f t="shared" ref="M69:M77" si="71">L69/C69</f>
        <v>0.45333333333333331</v>
      </c>
      <c r="N69" s="23">
        <f>M69/M79</f>
        <v>7.0270911150024009E-3</v>
      </c>
      <c r="O69" s="33">
        <v>11.5</v>
      </c>
      <c r="P69" s="23">
        <f t="shared" ref="P69:P77" si="72">O69/C69</f>
        <v>0.15333333333333332</v>
      </c>
      <c r="Q69" s="40">
        <f>P69/P79</f>
        <v>1.0261261653705066E-2</v>
      </c>
      <c r="R69" s="23">
        <f t="shared" ref="R69:R77" si="73">(0.75*M69)+(0.25*P69)</f>
        <v>0.3783333333333333</v>
      </c>
      <c r="S69" s="40">
        <f>R69/R79</f>
        <v>7.2589026846643298E-3</v>
      </c>
      <c r="T69" s="40">
        <f t="shared" ref="T69:T76" si="74">(0.75*N69)+(0.25*Q69)</f>
        <v>7.8356337496780677E-3</v>
      </c>
      <c r="U69" s="34"/>
      <c r="V69" s="34">
        <f t="shared" si="61"/>
        <v>0</v>
      </c>
      <c r="W69" s="34"/>
      <c r="X69" s="40">
        <f>V69/V79</f>
        <v>0</v>
      </c>
      <c r="Y69" s="48">
        <f t="shared" ref="Y69:Y76" si="75">(0.6*T69)+(0.4*X69)</f>
        <v>4.7013802498068408E-3</v>
      </c>
      <c r="Z69" s="48">
        <v>-0.312</v>
      </c>
      <c r="AA69" s="137">
        <v>-0.64100000000000001</v>
      </c>
      <c r="AB69" s="222">
        <v>85</v>
      </c>
      <c r="AC69" s="232">
        <v>-0.60914585964034629</v>
      </c>
      <c r="AD69" s="137">
        <f t="shared" si="41"/>
        <v>-0.64611512745832766</v>
      </c>
      <c r="AE69" s="40"/>
      <c r="AF69" s="40"/>
      <c r="AH69" s="37"/>
      <c r="AI69" s="37"/>
      <c r="AJ69" s="23"/>
      <c r="AK69" s="23"/>
      <c r="AL69" s="23"/>
      <c r="AM69" s="23"/>
      <c r="AN69" s="23"/>
      <c r="AO69" s="23"/>
      <c r="AP69" s="23"/>
      <c r="AQ69" s="23"/>
      <c r="AR69" s="26"/>
      <c r="AS69" s="26"/>
      <c r="AX69">
        <v>82</v>
      </c>
      <c r="AY69">
        <v>82</v>
      </c>
      <c r="AZ69">
        <f t="shared" si="42"/>
        <v>0</v>
      </c>
      <c r="BA69">
        <v>170</v>
      </c>
      <c r="BB69">
        <v>118</v>
      </c>
      <c r="BC69" s="119">
        <v>170.98177000000001</v>
      </c>
      <c r="BD69">
        <f t="shared" si="55"/>
        <v>-88</v>
      </c>
      <c r="BE69" s="119">
        <f t="shared" si="45"/>
        <v>275.82882882882882</v>
      </c>
      <c r="BF69" s="119">
        <v>266.56805000000003</v>
      </c>
      <c r="BG69" s="119">
        <f t="shared" si="46"/>
        <v>-157.82882882882882</v>
      </c>
      <c r="BH69" s="119">
        <f t="shared" si="47"/>
        <v>-148.56805000000003</v>
      </c>
      <c r="BI69" s="119">
        <f t="shared" si="56"/>
        <v>-88.981770000000012</v>
      </c>
      <c r="BJ69" s="23">
        <v>-0.85799999999999998</v>
      </c>
      <c r="BK69" s="23">
        <f t="shared" si="54"/>
        <v>-1.0217010813206402</v>
      </c>
      <c r="BL69" s="23">
        <f t="shared" si="48"/>
        <v>-0.64468546159324513</v>
      </c>
      <c r="BM69" s="23">
        <f t="shared" si="57"/>
        <v>-0.85789117075604104</v>
      </c>
      <c r="BN69" s="119">
        <v>22</v>
      </c>
      <c r="BO69" s="119">
        <v>36</v>
      </c>
      <c r="BP69" s="119">
        <v>33.629762999999997</v>
      </c>
      <c r="BQ69" s="119">
        <f t="shared" si="49"/>
        <v>-11.629762999999997</v>
      </c>
      <c r="BR69" s="23">
        <f t="shared" si="50"/>
        <v>-0.52250711777501779</v>
      </c>
      <c r="BS69" s="23">
        <f t="shared" si="68"/>
        <v>-0.61414087563868835</v>
      </c>
      <c r="BT69" s="119">
        <v>24</v>
      </c>
      <c r="BU69" s="119">
        <f t="shared" si="17"/>
        <v>-2</v>
      </c>
      <c r="BV69" s="23">
        <v>-0.24199999999999999</v>
      </c>
      <c r="BW69" s="23">
        <v>-0.70399999999999996</v>
      </c>
      <c r="BX69" s="23">
        <f t="shared" si="44"/>
        <v>-0.70391837806703084</v>
      </c>
      <c r="BY69" s="34">
        <v>50283</v>
      </c>
      <c r="BZ69" s="77">
        <v>50283</v>
      </c>
      <c r="CA69" s="34">
        <v>153409</v>
      </c>
      <c r="CB69" s="34">
        <v>17440</v>
      </c>
      <c r="CC69" s="34">
        <f t="shared" si="51"/>
        <v>139615.98499999999</v>
      </c>
      <c r="CD69" s="34">
        <f t="shared" si="69"/>
        <v>-122175.98499999999</v>
      </c>
      <c r="CE69" s="36">
        <f t="shared" si="52"/>
        <v>-0.60165333564283308</v>
      </c>
      <c r="CF69" s="36">
        <f t="shared" si="53"/>
        <v>-0.60914585964034629</v>
      </c>
      <c r="CG69" s="34">
        <v>143611.35</v>
      </c>
      <c r="CH69">
        <f t="shared" si="58"/>
        <v>-103126</v>
      </c>
      <c r="CI69" s="34">
        <f t="shared" si="59"/>
        <v>-93328.35</v>
      </c>
      <c r="CJ69" s="23">
        <v>-0.54700000000000004</v>
      </c>
      <c r="CK69" s="23">
        <f t="shared" si="60"/>
        <v>-0.5594102515452728</v>
      </c>
    </row>
    <row r="70" spans="1:89" x14ac:dyDescent="0.25">
      <c r="A70" s="9" t="s">
        <v>135</v>
      </c>
      <c r="B70" s="223" t="s">
        <v>321</v>
      </c>
      <c r="C70" s="10">
        <v>0</v>
      </c>
      <c r="D70" s="8"/>
      <c r="E70" s="8"/>
      <c r="G70" s="8"/>
      <c r="L70" s="38"/>
      <c r="M70" s="23"/>
      <c r="N70" s="23"/>
      <c r="O70" s="33"/>
      <c r="P70" s="23"/>
      <c r="Q70" s="40"/>
      <c r="R70" s="23"/>
      <c r="S70" s="40"/>
      <c r="T70" s="40"/>
      <c r="U70" s="34"/>
      <c r="V70" s="34"/>
      <c r="W70" s="34"/>
      <c r="X70" s="40"/>
      <c r="Y70" s="48"/>
      <c r="Z70" s="48"/>
      <c r="AA70" s="137"/>
      <c r="AB70" s="222">
        <v>5</v>
      </c>
      <c r="AC70" s="232">
        <v>-5.3159629238411513E-2</v>
      </c>
      <c r="AD70" s="137"/>
      <c r="AE70" s="40"/>
      <c r="AF70" s="40"/>
      <c r="AH70" s="37"/>
      <c r="AI70" s="37"/>
      <c r="AJ70" s="23"/>
      <c r="AK70" s="23"/>
      <c r="AL70" s="23"/>
      <c r="AM70" s="23"/>
      <c r="AN70" s="23"/>
      <c r="AO70" s="23"/>
      <c r="AP70" s="23"/>
      <c r="AQ70" s="23"/>
      <c r="AR70" s="26"/>
      <c r="AS70" s="26"/>
      <c r="BB70">
        <v>1</v>
      </c>
      <c r="BC70" s="119"/>
      <c r="BE70" s="119">
        <f t="shared" si="45"/>
        <v>16.225225225225227</v>
      </c>
      <c r="BF70" s="119">
        <v>15.68047</v>
      </c>
      <c r="BG70" s="119">
        <f t="shared" si="46"/>
        <v>-15.225225225225227</v>
      </c>
      <c r="BH70" s="119">
        <f t="shared" si="47"/>
        <v>-14.68047</v>
      </c>
      <c r="BI70" s="119"/>
      <c r="BJ70" s="23"/>
      <c r="BK70" s="23">
        <f t="shared" si="54"/>
        <v>-0.10410694651242833</v>
      </c>
      <c r="BL70" s="23">
        <f t="shared" si="48"/>
        <v>-3.3039723574804773E-2</v>
      </c>
      <c r="BM70" s="23"/>
      <c r="BN70" s="119"/>
      <c r="BO70" s="119">
        <v>0</v>
      </c>
      <c r="BP70" s="119">
        <v>1.978221</v>
      </c>
      <c r="BQ70" s="119">
        <f t="shared" si="49"/>
        <v>-1.978221</v>
      </c>
      <c r="BR70" s="23">
        <f t="shared" si="50"/>
        <v>-0.11179205452022827</v>
      </c>
      <c r="BS70" s="23">
        <f t="shared" si="68"/>
        <v>-5.2727806311160641E-2</v>
      </c>
      <c r="BT70" s="119"/>
      <c r="BU70" s="119"/>
      <c r="BV70" s="23"/>
      <c r="BW70" s="23"/>
      <c r="BX70" s="23"/>
      <c r="BY70" s="34"/>
      <c r="BZ70" s="77"/>
      <c r="CA70" s="34"/>
      <c r="CB70" s="34">
        <v>0</v>
      </c>
      <c r="CC70" s="34">
        <f t="shared" si="51"/>
        <v>8212.7049999999999</v>
      </c>
      <c r="CD70" s="34">
        <f t="shared" si="69"/>
        <v>-8212.7049999999999</v>
      </c>
      <c r="CE70" s="36">
        <f t="shared" si="52"/>
        <v>-5.3807363629287827E-2</v>
      </c>
      <c r="CF70" s="36">
        <f t="shared" si="53"/>
        <v>-5.3159629238411513E-2</v>
      </c>
      <c r="CG70" s="34"/>
      <c r="CI70" s="34"/>
      <c r="CJ70" s="23"/>
      <c r="CK70" s="23"/>
    </row>
    <row r="71" spans="1:89" x14ac:dyDescent="0.25">
      <c r="A71" s="9" t="s">
        <v>135</v>
      </c>
      <c r="B71" s="223" t="s">
        <v>322</v>
      </c>
      <c r="C71" s="10">
        <f t="shared" si="70"/>
        <v>6</v>
      </c>
      <c r="D71" s="8">
        <v>0</v>
      </c>
      <c r="E71" s="8">
        <v>0</v>
      </c>
      <c r="F71">
        <v>0</v>
      </c>
      <c r="G71" s="8">
        <v>6</v>
      </c>
      <c r="H71">
        <v>0</v>
      </c>
      <c r="I71">
        <v>0</v>
      </c>
      <c r="J71">
        <v>0</v>
      </c>
      <c r="L71" s="38">
        <v>5</v>
      </c>
      <c r="M71" s="23">
        <f t="shared" si="71"/>
        <v>0.83333333333333337</v>
      </c>
      <c r="N71" s="23">
        <f>M71/M79</f>
        <v>1.2917446902577946E-2</v>
      </c>
      <c r="O71" s="33">
        <v>0</v>
      </c>
      <c r="P71" s="23">
        <f t="shared" si="72"/>
        <v>0</v>
      </c>
      <c r="Q71" s="40">
        <f>P71/P79</f>
        <v>0</v>
      </c>
      <c r="R71" s="23">
        <f t="shared" si="73"/>
        <v>0.625</v>
      </c>
      <c r="S71" s="40">
        <f>R71/R79</f>
        <v>1.1991579324886007E-2</v>
      </c>
      <c r="T71" s="40">
        <f t="shared" si="74"/>
        <v>9.68808517693346E-3</v>
      </c>
      <c r="U71" s="34"/>
      <c r="V71" s="34">
        <f t="shared" si="61"/>
        <v>0</v>
      </c>
      <c r="W71" s="34"/>
      <c r="X71" s="40">
        <f>V71/V79</f>
        <v>0</v>
      </c>
      <c r="Y71" s="48">
        <f t="shared" si="75"/>
        <v>5.8128511061600755E-3</v>
      </c>
      <c r="Z71" s="48">
        <v>-0.36299999999999999</v>
      </c>
      <c r="AA71" s="137">
        <v>-4.5999999999999999E-2</v>
      </c>
      <c r="AB71" s="222">
        <v>10</v>
      </c>
      <c r="AC71" s="232">
        <v>-4.0372750788175142E-2</v>
      </c>
      <c r="AD71" s="137">
        <f t="shared" ref="AD71:AD76" si="76">(0.6*BX71)+(0.4*CK71)</f>
        <v>-4.479545212644416E-2</v>
      </c>
      <c r="AE71" s="40"/>
      <c r="AF71" s="40"/>
      <c r="AH71" s="37"/>
      <c r="AI71" s="37"/>
      <c r="AJ71" s="23"/>
      <c r="AK71" s="23"/>
      <c r="AL71" s="23"/>
      <c r="AM71" s="23"/>
      <c r="AN71" s="23"/>
      <c r="AO71" s="23"/>
      <c r="AP71" s="23"/>
      <c r="AQ71" s="23"/>
      <c r="AR71" s="26"/>
      <c r="AS71" s="26"/>
      <c r="AX71">
        <v>27</v>
      </c>
      <c r="AY71">
        <v>27</v>
      </c>
      <c r="BA71">
        <v>14</v>
      </c>
      <c r="BB71">
        <v>21</v>
      </c>
      <c r="BC71" s="119">
        <v>13.67854</v>
      </c>
      <c r="BD71">
        <f t="shared" ref="BD71:BD76" si="77">AX71-BA71</f>
        <v>13</v>
      </c>
      <c r="BE71" s="119">
        <f t="shared" si="45"/>
        <v>32.450450450450454</v>
      </c>
      <c r="BF71" s="119">
        <v>31.360949999999999</v>
      </c>
      <c r="BG71" s="119">
        <f t="shared" si="46"/>
        <v>-11.450450450450454</v>
      </c>
      <c r="BH71" s="119">
        <f t="shared" si="47"/>
        <v>-10.360949999999999</v>
      </c>
      <c r="BI71" s="119">
        <f t="shared" ref="BI71:BI76" si="78">AY71-BC71</f>
        <v>13.32146</v>
      </c>
      <c r="BJ71" s="23">
        <v>4.4999999999999998E-2</v>
      </c>
      <c r="BK71" s="23">
        <f t="shared" si="54"/>
        <v>-7.4503257976219317E-2</v>
      </c>
      <c r="BL71" s="23">
        <f t="shared" si="48"/>
        <v>5.8529754456292271E-2</v>
      </c>
      <c r="BM71" s="23">
        <f t="shared" ref="BM71:BM76" si="79">(BI71-BI$78)/BI$79</f>
        <v>5.4274098848331516E-2</v>
      </c>
      <c r="BN71" s="119">
        <v>0</v>
      </c>
      <c r="BO71" s="119">
        <v>8</v>
      </c>
      <c r="BP71" s="119">
        <v>3.9564430000000002</v>
      </c>
      <c r="BQ71" s="119">
        <f t="shared" si="49"/>
        <v>-3.9564430000000002</v>
      </c>
      <c r="BR71" s="23">
        <f t="shared" si="50"/>
        <v>-0.19597399911126007</v>
      </c>
      <c r="BS71" s="23">
        <f t="shared" si="68"/>
        <v>-5.0961839355958133E-3</v>
      </c>
      <c r="BT71" s="119">
        <v>2</v>
      </c>
      <c r="BU71" s="119">
        <f t="shared" ref="BU71:BU76" si="80">BN71-BT71</f>
        <v>-2</v>
      </c>
      <c r="BV71" s="23">
        <v>-0.24199999999999999</v>
      </c>
      <c r="BW71" s="23">
        <v>-2.7E-2</v>
      </c>
      <c r="BX71" s="23">
        <f t="shared" si="44"/>
        <v>-1.979442586375136E-2</v>
      </c>
      <c r="BY71" s="34">
        <v>0</v>
      </c>
      <c r="BZ71" s="77">
        <v>0</v>
      </c>
      <c r="CA71" s="34">
        <v>15854</v>
      </c>
      <c r="CB71" s="34">
        <v>0</v>
      </c>
      <c r="CC71" s="34">
        <f t="shared" si="51"/>
        <v>16425.41</v>
      </c>
      <c r="CD71" s="34">
        <f t="shared" si="69"/>
        <v>-16425.41</v>
      </c>
      <c r="CE71" s="36">
        <f t="shared" si="52"/>
        <v>-9.3287601067044118E-2</v>
      </c>
      <c r="CF71" s="36">
        <f t="shared" si="53"/>
        <v>-4.0372750788175142E-2</v>
      </c>
      <c r="CG71" s="34">
        <v>13911.43</v>
      </c>
      <c r="CH71">
        <f t="shared" ref="CH71:CH76" si="81">BY71-CA71</f>
        <v>-15854</v>
      </c>
      <c r="CI71" s="34">
        <f t="shared" ref="CI71:CI76" si="82">BZ71-CG71</f>
        <v>-13911.43</v>
      </c>
      <c r="CJ71" s="23">
        <v>-7.3999999999999996E-2</v>
      </c>
      <c r="CK71" s="23">
        <f t="shared" ref="CK71:CK76" si="83">(CI71-CI$78)/CI$79</f>
        <v>-8.2296991520483351E-2</v>
      </c>
    </row>
    <row r="72" spans="1:89" x14ac:dyDescent="0.25">
      <c r="A72" s="9" t="s">
        <v>138</v>
      </c>
      <c r="B72" s="9" t="s">
        <v>107</v>
      </c>
      <c r="C72" s="10">
        <f t="shared" si="70"/>
        <v>86</v>
      </c>
      <c r="D72">
        <v>57</v>
      </c>
      <c r="E72">
        <v>13</v>
      </c>
      <c r="F72">
        <v>0</v>
      </c>
      <c r="G72">
        <v>10</v>
      </c>
      <c r="H72">
        <v>6</v>
      </c>
      <c r="I72">
        <v>0</v>
      </c>
      <c r="J72">
        <v>0</v>
      </c>
      <c r="L72" s="38">
        <v>32</v>
      </c>
      <c r="M72" s="23">
        <f t="shared" si="71"/>
        <v>0.37209302325581395</v>
      </c>
      <c r="N72" s="23">
        <f>M72/M79</f>
        <v>5.7677902448720125E-3</v>
      </c>
      <c r="O72" s="33">
        <v>19.5</v>
      </c>
      <c r="P72" s="23">
        <f t="shared" si="72"/>
        <v>0.22674418604651161</v>
      </c>
      <c r="Q72" s="40">
        <f>P72/P79</f>
        <v>1.5174009270519373E-2</v>
      </c>
      <c r="R72" s="23">
        <f t="shared" si="73"/>
        <v>0.33575581395348836</v>
      </c>
      <c r="S72" s="40">
        <f>R72/R79</f>
        <v>6.4419879629038787E-3</v>
      </c>
      <c r="T72" s="40">
        <f t="shared" si="74"/>
        <v>8.1193450012838515E-3</v>
      </c>
      <c r="U72" s="34"/>
      <c r="V72" s="34">
        <f t="shared" si="61"/>
        <v>0</v>
      </c>
      <c r="W72" s="34"/>
      <c r="X72" s="40">
        <f>V72/V79</f>
        <v>0</v>
      </c>
      <c r="Y72" s="48">
        <f t="shared" si="75"/>
        <v>4.8716070007703109E-3</v>
      </c>
      <c r="Z72" s="48">
        <v>-0.76800000000000002</v>
      </c>
      <c r="AA72" s="137">
        <v>-1.0049999999999999</v>
      </c>
      <c r="AB72" s="222">
        <v>76</v>
      </c>
      <c r="AC72" s="232">
        <v>-0.73734354729533802</v>
      </c>
      <c r="AD72" s="137">
        <f t="shared" si="76"/>
        <v>-1.0241990612065353</v>
      </c>
      <c r="AE72" s="40"/>
      <c r="AF72" s="40"/>
      <c r="AH72" s="37"/>
      <c r="AI72" s="37"/>
      <c r="AJ72" s="23"/>
      <c r="AK72" s="23"/>
      <c r="AL72" s="23"/>
      <c r="AM72" s="23"/>
      <c r="AN72" s="23"/>
      <c r="AO72" s="23"/>
      <c r="AP72" s="23"/>
      <c r="AQ72" s="23"/>
      <c r="AR72" s="26"/>
      <c r="AS72" s="26"/>
      <c r="AX72">
        <v>62</v>
      </c>
      <c r="AY72">
        <v>62</v>
      </c>
      <c r="BA72">
        <v>195</v>
      </c>
      <c r="BB72">
        <v>84</v>
      </c>
      <c r="BC72" s="119">
        <v>196.0591</v>
      </c>
      <c r="BD72">
        <f t="shared" si="77"/>
        <v>-133</v>
      </c>
      <c r="BE72" s="119">
        <f t="shared" si="45"/>
        <v>246.62342342342345</v>
      </c>
      <c r="BF72" s="119">
        <v>238.34318999999999</v>
      </c>
      <c r="BG72" s="119">
        <f t="shared" si="46"/>
        <v>-162.62342342342345</v>
      </c>
      <c r="BH72" s="119">
        <f t="shared" si="47"/>
        <v>-154.34318999999999</v>
      </c>
      <c r="BI72" s="119">
        <f t="shared" si="78"/>
        <v>-134.0591</v>
      </c>
      <c r="BJ72" s="23">
        <v>-1.26</v>
      </c>
      <c r="BK72" s="23">
        <f t="shared" si="54"/>
        <v>-1.0612808137476231</v>
      </c>
      <c r="BL72" s="23">
        <f t="shared" si="48"/>
        <v>-0.95453945500954562</v>
      </c>
      <c r="BM72" s="23">
        <f t="shared" si="79"/>
        <v>-1.2598137187781833</v>
      </c>
      <c r="BN72" s="119">
        <v>21</v>
      </c>
      <c r="BO72" s="119">
        <v>25</v>
      </c>
      <c r="BP72" s="119">
        <v>30.068964000000001</v>
      </c>
      <c r="BQ72" s="119">
        <f t="shared" si="49"/>
        <v>-9.0689640000000011</v>
      </c>
      <c r="BR72" s="23">
        <f t="shared" si="50"/>
        <v>-0.41353398961914378</v>
      </c>
      <c r="BS72" s="23">
        <f t="shared" si="68"/>
        <v>-0.81928808866194514</v>
      </c>
      <c r="BT72" s="119">
        <v>28</v>
      </c>
      <c r="BU72" s="119">
        <f t="shared" si="80"/>
        <v>-7</v>
      </c>
      <c r="BV72" s="23">
        <v>-0.441</v>
      </c>
      <c r="BW72" s="23">
        <v>-1.0549999999999999</v>
      </c>
      <c r="BX72" s="23">
        <f t="shared" si="44"/>
        <v>-1.0551102890836375</v>
      </c>
      <c r="BY72" s="34">
        <v>0</v>
      </c>
      <c r="BZ72" s="77">
        <v>0</v>
      </c>
      <c r="CA72" s="34">
        <v>173485</v>
      </c>
      <c r="CB72" s="34">
        <v>0</v>
      </c>
      <c r="CC72" s="34">
        <f t="shared" si="51"/>
        <v>124833.11599999999</v>
      </c>
      <c r="CD72" s="34">
        <f t="shared" si="69"/>
        <v>-124833.11599999999</v>
      </c>
      <c r="CE72" s="36">
        <f t="shared" si="52"/>
        <v>-0.61442673524542735</v>
      </c>
      <c r="CF72" s="36">
        <f t="shared" si="53"/>
        <v>-0.73734354729533802</v>
      </c>
      <c r="CG72" s="34">
        <v>162975.93</v>
      </c>
      <c r="CH72">
        <f t="shared" si="81"/>
        <v>-173485</v>
      </c>
      <c r="CI72" s="34">
        <f t="shared" si="82"/>
        <v>-162975.93</v>
      </c>
      <c r="CJ72" s="23">
        <v>-0.92900000000000005</v>
      </c>
      <c r="CK72" s="23">
        <f t="shared" si="83"/>
        <v>-0.97783221939088205</v>
      </c>
    </row>
    <row r="73" spans="1:89" x14ac:dyDescent="0.25">
      <c r="A73" s="7" t="s">
        <v>138</v>
      </c>
      <c r="B73" s="7" t="s">
        <v>108</v>
      </c>
      <c r="C73" s="10">
        <f t="shared" si="70"/>
        <v>18</v>
      </c>
      <c r="D73">
        <v>7</v>
      </c>
      <c r="E73">
        <v>11</v>
      </c>
      <c r="F73">
        <v>0</v>
      </c>
      <c r="G73">
        <v>0</v>
      </c>
      <c r="H73">
        <v>0</v>
      </c>
      <c r="I73">
        <v>0</v>
      </c>
      <c r="J73">
        <v>0</v>
      </c>
      <c r="L73" s="38">
        <v>3.5</v>
      </c>
      <c r="M73" s="23">
        <f t="shared" si="71"/>
        <v>0.19444444444444445</v>
      </c>
      <c r="N73" s="23">
        <f>M73/M79</f>
        <v>3.0140709439348537E-3</v>
      </c>
      <c r="O73" s="33">
        <v>7.5</v>
      </c>
      <c r="P73" s="23">
        <f t="shared" si="72"/>
        <v>0.41666666666666669</v>
      </c>
      <c r="Q73" s="40">
        <f>P73/P79</f>
        <v>2.7883863189415943E-2</v>
      </c>
      <c r="R73" s="23">
        <f t="shared" si="73"/>
        <v>0.25</v>
      </c>
      <c r="S73" s="40">
        <f>R73/R79</f>
        <v>4.7966317299544033E-3</v>
      </c>
      <c r="T73" s="40">
        <f t="shared" si="74"/>
        <v>9.2315190053051249E-3</v>
      </c>
      <c r="U73" s="34">
        <v>31200</v>
      </c>
      <c r="V73" s="72">
        <f>U73/C73</f>
        <v>1733.3333333333333</v>
      </c>
      <c r="W73" s="72"/>
      <c r="X73" s="40">
        <f>V73/V79</f>
        <v>2.2258433760974194E-2</v>
      </c>
      <c r="Y73" s="48">
        <f t="shared" si="75"/>
        <v>1.4442284907572753E-2</v>
      </c>
      <c r="Z73" s="48">
        <v>-0.47599999999999998</v>
      </c>
      <c r="AA73" s="137">
        <v>-0.24099999999999999</v>
      </c>
      <c r="AB73" s="222">
        <v>19</v>
      </c>
      <c r="AC73" s="232">
        <v>-0.14370902940197122</v>
      </c>
      <c r="AD73" s="137">
        <f t="shared" si="76"/>
        <v>-0.18551497561639443</v>
      </c>
      <c r="AE73" s="40"/>
      <c r="AF73" s="40"/>
      <c r="AH73" s="37"/>
      <c r="AI73" s="37"/>
      <c r="AJ73" s="23"/>
      <c r="AK73" s="23"/>
      <c r="AL73" s="23"/>
      <c r="AM73" s="23"/>
      <c r="AN73" s="23"/>
      <c r="AO73" s="23"/>
      <c r="AP73" s="23"/>
      <c r="AQ73" s="23"/>
      <c r="AR73" s="26"/>
      <c r="AS73" s="26"/>
      <c r="AX73">
        <v>10</v>
      </c>
      <c r="AY73">
        <v>10</v>
      </c>
      <c r="BA73">
        <v>41</v>
      </c>
      <c r="BB73">
        <v>9</v>
      </c>
      <c r="BC73" s="119">
        <v>41.035629999999998</v>
      </c>
      <c r="BD73">
        <f t="shared" si="77"/>
        <v>-31</v>
      </c>
      <c r="BE73" s="119">
        <f t="shared" si="45"/>
        <v>61.655855855855862</v>
      </c>
      <c r="BF73" s="119">
        <v>59.585799999999999</v>
      </c>
      <c r="BG73" s="119">
        <f t="shared" si="46"/>
        <v>-52.655855855855862</v>
      </c>
      <c r="BH73" s="119">
        <f t="shared" si="47"/>
        <v>-50.585799999999999</v>
      </c>
      <c r="BI73" s="119">
        <f t="shared" si="78"/>
        <v>-31.035629999999998</v>
      </c>
      <c r="BJ73" s="23">
        <v>-0.34899999999999998</v>
      </c>
      <c r="BK73" s="23">
        <f t="shared" si="54"/>
        <v>-0.35018294711198605</v>
      </c>
      <c r="BL73" s="23">
        <f t="shared" si="48"/>
        <v>-0.24637343020052418</v>
      </c>
      <c r="BM73" s="23">
        <f t="shared" si="79"/>
        <v>-0.34122658044317672</v>
      </c>
      <c r="BN73" s="119">
        <v>6</v>
      </c>
      <c r="BO73" s="119">
        <v>7</v>
      </c>
      <c r="BP73" s="119">
        <v>7.5172410000000003</v>
      </c>
      <c r="BQ73" s="119">
        <f t="shared" si="49"/>
        <v>-1.5172410000000003</v>
      </c>
      <c r="BR73" s="23">
        <f t="shared" si="50"/>
        <v>-9.2175351835911815E-2</v>
      </c>
      <c r="BS73" s="23">
        <f t="shared" si="68"/>
        <v>-0.20782391060937111</v>
      </c>
      <c r="BT73" s="119">
        <v>6</v>
      </c>
      <c r="BU73" s="119">
        <f t="shared" si="80"/>
        <v>0</v>
      </c>
      <c r="BV73" s="23">
        <v>-0.16200000000000001</v>
      </c>
      <c r="BW73" s="23">
        <v>-0.30199999999999999</v>
      </c>
      <c r="BX73" s="23">
        <f t="shared" si="44"/>
        <v>-0.29641993533238253</v>
      </c>
      <c r="BY73" s="34">
        <v>12800</v>
      </c>
      <c r="BZ73" s="77">
        <v>35000</v>
      </c>
      <c r="CA73" s="34">
        <v>42549</v>
      </c>
      <c r="CB73" s="34">
        <v>24300</v>
      </c>
      <c r="CC73" s="34">
        <f t="shared" si="51"/>
        <v>31208.278999999999</v>
      </c>
      <c r="CD73" s="34">
        <f t="shared" si="69"/>
        <v>-6908.2789999999986</v>
      </c>
      <c r="CE73" s="36">
        <f t="shared" si="52"/>
        <v>-4.7536707590871398E-2</v>
      </c>
      <c r="CF73" s="36">
        <f t="shared" si="53"/>
        <v>-0.14370902940197122</v>
      </c>
      <c r="CG73" s="34">
        <v>38401.68</v>
      </c>
      <c r="CH73">
        <f t="shared" si="81"/>
        <v>-29749</v>
      </c>
      <c r="CI73" s="34">
        <f t="shared" si="82"/>
        <v>-3401.6800000000003</v>
      </c>
      <c r="CJ73" s="23">
        <v>-0.14899999999999999</v>
      </c>
      <c r="CK73" s="23">
        <f t="shared" si="83"/>
        <v>-1.9157536042412295E-2</v>
      </c>
    </row>
    <row r="74" spans="1:89" x14ac:dyDescent="0.25">
      <c r="A74" s="9" t="s">
        <v>138</v>
      </c>
      <c r="B74" s="9" t="s">
        <v>100</v>
      </c>
      <c r="C74" s="10">
        <f t="shared" si="70"/>
        <v>8</v>
      </c>
      <c r="D74">
        <v>0</v>
      </c>
      <c r="E74">
        <v>8</v>
      </c>
      <c r="F74">
        <v>0</v>
      </c>
      <c r="G74">
        <v>0</v>
      </c>
      <c r="H74">
        <v>0</v>
      </c>
      <c r="I74">
        <v>0</v>
      </c>
      <c r="J74">
        <v>0</v>
      </c>
      <c r="L74" s="38">
        <v>17.5</v>
      </c>
      <c r="M74" s="25">
        <f t="shared" si="71"/>
        <v>2.1875</v>
      </c>
      <c r="N74" s="23">
        <f>M74/M79</f>
        <v>3.3908298119267107E-2</v>
      </c>
      <c r="O74" s="33">
        <v>1</v>
      </c>
      <c r="P74" s="23">
        <f t="shared" si="72"/>
        <v>0.125</v>
      </c>
      <c r="Q74" s="40">
        <f>P74/P79</f>
        <v>8.3651589568247836E-3</v>
      </c>
      <c r="R74" s="23">
        <f t="shared" si="73"/>
        <v>1.671875</v>
      </c>
      <c r="S74" s="42">
        <f>R74/R79</f>
        <v>3.2077474694070074E-2</v>
      </c>
      <c r="T74" s="42">
        <f t="shared" si="74"/>
        <v>2.7522513328656528E-2</v>
      </c>
      <c r="U74" s="34"/>
      <c r="V74" s="34">
        <f t="shared" si="61"/>
        <v>0</v>
      </c>
      <c r="W74" s="34"/>
      <c r="X74" s="40">
        <f>V74/V79</f>
        <v>0</v>
      </c>
      <c r="Y74" s="48">
        <f t="shared" si="75"/>
        <v>1.6513507997193914E-2</v>
      </c>
      <c r="Z74" s="48">
        <v>-0.153</v>
      </c>
      <c r="AA74" s="137">
        <v>-3.5999999999999997E-2</v>
      </c>
      <c r="AB74" s="222">
        <v>37</v>
      </c>
      <c r="AC74" s="232">
        <v>-0.14445979041819723</v>
      </c>
      <c r="AD74" s="137">
        <f t="shared" si="76"/>
        <v>-3.7198346056013375E-2</v>
      </c>
      <c r="AE74" s="40"/>
      <c r="AF74" s="40"/>
      <c r="AH74" s="37"/>
      <c r="AI74" s="37"/>
      <c r="AJ74" s="23"/>
      <c r="AK74" s="23"/>
      <c r="AL74" s="23"/>
      <c r="AM74" s="23"/>
      <c r="AN74" s="23"/>
      <c r="AO74" s="23"/>
      <c r="AP74" s="23"/>
      <c r="AQ74" s="23"/>
      <c r="AR74" s="26"/>
      <c r="AS74" s="26"/>
      <c r="AX74">
        <v>33</v>
      </c>
      <c r="AY74">
        <v>33</v>
      </c>
      <c r="BA74">
        <v>18</v>
      </c>
      <c r="BB74">
        <v>17</v>
      </c>
      <c r="BC74" s="119">
        <v>18.238060000000001</v>
      </c>
      <c r="BD74">
        <f t="shared" si="77"/>
        <v>15</v>
      </c>
      <c r="BE74" s="119">
        <f t="shared" si="45"/>
        <v>120.06666666666668</v>
      </c>
      <c r="BF74" s="119">
        <v>116.0355</v>
      </c>
      <c r="BG74" s="119">
        <f t="shared" si="46"/>
        <v>-103.06666666666668</v>
      </c>
      <c r="BH74" s="119">
        <f t="shared" si="47"/>
        <v>-99.035499999999999</v>
      </c>
      <c r="BI74" s="119">
        <f t="shared" si="78"/>
        <v>14.761939999999999</v>
      </c>
      <c r="BJ74" s="23">
        <v>6.2E-2</v>
      </c>
      <c r="BK74" s="23">
        <f t="shared" si="54"/>
        <v>-0.6822313757505305</v>
      </c>
      <c r="BL74" s="23">
        <f t="shared" si="48"/>
        <v>6.8431371975260502E-2</v>
      </c>
      <c r="BM74" s="23">
        <f t="shared" si="79"/>
        <v>6.7117836309599416E-2</v>
      </c>
      <c r="BN74" s="119">
        <v>3</v>
      </c>
      <c r="BO74" s="119">
        <v>10</v>
      </c>
      <c r="BP74" s="119">
        <v>14.638838</v>
      </c>
      <c r="BQ74" s="119">
        <f t="shared" si="49"/>
        <v>-11.638838</v>
      </c>
      <c r="BR74" s="23">
        <f t="shared" si="50"/>
        <v>-0.52289329847018939</v>
      </c>
      <c r="BS74" s="23">
        <f t="shared" si="68"/>
        <v>-7.9399795636101972E-2</v>
      </c>
      <c r="BT74" s="119">
        <v>3</v>
      </c>
      <c r="BU74" s="119">
        <f t="shared" si="80"/>
        <v>0</v>
      </c>
      <c r="BV74" s="23">
        <v>-0.16200000000000001</v>
      </c>
      <c r="BW74" s="23">
        <v>6.0000000000000001E-3</v>
      </c>
      <c r="BX74" s="23">
        <f t="shared" si="44"/>
        <v>9.8383772321995605E-3</v>
      </c>
      <c r="BY74" s="34">
        <v>0</v>
      </c>
      <c r="BZ74" s="77">
        <v>0</v>
      </c>
      <c r="CA74" s="34">
        <v>20531</v>
      </c>
      <c r="CB74" s="34">
        <v>13403</v>
      </c>
      <c r="CC74" s="34">
        <f t="shared" si="51"/>
        <v>60774.017</v>
      </c>
      <c r="CD74" s="34">
        <f t="shared" si="69"/>
        <v>-47371.017</v>
      </c>
      <c r="CE74" s="36">
        <f t="shared" si="52"/>
        <v>-0.24204978259134013</v>
      </c>
      <c r="CF74" s="36">
        <f t="shared" si="53"/>
        <v>-0.14445979041819723</v>
      </c>
      <c r="CG74" s="34">
        <v>18148.73</v>
      </c>
      <c r="CH74">
        <f t="shared" si="81"/>
        <v>-20531</v>
      </c>
      <c r="CI74" s="34">
        <f t="shared" si="82"/>
        <v>-18148.73</v>
      </c>
      <c r="CJ74" s="23">
        <v>-9.9000000000000005E-2</v>
      </c>
      <c r="CK74" s="23">
        <f t="shared" si="83"/>
        <v>-0.10775343098833277</v>
      </c>
    </row>
    <row r="75" spans="1:89" x14ac:dyDescent="0.25">
      <c r="A75" s="9" t="s">
        <v>139</v>
      </c>
      <c r="B75" s="9" t="s">
        <v>107</v>
      </c>
      <c r="C75" s="10">
        <f t="shared" si="70"/>
        <v>48</v>
      </c>
      <c r="D75" s="8">
        <v>48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L75" s="38">
        <v>14.5</v>
      </c>
      <c r="M75" s="23">
        <f t="shared" si="71"/>
        <v>0.30208333333333331</v>
      </c>
      <c r="N75" s="23">
        <f>M75/M79</f>
        <v>4.6825745021845042E-3</v>
      </c>
      <c r="O75" s="33">
        <v>1</v>
      </c>
      <c r="P75" s="23">
        <f t="shared" si="72"/>
        <v>2.0833333333333332E-2</v>
      </c>
      <c r="Q75" s="40">
        <f>P75/P79</f>
        <v>1.394193159470797E-3</v>
      </c>
      <c r="R75" s="23">
        <f t="shared" si="73"/>
        <v>0.23177083333333334</v>
      </c>
      <c r="S75" s="40">
        <f>R75/R79</f>
        <v>4.4468773329785615E-3</v>
      </c>
      <c r="T75" s="40">
        <f t="shared" si="74"/>
        <v>3.8604791665060771E-3</v>
      </c>
      <c r="U75" s="34"/>
      <c r="V75" s="34">
        <f t="shared" si="61"/>
        <v>0</v>
      </c>
      <c r="W75" s="34"/>
      <c r="X75" s="40">
        <f>V75/V79</f>
        <v>0</v>
      </c>
      <c r="Y75" s="48">
        <f t="shared" si="75"/>
        <v>2.316287499903646E-3</v>
      </c>
      <c r="Z75" s="48">
        <v>-0.76100000000000001</v>
      </c>
      <c r="AA75" s="137">
        <v>-0.16</v>
      </c>
      <c r="AB75" s="222">
        <v>53</v>
      </c>
      <c r="AC75" s="232">
        <v>4.9618848049481912E-4</v>
      </c>
      <c r="AD75" s="137">
        <f t="shared" si="76"/>
        <v>-0.11466333929481431</v>
      </c>
      <c r="AE75" s="40"/>
      <c r="AF75" s="40"/>
      <c r="AH75" s="37"/>
      <c r="AI75" s="37"/>
      <c r="AJ75" s="23"/>
      <c r="AK75" s="23"/>
      <c r="AL75" s="23"/>
      <c r="AM75" s="23"/>
      <c r="AN75" s="23"/>
      <c r="AO75" s="23"/>
      <c r="AP75" s="23"/>
      <c r="AQ75" s="23"/>
      <c r="AR75" s="26"/>
      <c r="AS75" s="26"/>
      <c r="AX75">
        <v>35</v>
      </c>
      <c r="AY75">
        <v>35</v>
      </c>
      <c r="BA75">
        <v>109</v>
      </c>
      <c r="BB75">
        <v>48</v>
      </c>
      <c r="BC75" s="119">
        <v>109.42833</v>
      </c>
      <c r="BD75">
        <f t="shared" si="77"/>
        <v>-74</v>
      </c>
      <c r="BE75" s="119">
        <f t="shared" si="45"/>
        <v>171.9873873873874</v>
      </c>
      <c r="BF75" s="119">
        <v>166.21302</v>
      </c>
      <c r="BG75" s="119">
        <f t="shared" si="46"/>
        <v>-123.9873873873874</v>
      </c>
      <c r="BH75" s="119">
        <f t="shared" si="47"/>
        <v>-118.21302</v>
      </c>
      <c r="BI75" s="119">
        <f t="shared" si="78"/>
        <v>-74.428330000000003</v>
      </c>
      <c r="BJ75" s="23">
        <v>-0.73299999999999998</v>
      </c>
      <c r="BK75" s="23">
        <f t="shared" si="54"/>
        <v>-0.81366387958820663</v>
      </c>
      <c r="BL75" s="23">
        <f t="shared" si="48"/>
        <v>-0.54464756001512304</v>
      </c>
      <c r="BM75" s="23">
        <f t="shared" si="79"/>
        <v>-0.72812847879342102</v>
      </c>
      <c r="BN75" s="119">
        <v>1</v>
      </c>
      <c r="BO75" s="119">
        <v>3</v>
      </c>
      <c r="BP75" s="119">
        <v>20.969145999999999</v>
      </c>
      <c r="BQ75" s="119">
        <f t="shared" si="49"/>
        <v>-19.969145999999999</v>
      </c>
      <c r="BR75" s="23">
        <f t="shared" si="50"/>
        <v>-0.87738411218180967</v>
      </c>
      <c r="BS75" s="23">
        <f t="shared" si="68"/>
        <v>-0.62783169805679473</v>
      </c>
      <c r="BT75" s="119">
        <v>15</v>
      </c>
      <c r="BU75" s="119">
        <f t="shared" si="80"/>
        <v>-14</v>
      </c>
      <c r="BV75" s="23">
        <v>-0.72</v>
      </c>
      <c r="BW75" s="23">
        <v>-0.73</v>
      </c>
      <c r="BX75" s="23">
        <f t="shared" si="44"/>
        <v>-0.72609635909506576</v>
      </c>
      <c r="BY75" s="34">
        <v>228435</v>
      </c>
      <c r="BZ75" s="77">
        <v>228435</v>
      </c>
      <c r="CA75" s="34">
        <v>102725</v>
      </c>
      <c r="CB75" s="34">
        <v>286196</v>
      </c>
      <c r="CC75" s="34">
        <f t="shared" si="51"/>
        <v>87054.672999999995</v>
      </c>
      <c r="CD75" s="34">
        <f t="shared" si="69"/>
        <v>199141.32699999999</v>
      </c>
      <c r="CE75" s="36">
        <f t="shared" si="52"/>
        <v>0.94298801828642898</v>
      </c>
      <c r="CF75" s="36">
        <f t="shared" si="53"/>
        <v>4.9618848049481912E-4</v>
      </c>
      <c r="CG75" s="34">
        <v>95071.64</v>
      </c>
      <c r="CH75">
        <f t="shared" si="81"/>
        <v>125710</v>
      </c>
      <c r="CI75" s="34">
        <f t="shared" si="82"/>
        <v>133363.35999999999</v>
      </c>
      <c r="CJ75" s="23">
        <v>0.69499999999999995</v>
      </c>
      <c r="CK75" s="23">
        <f t="shared" si="83"/>
        <v>0.80248619040556279</v>
      </c>
    </row>
    <row r="76" spans="1:89" x14ac:dyDescent="0.25">
      <c r="A76" s="7" t="s">
        <v>139</v>
      </c>
      <c r="B76" s="7" t="s">
        <v>140</v>
      </c>
      <c r="C76" s="10">
        <f t="shared" si="70"/>
        <v>17</v>
      </c>
      <c r="D76" s="8">
        <v>0</v>
      </c>
      <c r="E76">
        <v>0</v>
      </c>
      <c r="F76">
        <v>0</v>
      </c>
      <c r="G76">
        <v>17</v>
      </c>
      <c r="H76">
        <v>0</v>
      </c>
      <c r="I76">
        <v>0</v>
      </c>
      <c r="J76">
        <v>0</v>
      </c>
      <c r="L76" s="38">
        <v>27</v>
      </c>
      <c r="M76" s="25">
        <f t="shared" si="71"/>
        <v>1.588235294117647</v>
      </c>
      <c r="N76" s="23">
        <f>M76/M79</f>
        <v>2.4619134096677962E-2</v>
      </c>
      <c r="O76" s="33">
        <v>1</v>
      </c>
      <c r="P76" s="23">
        <f t="shared" si="72"/>
        <v>5.8823529411764705E-2</v>
      </c>
      <c r="Q76" s="40">
        <f>P76/P79</f>
        <v>3.9365453914469569E-3</v>
      </c>
      <c r="R76" s="23">
        <f t="shared" si="73"/>
        <v>1.2058823529411764</v>
      </c>
      <c r="S76" s="42">
        <f>R76/R79</f>
        <v>2.3136694226838884E-2</v>
      </c>
      <c r="T76" s="42">
        <f t="shared" si="74"/>
        <v>1.9448486920370212E-2</v>
      </c>
      <c r="U76" s="34">
        <v>120147</v>
      </c>
      <c r="V76" s="72">
        <f>U76/C76</f>
        <v>7067.4705882352937</v>
      </c>
      <c r="W76" s="72"/>
      <c r="X76" s="40">
        <f>V76/V79</f>
        <v>9.0756245738001132E-2</v>
      </c>
      <c r="Y76" s="47">
        <f t="shared" si="75"/>
        <v>4.797159044742258E-2</v>
      </c>
      <c r="Z76" s="47">
        <v>0.30199999999999999</v>
      </c>
      <c r="AA76" s="137">
        <v>0.25700000000000001</v>
      </c>
      <c r="AB76" s="222">
        <v>18</v>
      </c>
      <c r="AC76" s="232">
        <v>5.3833104539541543E-3</v>
      </c>
      <c r="AD76" s="139">
        <f t="shared" si="76"/>
        <v>0.24808287915756091</v>
      </c>
      <c r="AE76" s="67">
        <f>AJ76*AQ$3</f>
        <v>0</v>
      </c>
      <c r="AF76" s="40">
        <f>C76*AO76</f>
        <v>0</v>
      </c>
      <c r="AH76" s="37">
        <f>AM76*AS$3</f>
        <v>17286.473527603175</v>
      </c>
      <c r="AI76" s="37">
        <f>AH76-AE76</f>
        <v>17286.473527603175</v>
      </c>
      <c r="AJ76" s="23"/>
      <c r="AK76" s="23"/>
      <c r="AL76" s="23"/>
      <c r="AM76" s="23">
        <f>C76*AS76</f>
        <v>0.29140840177802119</v>
      </c>
      <c r="AN76" s="23">
        <f>Y76/AO2</f>
        <v>7.6169562476059979E-2</v>
      </c>
      <c r="AO76" s="23"/>
      <c r="AP76" s="23"/>
      <c r="AQ76" s="23"/>
      <c r="AR76" s="26"/>
      <c r="AS76" s="26">
        <f>AD76/AW$2</f>
        <v>1.7141670692824774E-2</v>
      </c>
      <c r="AX76">
        <v>66</v>
      </c>
      <c r="AY76">
        <v>66</v>
      </c>
      <c r="BA76">
        <v>38</v>
      </c>
      <c r="BB76">
        <v>108</v>
      </c>
      <c r="BC76" s="119">
        <v>38.755870000000002</v>
      </c>
      <c r="BD76">
        <f t="shared" si="77"/>
        <v>28</v>
      </c>
      <c r="BE76" s="119">
        <f t="shared" si="45"/>
        <v>58.410810810810815</v>
      </c>
      <c r="BF76" s="119">
        <v>56.4497</v>
      </c>
      <c r="BG76" s="119">
        <f t="shared" si="46"/>
        <v>49.589189189189185</v>
      </c>
      <c r="BH76" s="119">
        <f t="shared" si="47"/>
        <v>51.5503</v>
      </c>
      <c r="BI76" s="119">
        <f t="shared" si="78"/>
        <v>27.244129999999998</v>
      </c>
      <c r="BJ76" s="23">
        <v>0.17899999999999999</v>
      </c>
      <c r="BK76" s="25">
        <f t="shared" si="54"/>
        <v>0.34980346172582394</v>
      </c>
      <c r="BL76" s="25">
        <f t="shared" si="48"/>
        <v>0.15423184902394582</v>
      </c>
      <c r="BM76" s="23">
        <f t="shared" si="79"/>
        <v>0.17841266254923036</v>
      </c>
      <c r="BN76" s="119">
        <v>4</v>
      </c>
      <c r="BO76" s="119">
        <v>4</v>
      </c>
      <c r="BP76" s="119">
        <v>7.1215970000000004</v>
      </c>
      <c r="BQ76" s="119">
        <f t="shared" si="49"/>
        <v>-3.1215970000000004</v>
      </c>
      <c r="BR76" s="23">
        <f t="shared" si="50"/>
        <v>-0.16044767309019442</v>
      </c>
      <c r="BS76" s="23">
        <f t="shared" si="68"/>
        <v>7.5561968495410761E-2</v>
      </c>
      <c r="BT76" s="119">
        <v>5</v>
      </c>
      <c r="BU76" s="119">
        <f t="shared" si="80"/>
        <v>-1</v>
      </c>
      <c r="BV76" s="23">
        <v>-0.20200000000000001</v>
      </c>
      <c r="BW76" s="23">
        <v>8.3000000000000004E-2</v>
      </c>
      <c r="BX76" s="23">
        <f t="shared" si="44"/>
        <v>8.3309496911922756E-2</v>
      </c>
      <c r="BY76" s="34">
        <v>133444</v>
      </c>
      <c r="BZ76" s="77">
        <v>118647.44</v>
      </c>
      <c r="CA76" s="34">
        <v>40418</v>
      </c>
      <c r="CB76" s="34">
        <v>11768</v>
      </c>
      <c r="CC76" s="34">
        <f t="shared" si="51"/>
        <v>29565.737999999998</v>
      </c>
      <c r="CD76" s="34">
        <f t="shared" si="69"/>
        <v>-17797.737999999998</v>
      </c>
      <c r="CE76" s="36">
        <f t="shared" si="52"/>
        <v>-9.9884676608230749E-2</v>
      </c>
      <c r="CF76" s="36">
        <f t="shared" si="53"/>
        <v>5.3833104539541543E-3</v>
      </c>
      <c r="CG76" s="34">
        <v>36425.629999999997</v>
      </c>
      <c r="CH76">
        <f t="shared" si="81"/>
        <v>93026</v>
      </c>
      <c r="CI76" s="34">
        <f t="shared" si="82"/>
        <v>82221.81</v>
      </c>
      <c r="CJ76" s="23">
        <v>0.51700000000000002</v>
      </c>
      <c r="CK76" s="23">
        <f t="shared" si="83"/>
        <v>0.49524295252601813</v>
      </c>
    </row>
    <row r="77" spans="1:89" x14ac:dyDescent="0.25">
      <c r="C77" s="1">
        <f t="shared" ref="C77:J77" si="84">SUM(C3:C76)</f>
        <v>2736</v>
      </c>
      <c r="D77" s="1">
        <f t="shared" si="84"/>
        <v>693</v>
      </c>
      <c r="E77" s="1">
        <f t="shared" si="84"/>
        <v>526</v>
      </c>
      <c r="F77" s="1">
        <f t="shared" si="84"/>
        <v>286</v>
      </c>
      <c r="G77" s="1">
        <f t="shared" si="84"/>
        <v>1029</v>
      </c>
      <c r="H77" s="1">
        <f t="shared" si="84"/>
        <v>143</v>
      </c>
      <c r="I77" s="1">
        <f t="shared" si="84"/>
        <v>0</v>
      </c>
      <c r="J77" s="1">
        <f t="shared" si="84"/>
        <v>59</v>
      </c>
      <c r="K77" s="62"/>
      <c r="L77" s="17">
        <f>SUM(L3:L76)</f>
        <v>2373</v>
      </c>
      <c r="M77" s="31">
        <f t="shared" si="71"/>
        <v>0.86732456140350878</v>
      </c>
      <c r="N77" s="31">
        <f>SUM(N3:N76)</f>
        <v>0.99999999999999967</v>
      </c>
      <c r="O77" s="17">
        <f>SUM(O3:O76)</f>
        <v>652</v>
      </c>
      <c r="P77" s="31">
        <f t="shared" si="72"/>
        <v>0.23830409356725146</v>
      </c>
      <c r="Q77" s="31">
        <f>SUM(Q3:Q76)</f>
        <v>1</v>
      </c>
      <c r="R77" s="31">
        <f t="shared" si="73"/>
        <v>0.71006944444444453</v>
      </c>
      <c r="S77" s="41">
        <f>SUM(S3:S76)</f>
        <v>0.99999999999999967</v>
      </c>
      <c r="T77" s="41">
        <f>SUM(T3:T76)</f>
        <v>0.99999999999999978</v>
      </c>
      <c r="U77" s="35">
        <f>SUM(U3:U76)</f>
        <v>3261352</v>
      </c>
      <c r="V77" s="35">
        <f>U77/C77</f>
        <v>1192.014619883041</v>
      </c>
      <c r="W77" s="35"/>
      <c r="X77" s="41">
        <f>SUM(X3:X76)</f>
        <v>1.0000000000000004</v>
      </c>
      <c r="Y77" s="49">
        <f>SUM(Y3:Y76)</f>
        <v>0.99999999999999989</v>
      </c>
      <c r="Z77" s="49"/>
      <c r="AB77" s="222">
        <f>SUM(AB3:AB76)</f>
        <v>2775</v>
      </c>
      <c r="AE77" s="142">
        <f>SUM(AE3:AE76)</f>
        <v>2946268.4786009672</v>
      </c>
      <c r="AF77" s="41">
        <f>SUM(AF3:AF76)</f>
        <v>0</v>
      </c>
      <c r="AH77" s="61">
        <f>SUM(AH3:AH76)</f>
        <v>2946268.4786009672</v>
      </c>
      <c r="AI77" s="61"/>
      <c r="AJ77" s="54">
        <f>SUM(AJ3:AJ76)</f>
        <v>49.835291604358055</v>
      </c>
      <c r="AK77" s="61">
        <f>SUM(AK3:AK76)</f>
        <v>2898204.1394225624</v>
      </c>
      <c r="AL77" s="54">
        <f>SUM(AL3:AL76)</f>
        <v>55.575541921633295</v>
      </c>
      <c r="AM77" s="54">
        <f>SUM(AM4:AM76)</f>
        <v>49.667006239711228</v>
      </c>
      <c r="AN77" s="54">
        <f>SUM(AN4:AN76)</f>
        <v>2903647.6619129558</v>
      </c>
      <c r="AO77" s="23"/>
      <c r="AP77" s="23" t="e">
        <f>SUM(AP4:AP76)</f>
        <v>#REF!</v>
      </c>
      <c r="AQ77" s="23">
        <f>SUM(AQ4:AQ76)</f>
        <v>1.0040589617603077</v>
      </c>
      <c r="AR77" s="26"/>
      <c r="AS77" s="26">
        <f>SUM(AS5:AS76)</f>
        <v>1</v>
      </c>
      <c r="AX77" s="1">
        <f>SUM(AX3:AX76)</f>
        <v>6723</v>
      </c>
      <c r="AY77" s="1">
        <f>SUM(AY3:AY76)</f>
        <v>6713</v>
      </c>
      <c r="AZ77" s="1"/>
      <c r="BB77" s="1">
        <f>SUM(BB3:BB13,BB15,BB17:BB26,BB28,BB30:BB76)</f>
        <v>9005</v>
      </c>
      <c r="BG77" s="23">
        <f>AVERAGE(BG30:BG76,BG3:BG13,BG15,BG17:BG26,BG28)</f>
        <v>0.50993564993564544</v>
      </c>
      <c r="BH77" s="23">
        <f>AVERAGE(BH30:BH76,BH3:BH13,BH15,BH17:BH26,BH28)</f>
        <v>4.8065945714285707</v>
      </c>
      <c r="BN77" s="156">
        <f>SUM(BN3:BN76)</f>
        <v>1148</v>
      </c>
      <c r="BO77" s="156">
        <f>SUM(BO30:BO76,BO28,BO17:BO26,BO15,BO3:BO13)</f>
        <v>1196</v>
      </c>
      <c r="BP77" s="156"/>
      <c r="BQ77" s="54">
        <f>AVERAGE(BQ30:BQ76,BQ28,BQ17:BQ26,BQ15,BQ3:BQ13)</f>
        <v>0.64882097142857131</v>
      </c>
      <c r="BR77" s="156"/>
      <c r="BS77" s="156"/>
      <c r="BY77" s="55">
        <f>SUM(BY3:BY76)</f>
        <v>5635669</v>
      </c>
      <c r="BZ77" s="55">
        <f>SUM(BZ3:BZ76)</f>
        <v>5354514.08</v>
      </c>
      <c r="CB77" s="55">
        <f>SUM(CB30:CB76,CB28,CB17:CB26,CB15,CB3:CB13)</f>
        <v>4748607</v>
      </c>
      <c r="CC77" s="55"/>
      <c r="CD77" s="55">
        <f>AVERAGE(CD30:CD76,CD28,CD17:CD26,CD15,CD3:CD13)</f>
        <v>2980.338228571426</v>
      </c>
      <c r="CE77" s="55"/>
      <c r="CF77" s="55"/>
    </row>
    <row r="78" spans="1:89" x14ac:dyDescent="0.25">
      <c r="C78" s="1">
        <v>756</v>
      </c>
      <c r="M78" s="39" t="s">
        <v>158</v>
      </c>
      <c r="P78" s="39" t="s">
        <v>158</v>
      </c>
      <c r="R78" s="39" t="s">
        <v>158</v>
      </c>
      <c r="V78" s="39" t="s">
        <v>158</v>
      </c>
      <c r="W78" s="39"/>
      <c r="AY78" s="158">
        <f>(AY77/AX77)*100</f>
        <v>99.85125687936933</v>
      </c>
      <c r="BB78">
        <f>BB77/AB77</f>
        <v>3.2450450450450452</v>
      </c>
      <c r="BD78" s="1" t="s">
        <v>304</v>
      </c>
      <c r="BE78" s="1"/>
      <c r="BF78" s="1"/>
      <c r="BG78" s="226">
        <f>STDEV(BG3:BG13,BG15,BG17:BG26,BG28,BG30:BG76)</f>
        <v>145.91154729643529</v>
      </c>
      <c r="BH78" s="226">
        <f>STDEV(BH3:BH13,BH15,BH17:BH26,BH28,BH30:BH76)</f>
        <v>145.47926106421644</v>
      </c>
      <c r="BI78" s="119">
        <f>AVERAGE(BI3:BI15,BI17:BI18,BI19:BI26,BI28:BI69,BI71:BI76)</f>
        <v>7.2343880597014971</v>
      </c>
      <c r="BN78" s="156">
        <f>AX77+BN77</f>
        <v>7871</v>
      </c>
      <c r="BO78" s="228">
        <f>BO77/AB77</f>
        <v>0.43099099099099097</v>
      </c>
      <c r="BP78" s="230"/>
      <c r="BQ78" s="230">
        <f>STDEV(BQ30:BQ76,BQ28,BQ17:BQ26,BQ15,BQ3:BQ13)</f>
        <v>23.499362121063982</v>
      </c>
      <c r="BR78" s="230"/>
      <c r="BS78" s="230"/>
      <c r="CB78" s="27">
        <f>CB77/AB77</f>
        <v>1711.2097297297298</v>
      </c>
      <c r="CC78" s="26"/>
      <c r="CD78" s="81">
        <f>STDEV(CD30:CD76,CD28,CD17:CD26,CD15,CD3:CD13)</f>
        <v>208020.65876498274</v>
      </c>
      <c r="CE78" s="81"/>
      <c r="CF78" s="81"/>
      <c r="CH78" s="1" t="s">
        <v>272</v>
      </c>
      <c r="CI78" s="34">
        <f>AVERAGE(CI3:CI15,CI17:CI18,CI19:CI26,CI28:CI69,CI71:CI76)</f>
        <v>-212.85119402985248</v>
      </c>
    </row>
    <row r="79" spans="1:89" ht="18.75" x14ac:dyDescent="0.3">
      <c r="A79" s="14"/>
      <c r="C79" s="1">
        <f>C78/C77</f>
        <v>0.27631578947368424</v>
      </c>
      <c r="M79" s="23">
        <f>SUM(M3:M76)</f>
        <v>64.51223214759446</v>
      </c>
      <c r="P79" s="23">
        <f>SUM(P3:P76)</f>
        <v>14.942931825344184</v>
      </c>
      <c r="R79" s="23">
        <f>SUM(R3:R76)</f>
        <v>52.11990706703191</v>
      </c>
      <c r="V79" s="34">
        <f>SUM(V3:V76)</f>
        <v>77873.104278001527</v>
      </c>
      <c r="W79" s="34"/>
      <c r="BD79" s="1" t="s">
        <v>269</v>
      </c>
      <c r="BE79" s="1"/>
      <c r="BF79" s="1"/>
      <c r="BG79" s="156"/>
      <c r="BH79" s="1"/>
      <c r="BI79">
        <f>STDEV(BI3:BI15,BI17:BI18,BI19:BI26,BI28:BI69,BI71:BI76)</f>
        <v>112.15427007473254</v>
      </c>
      <c r="CH79" s="1" t="s">
        <v>269</v>
      </c>
      <c r="CI79">
        <f>STDEV(CI3:CI15,CI17:CI18,CI19:CI26,CI28:CI69,CI71:CI76)</f>
        <v>166452.97176581033</v>
      </c>
    </row>
    <row r="80" spans="1:89" ht="18.75" x14ac:dyDescent="0.3">
      <c r="A80" s="14"/>
      <c r="AY80" t="s">
        <v>360</v>
      </c>
      <c r="BB80">
        <f>BB77/AB77</f>
        <v>3.2450450450450452</v>
      </c>
      <c r="BG80" s="119"/>
      <c r="BM80" s="229" t="s">
        <v>324</v>
      </c>
      <c r="BO80" s="215">
        <v>0.39566000000000001</v>
      </c>
      <c r="BP80" s="62"/>
      <c r="BQ80" s="62"/>
      <c r="BR80" s="62"/>
      <c r="BS80" s="62"/>
      <c r="BZ80" s="229"/>
      <c r="CB80" s="73">
        <v>1642.5409999999999</v>
      </c>
      <c r="CC80" s="73"/>
      <c r="CD80" s="73"/>
      <c r="CE80" s="73"/>
      <c r="CF80" s="73"/>
    </row>
    <row r="81" spans="1:59" ht="18.75" x14ac:dyDescent="0.3">
      <c r="A81" s="14"/>
      <c r="AY81" s="282" t="s">
        <v>361</v>
      </c>
      <c r="BB81">
        <v>3.1361629999999998</v>
      </c>
      <c r="BG81" s="119"/>
    </row>
    <row r="82" spans="1:59" ht="18.75" x14ac:dyDescent="0.3">
      <c r="A82" s="14"/>
      <c r="AY82" t="s">
        <v>416</v>
      </c>
      <c r="BG82" s="119"/>
    </row>
    <row r="83" spans="1:59" ht="18.75" x14ac:dyDescent="0.3">
      <c r="A83" s="14"/>
      <c r="BG83" s="119"/>
    </row>
    <row r="84" spans="1:59" ht="18.75" x14ac:dyDescent="0.3">
      <c r="A84" s="14"/>
      <c r="BG84" s="119"/>
    </row>
    <row r="85" spans="1:59" ht="18.75" x14ac:dyDescent="0.3">
      <c r="A85" s="14"/>
      <c r="BG85" s="119"/>
    </row>
    <row r="86" spans="1:59" ht="18.75" x14ac:dyDescent="0.3">
      <c r="A86" s="14"/>
      <c r="BG86" s="119"/>
    </row>
    <row r="87" spans="1:59" ht="18.75" x14ac:dyDescent="0.3">
      <c r="A87" s="14"/>
      <c r="BG87" s="119"/>
    </row>
    <row r="88" spans="1:59" ht="18.75" x14ac:dyDescent="0.3">
      <c r="A88" s="14"/>
      <c r="BG88" s="119"/>
    </row>
    <row r="89" spans="1:59" ht="18.75" x14ac:dyDescent="0.3">
      <c r="A89" s="14"/>
      <c r="BG89" s="119"/>
    </row>
    <row r="90" spans="1:59" ht="18.75" x14ac:dyDescent="0.3">
      <c r="A90" s="14"/>
      <c r="BG90" s="119"/>
    </row>
    <row r="91" spans="1:59" ht="18.75" x14ac:dyDescent="0.3">
      <c r="A91" s="14"/>
      <c r="BG91" s="119"/>
    </row>
    <row r="92" spans="1:59" ht="18.75" x14ac:dyDescent="0.3">
      <c r="A92" s="14"/>
      <c r="BG92" s="119"/>
    </row>
    <row r="93" spans="1:59" ht="18.75" x14ac:dyDescent="0.3">
      <c r="A93" s="14"/>
      <c r="BG93" s="119"/>
    </row>
    <row r="94" spans="1:59" ht="18.75" x14ac:dyDescent="0.3">
      <c r="A94" s="14"/>
      <c r="BG94" s="119"/>
    </row>
    <row r="95" spans="1:59" ht="18.75" x14ac:dyDescent="0.3">
      <c r="A95" s="14"/>
      <c r="BG95" s="119"/>
    </row>
    <row r="96" spans="1:59" ht="18.75" x14ac:dyDescent="0.3">
      <c r="A96" s="14"/>
      <c r="BG96" s="119"/>
    </row>
    <row r="97" spans="1:59" ht="18.75" x14ac:dyDescent="0.3">
      <c r="A97" s="14"/>
      <c r="BG97" s="119"/>
    </row>
    <row r="98" spans="1:59" ht="18.75" x14ac:dyDescent="0.3">
      <c r="A98" s="14"/>
    </row>
    <row r="99" spans="1:59" ht="18.75" x14ac:dyDescent="0.3">
      <c r="A99" s="14"/>
    </row>
    <row r="100" spans="1:59" ht="18.75" x14ac:dyDescent="0.3">
      <c r="A100" s="14"/>
    </row>
    <row r="101" spans="1:59" ht="18.75" x14ac:dyDescent="0.3">
      <c r="A101" s="14"/>
    </row>
    <row r="102" spans="1:59" ht="18.75" x14ac:dyDescent="0.3">
      <c r="A102" s="14"/>
    </row>
    <row r="103" spans="1:59" ht="18.75" x14ac:dyDescent="0.3">
      <c r="A103" s="14"/>
    </row>
  </sheetData>
  <dataValidations disablePrompts="1" count="1">
    <dataValidation type="list" showInputMessage="1" showErrorMessage="1" sqref="D1:J1">
      <formula1>$A$79:$A$103</formula1>
    </dataValidation>
  </dataValidations>
  <pageMargins left="0.75" right="0.75" top="1" bottom="1" header="0.5" footer="0.5"/>
  <pageSetup paperSize="9" orientation="portrait" r:id="rId1"/>
  <ignoredErrors>
    <ignoredError sqref="R3:R7 R9:R13 R15:R26 R71:R76 R28:R29 R31:R32 R34:R69" formula="1"/>
    <ignoredError sqref="C80 C3:C7 C9:C13 C15:C26 C71:C77 C28:C29 C31:C32 C34:C69 AB7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5"/>
  <sheetViews>
    <sheetView topLeftCell="AG1" workbookViewId="0">
      <pane ySplit="2" topLeftCell="A24" activePane="bottomLeft" state="frozen"/>
      <selection pane="bottomLeft" activeCell="BO54" sqref="BO54"/>
    </sheetView>
  </sheetViews>
  <sheetFormatPr defaultRowHeight="15" x14ac:dyDescent="0.25"/>
  <cols>
    <col min="1" max="1" width="39.85546875" bestFit="1" customWidth="1"/>
    <col min="2" max="2" width="57.140625" bestFit="1" customWidth="1"/>
    <col min="3" max="4" width="9.140625" customWidth="1"/>
    <col min="5" max="7" width="9.140625" hidden="1" customWidth="1"/>
    <col min="8" max="8" width="16.5703125" hidden="1" customWidth="1"/>
    <col min="9" max="9" width="16.5703125" style="16" customWidth="1"/>
    <col min="10" max="10" width="14.85546875" bestFit="1" customWidth="1"/>
    <col min="11" max="11" width="11.42578125" hidden="1" customWidth="1"/>
    <col min="12" max="12" width="0" hidden="1" customWidth="1"/>
    <col min="13" max="13" width="10" bestFit="1" customWidth="1"/>
    <col min="14" max="14" width="12.140625" bestFit="1" customWidth="1"/>
    <col min="15" max="15" width="12.85546875" hidden="1" customWidth="1"/>
    <col min="16" max="17" width="0" hidden="1" customWidth="1"/>
    <col min="18" max="18" width="11.140625" bestFit="1" customWidth="1"/>
    <col min="19" max="19" width="11.5703125" bestFit="1" customWidth="1"/>
    <col min="20" max="20" width="12.7109375" hidden="1" customWidth="1"/>
    <col min="21" max="21" width="16.5703125" hidden="1" customWidth="1"/>
    <col min="22" max="22" width="14.28515625" hidden="1" customWidth="1"/>
    <col min="23" max="24" width="0" hidden="1" customWidth="1"/>
    <col min="25" max="25" width="10" hidden="1" customWidth="1"/>
    <col min="26" max="27" width="0" hidden="1" customWidth="1"/>
    <col min="28" max="28" width="11.7109375" bestFit="1" customWidth="1"/>
    <col min="29" max="29" width="17.5703125" bestFit="1" customWidth="1"/>
    <col min="30" max="30" width="12.140625" bestFit="1" customWidth="1"/>
    <col min="31" max="31" width="18.42578125" bestFit="1" customWidth="1"/>
    <col min="32" max="32" width="0" hidden="1" customWidth="1"/>
    <col min="33" max="33" width="12.140625" bestFit="1" customWidth="1"/>
    <col min="34" max="34" width="10" hidden="1" customWidth="1"/>
    <col min="35" max="35" width="19.140625" bestFit="1" customWidth="1"/>
    <col min="36" max="36" width="7.140625" hidden="1" customWidth="1"/>
    <col min="37" max="37" width="0" hidden="1" customWidth="1"/>
    <col min="38" max="38" width="12" bestFit="1" customWidth="1"/>
    <col min="39" max="39" width="18.140625" bestFit="1" customWidth="1"/>
    <col min="40" max="40" width="18" bestFit="1" customWidth="1"/>
    <col min="41" max="41" width="17.42578125" hidden="1" customWidth="1"/>
    <col min="42" max="42" width="18.7109375" bestFit="1" customWidth="1"/>
    <col min="43" max="43" width="17.42578125" hidden="1" customWidth="1"/>
    <col min="44" max="44" width="16.7109375" bestFit="1" customWidth="1"/>
    <col min="45" max="45" width="18.42578125" hidden="1" customWidth="1"/>
    <col min="46" max="46" width="11.85546875" hidden="1" customWidth="1"/>
    <col min="47" max="47" width="15.7109375" hidden="1" customWidth="1"/>
    <col min="48" max="48" width="12.28515625" style="23" hidden="1" customWidth="1"/>
    <col min="49" max="49" width="18.28515625" style="23" hidden="1" customWidth="1"/>
    <col min="50" max="50" width="10.42578125" bestFit="1" customWidth="1"/>
    <col min="51" max="51" width="10.42578125" customWidth="1"/>
    <col min="52" max="52" width="16.85546875" bestFit="1" customWidth="1"/>
    <col min="53" max="53" width="17.7109375" bestFit="1" customWidth="1"/>
    <col min="54" max="54" width="15.85546875" customWidth="1"/>
    <col min="55" max="55" width="7.7109375" bestFit="1" customWidth="1"/>
    <col min="56" max="57" width="0" hidden="1" customWidth="1"/>
    <col min="58" max="58" width="10.5703125" style="23" hidden="1" customWidth="1"/>
    <col min="59" max="59" width="6.28515625" hidden="1" customWidth="1"/>
    <col min="60" max="60" width="12.5703125" hidden="1" customWidth="1"/>
    <col min="61" max="61" width="0" hidden="1" customWidth="1"/>
    <col min="62" max="62" width="15.85546875" bestFit="1" customWidth="1"/>
    <col min="63" max="63" width="0" hidden="1" customWidth="1"/>
    <col min="64" max="64" width="8.7109375" style="34"/>
    <col min="65" max="65" width="9.5703125" style="34" bestFit="1" customWidth="1"/>
    <col min="66" max="66" width="10.7109375" style="34" bestFit="1" customWidth="1"/>
    <col min="67" max="67" width="10.7109375" style="34" customWidth="1"/>
    <col min="68" max="68" width="14.85546875" hidden="1" customWidth="1"/>
    <col min="69" max="69" width="11.85546875" hidden="1" customWidth="1"/>
    <col min="70" max="70" width="15.5703125" hidden="1" customWidth="1"/>
    <col min="71" max="71" width="0" hidden="1" customWidth="1"/>
    <col min="72" max="72" width="13.85546875" hidden="1" customWidth="1"/>
  </cols>
  <sheetData>
    <row r="1" spans="1:73" ht="60" x14ac:dyDescent="0.25">
      <c r="C1" s="2" t="s">
        <v>142</v>
      </c>
      <c r="D1" s="2" t="s">
        <v>142</v>
      </c>
      <c r="E1" s="3" t="s">
        <v>6</v>
      </c>
      <c r="F1" s="4" t="s">
        <v>7</v>
      </c>
      <c r="G1" s="3" t="s">
        <v>8</v>
      </c>
      <c r="H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AA1" s="66">
        <v>7.2700000000000001E-2</v>
      </c>
      <c r="AB1" s="66"/>
      <c r="AC1" s="66"/>
      <c r="AD1" s="1" t="s">
        <v>160</v>
      </c>
      <c r="AE1" s="1" t="s">
        <v>277</v>
      </c>
      <c r="AF1" s="1"/>
      <c r="AG1" s="1"/>
      <c r="AH1" s="1"/>
      <c r="AI1" s="1"/>
      <c r="AJ1" s="1"/>
    </row>
    <row r="2" spans="1:73" x14ac:dyDescent="0.25">
      <c r="A2" s="5" t="s">
        <v>0</v>
      </c>
      <c r="B2" s="5" t="s">
        <v>1</v>
      </c>
      <c r="C2" s="6" t="s">
        <v>343</v>
      </c>
      <c r="D2" s="6" t="s">
        <v>342</v>
      </c>
      <c r="H2" s="62" t="s">
        <v>206</v>
      </c>
      <c r="I2" s="62" t="s">
        <v>370</v>
      </c>
      <c r="J2" s="62" t="s">
        <v>309</v>
      </c>
      <c r="K2" s="148" t="s">
        <v>155</v>
      </c>
      <c r="L2" s="62" t="s">
        <v>164</v>
      </c>
      <c r="M2" s="62" t="s">
        <v>411</v>
      </c>
      <c r="N2" s="62" t="s">
        <v>246</v>
      </c>
      <c r="O2" s="215" t="s">
        <v>295</v>
      </c>
      <c r="P2" s="148" t="s">
        <v>159</v>
      </c>
      <c r="Q2" s="62"/>
      <c r="R2" s="62" t="s">
        <v>409</v>
      </c>
      <c r="S2" s="62" t="s">
        <v>313</v>
      </c>
      <c r="T2" s="62" t="s">
        <v>179</v>
      </c>
      <c r="U2" s="62" t="s">
        <v>162</v>
      </c>
      <c r="V2" s="62" t="s">
        <v>161</v>
      </c>
      <c r="W2" s="62" t="s">
        <v>153</v>
      </c>
      <c r="X2" s="62" t="s">
        <v>154</v>
      </c>
      <c r="Y2" s="1" t="s">
        <v>155</v>
      </c>
      <c r="Z2" s="1" t="s">
        <v>159</v>
      </c>
      <c r="AA2" s="1"/>
      <c r="AB2" s="1" t="s">
        <v>408</v>
      </c>
      <c r="AC2" s="1" t="s">
        <v>312</v>
      </c>
      <c r="AD2" s="140">
        <v>459664.01844726497</v>
      </c>
      <c r="AE2" s="140">
        <f>AD2/S51</f>
        <v>4106.9935736826847</v>
      </c>
      <c r="AF2" s="217" t="s">
        <v>310</v>
      </c>
      <c r="AG2" s="217" t="s">
        <v>311</v>
      </c>
      <c r="AH2" s="1" t="s">
        <v>227</v>
      </c>
      <c r="AI2" s="1" t="s">
        <v>347</v>
      </c>
      <c r="AJ2" s="1" t="s">
        <v>240</v>
      </c>
      <c r="AK2" s="1" t="s">
        <v>228</v>
      </c>
      <c r="AL2" s="1" t="s">
        <v>346</v>
      </c>
      <c r="AM2" s="1" t="s">
        <v>325</v>
      </c>
      <c r="AN2" s="1" t="s">
        <v>326</v>
      </c>
      <c r="AO2" s="1" t="s">
        <v>327</v>
      </c>
      <c r="AP2" s="1" t="s">
        <v>328</v>
      </c>
      <c r="AQ2" s="1" t="s">
        <v>351</v>
      </c>
      <c r="AR2" s="1" t="s">
        <v>352</v>
      </c>
      <c r="AS2" s="1" t="s">
        <v>348</v>
      </c>
      <c r="AT2" s="1" t="s">
        <v>229</v>
      </c>
      <c r="AU2" s="1" t="s">
        <v>242</v>
      </c>
      <c r="AV2" s="54" t="s">
        <v>230</v>
      </c>
      <c r="AW2" s="54" t="s">
        <v>243</v>
      </c>
      <c r="AX2" s="1" t="s">
        <v>353</v>
      </c>
      <c r="AY2" s="1" t="s">
        <v>331</v>
      </c>
      <c r="AZ2" s="1" t="s">
        <v>356</v>
      </c>
      <c r="BA2" s="1" t="s">
        <v>357</v>
      </c>
      <c r="BB2" s="1" t="s">
        <v>358</v>
      </c>
      <c r="BC2" s="1" t="s">
        <v>335</v>
      </c>
      <c r="BD2" s="1" t="s">
        <v>236</v>
      </c>
      <c r="BE2" s="1" t="s">
        <v>238</v>
      </c>
      <c r="BF2" s="54" t="s">
        <v>237</v>
      </c>
      <c r="BG2" s="1" t="s">
        <v>239</v>
      </c>
      <c r="BH2" s="1" t="s">
        <v>287</v>
      </c>
      <c r="BI2" s="1" t="s">
        <v>231</v>
      </c>
      <c r="BJ2" s="1" t="s">
        <v>281</v>
      </c>
      <c r="BK2" s="1" t="s">
        <v>232</v>
      </c>
      <c r="BL2" s="55" t="s">
        <v>359</v>
      </c>
      <c r="BM2" s="55" t="s">
        <v>362</v>
      </c>
      <c r="BN2" s="55" t="s">
        <v>338</v>
      </c>
      <c r="BO2" s="55" t="s">
        <v>363</v>
      </c>
      <c r="BP2" s="1" t="s">
        <v>288</v>
      </c>
      <c r="BQ2" s="1" t="s">
        <v>233</v>
      </c>
      <c r="BR2" s="1" t="s">
        <v>289</v>
      </c>
      <c r="BS2" s="1" t="s">
        <v>234</v>
      </c>
      <c r="BT2" s="1" t="s">
        <v>290</v>
      </c>
      <c r="BU2" s="1" t="s">
        <v>340</v>
      </c>
    </row>
    <row r="3" spans="1:73" x14ac:dyDescent="0.25">
      <c r="A3" s="9" t="s">
        <v>3</v>
      </c>
      <c r="B3" s="9" t="s">
        <v>30</v>
      </c>
      <c r="C3" s="1">
        <f t="shared" ref="C3:C49" si="0">SUM(E3:G3)</f>
        <v>11</v>
      </c>
      <c r="D3" s="1">
        <v>9</v>
      </c>
      <c r="E3" s="8">
        <v>11</v>
      </c>
      <c r="F3" s="8">
        <v>0</v>
      </c>
      <c r="G3">
        <v>0</v>
      </c>
      <c r="H3" s="25">
        <v>0.52900000000000003</v>
      </c>
      <c r="I3" s="25">
        <v>0.20733928111341482</v>
      </c>
      <c r="J3" s="25">
        <f>(0.6*BH3)+(0.4*BT3)</f>
        <v>0.51251182351118219</v>
      </c>
      <c r="K3" s="68">
        <f>P3*AE$6</f>
        <v>3603.4522141722509</v>
      </c>
      <c r="L3" s="40"/>
      <c r="M3" s="68">
        <f>R3*AE$8</f>
        <v>1429.294645922685</v>
      </c>
      <c r="N3" s="37">
        <f>S3*AE$2</f>
        <v>3954.9010208550453</v>
      </c>
      <c r="O3" s="37">
        <f>N3-K3</f>
        <v>351.44880668279438</v>
      </c>
      <c r="P3" s="48">
        <f>C3*T3</f>
        <v>1.003102913290812</v>
      </c>
      <c r="Q3" s="40"/>
      <c r="R3" s="40">
        <f>D3*AB3</f>
        <v>0.35701938656889765</v>
      </c>
      <c r="S3" s="40">
        <f>C3*AC3</f>
        <v>0.96296742371299593</v>
      </c>
      <c r="T3" s="26">
        <f>H3/AF$3</f>
        <v>9.1191173935528363E-2</v>
      </c>
      <c r="U3" s="40"/>
      <c r="V3" s="23"/>
      <c r="W3" s="40"/>
      <c r="X3" s="40"/>
      <c r="AB3" s="23">
        <f>I3/AG$6</f>
        <v>3.9668820729877513E-2</v>
      </c>
      <c r="AC3" s="23">
        <f>J3/AG$3</f>
        <v>8.7542493064817817E-2</v>
      </c>
      <c r="AD3" s="1" t="s">
        <v>407</v>
      </c>
      <c r="AE3" s="1"/>
      <c r="AF3" s="78">
        <v>5.8010000000000002</v>
      </c>
      <c r="AG3" s="25">
        <f>SUM(J3:J4,J29,J35:J38,J46)</f>
        <v>5.8544348643545083</v>
      </c>
      <c r="AH3">
        <v>6</v>
      </c>
      <c r="AI3">
        <v>6</v>
      </c>
      <c r="AJ3">
        <f>AH3-AI3</f>
        <v>0</v>
      </c>
      <c r="AK3">
        <v>7</v>
      </c>
      <c r="AL3">
        <v>10</v>
      </c>
      <c r="AM3" s="119">
        <f>D3*AL$53</f>
        <v>8.6298896690070208</v>
      </c>
      <c r="AN3">
        <v>9</v>
      </c>
      <c r="AO3" s="119">
        <f>AL3-AM3</f>
        <v>1.3701103309929792</v>
      </c>
      <c r="AP3">
        <f>AL3-AN3</f>
        <v>1</v>
      </c>
      <c r="AQ3" s="23">
        <f>(AO3-AO$50)/AO$51</f>
        <v>6.4311299753627843E-2</v>
      </c>
      <c r="AR3" s="23">
        <f>(AP3-AP$50)/AP$51</f>
        <v>7.07011977507392E-2</v>
      </c>
      <c r="AS3" s="119">
        <v>7.7280319999999998</v>
      </c>
      <c r="AT3">
        <f>AH3-AK3</f>
        <v>-1</v>
      </c>
      <c r="AU3" s="119">
        <f>AI3-AS3</f>
        <v>-1.7280319999999998</v>
      </c>
      <c r="AV3" s="23">
        <v>-0.20499999999999999</v>
      </c>
      <c r="AW3" s="23">
        <f>(AU3-AU$51)/AU$52</f>
        <v>-0.21981511670378459</v>
      </c>
      <c r="AX3">
        <v>8</v>
      </c>
      <c r="AY3">
        <v>15</v>
      </c>
      <c r="AZ3">
        <v>5</v>
      </c>
      <c r="BA3">
        <f>AY3-AZ3</f>
        <v>10</v>
      </c>
      <c r="BB3" s="25">
        <f>(BA3-BA$50)/BA$51</f>
        <v>0.91779683900210451</v>
      </c>
      <c r="BC3" s="25">
        <f>(0.6*AR3)+(0.4*BB3)</f>
        <v>0.40953945425128535</v>
      </c>
      <c r="BD3">
        <v>3</v>
      </c>
      <c r="BE3">
        <f>AX3-BD3</f>
        <v>5</v>
      </c>
      <c r="BF3" s="23">
        <v>2.54</v>
      </c>
      <c r="BG3" s="23">
        <v>0.89300000000000002</v>
      </c>
      <c r="BH3" s="23">
        <f>(0.6*AW3)+(0.4*BF3)</f>
        <v>0.88411092997772922</v>
      </c>
      <c r="BI3" s="34">
        <v>0</v>
      </c>
      <c r="BJ3" s="77">
        <v>0</v>
      </c>
      <c r="BK3">
        <v>1750</v>
      </c>
      <c r="BL3" s="34">
        <v>0</v>
      </c>
      <c r="BM3" s="34">
        <f>D3*BL$53</f>
        <v>3861</v>
      </c>
      <c r="BN3" s="34">
        <f>BL3-BM3</f>
        <v>-3861</v>
      </c>
      <c r="BO3" s="36">
        <f>(BN3-BN$50)/BN$51</f>
        <v>-9.596097859339095E-2</v>
      </c>
      <c r="BP3" s="34">
        <v>1918.2783999999999</v>
      </c>
      <c r="BQ3">
        <f>BI3-BK3</f>
        <v>-1750</v>
      </c>
      <c r="BR3" s="34">
        <f>BJ3-BP3</f>
        <v>-1918.2783999999999</v>
      </c>
      <c r="BS3" s="23">
        <v>-1.6E-2</v>
      </c>
      <c r="BT3" s="23">
        <f>(BR3-BR$51)/BR$52</f>
        <v>-4.4886836188638396E-2</v>
      </c>
      <c r="BU3" s="25">
        <f>(0.6*BC3)+(0.4*BO3)</f>
        <v>0.20733928111341482</v>
      </c>
    </row>
    <row r="4" spans="1:73" x14ac:dyDescent="0.25">
      <c r="A4" s="9" t="s">
        <v>3</v>
      </c>
      <c r="B4" s="9" t="s">
        <v>31</v>
      </c>
      <c r="C4" s="1">
        <f t="shared" si="0"/>
        <v>191</v>
      </c>
      <c r="D4" s="1">
        <v>183</v>
      </c>
      <c r="E4" s="8">
        <v>139</v>
      </c>
      <c r="F4" s="8">
        <v>52</v>
      </c>
      <c r="G4">
        <v>0</v>
      </c>
      <c r="H4" s="25">
        <v>3.0009999999999999</v>
      </c>
      <c r="I4" s="25">
        <v>1.912392356170141</v>
      </c>
      <c r="J4" s="25">
        <f>(0.6*BH4)+(0.4*BT4)</f>
        <v>3.0057789149417813</v>
      </c>
      <c r="K4" s="68">
        <f>P4*AE$6</f>
        <v>354952.11859316146</v>
      </c>
      <c r="L4" s="48" t="e">
        <f>C4*Q4</f>
        <v>#REF!</v>
      </c>
      <c r="M4" s="68">
        <f>R4*AE$8</f>
        <v>268056.13902464835</v>
      </c>
      <c r="N4" s="37">
        <f>S4*AE$2</f>
        <v>402744.33996749891</v>
      </c>
      <c r="O4" s="37">
        <f>N4-K4</f>
        <v>47792.221374337445</v>
      </c>
      <c r="P4" s="48">
        <f>C4*T4</f>
        <v>98.808998448543349</v>
      </c>
      <c r="Q4" s="48" t="e">
        <f>#REF!/AF2</f>
        <v>#REF!</v>
      </c>
      <c r="R4" s="40">
        <f>D4*AB4</f>
        <v>66.956969714825249</v>
      </c>
      <c r="S4" s="40">
        <f>C4*AC4</f>
        <v>98.063055795425456</v>
      </c>
      <c r="T4" s="26">
        <f>H4/AF$3</f>
        <v>0.51732459920703322</v>
      </c>
      <c r="U4" s="40"/>
      <c r="V4" s="23"/>
      <c r="W4" s="40"/>
      <c r="X4" s="40"/>
      <c r="AB4" s="23">
        <f>I4/AG$6</f>
        <v>0.36588508040888112</v>
      </c>
      <c r="AC4" s="23">
        <f>J4/AG$3</f>
        <v>0.51341914029018565</v>
      </c>
      <c r="AD4" s="140">
        <v>300287.14179737912</v>
      </c>
      <c r="AH4">
        <v>244</v>
      </c>
      <c r="AI4">
        <v>224</v>
      </c>
      <c r="AJ4">
        <f>AH4-AI4</f>
        <v>20</v>
      </c>
      <c r="AK4">
        <v>130</v>
      </c>
      <c r="AL4">
        <v>255</v>
      </c>
      <c r="AM4" s="119">
        <f>D4*AL$53</f>
        <v>175.47442326980942</v>
      </c>
      <c r="AN4">
        <v>177</v>
      </c>
      <c r="AO4" s="119">
        <f>AL4-AM4</f>
        <v>79.525576730190579</v>
      </c>
      <c r="AP4">
        <f>AL4-AN4</f>
        <v>78</v>
      </c>
      <c r="AQ4" s="25">
        <f t="shared" ref="AQ4:AQ5" si="1">(AO4-AO$50)/AO$51</f>
        <v>3.7328331065636071</v>
      </c>
      <c r="AR4" s="25">
        <f t="shared" ref="AR4:AR5" si="2">(AP4-AP$50)/AP$51</f>
        <v>3.7000293489553515</v>
      </c>
      <c r="AS4" s="119">
        <v>134.18673699999999</v>
      </c>
      <c r="AT4">
        <f t="shared" ref="AT4:AT49" si="3">AH4-AK4</f>
        <v>114</v>
      </c>
      <c r="AU4" s="119">
        <f>AI4-AS4</f>
        <v>89.813263000000006</v>
      </c>
      <c r="AV4" s="23">
        <v>4.2750000000000004</v>
      </c>
      <c r="AW4" s="23">
        <f>(AU4-AU$51)/AU$52</f>
        <v>3.8612795218981071</v>
      </c>
      <c r="AX4">
        <v>53</v>
      </c>
      <c r="AY4">
        <v>43</v>
      </c>
      <c r="AZ4">
        <v>101</v>
      </c>
      <c r="BA4">
        <f>AY4-AZ4</f>
        <v>-58</v>
      </c>
      <c r="BB4" s="23">
        <f>(BA4-BA$50)/BA$51</f>
        <v>-2.8343184947940743</v>
      </c>
      <c r="BC4" s="25">
        <f>(0.6*AR4)+(0.4*BB4)</f>
        <v>1.0862902114555812</v>
      </c>
      <c r="BD4">
        <v>60</v>
      </c>
      <c r="BE4">
        <f>AX4-BD4</f>
        <v>-7</v>
      </c>
      <c r="BF4" s="23">
        <v>1.2949999999999999</v>
      </c>
      <c r="BG4" s="23">
        <v>3.0830000000000002</v>
      </c>
      <c r="BH4" s="23">
        <f>(0.6*AW4)+(0.4*BF4)</f>
        <v>2.8347677131388638</v>
      </c>
      <c r="BI4" s="34">
        <v>404291</v>
      </c>
      <c r="BJ4" s="77">
        <v>404291.29000000004</v>
      </c>
      <c r="BK4">
        <v>239031</v>
      </c>
      <c r="BL4" s="34">
        <v>190214</v>
      </c>
      <c r="BM4" s="34">
        <f>D4*BL$53</f>
        <v>78507</v>
      </c>
      <c r="BN4" s="34">
        <f>BL4-BM4</f>
        <v>111707</v>
      </c>
      <c r="BO4" s="231">
        <f>(BN4-BN$50)/BN$51</f>
        <v>3.1515455732419806</v>
      </c>
      <c r="BP4" s="34">
        <v>213087.2291</v>
      </c>
      <c r="BQ4">
        <f>BI4-BK4</f>
        <v>165260</v>
      </c>
      <c r="BR4" s="34">
        <f t="shared" ref="BR4:BR5" si="4">BJ4-BP4</f>
        <v>191204.06090000004</v>
      </c>
      <c r="BS4" s="23">
        <v>2.8780000000000001</v>
      </c>
      <c r="BT4" s="23">
        <f>(BR4-BR$51)/BR$52</f>
        <v>3.262295717646158</v>
      </c>
      <c r="BU4" s="25">
        <f>(0.6*BC4)+(0.4*BO4)</f>
        <v>1.912392356170141</v>
      </c>
    </row>
    <row r="5" spans="1:73" x14ac:dyDescent="0.25">
      <c r="A5" s="7" t="s">
        <v>3</v>
      </c>
      <c r="B5" s="7" t="s">
        <v>32</v>
      </c>
      <c r="C5" s="1">
        <f t="shared" si="0"/>
        <v>6</v>
      </c>
      <c r="D5" s="1">
        <v>6</v>
      </c>
      <c r="E5" s="8">
        <v>6</v>
      </c>
      <c r="F5" s="8">
        <v>0</v>
      </c>
      <c r="G5">
        <v>0</v>
      </c>
      <c r="H5" s="26">
        <v>-0.11</v>
      </c>
      <c r="I5" s="26">
        <v>9.3103292358101539E-2</v>
      </c>
      <c r="J5" s="26">
        <f>(0.6*BH5)+(0.4*BT5)</f>
        <v>-0.1178461265595564</v>
      </c>
      <c r="K5" s="69"/>
      <c r="L5" s="48"/>
      <c r="M5" s="48"/>
      <c r="N5" s="69"/>
      <c r="O5" s="69"/>
      <c r="P5" s="48"/>
      <c r="Q5" s="48"/>
      <c r="R5" s="48"/>
      <c r="S5" s="48"/>
      <c r="T5" s="26"/>
      <c r="U5" s="40"/>
      <c r="V5" s="23"/>
      <c r="W5" s="40"/>
      <c r="X5" s="40"/>
      <c r="AB5" s="23"/>
      <c r="AC5" s="23"/>
      <c r="AE5" s="48"/>
      <c r="AG5" s="237" t="s">
        <v>415</v>
      </c>
      <c r="AH5">
        <v>3</v>
      </c>
      <c r="AI5">
        <v>3</v>
      </c>
      <c r="AJ5">
        <f>AH5-AI5</f>
        <v>0</v>
      </c>
      <c r="AK5">
        <v>4</v>
      </c>
      <c r="AL5">
        <v>8</v>
      </c>
      <c r="AM5" s="119">
        <f>D5*AL$53</f>
        <v>5.7532597793380145</v>
      </c>
      <c r="AN5">
        <v>6</v>
      </c>
      <c r="AO5" s="119">
        <f>AL5-AM5</f>
        <v>2.2467402206619855</v>
      </c>
      <c r="AP5">
        <f>AL5-AN5</f>
        <v>2</v>
      </c>
      <c r="AQ5" s="26">
        <f t="shared" si="1"/>
        <v>0.10545923239247898</v>
      </c>
      <c r="AR5" s="23">
        <f t="shared" si="2"/>
        <v>0.11783532958456533</v>
      </c>
      <c r="AS5" s="119">
        <v>4.2152900000000004</v>
      </c>
      <c r="AT5">
        <f t="shared" si="3"/>
        <v>-1</v>
      </c>
      <c r="AU5" s="119">
        <f>AI5-AS5</f>
        <v>-1.2152900000000004</v>
      </c>
      <c r="AV5" s="23">
        <v>-0.20499999999999999</v>
      </c>
      <c r="AW5" s="23">
        <f>(AU5-AU$51)/AU$52</f>
        <v>-0.19695604935952199</v>
      </c>
      <c r="AX5">
        <v>1</v>
      </c>
      <c r="AY5">
        <v>2</v>
      </c>
      <c r="AZ5">
        <v>3</v>
      </c>
      <c r="BA5">
        <f>AY5-AZ5</f>
        <v>-1</v>
      </c>
      <c r="BB5" s="26">
        <f>(BA5-BA$50)/BA$51</f>
        <v>0.31083700559389915</v>
      </c>
      <c r="BC5" s="26">
        <f>(0.6*AR5)+(0.4*BB5)</f>
        <v>0.19503599998829885</v>
      </c>
      <c r="BD5">
        <v>2</v>
      </c>
      <c r="BE5">
        <f>AX5-BD5</f>
        <v>-1</v>
      </c>
      <c r="BF5" s="23">
        <v>-0.157</v>
      </c>
      <c r="BG5" s="23">
        <v>-0.186</v>
      </c>
      <c r="BH5" s="23">
        <f>(0.6*AW5)+(0.4*BF5)</f>
        <v>-0.1809736296157132</v>
      </c>
      <c r="BI5" s="34">
        <v>0</v>
      </c>
      <c r="BJ5" s="77">
        <v>0</v>
      </c>
      <c r="BK5">
        <v>616</v>
      </c>
      <c r="BL5" s="34">
        <v>0</v>
      </c>
      <c r="BM5" s="34">
        <f>D5*BL$53</f>
        <v>2574</v>
      </c>
      <c r="BN5" s="34">
        <f>BL5-BM5</f>
        <v>-2574</v>
      </c>
      <c r="BO5" s="36">
        <f>(BN5-BN$50)/BN$51</f>
        <v>-5.9795769087194396E-2</v>
      </c>
      <c r="BP5" s="34">
        <v>649.24419999999998</v>
      </c>
      <c r="BQ5">
        <f>BI5-BK5</f>
        <v>-616</v>
      </c>
      <c r="BR5" s="34">
        <f t="shared" si="4"/>
        <v>-649.24419999999998</v>
      </c>
      <c r="BS5" s="23">
        <v>3.0000000000000001E-3</v>
      </c>
      <c r="BT5" s="23">
        <f>(BR5-BR$51)/BR$52</f>
        <v>-2.3154871975321224E-2</v>
      </c>
      <c r="BU5" s="23">
        <f>(0.6*BC5)+(0.4*BO5)</f>
        <v>9.3103292358101539E-2</v>
      </c>
    </row>
    <row r="6" spans="1:73" x14ac:dyDescent="0.25">
      <c r="A6" s="9" t="s">
        <v>3</v>
      </c>
      <c r="B6" s="9" t="s">
        <v>33</v>
      </c>
      <c r="C6" s="53">
        <f t="shared" si="0"/>
        <v>4</v>
      </c>
      <c r="D6" s="53">
        <v>3</v>
      </c>
      <c r="E6" s="8">
        <v>4</v>
      </c>
      <c r="F6" s="8">
        <v>0</v>
      </c>
      <c r="G6">
        <v>0</v>
      </c>
      <c r="H6" s="23"/>
      <c r="I6" s="26"/>
      <c r="J6" s="23"/>
      <c r="K6" s="69"/>
      <c r="L6" s="48"/>
      <c r="M6" s="48"/>
      <c r="N6" s="69"/>
      <c r="O6" s="69"/>
      <c r="P6" s="48"/>
      <c r="Q6" s="48"/>
      <c r="R6" s="48"/>
      <c r="S6" s="48"/>
      <c r="T6" s="26"/>
      <c r="U6" s="40"/>
      <c r="V6" s="23"/>
      <c r="W6" s="40"/>
      <c r="X6" s="40"/>
      <c r="AB6" s="23"/>
      <c r="AC6" s="23"/>
      <c r="AD6" s="39" t="s">
        <v>180</v>
      </c>
      <c r="AE6" s="80">
        <f>AD2/P51</f>
        <v>3592.3056013770797</v>
      </c>
      <c r="AG6" s="25">
        <f>I3+I4+I13+I29+I39+I46+I47+I48</f>
        <v>5.2267568659345685</v>
      </c>
      <c r="AM6" s="119"/>
      <c r="AQ6" s="23"/>
      <c r="BB6" s="23"/>
      <c r="BC6" s="23"/>
      <c r="BI6" s="34"/>
      <c r="BJ6" s="77">
        <v>0</v>
      </c>
      <c r="BO6" s="36"/>
      <c r="BT6" s="23"/>
      <c r="BU6" s="23"/>
    </row>
    <row r="7" spans="1:73" x14ac:dyDescent="0.25">
      <c r="A7" s="9" t="s">
        <v>3</v>
      </c>
      <c r="B7" s="9" t="s">
        <v>34</v>
      </c>
      <c r="C7" s="1">
        <f t="shared" si="0"/>
        <v>7</v>
      </c>
      <c r="D7" s="53">
        <v>0</v>
      </c>
      <c r="E7" s="8">
        <v>7</v>
      </c>
      <c r="F7" s="8">
        <v>0</v>
      </c>
      <c r="G7">
        <v>0</v>
      </c>
      <c r="H7" s="26">
        <v>-0.126</v>
      </c>
      <c r="I7" s="26"/>
      <c r="J7" s="26">
        <f>(0.6*BH7)+(0.4*BT7)</f>
        <v>-0.11985975372246466</v>
      </c>
      <c r="K7" s="69"/>
      <c r="L7" s="48"/>
      <c r="M7" s="48"/>
      <c r="N7" s="69"/>
      <c r="O7" s="69"/>
      <c r="P7" s="48"/>
      <c r="Q7" s="48"/>
      <c r="R7" s="48"/>
      <c r="S7" s="48"/>
      <c r="T7" s="26"/>
      <c r="U7" s="40"/>
      <c r="V7" s="23"/>
      <c r="W7" s="40"/>
      <c r="X7" s="40"/>
      <c r="AB7" s="23"/>
      <c r="AC7" s="23"/>
      <c r="AE7" s="39"/>
      <c r="AH7">
        <v>3</v>
      </c>
      <c r="AI7">
        <v>3</v>
      </c>
      <c r="AJ7">
        <f>AH7-AI7</f>
        <v>0</v>
      </c>
      <c r="AK7">
        <v>5</v>
      </c>
      <c r="AM7" s="119"/>
      <c r="AQ7" s="23"/>
      <c r="AS7" s="119">
        <v>4.9178389999999998</v>
      </c>
      <c r="AT7">
        <f t="shared" si="3"/>
        <v>-2</v>
      </c>
      <c r="AU7" s="119">
        <f>AI7-AS7</f>
        <v>-1.9178389999999998</v>
      </c>
      <c r="AV7" s="23">
        <v>-0.24399999999999999</v>
      </c>
      <c r="AW7" s="23">
        <f>(AU7-AU$51)/AU$52</f>
        <v>-0.22827709367351295</v>
      </c>
      <c r="BB7" s="23"/>
      <c r="BC7" s="23"/>
      <c r="BD7">
        <v>2</v>
      </c>
      <c r="BE7">
        <f>AX7-BD7</f>
        <v>-2</v>
      </c>
      <c r="BF7" s="23">
        <v>-0.157</v>
      </c>
      <c r="BG7" s="23">
        <v>-0.20899999999999999</v>
      </c>
      <c r="BH7" s="23">
        <f>(0.6*AW7)+(0.4*BF7)</f>
        <v>-0.19976625620410776</v>
      </c>
      <c r="BI7" s="34">
        <v>0</v>
      </c>
      <c r="BJ7" s="77">
        <v>0</v>
      </c>
      <c r="BK7">
        <v>803</v>
      </c>
      <c r="BO7" s="36"/>
      <c r="BP7" s="34">
        <v>856.69269999999995</v>
      </c>
      <c r="BQ7">
        <f>BI7-BK7</f>
        <v>-803</v>
      </c>
      <c r="BR7" s="34"/>
      <c r="BS7" s="23">
        <v>0</v>
      </c>
      <c r="BT7" s="23"/>
      <c r="BU7" s="23"/>
    </row>
    <row r="8" spans="1:73" x14ac:dyDescent="0.25">
      <c r="A8" s="9" t="s">
        <v>3</v>
      </c>
      <c r="B8" s="9" t="s">
        <v>36</v>
      </c>
      <c r="C8" s="1">
        <f t="shared" si="0"/>
        <v>13</v>
      </c>
      <c r="D8" s="1">
        <v>16</v>
      </c>
      <c r="E8" s="8">
        <v>13</v>
      </c>
      <c r="F8" s="8">
        <v>0</v>
      </c>
      <c r="G8">
        <v>0</v>
      </c>
      <c r="H8" s="26">
        <v>-0.28399999999999997</v>
      </c>
      <c r="I8" s="26">
        <v>-0.36648824127975577</v>
      </c>
      <c r="J8" s="26">
        <f>(0.6*BH8)+(0.4*BT8)</f>
        <v>-0.29199553528112721</v>
      </c>
      <c r="K8" s="69"/>
      <c r="L8" s="48"/>
      <c r="M8" s="48"/>
      <c r="N8" s="69"/>
      <c r="O8" s="69"/>
      <c r="P8" s="48"/>
      <c r="Q8" s="48"/>
      <c r="R8" s="48"/>
      <c r="S8" s="48"/>
      <c r="T8" s="26"/>
      <c r="U8" s="40"/>
      <c r="V8" s="23"/>
      <c r="W8" s="40"/>
      <c r="X8" s="40"/>
      <c r="AB8" s="23"/>
      <c r="AC8" s="23"/>
      <c r="AD8" s="39" t="s">
        <v>410</v>
      </c>
      <c r="AE8" s="80">
        <f>AD4/R51</f>
        <v>4003.4090575830946</v>
      </c>
      <c r="AH8">
        <v>0</v>
      </c>
      <c r="AI8">
        <v>1</v>
      </c>
      <c r="AJ8">
        <f>AH8-AI8</f>
        <v>-1</v>
      </c>
      <c r="AK8">
        <v>9</v>
      </c>
      <c r="AL8">
        <v>0</v>
      </c>
      <c r="AM8" s="119">
        <f>D8*AL$53</f>
        <v>15.342026078234705</v>
      </c>
      <c r="AN8">
        <v>16</v>
      </c>
      <c r="AO8" s="119">
        <f>AL8-AM8</f>
        <v>-15.342026078234705</v>
      </c>
      <c r="AP8">
        <f>AL8-AN8</f>
        <v>-16</v>
      </c>
      <c r="AQ8" s="23">
        <f>(AO8-AO$50)/AO$51</f>
        <v>-0.72013590119435633</v>
      </c>
      <c r="AR8" s="23">
        <f>(AP8-AP$50)/AP$51</f>
        <v>-0.73057904342430502</v>
      </c>
      <c r="AS8" s="119">
        <v>9.1331290000000003</v>
      </c>
      <c r="AT8">
        <f t="shared" si="3"/>
        <v>-9</v>
      </c>
      <c r="AU8" s="119">
        <f>AI8-AS8</f>
        <v>-8.1331290000000003</v>
      </c>
      <c r="AV8" s="23">
        <v>-0.51700000000000002</v>
      </c>
      <c r="AW8" s="23">
        <f>(AU8-AU$51)/AU$52</f>
        <v>-0.50536719488254611</v>
      </c>
      <c r="AX8">
        <v>0</v>
      </c>
      <c r="AY8">
        <v>0</v>
      </c>
      <c r="AZ8">
        <v>9</v>
      </c>
      <c r="BA8">
        <f>AY8-AZ8</f>
        <v>-9</v>
      </c>
      <c r="BB8" s="23">
        <f>(BA8-BA$50)/BA$51</f>
        <v>-0.1305883277938866</v>
      </c>
      <c r="BC8" s="26">
        <f>(0.6*AR8)+(0.4*BB8)</f>
        <v>-0.49058275717213762</v>
      </c>
      <c r="BD8">
        <v>4</v>
      </c>
      <c r="BE8">
        <f>AX8-BD8</f>
        <v>-4</v>
      </c>
      <c r="BF8" s="23">
        <v>-0.36499999999999999</v>
      </c>
      <c r="BG8" s="23">
        <v>-0.45600000000000002</v>
      </c>
      <c r="BH8" s="23">
        <f>(0.6*AW8)+(0.4*BF8)</f>
        <v>-0.44922031692952769</v>
      </c>
      <c r="BI8" s="34">
        <v>0</v>
      </c>
      <c r="BJ8" s="77">
        <v>0</v>
      </c>
      <c r="BK8">
        <v>2333</v>
      </c>
      <c r="BL8" s="34">
        <v>0</v>
      </c>
      <c r="BM8" s="34">
        <f>D8*BL$53</f>
        <v>6864</v>
      </c>
      <c r="BN8" s="34">
        <f>BL8-BM8</f>
        <v>-6864</v>
      </c>
      <c r="BO8" s="36">
        <f>(BN8-BN$50)/BN$51</f>
        <v>-0.18034646744118291</v>
      </c>
      <c r="BP8" s="34">
        <v>2576.4771999999998</v>
      </c>
      <c r="BQ8">
        <f>BI8-BK8</f>
        <v>-2333</v>
      </c>
      <c r="BR8" s="34">
        <f>BJ8-BP8</f>
        <v>-2576.4771999999998</v>
      </c>
      <c r="BS8" s="23">
        <v>-2.7E-2</v>
      </c>
      <c r="BT8" s="23">
        <f>(BR8-BR$51)/BR$52</f>
        <v>-5.6158362808526423E-2</v>
      </c>
      <c r="BU8" s="23">
        <f>(0.6*BC8)+(0.4*BO8)</f>
        <v>-0.36648824127975577</v>
      </c>
    </row>
    <row r="9" spans="1:73" x14ac:dyDescent="0.25">
      <c r="A9" s="7" t="s">
        <v>3</v>
      </c>
      <c r="B9" s="7" t="s">
        <v>38</v>
      </c>
      <c r="C9" s="53">
        <f t="shared" si="0"/>
        <v>4</v>
      </c>
      <c r="D9" s="53">
        <v>0</v>
      </c>
      <c r="E9" s="8">
        <v>4</v>
      </c>
      <c r="F9" s="8">
        <v>0</v>
      </c>
      <c r="G9">
        <v>0</v>
      </c>
      <c r="H9" s="23"/>
      <c r="I9" s="26"/>
      <c r="J9" s="23"/>
      <c r="K9" s="69"/>
      <c r="L9" s="48"/>
      <c r="M9" s="48"/>
      <c r="N9" s="69"/>
      <c r="O9" s="69"/>
      <c r="P9" s="48"/>
      <c r="Q9" s="48"/>
      <c r="R9" s="48"/>
      <c r="S9" s="48"/>
      <c r="T9" s="26"/>
      <c r="U9" s="40"/>
      <c r="V9" s="23"/>
      <c r="W9" s="40"/>
      <c r="X9" s="40"/>
      <c r="AB9" s="23"/>
      <c r="AC9" s="23"/>
      <c r="AM9" s="119"/>
      <c r="AQ9" s="23"/>
      <c r="BB9" s="23"/>
      <c r="BC9" s="23"/>
      <c r="BI9" s="34"/>
      <c r="BJ9" s="77">
        <v>0</v>
      </c>
      <c r="BO9" s="36"/>
      <c r="BT9" s="23"/>
      <c r="BU9" s="23"/>
    </row>
    <row r="10" spans="1:73" x14ac:dyDescent="0.25">
      <c r="A10" s="9" t="s">
        <v>3</v>
      </c>
      <c r="B10" s="9" t="s">
        <v>39</v>
      </c>
      <c r="C10" s="1">
        <f t="shared" si="0"/>
        <v>14</v>
      </c>
      <c r="D10" s="1">
        <v>12</v>
      </c>
      <c r="E10" s="8">
        <v>14</v>
      </c>
      <c r="F10" s="8">
        <v>0</v>
      </c>
      <c r="G10">
        <v>0</v>
      </c>
      <c r="H10" s="26">
        <v>-0.11</v>
      </c>
      <c r="I10" s="26">
        <v>-6.0398592552643439E-2</v>
      </c>
      <c r="J10" s="26">
        <f>(0.6*BH10)+(0.4*BT10)</f>
        <v>-0.11136156149124897</v>
      </c>
      <c r="K10" s="69"/>
      <c r="L10" s="48"/>
      <c r="M10" s="48"/>
      <c r="N10" s="69"/>
      <c r="O10" s="69"/>
      <c r="P10" s="48"/>
      <c r="Q10" s="48"/>
      <c r="R10" s="48"/>
      <c r="S10" s="48"/>
      <c r="T10" s="26"/>
      <c r="U10" s="40"/>
      <c r="V10" s="23"/>
      <c r="W10" s="40"/>
      <c r="X10" s="40"/>
      <c r="AB10" s="23"/>
      <c r="AC10" s="23"/>
      <c r="AH10">
        <v>10</v>
      </c>
      <c r="AI10">
        <v>10</v>
      </c>
      <c r="AJ10">
        <f>AH10-AI10</f>
        <v>0</v>
      </c>
      <c r="AK10">
        <v>10</v>
      </c>
      <c r="AL10">
        <v>9</v>
      </c>
      <c r="AM10" s="119">
        <f>D10*AL$53</f>
        <v>11.506519558676029</v>
      </c>
      <c r="AN10">
        <v>12</v>
      </c>
      <c r="AO10" s="119">
        <f>AL10-AM10</f>
        <v>-2.5065195586760289</v>
      </c>
      <c r="AP10">
        <f>AL10-AN10</f>
        <v>-3</v>
      </c>
      <c r="AQ10" s="23">
        <f>(AO10-AO$50)/AO$51</f>
        <v>-0.11765295613785934</v>
      </c>
      <c r="AR10" s="23">
        <f>(AP10-AP$50)/AP$51</f>
        <v>-0.11783532958456533</v>
      </c>
      <c r="AS10" s="119">
        <v>9.8356770000000004</v>
      </c>
      <c r="AT10">
        <f t="shared" si="3"/>
        <v>0</v>
      </c>
      <c r="AU10" s="119">
        <f>AI10-AS10</f>
        <v>0.16432299999999955</v>
      </c>
      <c r="AV10" s="23">
        <v>-0.16600000000000001</v>
      </c>
      <c r="AW10" s="23">
        <f>(AU10-AU$51)/AU$52</f>
        <v>-0.13545013317551488</v>
      </c>
      <c r="AX10">
        <v>4</v>
      </c>
      <c r="AY10">
        <v>3</v>
      </c>
      <c r="AZ10">
        <v>7</v>
      </c>
      <c r="BA10">
        <f>AY10-AZ10</f>
        <v>-4</v>
      </c>
      <c r="BB10" s="23">
        <f>(BA10-BA$50)/BA$51</f>
        <v>0.14530250557347951</v>
      </c>
      <c r="BC10" s="26">
        <f>(0.6*AR10)+(0.4*BB10)</f>
        <v>-1.2580195521347391E-2</v>
      </c>
      <c r="BD10">
        <v>4</v>
      </c>
      <c r="BE10">
        <f>AX10-BD10</f>
        <v>0</v>
      </c>
      <c r="BF10" s="23">
        <v>-0.157</v>
      </c>
      <c r="BG10" s="23">
        <v>-0.16200000000000001</v>
      </c>
      <c r="BH10" s="23">
        <f>(0.6*AW10)+(0.4*BF10)</f>
        <v>-0.14407007990530893</v>
      </c>
      <c r="BI10" s="34">
        <v>0</v>
      </c>
      <c r="BJ10" s="77">
        <v>0</v>
      </c>
      <c r="BK10">
        <v>2651</v>
      </c>
      <c r="BL10" s="34">
        <v>0</v>
      </c>
      <c r="BM10" s="34">
        <f>D10*BL$53</f>
        <v>5148</v>
      </c>
      <c r="BN10" s="34">
        <f>BL10-BM10</f>
        <v>-5148</v>
      </c>
      <c r="BO10" s="36">
        <f>(BN10-BN$50)/BN$51</f>
        <v>-0.13212618809958751</v>
      </c>
      <c r="BP10" s="34">
        <v>2935.0459999999998</v>
      </c>
      <c r="BQ10">
        <f>BI10-BK10</f>
        <v>-2651</v>
      </c>
      <c r="BR10" s="34">
        <f>BJ10-BP10</f>
        <v>-2935.0459999999998</v>
      </c>
      <c r="BS10" s="23">
        <v>-3.2000000000000001E-2</v>
      </c>
      <c r="BT10" s="23">
        <f>(BR10-BR$51)/BR$52</f>
        <v>-6.2298783870159025E-2</v>
      </c>
      <c r="BU10" s="23">
        <f>(0.6*BC10)+(0.4*BO10)</f>
        <v>-6.0398592552643439E-2</v>
      </c>
    </row>
    <row r="11" spans="1:73" x14ac:dyDescent="0.25">
      <c r="A11" s="9" t="s">
        <v>3</v>
      </c>
      <c r="B11" s="9" t="s">
        <v>40</v>
      </c>
      <c r="C11" s="1">
        <f t="shared" si="0"/>
        <v>22</v>
      </c>
      <c r="D11" s="1">
        <v>16</v>
      </c>
      <c r="E11" s="8">
        <v>21</v>
      </c>
      <c r="F11" s="8">
        <v>1</v>
      </c>
      <c r="G11">
        <v>0</v>
      </c>
      <c r="H11" s="26">
        <v>-0.16500000000000001</v>
      </c>
      <c r="I11" s="26">
        <v>-0.14921920396253296</v>
      </c>
      <c r="J11" s="26">
        <f>(0.6*BH11)+(0.4*BT11)</f>
        <v>-0.20471751158530282</v>
      </c>
      <c r="K11" s="69"/>
      <c r="L11" s="48"/>
      <c r="M11" s="48"/>
      <c r="N11" s="69"/>
      <c r="O11" s="69"/>
      <c r="P11" s="48"/>
      <c r="Q11" s="48"/>
      <c r="R11" s="48"/>
      <c r="S11" s="48"/>
      <c r="T11" s="26"/>
      <c r="U11" s="40"/>
      <c r="V11" s="23"/>
      <c r="W11" s="40"/>
      <c r="X11" s="40"/>
      <c r="AB11" s="23"/>
      <c r="AC11" s="23"/>
      <c r="AH11">
        <v>2</v>
      </c>
      <c r="AI11">
        <v>2</v>
      </c>
      <c r="AJ11">
        <f>AH11-AI11</f>
        <v>0</v>
      </c>
      <c r="AK11">
        <v>15</v>
      </c>
      <c r="AL11">
        <v>5</v>
      </c>
      <c r="AM11" s="119">
        <f>D11*AL$53</f>
        <v>15.342026078234705</v>
      </c>
      <c r="AN11">
        <v>16</v>
      </c>
      <c r="AO11" s="119">
        <f>AL11-AM11</f>
        <v>-10.342026078234705</v>
      </c>
      <c r="AP11">
        <f>AL11-AN11</f>
        <v>-11</v>
      </c>
      <c r="AQ11" s="23">
        <f>(AO11-AO$50)/AO$51</f>
        <v>-0.48544202910662976</v>
      </c>
      <c r="AR11" s="23">
        <f>(AP11-AP$50)/AP$51</f>
        <v>-0.49490838425517442</v>
      </c>
      <c r="AS11" s="119">
        <v>15.456064</v>
      </c>
      <c r="AT11">
        <f t="shared" si="3"/>
        <v>-13</v>
      </c>
      <c r="AU11" s="119">
        <f>AI11-AS11</f>
        <v>-13.456064</v>
      </c>
      <c r="AV11" s="23">
        <v>-0.67200000000000004</v>
      </c>
      <c r="AW11" s="23">
        <f>(AU11-AU$51)/AU$52</f>
        <v>-0.7426743193898665</v>
      </c>
      <c r="AX11">
        <v>7</v>
      </c>
      <c r="AY11">
        <v>10</v>
      </c>
      <c r="AZ11">
        <v>9</v>
      </c>
      <c r="BA11">
        <f>AY11-AZ11</f>
        <v>1</v>
      </c>
      <c r="BB11" s="26">
        <f>(BA11-BA$50)/BA$51</f>
        <v>0.4211933389408456</v>
      </c>
      <c r="BC11" s="26">
        <f>(0.6*AR11)+(0.4*BB11)</f>
        <v>-0.12846769497676636</v>
      </c>
      <c r="BD11">
        <v>7</v>
      </c>
      <c r="BE11">
        <f>AX11-BD11</f>
        <v>0</v>
      </c>
      <c r="BF11" s="23">
        <v>0.46500000000000002</v>
      </c>
      <c r="BG11" s="23">
        <v>-0.217</v>
      </c>
      <c r="BH11" s="23">
        <f>(0.6*AW11)+(0.4*BF11)</f>
        <v>-0.25960459163391991</v>
      </c>
      <c r="BI11" s="34">
        <v>0</v>
      </c>
      <c r="BJ11" s="77">
        <v>0</v>
      </c>
      <c r="BK11">
        <v>5775</v>
      </c>
      <c r="BL11" s="34">
        <v>0</v>
      </c>
      <c r="BM11" s="34">
        <f>D11*BL$53</f>
        <v>6864</v>
      </c>
      <c r="BN11" s="34">
        <f>BL11-BM11</f>
        <v>-6864</v>
      </c>
      <c r="BO11" s="36">
        <f>(BN11-BN$50)/BN$51</f>
        <v>-0.18034646744118291</v>
      </c>
      <c r="BP11" s="34">
        <v>6443.8804</v>
      </c>
      <c r="BQ11">
        <f>BI11-BK11</f>
        <v>-5775</v>
      </c>
      <c r="BR11" s="34">
        <f>BJ11-BP11</f>
        <v>-6443.8804</v>
      </c>
      <c r="BS11" s="23">
        <v>-8.5999999999999993E-2</v>
      </c>
      <c r="BT11" s="23">
        <f>(BR11-BR$51)/BR$52</f>
        <v>-0.12238689151237722</v>
      </c>
      <c r="BU11" s="23">
        <f>(0.6*BC11)+(0.4*BO11)</f>
        <v>-0.14921920396253296</v>
      </c>
    </row>
    <row r="12" spans="1:73" x14ac:dyDescent="0.25">
      <c r="A12" s="9" t="s">
        <v>43</v>
      </c>
      <c r="B12" s="9" t="s">
        <v>45</v>
      </c>
      <c r="C12" s="32">
        <f t="shared" si="0"/>
        <v>13</v>
      </c>
      <c r="D12" s="32">
        <v>0</v>
      </c>
      <c r="E12">
        <v>0</v>
      </c>
      <c r="F12">
        <v>0</v>
      </c>
      <c r="G12">
        <v>13</v>
      </c>
      <c r="H12" s="23"/>
      <c r="I12" s="26"/>
      <c r="J12" s="23"/>
      <c r="K12" s="69"/>
      <c r="L12" s="48"/>
      <c r="M12" s="48"/>
      <c r="N12" s="69"/>
      <c r="O12" s="69"/>
      <c r="P12" s="48"/>
      <c r="Q12" s="48"/>
      <c r="R12" s="48"/>
      <c r="S12" s="48"/>
      <c r="T12" s="26"/>
      <c r="U12" s="47" t="e">
        <f>(0.6*X12)+(0.4*#REF!)</f>
        <v>#REF!</v>
      </c>
      <c r="V12" s="23">
        <v>8.06</v>
      </c>
      <c r="W12" s="42">
        <f>V12/(G12+G13)</f>
        <v>0.40300000000000002</v>
      </c>
      <c r="X12" s="42">
        <f>W12/W51</f>
        <v>0.25974679784193949</v>
      </c>
      <c r="Y12" s="67" t="e">
        <f>Z12*#REF!</f>
        <v>#REF!</v>
      </c>
      <c r="Z12" s="40" t="e">
        <f>AA12*(G12+G13)</f>
        <v>#REF!</v>
      </c>
      <c r="AA12" s="40" t="e">
        <f>U12/AK2</f>
        <v>#REF!</v>
      </c>
      <c r="AB12" s="23"/>
      <c r="AC12" s="23"/>
      <c r="AM12" s="119"/>
      <c r="AQ12" s="23"/>
      <c r="BB12" s="23"/>
      <c r="BC12" s="23"/>
      <c r="BI12" s="34"/>
      <c r="BJ12" s="77">
        <v>0</v>
      </c>
      <c r="BO12" s="36"/>
      <c r="BT12" s="23"/>
      <c r="BU12" s="23"/>
    </row>
    <row r="13" spans="1:73" x14ac:dyDescent="0.25">
      <c r="A13" s="9" t="s">
        <v>43</v>
      </c>
      <c r="B13" s="9" t="s">
        <v>47</v>
      </c>
      <c r="C13" s="10">
        <v>9</v>
      </c>
      <c r="D13" s="10">
        <v>10</v>
      </c>
      <c r="E13">
        <v>9</v>
      </c>
      <c r="F13">
        <v>0</v>
      </c>
      <c r="G13">
        <v>7</v>
      </c>
      <c r="H13" s="26">
        <v>8.5000000000000006E-2</v>
      </c>
      <c r="I13" s="25">
        <v>0.16031596775489218</v>
      </c>
      <c r="J13" s="26">
        <f>(0.6*BH13)+(0.4*BT13)</f>
        <v>0.10750655927904355</v>
      </c>
      <c r="K13" s="69"/>
      <c r="L13" s="48"/>
      <c r="M13" s="68">
        <f>R13*AE$8</f>
        <v>1227.9323753667197</v>
      </c>
      <c r="N13" s="69"/>
      <c r="O13" s="69"/>
      <c r="P13" s="48"/>
      <c r="Q13" s="48"/>
      <c r="R13" s="40">
        <f>D13*AB13</f>
        <v>0.30672168586940179</v>
      </c>
      <c r="S13" s="48"/>
      <c r="T13" s="26"/>
      <c r="U13" s="40"/>
      <c r="V13" s="23"/>
      <c r="W13" s="40"/>
      <c r="X13" s="40"/>
      <c r="Y13" s="37"/>
      <c r="Z13" s="40"/>
      <c r="AA13" s="40"/>
      <c r="AB13" s="23">
        <f>I13/AG$6</f>
        <v>3.067216858694018E-2</v>
      </c>
      <c r="AC13" s="23"/>
      <c r="AH13">
        <v>21</v>
      </c>
      <c r="AI13">
        <v>21</v>
      </c>
      <c r="AJ13">
        <f>AH13-AI13</f>
        <v>0</v>
      </c>
      <c r="AK13">
        <v>6</v>
      </c>
      <c r="AL13">
        <v>21</v>
      </c>
      <c r="AM13" s="119">
        <f>D13*AL$53</f>
        <v>9.5887662988966902</v>
      </c>
      <c r="AN13">
        <v>10</v>
      </c>
      <c r="AO13" s="119">
        <f>AL13-AM13</f>
        <v>11.41123370110331</v>
      </c>
      <c r="AP13">
        <f>AL13-AN13</f>
        <v>11</v>
      </c>
      <c r="AQ13" s="25">
        <f>(AO13-AO$50)/AO$51</f>
        <v>0.53562932452197909</v>
      </c>
      <c r="AR13" s="25">
        <f>(AP13-AP$50)/AP$51</f>
        <v>0.54204251608900056</v>
      </c>
      <c r="AS13" s="119">
        <v>6.3229350000000002</v>
      </c>
      <c r="AT13">
        <f t="shared" si="3"/>
        <v>15</v>
      </c>
      <c r="AU13" s="119">
        <f>AI13-AS13</f>
        <v>14.677064999999999</v>
      </c>
      <c r="AV13" s="23">
        <v>0.41799999999999998</v>
      </c>
      <c r="AW13" s="23">
        <f>(AU13-AU$51)/AU$52</f>
        <v>0.51155702974054929</v>
      </c>
      <c r="AX13">
        <v>0</v>
      </c>
      <c r="AY13">
        <v>0</v>
      </c>
      <c r="AZ13">
        <v>6</v>
      </c>
      <c r="BA13">
        <f>AY13-AZ13</f>
        <v>-6</v>
      </c>
      <c r="BB13" s="23">
        <f>(BA13-BA$50)/BA$51</f>
        <v>3.4946172226533061E-2</v>
      </c>
      <c r="BC13" s="25">
        <f>(0.6*AR13)+(0.4*BB13)</f>
        <v>0.33920397854401352</v>
      </c>
      <c r="BD13">
        <v>3</v>
      </c>
      <c r="BE13">
        <f>AX13-BD13</f>
        <v>-3</v>
      </c>
      <c r="BF13" s="23">
        <v>-0.26100000000000001</v>
      </c>
      <c r="BG13" s="23">
        <v>0.14699999999999999</v>
      </c>
      <c r="BH13" s="23">
        <f>(0.6*AW13)+(0.4*BF13)</f>
        <v>0.20253421784432957</v>
      </c>
      <c r="BI13" s="34">
        <v>0</v>
      </c>
      <c r="BJ13" s="77">
        <v>0</v>
      </c>
      <c r="BK13">
        <v>1238</v>
      </c>
      <c r="BL13" s="34">
        <v>0</v>
      </c>
      <c r="BM13" s="34">
        <f>D13*BL$53</f>
        <v>4290</v>
      </c>
      <c r="BN13" s="34">
        <f>BL13-BM13</f>
        <v>-4290</v>
      </c>
      <c r="BO13" s="36">
        <f>(BN13-BN$50)/BN$51</f>
        <v>-0.1080160484287898</v>
      </c>
      <c r="BP13" s="34">
        <v>1342.9780000000001</v>
      </c>
      <c r="BQ13">
        <f>BI13-BK13</f>
        <v>-1238</v>
      </c>
      <c r="BR13" s="34">
        <f>BJ13-BP13</f>
        <v>-1342.9780000000001</v>
      </c>
      <c r="BS13" s="23">
        <v>-8.0000000000000002E-3</v>
      </c>
      <c r="BT13" s="23">
        <f>(BR13-BR$51)/BR$52</f>
        <v>-3.5034928568885473E-2</v>
      </c>
      <c r="BU13" s="25">
        <f>(0.6*BC13)+(0.4*BO13)</f>
        <v>0.16031596775489218</v>
      </c>
    </row>
    <row r="14" spans="1:73" x14ac:dyDescent="0.25">
      <c r="A14" s="7" t="s">
        <v>43</v>
      </c>
      <c r="B14" s="7" t="s">
        <v>48</v>
      </c>
      <c r="C14" s="10">
        <f t="shared" si="0"/>
        <v>5</v>
      </c>
      <c r="D14" s="32">
        <v>3</v>
      </c>
      <c r="E14">
        <v>5</v>
      </c>
      <c r="F14">
        <v>0</v>
      </c>
      <c r="G14">
        <v>0</v>
      </c>
      <c r="H14" s="26">
        <v>-0.123</v>
      </c>
      <c r="I14" s="26">
        <v>0</v>
      </c>
      <c r="J14" s="26">
        <f>(0.6*BH14)+(0.4*BT14)</f>
        <v>-0.13742186876678442</v>
      </c>
      <c r="K14" s="69"/>
      <c r="L14" s="48"/>
      <c r="M14" s="48"/>
      <c r="N14" s="69"/>
      <c r="O14" s="69"/>
      <c r="P14" s="48"/>
      <c r="Q14" s="48"/>
      <c r="R14" s="48"/>
      <c r="S14" s="48"/>
      <c r="T14" s="26"/>
      <c r="U14" s="40"/>
      <c r="V14" s="23"/>
      <c r="W14" s="40"/>
      <c r="X14" s="40"/>
      <c r="Y14" s="37"/>
      <c r="Z14" s="40"/>
      <c r="AA14" s="40"/>
      <c r="AB14" s="23"/>
      <c r="AC14" s="23"/>
      <c r="AH14">
        <v>1</v>
      </c>
      <c r="AI14">
        <v>1</v>
      </c>
      <c r="AJ14">
        <f>AH14-AI14</f>
        <v>0</v>
      </c>
      <c r="AK14">
        <v>3</v>
      </c>
      <c r="AM14" s="119"/>
      <c r="AQ14" s="23"/>
      <c r="AS14" s="119">
        <v>3.5127419999999998</v>
      </c>
      <c r="AT14">
        <f t="shared" si="3"/>
        <v>-2</v>
      </c>
      <c r="AU14" s="119">
        <f>AI14-AS14</f>
        <v>-2.5127419999999998</v>
      </c>
      <c r="AV14" s="23">
        <v>-0.24399999999999999</v>
      </c>
      <c r="AW14" s="23">
        <f>(AU14-AU$51)/AU$52</f>
        <v>-0.25479906328065233</v>
      </c>
      <c r="AX14">
        <v>0</v>
      </c>
      <c r="BB14" s="23"/>
      <c r="BC14" s="23"/>
      <c r="BD14">
        <v>2</v>
      </c>
      <c r="BE14">
        <f>AX14-BD14</f>
        <v>-2</v>
      </c>
      <c r="BF14" s="23">
        <v>-0.157</v>
      </c>
      <c r="BG14" s="23">
        <v>-0.20899999999999999</v>
      </c>
      <c r="BH14" s="23">
        <f>(0.6*AW14)+(0.4*BF14)</f>
        <v>-0.2156794379683914</v>
      </c>
      <c r="BI14" s="34">
        <v>0</v>
      </c>
      <c r="BJ14" s="77">
        <v>0</v>
      </c>
      <c r="BK14">
        <v>450</v>
      </c>
      <c r="BO14" s="36"/>
      <c r="BP14" s="34">
        <v>467.0899</v>
      </c>
      <c r="BQ14">
        <f>BI14-BK14</f>
        <v>-450</v>
      </c>
      <c r="BR14" s="34">
        <f>BJ14-BP14</f>
        <v>-467.0899</v>
      </c>
      <c r="BS14" s="23">
        <v>6.0000000000000001E-3</v>
      </c>
      <c r="BT14" s="23">
        <f>(BR14-BR$51)/BR$52</f>
        <v>-2.003551496437397E-2</v>
      </c>
      <c r="BU14" s="23">
        <f>(0.6*BC14)+(0.4*BO14)</f>
        <v>0</v>
      </c>
    </row>
    <row r="15" spans="1:73" x14ac:dyDescent="0.25">
      <c r="A15" s="9" t="s">
        <v>43</v>
      </c>
      <c r="B15" s="9" t="s">
        <v>49</v>
      </c>
      <c r="C15" s="32">
        <f t="shared" si="0"/>
        <v>1</v>
      </c>
      <c r="D15" s="32">
        <v>4</v>
      </c>
      <c r="E15">
        <v>1</v>
      </c>
      <c r="F15">
        <v>0</v>
      </c>
      <c r="G15">
        <v>0</v>
      </c>
      <c r="H15" s="23"/>
      <c r="I15" s="26"/>
      <c r="J15" s="23"/>
      <c r="K15" s="69"/>
      <c r="L15" s="48"/>
      <c r="M15" s="48"/>
      <c r="N15" s="69"/>
      <c r="O15" s="69"/>
      <c r="P15" s="48"/>
      <c r="Q15" s="48"/>
      <c r="R15" s="48"/>
      <c r="S15" s="48"/>
      <c r="T15" s="26"/>
      <c r="U15" s="40"/>
      <c r="V15" s="23"/>
      <c r="W15" s="40"/>
      <c r="X15" s="40"/>
      <c r="Y15" s="37"/>
      <c r="Z15" s="40"/>
      <c r="AA15" s="40"/>
      <c r="AB15" s="23"/>
      <c r="AC15" s="23"/>
      <c r="AM15" s="119"/>
      <c r="AQ15" s="23"/>
      <c r="BB15" s="23"/>
      <c r="BC15" s="23"/>
      <c r="BI15" s="34"/>
      <c r="BJ15" s="77">
        <v>0</v>
      </c>
      <c r="BO15" s="36"/>
      <c r="BT15" s="23"/>
      <c r="BU15" s="23"/>
    </row>
    <row r="16" spans="1:73" x14ac:dyDescent="0.25">
      <c r="A16" s="9" t="s">
        <v>43</v>
      </c>
      <c r="B16" s="9" t="s">
        <v>51</v>
      </c>
      <c r="C16" s="32">
        <f t="shared" si="0"/>
        <v>1</v>
      </c>
      <c r="D16" s="32">
        <v>1</v>
      </c>
      <c r="E16">
        <v>1</v>
      </c>
      <c r="F16">
        <v>0</v>
      </c>
      <c r="G16">
        <v>0</v>
      </c>
      <c r="H16" s="23"/>
      <c r="I16" s="26"/>
      <c r="J16" s="23"/>
      <c r="K16" s="69"/>
      <c r="L16" s="48"/>
      <c r="M16" s="48"/>
      <c r="N16" s="69"/>
      <c r="O16" s="69"/>
      <c r="P16" s="48"/>
      <c r="Q16" s="48"/>
      <c r="R16" s="48"/>
      <c r="S16" s="48"/>
      <c r="T16" s="26"/>
      <c r="U16" s="40"/>
      <c r="V16" s="23"/>
      <c r="W16" s="40"/>
      <c r="X16" s="40"/>
      <c r="Y16" s="37"/>
      <c r="Z16" s="40"/>
      <c r="AA16" s="40"/>
      <c r="AB16" s="23"/>
      <c r="AC16" s="23"/>
      <c r="AM16" s="119"/>
      <c r="AQ16" s="23"/>
      <c r="BB16" s="23"/>
      <c r="BC16" s="23"/>
      <c r="BI16" s="34"/>
      <c r="BJ16" s="77">
        <v>0</v>
      </c>
      <c r="BO16" s="36"/>
      <c r="BT16" s="23"/>
      <c r="BU16" s="23"/>
    </row>
    <row r="17" spans="1:73" x14ac:dyDescent="0.25">
      <c r="A17" s="7" t="s">
        <v>52</v>
      </c>
      <c r="B17" s="7" t="s">
        <v>58</v>
      </c>
      <c r="C17" s="10">
        <f t="shared" si="0"/>
        <v>56</v>
      </c>
      <c r="D17" s="10">
        <v>57</v>
      </c>
      <c r="E17" s="8">
        <v>56</v>
      </c>
      <c r="F17">
        <v>0</v>
      </c>
      <c r="G17">
        <v>0</v>
      </c>
      <c r="H17" s="26">
        <v>-0.96599999999999997</v>
      </c>
      <c r="I17" s="26">
        <v>-1.2437365405743139</v>
      </c>
      <c r="J17" s="26">
        <f>(0.6*BH17)+(0.4*BT17)</f>
        <v>-1.0850246563051003</v>
      </c>
      <c r="K17" s="69"/>
      <c r="L17" s="48"/>
      <c r="M17" s="48"/>
      <c r="N17" s="69"/>
      <c r="O17" s="69"/>
      <c r="P17" s="48"/>
      <c r="Q17" s="48"/>
      <c r="R17" s="48"/>
      <c r="S17" s="48"/>
      <c r="T17" s="26"/>
      <c r="U17" s="40"/>
      <c r="V17" s="23"/>
      <c r="W17" s="40"/>
      <c r="X17" s="40"/>
      <c r="Y17" s="37"/>
      <c r="Z17" s="40"/>
      <c r="AA17" s="40"/>
      <c r="AB17" s="23"/>
      <c r="AC17" s="23"/>
      <c r="AH17">
        <v>13</v>
      </c>
      <c r="AI17">
        <v>11</v>
      </c>
      <c r="AJ17">
        <f>AH17-AI17</f>
        <v>2</v>
      </c>
      <c r="AK17">
        <v>38</v>
      </c>
      <c r="AL17">
        <v>13</v>
      </c>
      <c r="AM17" s="119">
        <f>D17*AL$53</f>
        <v>54.655967903711137</v>
      </c>
      <c r="AN17">
        <v>55</v>
      </c>
      <c r="AO17" s="119">
        <f>AL17-AM17</f>
        <v>-41.655967903711137</v>
      </c>
      <c r="AP17">
        <f>AL17-AN17</f>
        <v>-42</v>
      </c>
      <c r="AQ17" s="23">
        <f t="shared" ref="AQ17:AR19" si="5">(AO17-AO$50)/AO$51</f>
        <v>-1.9552800805768054</v>
      </c>
      <c r="AR17" s="23">
        <f t="shared" si="5"/>
        <v>-1.9560664711037845</v>
      </c>
      <c r="AS17" s="119">
        <v>39.342708000000002</v>
      </c>
      <c r="AT17">
        <f t="shared" si="3"/>
        <v>-25</v>
      </c>
      <c r="AU17" s="119">
        <f>AI17-AS17</f>
        <v>-28.342708000000002</v>
      </c>
      <c r="AV17" s="23">
        <v>-1.1399999999999999</v>
      </c>
      <c r="AW17" s="23">
        <f>(AU17-AU$51)/AU$52</f>
        <v>-1.4063507838223943</v>
      </c>
      <c r="AX17">
        <v>2</v>
      </c>
      <c r="AY17">
        <v>5</v>
      </c>
      <c r="AZ17">
        <v>32</v>
      </c>
      <c r="BA17">
        <f>AY17-AZ17</f>
        <v>-27</v>
      </c>
      <c r="BB17" s="23">
        <f>(BA17-BA$50)/BA$51</f>
        <v>-1.1237953279164046</v>
      </c>
      <c r="BC17" s="26">
        <f>(0.6*AR17)+(0.4*BB17)</f>
        <v>-1.6231580138288326</v>
      </c>
      <c r="BD17">
        <v>18</v>
      </c>
      <c r="BE17">
        <f>AX17-BD17</f>
        <v>-16</v>
      </c>
      <c r="BF17" s="23">
        <v>-1.506</v>
      </c>
      <c r="BG17" s="23">
        <v>-1.286</v>
      </c>
      <c r="BH17" s="23">
        <f>(0.6*AW17)+(0.4*BF17)</f>
        <v>-1.4462104702934366</v>
      </c>
      <c r="BI17" s="34">
        <v>0</v>
      </c>
      <c r="BJ17" s="77">
        <v>0</v>
      </c>
      <c r="BK17">
        <v>28878</v>
      </c>
      <c r="BL17" s="34">
        <v>0</v>
      </c>
      <c r="BM17" s="34">
        <f>D17*BL$53</f>
        <v>24453</v>
      </c>
      <c r="BN17" s="34">
        <f>BL17-BM17</f>
        <v>-24453</v>
      </c>
      <c r="BO17" s="36">
        <f>(BN17-BN$50)/BN$51</f>
        <v>-0.67460433069253589</v>
      </c>
      <c r="BP17" s="34">
        <v>31019.869699999999</v>
      </c>
      <c r="BQ17">
        <f>BI17-BK17</f>
        <v>-28878</v>
      </c>
      <c r="BR17" s="34">
        <f>BJ17-BP17</f>
        <v>-31019.869699999999</v>
      </c>
      <c r="BS17" s="23">
        <v>-0.48699999999999999</v>
      </c>
      <c r="BT17" s="23">
        <f>(BR17-BR$51)/BR$52</f>
        <v>-0.54324593532259591</v>
      </c>
      <c r="BU17" s="23">
        <f>(0.6*BC17)+(0.4*BO17)</f>
        <v>-1.2437365405743139</v>
      </c>
    </row>
    <row r="18" spans="1:73" x14ac:dyDescent="0.25">
      <c r="A18" s="235" t="s">
        <v>344</v>
      </c>
      <c r="B18" s="235" t="s">
        <v>345</v>
      </c>
      <c r="C18" s="10">
        <v>0</v>
      </c>
      <c r="D18" s="10">
        <v>9</v>
      </c>
      <c r="E18" s="8"/>
      <c r="H18" s="26"/>
      <c r="I18" s="26"/>
      <c r="J18" s="26"/>
      <c r="K18" s="69"/>
      <c r="L18" s="48"/>
      <c r="M18" s="48"/>
      <c r="N18" s="69"/>
      <c r="O18" s="69"/>
      <c r="P18" s="48"/>
      <c r="Q18" s="48"/>
      <c r="R18" s="48"/>
      <c r="S18" s="48"/>
      <c r="T18" s="26"/>
      <c r="U18" s="40"/>
      <c r="V18" s="23"/>
      <c r="W18" s="40"/>
      <c r="X18" s="40"/>
      <c r="Y18" s="37"/>
      <c r="Z18" s="40"/>
      <c r="AA18" s="40"/>
      <c r="AB18" s="23"/>
      <c r="AC18" s="23"/>
      <c r="AL18">
        <v>0</v>
      </c>
      <c r="AM18" s="119">
        <f>D18*AL$53</f>
        <v>8.6298896690070208</v>
      </c>
      <c r="AN18">
        <v>9</v>
      </c>
      <c r="AO18" s="119">
        <f>AL18-AM18</f>
        <v>-8.6298896690070208</v>
      </c>
      <c r="AP18">
        <f>AL18-AN18</f>
        <v>-9</v>
      </c>
      <c r="AQ18" s="23">
        <f t="shared" si="5"/>
        <v>-0.40507644442182544</v>
      </c>
      <c r="AR18" s="23">
        <f t="shared" si="5"/>
        <v>-0.40064012058752213</v>
      </c>
      <c r="AS18" s="119"/>
      <c r="AU18" s="119"/>
      <c r="AY18">
        <v>0</v>
      </c>
      <c r="AZ18">
        <v>5</v>
      </c>
      <c r="BA18">
        <f>AY18-AZ18</f>
        <v>-5</v>
      </c>
      <c r="BB18" s="23">
        <f>(BA18-BA$50)/BA$51</f>
        <v>9.0124338900006276E-2</v>
      </c>
      <c r="BC18" s="26">
        <f>(0.6*AR18)+(0.4*BB18)</f>
        <v>-0.20433433679251076</v>
      </c>
      <c r="BG18" s="23"/>
      <c r="BH18" s="23"/>
      <c r="BI18" s="34"/>
      <c r="BJ18" s="77"/>
      <c r="BL18" s="34">
        <v>0</v>
      </c>
      <c r="BM18" s="34">
        <f>D18*BL$53</f>
        <v>3861</v>
      </c>
      <c r="BN18" s="34">
        <f>BL18-BM18</f>
        <v>-3861</v>
      </c>
      <c r="BO18" s="36">
        <f>(BN18-BN$50)/BN$51</f>
        <v>-9.596097859339095E-2</v>
      </c>
      <c r="BP18" s="34"/>
      <c r="BR18" s="34"/>
      <c r="BS18" s="23"/>
      <c r="BT18" s="23"/>
      <c r="BU18" s="23"/>
    </row>
    <row r="19" spans="1:73" x14ac:dyDescent="0.25">
      <c r="A19" s="7" t="s">
        <v>68</v>
      </c>
      <c r="B19" s="7" t="s">
        <v>69</v>
      </c>
      <c r="C19" s="32">
        <f t="shared" si="0"/>
        <v>1</v>
      </c>
      <c r="D19" s="10">
        <v>9</v>
      </c>
      <c r="E19" s="8">
        <v>0</v>
      </c>
      <c r="F19" s="8">
        <v>0</v>
      </c>
      <c r="G19" s="29">
        <v>1</v>
      </c>
      <c r="H19" s="23"/>
      <c r="I19" s="26"/>
      <c r="J19" s="23"/>
      <c r="K19" s="69"/>
      <c r="L19" s="48"/>
      <c r="M19" s="48"/>
      <c r="N19" s="69"/>
      <c r="O19" s="69"/>
      <c r="P19" s="48"/>
      <c r="Q19" s="48"/>
      <c r="R19" s="48"/>
      <c r="S19" s="48"/>
      <c r="T19" s="26"/>
      <c r="U19" s="40"/>
      <c r="V19" s="23"/>
      <c r="W19" s="40"/>
      <c r="X19" s="40"/>
      <c r="Y19" s="37"/>
      <c r="Z19" s="40"/>
      <c r="AA19" s="40"/>
      <c r="AB19" s="23"/>
      <c r="AC19" s="23"/>
      <c r="AL19">
        <v>2</v>
      </c>
      <c r="AM19" s="119">
        <f>D19*AL$53</f>
        <v>8.6298896690070208</v>
      </c>
      <c r="AN19">
        <v>9</v>
      </c>
      <c r="AO19" s="119">
        <f>AL19-AM19</f>
        <v>-6.6298896690070208</v>
      </c>
      <c r="AP19">
        <f>AL19-AN19</f>
        <v>-7</v>
      </c>
      <c r="AQ19" s="23">
        <f t="shared" si="5"/>
        <v>-0.31119889558673475</v>
      </c>
      <c r="AR19" s="23">
        <f t="shared" si="5"/>
        <v>-0.30637185691986984</v>
      </c>
      <c r="AY19">
        <v>1</v>
      </c>
      <c r="AZ19">
        <v>5</v>
      </c>
      <c r="BA19">
        <f>AY19-AZ19</f>
        <v>-4</v>
      </c>
      <c r="BB19" s="26">
        <f>(BA19-BA$50)/BA$51</f>
        <v>0.14530250557347951</v>
      </c>
      <c r="BC19" s="26">
        <f>(0.6*AR19)+(0.4*BB19)</f>
        <v>-0.12570211192253009</v>
      </c>
      <c r="BI19" s="34"/>
      <c r="BJ19" s="77">
        <v>0</v>
      </c>
      <c r="BL19" s="34">
        <v>0</v>
      </c>
      <c r="BM19" s="34">
        <f>D19*BL$53</f>
        <v>3861</v>
      </c>
      <c r="BN19" s="34">
        <f>BL19-BM19</f>
        <v>-3861</v>
      </c>
      <c r="BO19" s="36">
        <f>(BN19-BN$50)/BN$51</f>
        <v>-9.596097859339095E-2</v>
      </c>
      <c r="BT19" s="23"/>
      <c r="BU19" s="23"/>
    </row>
    <row r="20" spans="1:73" x14ac:dyDescent="0.25">
      <c r="A20" s="9" t="s">
        <v>68</v>
      </c>
      <c r="B20" s="9" t="s">
        <v>70</v>
      </c>
      <c r="C20" s="32">
        <f t="shared" si="0"/>
        <v>13</v>
      </c>
      <c r="D20" s="32">
        <v>0</v>
      </c>
      <c r="E20" s="8">
        <v>0</v>
      </c>
      <c r="F20" s="8">
        <v>0</v>
      </c>
      <c r="G20" s="8">
        <v>13</v>
      </c>
      <c r="K20" s="70"/>
      <c r="L20" s="48"/>
      <c r="M20" s="48"/>
      <c r="N20" s="69"/>
      <c r="O20" s="69"/>
      <c r="P20" s="48"/>
      <c r="Q20" s="48"/>
      <c r="R20" s="48"/>
      <c r="S20" s="48"/>
      <c r="T20" s="26"/>
      <c r="U20" s="40" t="e">
        <f>(0.6*X20)+(0.4*#REF!)</f>
        <v>#REF!</v>
      </c>
      <c r="V20" s="23">
        <v>0.502</v>
      </c>
      <c r="W20" s="40">
        <f>V20/G20</f>
        <v>3.8615384615384614E-2</v>
      </c>
      <c r="X20" s="40">
        <f>W20/W51</f>
        <v>2.4888889581342551E-2</v>
      </c>
      <c r="Y20" s="37"/>
      <c r="Z20" s="40"/>
      <c r="AA20" s="40"/>
      <c r="AB20" s="23"/>
      <c r="AC20" s="23"/>
      <c r="AM20" s="119"/>
      <c r="AQ20" s="23"/>
      <c r="BB20" s="23"/>
      <c r="BC20" s="23"/>
      <c r="BI20" s="34"/>
      <c r="BJ20" s="77">
        <v>0</v>
      </c>
      <c r="BO20" s="36"/>
      <c r="BT20" s="23"/>
      <c r="BU20" s="23"/>
    </row>
    <row r="21" spans="1:73" x14ac:dyDescent="0.25">
      <c r="A21" s="9" t="s">
        <v>74</v>
      </c>
      <c r="B21" s="9" t="s">
        <v>75</v>
      </c>
      <c r="C21" s="32">
        <f t="shared" si="0"/>
        <v>118</v>
      </c>
      <c r="D21" s="32">
        <v>0</v>
      </c>
      <c r="E21">
        <v>0</v>
      </c>
      <c r="F21">
        <v>0</v>
      </c>
      <c r="G21">
        <v>118</v>
      </c>
      <c r="H21" s="23"/>
      <c r="I21" s="26"/>
      <c r="J21" s="23"/>
      <c r="K21" s="69"/>
      <c r="L21" s="48"/>
      <c r="M21" s="48"/>
      <c r="N21" s="69"/>
      <c r="O21" s="69"/>
      <c r="P21" s="48"/>
      <c r="Q21" s="48"/>
      <c r="R21" s="48"/>
      <c r="S21" s="48"/>
      <c r="T21" s="26"/>
      <c r="U21" s="47" t="e">
        <f>(0.6*X21)+(0.4*#REF!)</f>
        <v>#REF!</v>
      </c>
      <c r="V21" s="23">
        <v>23.234999999999999</v>
      </c>
      <c r="W21" s="42">
        <f>V21/G21</f>
        <v>0.19690677966101694</v>
      </c>
      <c r="X21" s="42">
        <f>W21/W51</f>
        <v>0.12691291684942305</v>
      </c>
      <c r="Y21" s="67" t="e">
        <f>Z21*#REF!</f>
        <v>#REF!</v>
      </c>
      <c r="Z21" s="40" t="e">
        <f>AA21*G21</f>
        <v>#REF!</v>
      </c>
      <c r="AA21" s="40" t="e">
        <f>U21/AK2</f>
        <v>#REF!</v>
      </c>
      <c r="AB21" s="23"/>
      <c r="AC21" s="23"/>
      <c r="AM21" s="119"/>
      <c r="AQ21" s="23"/>
      <c r="BB21" s="23"/>
      <c r="BC21" s="23"/>
      <c r="BI21" s="34"/>
      <c r="BJ21" s="77">
        <v>0</v>
      </c>
      <c r="BO21" s="36"/>
      <c r="BT21" s="23"/>
      <c r="BU21" s="23"/>
    </row>
    <row r="22" spans="1:73" x14ac:dyDescent="0.25">
      <c r="A22" s="7" t="s">
        <v>76</v>
      </c>
      <c r="B22" s="7" t="s">
        <v>77</v>
      </c>
      <c r="C22" s="10">
        <v>8</v>
      </c>
      <c r="D22" s="10">
        <v>7</v>
      </c>
      <c r="E22" s="8">
        <v>8</v>
      </c>
      <c r="F22" s="8">
        <v>0</v>
      </c>
      <c r="G22" s="8">
        <v>47</v>
      </c>
      <c r="H22" s="26">
        <v>-0.19400000000000001</v>
      </c>
      <c r="I22" s="26">
        <v>-6.4433322717654645E-2</v>
      </c>
      <c r="J22" s="26">
        <f>(0.6*BH22)+(0.4*BT22)</f>
        <v>-0.136910046744912</v>
      </c>
      <c r="K22" s="69"/>
      <c r="L22" s="48"/>
      <c r="M22" s="48"/>
      <c r="N22" s="69"/>
      <c r="O22" s="69"/>
      <c r="P22" s="48"/>
      <c r="Q22" s="48"/>
      <c r="R22" s="48"/>
      <c r="S22" s="48"/>
      <c r="T22" s="26"/>
      <c r="U22" s="47" t="e">
        <f>(0.6*X22)+(0.4*#REF!)</f>
        <v>#REF!</v>
      </c>
      <c r="V22" s="23">
        <v>34.962000000000003</v>
      </c>
      <c r="W22" s="42">
        <f>V22/(G22+G23+G24)</f>
        <v>0.29135000000000005</v>
      </c>
      <c r="X22" s="42">
        <f>W22/W51</f>
        <v>0.18778468871277687</v>
      </c>
      <c r="Y22" s="67" t="e">
        <f>Z22*#REF!</f>
        <v>#REF!</v>
      </c>
      <c r="Z22" s="40" t="e">
        <f>AA22*(G22+G23+G24)</f>
        <v>#REF!</v>
      </c>
      <c r="AA22" s="40" t="e">
        <f>U22/AK2</f>
        <v>#REF!</v>
      </c>
      <c r="AB22" s="23"/>
      <c r="AC22" s="23"/>
      <c r="AH22">
        <v>0</v>
      </c>
      <c r="AI22">
        <v>1</v>
      </c>
      <c r="AJ22">
        <f>AH22-AI22</f>
        <v>-1</v>
      </c>
      <c r="AK22">
        <v>5</v>
      </c>
      <c r="AL22">
        <v>0</v>
      </c>
      <c r="AM22" s="119">
        <f>D22*AL$53</f>
        <v>6.712136409227683</v>
      </c>
      <c r="AN22">
        <v>7</v>
      </c>
      <c r="AO22" s="119">
        <f>AL22-AM22</f>
        <v>-6.712136409227683</v>
      </c>
      <c r="AP22">
        <f>AL22-AN22</f>
        <v>-7</v>
      </c>
      <c r="AQ22" s="23">
        <f>(AO22-AO$50)/AO$51</f>
        <v>-0.31505945677253083</v>
      </c>
      <c r="AR22" s="23">
        <f>(AP22-AP$50)/AP$51</f>
        <v>-0.30637185691986984</v>
      </c>
      <c r="AS22" s="119">
        <v>5.620387</v>
      </c>
      <c r="AT22">
        <f t="shared" si="3"/>
        <v>-5</v>
      </c>
      <c r="AU22" s="119">
        <f>AI22-AS22</f>
        <v>-4.620387</v>
      </c>
      <c r="AV22" s="23">
        <v>-0.36099999999999999</v>
      </c>
      <c r="AW22" s="23">
        <f>(AU22-AU$51)/AU$52</f>
        <v>-0.3487621070586116</v>
      </c>
      <c r="AX22">
        <v>4</v>
      </c>
      <c r="AY22">
        <v>3</v>
      </c>
      <c r="AZ22">
        <v>4</v>
      </c>
      <c r="BA22">
        <f>AY22-AZ22</f>
        <v>-1</v>
      </c>
      <c r="BB22" s="26">
        <f>(BA22-BA$50)/BA$51</f>
        <v>0.31083700559389915</v>
      </c>
      <c r="BC22" s="26">
        <f>(0.6*AR22)+(0.4*BB22)</f>
        <v>-5.9488311914362241E-2</v>
      </c>
      <c r="BD22">
        <v>3</v>
      </c>
      <c r="BE22">
        <f>AX22-BD22</f>
        <v>1</v>
      </c>
      <c r="BF22" s="23">
        <v>-0.26100000000000001</v>
      </c>
      <c r="BG22" s="23">
        <v>-0.32100000000000001</v>
      </c>
      <c r="BH22" s="23">
        <f>(0.6*AW22)+(0.4*BF22)</f>
        <v>-0.31365726423516699</v>
      </c>
      <c r="BI22" s="34">
        <v>0</v>
      </c>
      <c r="BJ22" s="77">
        <v>9278</v>
      </c>
      <c r="BK22">
        <v>1011</v>
      </c>
      <c r="BL22" s="34">
        <v>0</v>
      </c>
      <c r="BM22" s="34">
        <f>D22*BL$53</f>
        <v>3003</v>
      </c>
      <c r="BN22" s="34">
        <f>BL22-BM22</f>
        <v>-3003</v>
      </c>
      <c r="BO22" s="36">
        <f>(BN22-BN$50)/BN$51</f>
        <v>-7.1850838922593252E-2</v>
      </c>
      <c r="BP22" s="34">
        <v>1088.2737999999999</v>
      </c>
      <c r="BQ22">
        <f>BI22-BK22</f>
        <v>-1011</v>
      </c>
      <c r="BR22" s="34">
        <f>BJ22-BP22</f>
        <v>8189.7262000000001</v>
      </c>
      <c r="BS22" s="23">
        <v>-4.0000000000000001E-3</v>
      </c>
      <c r="BT22" s="23">
        <f>(BR22-BR$51)/BR$52</f>
        <v>0.12821077949047047</v>
      </c>
      <c r="BU22" s="23">
        <f>(0.6*BC22)+(0.4*BO22)</f>
        <v>-6.4433322717654645E-2</v>
      </c>
    </row>
    <row r="23" spans="1:73" x14ac:dyDescent="0.25">
      <c r="A23" s="7" t="s">
        <v>76</v>
      </c>
      <c r="B23" s="7" t="s">
        <v>78</v>
      </c>
      <c r="C23" s="10">
        <v>5</v>
      </c>
      <c r="D23" s="10">
        <v>5</v>
      </c>
      <c r="E23" s="8">
        <v>5</v>
      </c>
      <c r="F23" s="8">
        <v>0</v>
      </c>
      <c r="G23" s="8">
        <v>37</v>
      </c>
      <c r="H23" s="26">
        <v>-0.13700000000000001</v>
      </c>
      <c r="I23" s="26">
        <v>-4.7338211932247902E-2</v>
      </c>
      <c r="J23" s="26">
        <f>(0.6*BH23)+(0.4*BT23)</f>
        <v>-0.13742186876678442</v>
      </c>
      <c r="K23" s="69"/>
      <c r="L23" s="48"/>
      <c r="M23" s="48"/>
      <c r="N23" s="69"/>
      <c r="O23" s="69"/>
      <c r="P23" s="48"/>
      <c r="Q23" s="48"/>
      <c r="R23" s="48"/>
      <c r="S23" s="48"/>
      <c r="T23" s="26"/>
      <c r="U23" s="40"/>
      <c r="V23" s="23"/>
      <c r="W23" s="40"/>
      <c r="X23" s="40"/>
      <c r="AB23" s="23"/>
      <c r="AC23" s="23"/>
      <c r="AH23">
        <v>0</v>
      </c>
      <c r="AI23">
        <v>1</v>
      </c>
      <c r="AJ23">
        <f>AH23-AI23</f>
        <v>-1</v>
      </c>
      <c r="AK23">
        <v>3</v>
      </c>
      <c r="AL23">
        <v>0</v>
      </c>
      <c r="AM23" s="119">
        <f>D23*AL$53</f>
        <v>4.7943831494483451</v>
      </c>
      <c r="AN23">
        <v>5</v>
      </c>
      <c r="AO23" s="119">
        <f>AL23-AM23</f>
        <v>-4.7943831494483451</v>
      </c>
      <c r="AP23">
        <f>AL23-AN23</f>
        <v>-5</v>
      </c>
      <c r="AQ23" s="23">
        <f>(AO23-AO$50)/AO$51</f>
        <v>-0.22504246912323631</v>
      </c>
      <c r="AR23" s="23">
        <f>(AP23-AP$50)/AP$51</f>
        <v>-0.21210359325221759</v>
      </c>
      <c r="AS23" s="119">
        <v>3.5127419999999998</v>
      </c>
      <c r="AT23">
        <f t="shared" si="3"/>
        <v>-3</v>
      </c>
      <c r="AU23" s="119">
        <f>AI23-AS23</f>
        <v>-2.5127419999999998</v>
      </c>
      <c r="AV23" s="23">
        <v>-0.28299999999999997</v>
      </c>
      <c r="AW23" s="23">
        <f>(AU23-AU$51)/AU$52</f>
        <v>-0.25479906328065233</v>
      </c>
      <c r="AX23">
        <v>7</v>
      </c>
      <c r="AY23">
        <v>0</v>
      </c>
      <c r="AZ23">
        <v>3</v>
      </c>
      <c r="BA23">
        <f>AY23-AZ23</f>
        <v>-3</v>
      </c>
      <c r="BB23" s="26">
        <f>(BA23-BA$50)/BA$51</f>
        <v>0.20048067224695271</v>
      </c>
      <c r="BC23" s="26">
        <f>(0.6*AR23)+(0.4*BB23)</f>
        <v>-4.7069887052549469E-2</v>
      </c>
      <c r="BD23">
        <v>2</v>
      </c>
      <c r="BE23">
        <f>AX23-BD23</f>
        <v>5</v>
      </c>
      <c r="BF23" s="23">
        <v>-0.157</v>
      </c>
      <c r="BG23" s="23">
        <v>-0.23300000000000001</v>
      </c>
      <c r="BH23" s="23">
        <f>(0.6*AW23)+(0.4*BF23)</f>
        <v>-0.2156794379683914</v>
      </c>
      <c r="BI23" s="34">
        <v>0</v>
      </c>
      <c r="BJ23" s="77">
        <v>0</v>
      </c>
      <c r="BK23">
        <v>450</v>
      </c>
      <c r="BL23" s="34">
        <v>0</v>
      </c>
      <c r="BM23" s="34">
        <f>D23*BL$53</f>
        <v>2145</v>
      </c>
      <c r="BN23" s="34">
        <f>BL23-BM23</f>
        <v>-2145</v>
      </c>
      <c r="BO23" s="36">
        <f>(BN23-BN$50)/BN$51</f>
        <v>-4.7740699251795547E-2</v>
      </c>
      <c r="BP23" s="34">
        <v>467.0899</v>
      </c>
      <c r="BQ23">
        <f>BI23-BK23</f>
        <v>-450</v>
      </c>
      <c r="BR23" s="34">
        <f>BJ23-BP23</f>
        <v>-467.0899</v>
      </c>
      <c r="BS23" s="23">
        <v>6.0000000000000001E-3</v>
      </c>
      <c r="BT23" s="23">
        <f>(BR23-BR$51)/BR$52</f>
        <v>-2.003551496437397E-2</v>
      </c>
      <c r="BU23" s="23">
        <f>(0.6*BC23)+(0.4*BO23)</f>
        <v>-4.7338211932247902E-2</v>
      </c>
    </row>
    <row r="24" spans="1:73" x14ac:dyDescent="0.25">
      <c r="A24" s="7" t="s">
        <v>76</v>
      </c>
      <c r="B24" s="7" t="s">
        <v>79</v>
      </c>
      <c r="C24" s="32">
        <v>4</v>
      </c>
      <c r="D24" s="32">
        <v>4</v>
      </c>
      <c r="E24" s="8">
        <v>4</v>
      </c>
      <c r="F24" s="8">
        <v>0</v>
      </c>
      <c r="G24" s="8">
        <v>36</v>
      </c>
      <c r="K24" s="69"/>
      <c r="L24" s="48"/>
      <c r="M24" s="48"/>
      <c r="N24" s="69"/>
      <c r="O24" s="69"/>
      <c r="P24" s="48"/>
      <c r="Q24" s="48"/>
      <c r="R24" s="48"/>
      <c r="S24" s="48"/>
      <c r="T24" s="26"/>
      <c r="U24" s="40"/>
      <c r="V24" s="23"/>
      <c r="W24" s="40"/>
      <c r="X24" s="40"/>
      <c r="AB24" s="23"/>
      <c r="AC24" s="23"/>
      <c r="AM24" s="119"/>
      <c r="AQ24" s="23"/>
      <c r="BB24" s="23"/>
      <c r="BC24" s="23"/>
      <c r="BI24" s="34"/>
      <c r="BJ24" s="77">
        <v>0</v>
      </c>
      <c r="BO24" s="36"/>
      <c r="BT24" s="23"/>
      <c r="BU24" s="23"/>
    </row>
    <row r="25" spans="1:73" x14ac:dyDescent="0.25">
      <c r="A25" s="9" t="s">
        <v>83</v>
      </c>
      <c r="B25" s="9" t="s">
        <v>91</v>
      </c>
      <c r="C25" s="32">
        <f t="shared" si="0"/>
        <v>44</v>
      </c>
      <c r="D25" s="32">
        <v>0</v>
      </c>
      <c r="E25">
        <v>0</v>
      </c>
      <c r="F25">
        <v>0</v>
      </c>
      <c r="G25">
        <v>44</v>
      </c>
      <c r="K25" s="69"/>
      <c r="L25" s="48"/>
      <c r="M25" s="48"/>
      <c r="N25" s="69"/>
      <c r="O25" s="69"/>
      <c r="P25" s="48"/>
      <c r="Q25" s="48"/>
      <c r="R25" s="48"/>
      <c r="S25" s="48"/>
      <c r="T25" s="26"/>
      <c r="U25" s="40" t="e">
        <f>(0.6*X25)+(0.4*#REF!)</f>
        <v>#REF!</v>
      </c>
      <c r="V25" s="23">
        <v>6.2770000000000001</v>
      </c>
      <c r="W25" s="40">
        <f>V25/G25</f>
        <v>0.1426590909090909</v>
      </c>
      <c r="X25" s="40">
        <f>W25/W51</f>
        <v>9.1948491430964022E-2</v>
      </c>
      <c r="AB25" s="23"/>
      <c r="AC25" s="23"/>
      <c r="AM25" s="119"/>
      <c r="AQ25" s="23"/>
      <c r="BB25" s="23"/>
      <c r="BC25" s="23"/>
      <c r="BI25" s="34"/>
      <c r="BJ25" s="77">
        <v>0</v>
      </c>
      <c r="BO25" s="36"/>
      <c r="BT25" s="23"/>
      <c r="BU25" s="23"/>
    </row>
    <row r="26" spans="1:73" x14ac:dyDescent="0.25">
      <c r="A26" s="7" t="s">
        <v>92</v>
      </c>
      <c r="B26" s="7" t="s">
        <v>95</v>
      </c>
      <c r="C26" s="10">
        <v>15</v>
      </c>
      <c r="D26" s="10">
        <v>13</v>
      </c>
      <c r="E26" s="11">
        <v>12</v>
      </c>
      <c r="F26" s="11">
        <v>3</v>
      </c>
      <c r="G26" s="30">
        <v>1</v>
      </c>
      <c r="H26" s="26">
        <v>-9.9000000000000005E-2</v>
      </c>
      <c r="I26" s="26">
        <v>0.10446225411497108</v>
      </c>
      <c r="J26" s="26">
        <f>(0.6*BH26)+(0.4*BT26)</f>
        <v>-0.10917313225473156</v>
      </c>
      <c r="K26" s="69"/>
      <c r="L26" s="48"/>
      <c r="M26" s="48"/>
      <c r="N26" s="69"/>
      <c r="O26" s="69"/>
      <c r="P26" s="48"/>
      <c r="Q26" s="48"/>
      <c r="R26" s="48"/>
      <c r="S26" s="48"/>
      <c r="T26" s="26"/>
      <c r="U26" s="40"/>
      <c r="V26" s="23"/>
      <c r="W26" s="40"/>
      <c r="X26" s="40"/>
      <c r="AB26" s="23"/>
      <c r="AC26" s="23"/>
      <c r="AH26">
        <v>11</v>
      </c>
      <c r="AI26">
        <v>11</v>
      </c>
      <c r="AJ26">
        <f>AH26-AI26</f>
        <v>0</v>
      </c>
      <c r="AK26">
        <v>10</v>
      </c>
      <c r="AL26">
        <v>20</v>
      </c>
      <c r="AM26" s="119">
        <f>D26*AL$53</f>
        <v>12.465396188565698</v>
      </c>
      <c r="AN26">
        <v>13</v>
      </c>
      <c r="AO26" s="119">
        <f>AL26-AM26</f>
        <v>7.5346038114343017</v>
      </c>
      <c r="AP26">
        <f>AL26-AN26</f>
        <v>7</v>
      </c>
      <c r="AQ26" s="25">
        <f t="shared" ref="AQ26:AR29" si="6">(AO26-AO$50)/AO$51</f>
        <v>0.35366506863049191</v>
      </c>
      <c r="AR26" s="25">
        <f t="shared" si="6"/>
        <v>0.35350598875369599</v>
      </c>
      <c r="AS26" s="119">
        <v>10.538225000000001</v>
      </c>
      <c r="AT26">
        <f t="shared" si="3"/>
        <v>1</v>
      </c>
      <c r="AU26" s="119">
        <f>AI26-AS26</f>
        <v>0.46177499999999938</v>
      </c>
      <c r="AV26" s="23">
        <v>-0.127</v>
      </c>
      <c r="AW26" s="23">
        <f>(AU26-AU$51)/AU$52</f>
        <v>-0.12218912608094178</v>
      </c>
      <c r="AX26">
        <v>0</v>
      </c>
      <c r="AY26">
        <v>3</v>
      </c>
      <c r="AZ26">
        <v>7</v>
      </c>
      <c r="BA26">
        <f>AY26-AZ26</f>
        <v>-4</v>
      </c>
      <c r="BB26" s="23">
        <f>(BA26-BA$50)/BA$51</f>
        <v>0.14530250557347951</v>
      </c>
      <c r="BC26" s="26">
        <f>(0.6*AR26)+(0.4*BB26)</f>
        <v>0.27022459548160938</v>
      </c>
      <c r="BD26">
        <v>5</v>
      </c>
      <c r="BE26">
        <f>AX26-BD26</f>
        <v>-5</v>
      </c>
      <c r="BF26" s="23">
        <v>-0.157</v>
      </c>
      <c r="BG26" s="23">
        <v>-0.13900000000000001</v>
      </c>
      <c r="BH26" s="23">
        <f>(0.6*AW26)+(0.4*BF26)</f>
        <v>-0.13611347564856507</v>
      </c>
      <c r="BI26" s="34">
        <v>0</v>
      </c>
      <c r="BJ26" s="77">
        <v>0</v>
      </c>
      <c r="BK26">
        <v>2986</v>
      </c>
      <c r="BL26" s="34">
        <v>0</v>
      </c>
      <c r="BM26" s="34">
        <f>D26*BL$53</f>
        <v>5577</v>
      </c>
      <c r="BN26" s="34">
        <f>BL26-BM26</f>
        <v>-5577</v>
      </c>
      <c r="BO26" s="36">
        <f>(BN26-BN$50)/BN$51</f>
        <v>-0.14418125793498635</v>
      </c>
      <c r="BP26" s="34">
        <v>3312.5003999999999</v>
      </c>
      <c r="BQ26">
        <f>BI26-BK26</f>
        <v>-2986</v>
      </c>
      <c r="BR26" s="34">
        <f t="shared" ref="BR26:BR39" si="7">BJ26-BP26</f>
        <v>-3312.5003999999999</v>
      </c>
      <c r="BS26" s="23">
        <v>-3.7999999999999999E-2</v>
      </c>
      <c r="BT26" s="23">
        <f>(BR26-BR$51)/BR$52</f>
        <v>-6.8762617163981299E-2</v>
      </c>
      <c r="BU26" s="23">
        <f>(0.6*BC26)+(0.4*BO26)</f>
        <v>0.10446225411497108</v>
      </c>
    </row>
    <row r="27" spans="1:73" x14ac:dyDescent="0.25">
      <c r="A27" s="7" t="s">
        <v>99</v>
      </c>
      <c r="B27" s="7" t="s">
        <v>100</v>
      </c>
      <c r="C27" s="10">
        <f t="shared" si="0"/>
        <v>91</v>
      </c>
      <c r="D27" s="10">
        <v>77</v>
      </c>
      <c r="E27">
        <v>73</v>
      </c>
      <c r="F27">
        <v>18</v>
      </c>
      <c r="G27">
        <v>0</v>
      </c>
      <c r="H27" s="26">
        <v>-0.34200000000000003</v>
      </c>
      <c r="I27" s="26">
        <v>-0.85720716766198923</v>
      </c>
      <c r="J27" s="26">
        <f>(0.6*BH27)+(0.4*BT27)</f>
        <v>-0.44575615019410397</v>
      </c>
      <c r="K27" s="70"/>
      <c r="L27" s="48" t="e">
        <f>C27*Q27</f>
        <v>#REF!</v>
      </c>
      <c r="M27" s="48"/>
      <c r="N27" s="69"/>
      <c r="O27" s="69"/>
      <c r="P27" s="48"/>
      <c r="Q27" s="48" t="e">
        <f>#REF!/AF2</f>
        <v>#REF!</v>
      </c>
      <c r="R27" s="48"/>
      <c r="S27" s="48"/>
      <c r="T27" s="26"/>
      <c r="U27" s="40"/>
      <c r="V27" s="23"/>
      <c r="W27" s="40"/>
      <c r="X27" s="40"/>
      <c r="AB27" s="23"/>
      <c r="AC27" s="23"/>
      <c r="AH27">
        <v>35</v>
      </c>
      <c r="AI27">
        <v>35</v>
      </c>
      <c r="AJ27">
        <f>AH27-AI27</f>
        <v>0</v>
      </c>
      <c r="AK27">
        <v>62</v>
      </c>
      <c r="AL27">
        <v>56</v>
      </c>
      <c r="AM27" s="119">
        <f>D27*AL$53</f>
        <v>73.833500501504517</v>
      </c>
      <c r="AN27">
        <v>75</v>
      </c>
      <c r="AO27" s="119">
        <f>AL27-AM27</f>
        <v>-17.833500501504517</v>
      </c>
      <c r="AP27">
        <f>AL27-AN27</f>
        <v>-19</v>
      </c>
      <c r="AQ27" s="23">
        <f t="shared" si="6"/>
        <v>-0.83708265711530194</v>
      </c>
      <c r="AR27" s="23">
        <f t="shared" si="6"/>
        <v>-0.8719814389257835</v>
      </c>
      <c r="AS27" s="119">
        <v>63.931901000000003</v>
      </c>
      <c r="AT27">
        <f t="shared" si="3"/>
        <v>-27</v>
      </c>
      <c r="AU27" s="119">
        <f>AI27-AS27</f>
        <v>-28.931901000000003</v>
      </c>
      <c r="AV27" s="23">
        <v>-1.218</v>
      </c>
      <c r="AW27" s="23">
        <f>(AU27-AU$51)/AU$52</f>
        <v>-1.4326181901705539</v>
      </c>
      <c r="AX27">
        <v>14</v>
      </c>
      <c r="AY27">
        <v>23</v>
      </c>
      <c r="AZ27">
        <v>43</v>
      </c>
      <c r="BA27">
        <f>AY27-AZ27</f>
        <v>-20</v>
      </c>
      <c r="BB27" s="23">
        <f>(BA27-BA$50)/BA$51</f>
        <v>-0.7375481612020921</v>
      </c>
      <c r="BC27" s="26">
        <f>(0.6*AR27)+(0.4*BB27)</f>
        <v>-0.81820812783630692</v>
      </c>
      <c r="BD27">
        <v>29</v>
      </c>
      <c r="BE27">
        <f>AX27-BD27</f>
        <v>-15</v>
      </c>
      <c r="BF27" s="23">
        <v>-2.2320000000000002</v>
      </c>
      <c r="BG27" s="23">
        <v>-1.623</v>
      </c>
      <c r="BH27" s="23">
        <f>(0.6*AW27)+(0.4*BF27)</f>
        <v>-1.7523709141023325</v>
      </c>
      <c r="BI27" s="34">
        <v>156955</v>
      </c>
      <c r="BJ27" s="77">
        <v>156955.01</v>
      </c>
      <c r="BK27">
        <v>66647</v>
      </c>
      <c r="BL27" s="34">
        <v>0</v>
      </c>
      <c r="BM27" s="34">
        <f>D27*BL$53</f>
        <v>33033</v>
      </c>
      <c r="BN27" s="34">
        <f>BL27-BM27</f>
        <v>-33033</v>
      </c>
      <c r="BO27" s="36">
        <f>(BN27-BN$50)/BN$51</f>
        <v>-0.91570572740051281</v>
      </c>
      <c r="BP27" s="34">
        <v>67832.674499999994</v>
      </c>
      <c r="BQ27">
        <f>BI27-BK27</f>
        <v>90308</v>
      </c>
      <c r="BR27" s="34">
        <f t="shared" si="7"/>
        <v>89122.335500000016</v>
      </c>
      <c r="BS27" s="23">
        <v>1.579</v>
      </c>
      <c r="BT27" s="23">
        <f>(BR27-BR$51)/BR$52</f>
        <v>1.5141659956682387</v>
      </c>
      <c r="BU27" s="23">
        <f>(0.6*BC27)+(0.4*BO27)</f>
        <v>-0.85720716766198923</v>
      </c>
    </row>
    <row r="28" spans="1:73" x14ac:dyDescent="0.25">
      <c r="A28" s="7" t="s">
        <v>106</v>
      </c>
      <c r="B28" s="7" t="s">
        <v>100</v>
      </c>
      <c r="C28" s="10">
        <f t="shared" si="0"/>
        <v>37</v>
      </c>
      <c r="D28" s="10">
        <v>32</v>
      </c>
      <c r="E28" s="8">
        <v>37</v>
      </c>
      <c r="F28" s="8">
        <v>0</v>
      </c>
      <c r="G28">
        <v>0</v>
      </c>
      <c r="H28" s="26">
        <v>-2.5000000000000001E-2</v>
      </c>
      <c r="I28" s="26">
        <v>-0.16263085632038016</v>
      </c>
      <c r="J28" s="26">
        <f>(0.6*BH28)+(0.4*BT28)</f>
        <v>4.4658654994686464E-5</v>
      </c>
      <c r="N28" s="37"/>
      <c r="O28" s="37"/>
      <c r="T28" s="23"/>
      <c r="U28" s="40"/>
      <c r="V28" s="23"/>
      <c r="W28" s="40"/>
      <c r="X28" s="40"/>
      <c r="AB28" s="23"/>
      <c r="AC28" s="23"/>
      <c r="AH28">
        <v>19</v>
      </c>
      <c r="AI28">
        <v>23</v>
      </c>
      <c r="AJ28">
        <f>AH28-AI28</f>
        <v>-4</v>
      </c>
      <c r="AK28">
        <v>25</v>
      </c>
      <c r="AL28">
        <v>30</v>
      </c>
      <c r="AM28" s="119">
        <f>D28*AL$53</f>
        <v>30.684052156469409</v>
      </c>
      <c r="AN28">
        <v>31</v>
      </c>
      <c r="AO28" s="119">
        <f>AL28-AM28</f>
        <v>-0.68405215646940931</v>
      </c>
      <c r="AP28">
        <f>AL28-AN28</f>
        <v>-1</v>
      </c>
      <c r="AQ28" s="23">
        <f t="shared" si="6"/>
        <v>-3.2108569862352991E-2</v>
      </c>
      <c r="AR28" s="23">
        <f t="shared" si="6"/>
        <v>-2.3567065916913068E-2</v>
      </c>
      <c r="AS28" s="119">
        <v>25.994288999999998</v>
      </c>
      <c r="AT28">
        <f t="shared" si="3"/>
        <v>-6</v>
      </c>
      <c r="AU28" s="119">
        <f>AI28-AS28</f>
        <v>-2.9942889999999984</v>
      </c>
      <c r="AV28" s="23">
        <v>-0.4</v>
      </c>
      <c r="AW28" s="23">
        <f>(AU28-AU$51)/AU$52</f>
        <v>-0.27626739492196045</v>
      </c>
      <c r="AX28">
        <v>31</v>
      </c>
      <c r="AY28">
        <v>11</v>
      </c>
      <c r="AZ28">
        <v>18</v>
      </c>
      <c r="BA28">
        <f>AY28-AZ28</f>
        <v>-7</v>
      </c>
      <c r="BB28" s="23">
        <f>(BA28-BA$50)/BA$51</f>
        <v>-2.0231994446940158E-2</v>
      </c>
      <c r="BC28" s="26">
        <f>(0.6*AR28)+(0.4*BB28)</f>
        <v>-2.2233037328923903E-2</v>
      </c>
      <c r="BD28">
        <v>12</v>
      </c>
      <c r="BE28">
        <f>AX28-BD28</f>
        <v>19</v>
      </c>
      <c r="BF28" s="23">
        <v>0.88</v>
      </c>
      <c r="BG28" s="23">
        <v>0.112</v>
      </c>
      <c r="BH28" s="23">
        <f>(0.6*AW28)+(0.4*BF28)</f>
        <v>0.18623956304682376</v>
      </c>
      <c r="BI28" s="34">
        <v>0</v>
      </c>
      <c r="BJ28" s="77">
        <v>0</v>
      </c>
      <c r="BK28">
        <v>14142</v>
      </c>
      <c r="BL28" s="34">
        <v>0</v>
      </c>
      <c r="BM28" s="34">
        <f>D28*BL$53</f>
        <v>13728</v>
      </c>
      <c r="BN28" s="34">
        <f>BL28-BM28</f>
        <v>-13728</v>
      </c>
      <c r="BO28" s="36">
        <f>(BN28-BN$50)/BN$51</f>
        <v>-0.37322758480756452</v>
      </c>
      <c r="BP28" s="34">
        <v>15603.7394</v>
      </c>
      <c r="BQ28">
        <f>BI28-BK28</f>
        <v>-14142</v>
      </c>
      <c r="BR28" s="34">
        <f t="shared" si="7"/>
        <v>-15603.7394</v>
      </c>
      <c r="BS28" s="23">
        <v>-0.23100000000000001</v>
      </c>
      <c r="BT28" s="23">
        <f>(BR28-BR$51)/BR$52</f>
        <v>-0.2792476979327489</v>
      </c>
      <c r="BU28" s="23">
        <f>(0.6*BC28)+(0.4*BO28)</f>
        <v>-0.16263085632038016</v>
      </c>
    </row>
    <row r="29" spans="1:73" x14ac:dyDescent="0.25">
      <c r="A29" s="9" t="s">
        <v>106</v>
      </c>
      <c r="B29" s="9" t="s">
        <v>108</v>
      </c>
      <c r="C29" s="10">
        <f t="shared" si="0"/>
        <v>29</v>
      </c>
      <c r="D29" s="10">
        <v>19</v>
      </c>
      <c r="E29" s="8">
        <v>29</v>
      </c>
      <c r="F29" s="8">
        <v>0</v>
      </c>
      <c r="G29">
        <v>0</v>
      </c>
      <c r="H29" s="25">
        <v>0.308</v>
      </c>
      <c r="I29" s="25">
        <v>0.32301017128904752</v>
      </c>
      <c r="J29" s="25">
        <f>(0.6*BH29)+(0.4*BT29)</f>
        <v>0.31329403568950831</v>
      </c>
      <c r="K29" s="68">
        <f>P29*AE$6</f>
        <v>7057.0444118760897</v>
      </c>
      <c r="L29" s="48"/>
      <c r="M29" s="68">
        <f>R29*AE$8</f>
        <v>4700.7533913245416</v>
      </c>
      <c r="N29" s="37">
        <f>S29*AE$2</f>
        <v>6373.6640701974829</v>
      </c>
      <c r="O29" s="37">
        <f>N29-K29</f>
        <v>-683.38034167860678</v>
      </c>
      <c r="P29" s="48">
        <f>C28*T29</f>
        <v>1.9644888812273744</v>
      </c>
      <c r="Q29" s="48"/>
      <c r="R29" s="40">
        <f>D29*AB29</f>
        <v>1.1741876295205371</v>
      </c>
      <c r="S29" s="40">
        <f>C29*AC29</f>
        <v>1.5519050507016756</v>
      </c>
      <c r="T29" s="26">
        <f>H29/AF$3</f>
        <v>5.3094294087226337E-2</v>
      </c>
      <c r="U29" s="40"/>
      <c r="V29" s="23"/>
      <c r="W29" s="40"/>
      <c r="X29" s="40"/>
      <c r="AB29" s="23">
        <f>I29/AG$6</f>
        <v>6.1799348922133533E-2</v>
      </c>
      <c r="AC29" s="23">
        <f>J29/AG$3</f>
        <v>5.3513967265575023E-2</v>
      </c>
      <c r="AH29">
        <v>30</v>
      </c>
      <c r="AI29">
        <v>30</v>
      </c>
      <c r="AJ29">
        <f>AH29-AI29</f>
        <v>0</v>
      </c>
      <c r="AK29">
        <v>20</v>
      </c>
      <c r="AL29">
        <v>31</v>
      </c>
      <c r="AM29" s="119">
        <f>D29*AL$53</f>
        <v>18.218655967903711</v>
      </c>
      <c r="AN29">
        <v>18</v>
      </c>
      <c r="AO29" s="119">
        <f>AL29-AM29</f>
        <v>12.781344032096289</v>
      </c>
      <c r="AP29">
        <f>AL29-AN29</f>
        <v>13</v>
      </c>
      <c r="AQ29" s="25">
        <f t="shared" si="6"/>
        <v>0.5999406242756069</v>
      </c>
      <c r="AR29" s="25">
        <f t="shared" si="6"/>
        <v>0.63631077975665284</v>
      </c>
      <c r="AS29" s="119">
        <v>20.373902000000001</v>
      </c>
      <c r="AT29">
        <f t="shared" si="3"/>
        <v>10</v>
      </c>
      <c r="AU29" s="119">
        <f>AI29-AS29</f>
        <v>9.6260979999999989</v>
      </c>
      <c r="AV29" s="23">
        <v>0.224</v>
      </c>
      <c r="AW29" s="23">
        <f>(AU29-AU$51)/AU$52</f>
        <v>0.28637478446583386</v>
      </c>
      <c r="AX29">
        <v>21</v>
      </c>
      <c r="AY29">
        <v>18</v>
      </c>
      <c r="AZ29">
        <v>11</v>
      </c>
      <c r="BA29">
        <f>AY29-AZ29</f>
        <v>7</v>
      </c>
      <c r="BB29" s="25">
        <f>(BA29-BA$50)/BA$51</f>
        <v>0.75226233898168482</v>
      </c>
      <c r="BC29" s="25">
        <f>(0.6*AR29)+(0.4*BB29)</f>
        <v>0.68269140344666557</v>
      </c>
      <c r="BD29">
        <v>9</v>
      </c>
      <c r="BE29">
        <f>AX29-BD29</f>
        <v>12</v>
      </c>
      <c r="BF29" s="23">
        <v>1.1910000000000001</v>
      </c>
      <c r="BG29" s="23">
        <v>0.61099999999999999</v>
      </c>
      <c r="BH29" s="23">
        <f>(0.6*AW29)+(0.4*BF29)</f>
        <v>0.64822487067950041</v>
      </c>
      <c r="BI29" s="34">
        <v>0</v>
      </c>
      <c r="BJ29" s="77">
        <v>0</v>
      </c>
      <c r="BK29">
        <v>9295</v>
      </c>
      <c r="BL29" s="34">
        <v>0</v>
      </c>
      <c r="BM29" s="34">
        <f>D29*BL$53</f>
        <v>8151</v>
      </c>
      <c r="BN29" s="34">
        <f>BL29-BM29</f>
        <v>-8151</v>
      </c>
      <c r="BO29" s="36">
        <f>(BN29-BN$50)/BN$51</f>
        <v>-0.21651167694737947</v>
      </c>
      <c r="BP29" s="34">
        <v>10339.709999999999</v>
      </c>
      <c r="BQ29">
        <f>BI29-BK29</f>
        <v>-9295</v>
      </c>
      <c r="BR29" s="34">
        <f t="shared" si="7"/>
        <v>-10339.709999999999</v>
      </c>
      <c r="BS29" s="23">
        <v>-0.14699999999999999</v>
      </c>
      <c r="BT29" s="23">
        <f>(BR29-BR$51)/BR$52</f>
        <v>-0.1891022167954797</v>
      </c>
      <c r="BU29" s="25">
        <f>(0.6*BC29)+(0.4*BO29)</f>
        <v>0.32301017128904752</v>
      </c>
    </row>
    <row r="30" spans="1:73" x14ac:dyDescent="0.25">
      <c r="A30" s="9" t="s">
        <v>106</v>
      </c>
      <c r="B30" s="9" t="s">
        <v>110</v>
      </c>
      <c r="C30" s="32">
        <f t="shared" si="0"/>
        <v>2</v>
      </c>
      <c r="D30" s="32">
        <v>2</v>
      </c>
      <c r="E30" s="8">
        <v>0</v>
      </c>
      <c r="F30" s="8">
        <v>2</v>
      </c>
      <c r="G30">
        <v>0</v>
      </c>
      <c r="K30" s="69"/>
      <c r="L30" s="48"/>
      <c r="M30" s="48"/>
      <c r="N30" s="69"/>
      <c r="O30" s="69"/>
      <c r="P30" s="48"/>
      <c r="Q30" s="48"/>
      <c r="R30" s="48"/>
      <c r="S30" s="48"/>
      <c r="T30" s="26"/>
      <c r="U30" s="40"/>
      <c r="V30" s="23"/>
      <c r="W30" s="40"/>
      <c r="X30" s="40"/>
      <c r="AB30" s="23"/>
      <c r="AC30" s="23"/>
      <c r="AM30" s="119"/>
      <c r="AQ30" s="23"/>
      <c r="BB30" s="23"/>
      <c r="BC30" s="23"/>
      <c r="BI30" s="34"/>
      <c r="BJ30" s="77">
        <v>0</v>
      </c>
      <c r="BO30" s="36"/>
      <c r="BT30" s="23"/>
      <c r="BU30" s="23"/>
    </row>
    <row r="31" spans="1:73" x14ac:dyDescent="0.25">
      <c r="A31" s="7" t="s">
        <v>111</v>
      </c>
      <c r="B31" s="7" t="s">
        <v>100</v>
      </c>
      <c r="C31" s="10">
        <f t="shared" si="0"/>
        <v>98</v>
      </c>
      <c r="D31" s="10">
        <v>96</v>
      </c>
      <c r="E31" s="8">
        <v>79</v>
      </c>
      <c r="F31" s="8">
        <v>19</v>
      </c>
      <c r="G31" s="8">
        <v>0</v>
      </c>
      <c r="H31" s="26">
        <v>-0.153</v>
      </c>
      <c r="I31" s="26">
        <v>-0.90164655330543308</v>
      </c>
      <c r="J31" s="26">
        <f t="shared" ref="J31:J39" si="8">(0.6*BH31)+(0.4*BT31)</f>
        <v>-0.24710557522448529</v>
      </c>
      <c r="K31" s="69"/>
      <c r="L31" s="48"/>
      <c r="M31" s="48"/>
      <c r="N31" s="69"/>
      <c r="O31" s="69"/>
      <c r="P31" s="48"/>
      <c r="Q31" s="48"/>
      <c r="R31" s="48"/>
      <c r="S31" s="48"/>
      <c r="T31" s="26"/>
      <c r="U31" s="40"/>
      <c r="V31" s="23"/>
      <c r="W31" s="40"/>
      <c r="X31" s="40"/>
      <c r="AB31" s="23"/>
      <c r="AC31" s="23"/>
      <c r="AH31">
        <v>48</v>
      </c>
      <c r="AI31">
        <v>47</v>
      </c>
      <c r="AJ31">
        <f t="shared" ref="AJ31:AJ39" si="9">AH31-AI31</f>
        <v>1</v>
      </c>
      <c r="AK31">
        <v>67</v>
      </c>
      <c r="AL31">
        <v>52</v>
      </c>
      <c r="AM31" s="119">
        <f>D31*AL$53</f>
        <v>92.052156469408231</v>
      </c>
      <c r="AN31">
        <v>93</v>
      </c>
      <c r="AO31" s="119">
        <f>AL31-AM31</f>
        <v>-40.052156469408231</v>
      </c>
      <c r="AP31">
        <f>AL31-AN31</f>
        <v>-41</v>
      </c>
      <c r="AQ31" s="23">
        <f>(AO31-AO$50)/AO$51</f>
        <v>-1.8799991374537814</v>
      </c>
      <c r="AR31" s="23">
        <f>(AP31-AP$50)/AP$51</f>
        <v>-1.9089323392699584</v>
      </c>
      <c r="AS31" s="119">
        <v>68.849739</v>
      </c>
      <c r="AT31">
        <f t="shared" si="3"/>
        <v>-19</v>
      </c>
      <c r="AU31" s="119">
        <f t="shared" ref="AU31:AU39" si="10">AI31-AS31</f>
        <v>-21.849739</v>
      </c>
      <c r="AV31" s="23">
        <v>-0.90600000000000003</v>
      </c>
      <c r="AW31" s="23">
        <f t="shared" ref="AW31:AW39" si="11">(AU31-AU$51)/AU$52</f>
        <v>-1.1168811955397695</v>
      </c>
      <c r="AX31">
        <v>38</v>
      </c>
      <c r="AY31">
        <v>20</v>
      </c>
      <c r="AZ31">
        <v>53</v>
      </c>
      <c r="BA31">
        <f>AY31-AZ31</f>
        <v>-33</v>
      </c>
      <c r="BB31" s="23">
        <f>(BA31-BA$50)/BA$51</f>
        <v>-1.454864327957244</v>
      </c>
      <c r="BC31" s="26">
        <f>(0.6*AR31)+(0.4*BB31)</f>
        <v>-1.7273051347448725</v>
      </c>
      <c r="BD31">
        <v>31</v>
      </c>
      <c r="BE31">
        <f t="shared" ref="BE31:BE39" si="12">AX31-BD31</f>
        <v>7</v>
      </c>
      <c r="BF31" s="23">
        <v>-0.78</v>
      </c>
      <c r="BG31" s="23">
        <v>-0.85599999999999998</v>
      </c>
      <c r="BH31" s="23">
        <f t="shared" ref="BH31:BH39" si="13">(0.6*AW31)+(0.4*BF31)</f>
        <v>-0.98212871732386176</v>
      </c>
      <c r="BI31" s="34">
        <v>126921</v>
      </c>
      <c r="BJ31" s="77">
        <v>126921</v>
      </c>
      <c r="BK31">
        <v>75723</v>
      </c>
      <c r="BL31" s="34">
        <v>52725</v>
      </c>
      <c r="BM31" s="34">
        <f>D31*BL$53</f>
        <v>41184</v>
      </c>
      <c r="BN31" s="34">
        <f>BL31-BM31</f>
        <v>11541</v>
      </c>
      <c r="BO31" s="231">
        <f>(BN31-BN$50)/BN$51</f>
        <v>0.33684131885372587</v>
      </c>
      <c r="BP31" s="34">
        <v>76265.486600000004</v>
      </c>
      <c r="BQ31">
        <f t="shared" ref="BQ31:BQ39" si="14">BI31-BK31</f>
        <v>51198</v>
      </c>
      <c r="BR31" s="34">
        <f t="shared" si="7"/>
        <v>50655.513399999996</v>
      </c>
      <c r="BS31" s="23">
        <v>0.90100000000000002</v>
      </c>
      <c r="BT31" s="23">
        <f t="shared" ref="BT31:BT39" si="15">(BR31-BR$51)/BR$52</f>
        <v>0.8554291379245792</v>
      </c>
      <c r="BU31" s="23">
        <f t="shared" ref="BU31:BU39" si="16">(0.6*BC31)+(0.4*BO31)</f>
        <v>-0.90164655330543308</v>
      </c>
    </row>
    <row r="32" spans="1:73" x14ac:dyDescent="0.25">
      <c r="A32" s="9" t="s">
        <v>111</v>
      </c>
      <c r="B32" s="9" t="s">
        <v>107</v>
      </c>
      <c r="C32" s="10">
        <v>7</v>
      </c>
      <c r="D32" s="10">
        <v>5</v>
      </c>
      <c r="E32" s="8">
        <v>7</v>
      </c>
      <c r="F32" s="8">
        <v>0</v>
      </c>
      <c r="G32" s="8">
        <v>15</v>
      </c>
      <c r="H32" s="26">
        <v>-8.6999999999999994E-2</v>
      </c>
      <c r="I32" s="26">
        <v>9.3734556033796587E-2</v>
      </c>
      <c r="J32" s="26">
        <f t="shared" si="8"/>
        <v>-8.9773186164436469E-2</v>
      </c>
      <c r="K32" s="70"/>
      <c r="L32" s="48" t="e">
        <f>C31*Q32</f>
        <v>#REF!</v>
      </c>
      <c r="M32" s="48"/>
      <c r="N32" s="69"/>
      <c r="O32" s="69"/>
      <c r="P32" s="48"/>
      <c r="Q32" s="48" t="e">
        <f>#REF!/AF2</f>
        <v>#REF!</v>
      </c>
      <c r="R32" s="48"/>
      <c r="S32" s="48"/>
      <c r="T32" s="26"/>
      <c r="U32" s="40" t="e">
        <f>(0.6*X32)+(0.4*#REF!)</f>
        <v>#REF!</v>
      </c>
      <c r="V32" s="23">
        <v>1.0129999999999999</v>
      </c>
      <c r="W32" s="40">
        <f>V32/G32</f>
        <v>6.753333333333332E-2</v>
      </c>
      <c r="X32" s="40">
        <f>W32/W51</f>
        <v>4.3527461739269586E-2</v>
      </c>
      <c r="AB32" s="23"/>
      <c r="AC32" s="23"/>
      <c r="AH32">
        <v>4</v>
      </c>
      <c r="AI32">
        <v>4</v>
      </c>
      <c r="AJ32">
        <f t="shared" si="9"/>
        <v>0</v>
      </c>
      <c r="AK32">
        <v>5</v>
      </c>
      <c r="AL32">
        <v>4</v>
      </c>
      <c r="AM32" s="119">
        <f>D32*AL$53</f>
        <v>4.7943831494483451</v>
      </c>
      <c r="AN32">
        <v>5</v>
      </c>
      <c r="AO32" s="119">
        <f>AL32-AM32</f>
        <v>-0.79438314944834509</v>
      </c>
      <c r="AP32">
        <f>AL32-AN32</f>
        <v>-1</v>
      </c>
      <c r="AQ32" s="23">
        <f>(AO32-AO$50)/AO$51</f>
        <v>-3.7287371453055031E-2</v>
      </c>
      <c r="AR32" s="23">
        <f>(AP32-AP$50)/AP$51</f>
        <v>-2.3567065916913068E-2</v>
      </c>
      <c r="AS32" s="119">
        <v>4.9178389999999998</v>
      </c>
      <c r="AT32">
        <f t="shared" si="3"/>
        <v>-1</v>
      </c>
      <c r="AU32" s="119">
        <f t="shared" si="10"/>
        <v>-0.91783899999999985</v>
      </c>
      <c r="AV32" s="23">
        <v>-0.20499999999999999</v>
      </c>
      <c r="AW32" s="23">
        <f t="shared" si="11"/>
        <v>-0.18369508684695568</v>
      </c>
      <c r="AX32">
        <v>16</v>
      </c>
      <c r="AY32">
        <v>2</v>
      </c>
      <c r="AZ32">
        <v>3</v>
      </c>
      <c r="BA32">
        <f>AY32-AZ32</f>
        <v>-1</v>
      </c>
      <c r="BB32" s="23">
        <f>(BA32-BA$50)/BA$51</f>
        <v>0.31083700559389915</v>
      </c>
      <c r="BC32" s="26">
        <f>(0.6*AR32)+(0.4*BB32)</f>
        <v>0.11019456268741182</v>
      </c>
      <c r="BD32">
        <v>2</v>
      </c>
      <c r="BE32">
        <f t="shared" si="12"/>
        <v>14</v>
      </c>
      <c r="BF32" s="23">
        <v>-5.3999999999999999E-2</v>
      </c>
      <c r="BG32" s="23">
        <v>-0.14399999999999999</v>
      </c>
      <c r="BH32" s="23">
        <f t="shared" si="13"/>
        <v>-0.1318170521081734</v>
      </c>
      <c r="BI32" s="34">
        <v>0</v>
      </c>
      <c r="BJ32" s="77">
        <v>0</v>
      </c>
      <c r="BK32">
        <v>803</v>
      </c>
      <c r="BL32" s="34">
        <v>4156</v>
      </c>
      <c r="BM32" s="34">
        <f>D32*BL$53</f>
        <v>2145</v>
      </c>
      <c r="BN32" s="34">
        <f>BL32-BM32</f>
        <v>2011</v>
      </c>
      <c r="BO32" s="231">
        <f>(BN32-BN$50)/BN$51</f>
        <v>6.9044546053373748E-2</v>
      </c>
      <c r="BP32" s="34">
        <v>856.69269999999995</v>
      </c>
      <c r="BQ32">
        <f t="shared" si="14"/>
        <v>-803</v>
      </c>
      <c r="BR32" s="34">
        <f t="shared" si="7"/>
        <v>-856.69269999999995</v>
      </c>
      <c r="BS32" s="23">
        <v>0</v>
      </c>
      <c r="BT32" s="23">
        <f t="shared" si="15"/>
        <v>-2.6707387248831052E-2</v>
      </c>
      <c r="BU32" s="23">
        <f t="shared" si="16"/>
        <v>9.3734556033796587E-2</v>
      </c>
    </row>
    <row r="33" spans="1:73" x14ac:dyDescent="0.25">
      <c r="A33" s="9" t="s">
        <v>114</v>
      </c>
      <c r="B33" s="9" t="s">
        <v>116</v>
      </c>
      <c r="C33" s="10">
        <v>5</v>
      </c>
      <c r="D33" s="32">
        <v>0</v>
      </c>
      <c r="E33" s="15">
        <v>5</v>
      </c>
      <c r="F33" s="15">
        <v>0</v>
      </c>
      <c r="G33">
        <v>8</v>
      </c>
      <c r="H33" s="26">
        <v>-0.109</v>
      </c>
      <c r="I33" s="26">
        <v>0</v>
      </c>
      <c r="J33" s="26">
        <f t="shared" si="8"/>
        <v>-0.12137234630922382</v>
      </c>
      <c r="K33" s="70"/>
      <c r="L33" s="48"/>
      <c r="M33" s="48"/>
      <c r="N33" s="69"/>
      <c r="O33" s="69"/>
      <c r="P33" s="48"/>
      <c r="Q33" s="48"/>
      <c r="R33" s="48"/>
      <c r="S33" s="48"/>
      <c r="T33" s="26"/>
      <c r="U33" s="40"/>
      <c r="V33" s="23"/>
      <c r="W33" s="40"/>
      <c r="X33" s="40"/>
      <c r="AB33" s="23"/>
      <c r="AC33" s="23"/>
      <c r="AH33">
        <v>2</v>
      </c>
      <c r="AI33">
        <v>2</v>
      </c>
      <c r="AJ33">
        <f t="shared" si="9"/>
        <v>0</v>
      </c>
      <c r="AK33">
        <v>3</v>
      </c>
      <c r="AM33" s="119"/>
      <c r="AQ33" s="23"/>
      <c r="AS33" s="119">
        <v>3.5127419999999998</v>
      </c>
      <c r="AT33">
        <f t="shared" si="3"/>
        <v>-1</v>
      </c>
      <c r="AU33" s="119">
        <f t="shared" si="10"/>
        <v>-1.5127419999999998</v>
      </c>
      <c r="AV33" s="23">
        <v>-0.20499999999999999</v>
      </c>
      <c r="AW33" s="23">
        <f t="shared" si="11"/>
        <v>-0.21021705645409508</v>
      </c>
      <c r="AX33">
        <v>0</v>
      </c>
      <c r="BB33" s="23"/>
      <c r="BC33" s="23"/>
      <c r="BD33">
        <v>2</v>
      </c>
      <c r="BE33">
        <f t="shared" si="12"/>
        <v>-2</v>
      </c>
      <c r="BF33" s="23">
        <v>-0.157</v>
      </c>
      <c r="BG33" s="23">
        <v>-0.186</v>
      </c>
      <c r="BH33" s="23">
        <f t="shared" si="13"/>
        <v>-0.18893023387245705</v>
      </c>
      <c r="BI33" s="34">
        <v>0</v>
      </c>
      <c r="BJ33" s="77">
        <v>0</v>
      </c>
      <c r="BK33">
        <v>450</v>
      </c>
      <c r="BO33" s="36"/>
      <c r="BP33" s="34">
        <v>467.0899</v>
      </c>
      <c r="BQ33">
        <f t="shared" si="14"/>
        <v>-450</v>
      </c>
      <c r="BR33" s="34">
        <f t="shared" si="7"/>
        <v>-467.0899</v>
      </c>
      <c r="BS33" s="23">
        <v>6.0000000000000001E-3</v>
      </c>
      <c r="BT33" s="23">
        <f t="shared" si="15"/>
        <v>-2.003551496437397E-2</v>
      </c>
      <c r="BU33" s="23">
        <f t="shared" si="16"/>
        <v>0</v>
      </c>
    </row>
    <row r="34" spans="1:73" x14ac:dyDescent="0.25">
      <c r="A34" s="7" t="s">
        <v>114</v>
      </c>
      <c r="B34" s="7" t="s">
        <v>100</v>
      </c>
      <c r="C34" s="10">
        <v>187</v>
      </c>
      <c r="D34" s="10">
        <v>164</v>
      </c>
      <c r="E34" s="20">
        <v>153</v>
      </c>
      <c r="F34" s="20">
        <v>34</v>
      </c>
      <c r="G34">
        <v>19</v>
      </c>
      <c r="H34" s="26">
        <v>-1.403</v>
      </c>
      <c r="I34" s="26">
        <v>-1.5084558786331066</v>
      </c>
      <c r="J34" s="26">
        <f t="shared" si="8"/>
        <v>-1.1938559977783236</v>
      </c>
      <c r="K34" s="69"/>
      <c r="L34" s="48"/>
      <c r="M34" s="48"/>
      <c r="N34" s="69"/>
      <c r="O34" s="69"/>
      <c r="P34" s="48"/>
      <c r="Q34" s="48"/>
      <c r="R34" s="48"/>
      <c r="S34" s="48"/>
      <c r="T34" s="26"/>
      <c r="U34" s="40" t="e">
        <f>(0.6*X34)+(0.4*#REF!)</f>
        <v>#REF!</v>
      </c>
      <c r="V34" s="23">
        <v>1.1919999999999999</v>
      </c>
      <c r="W34" s="40">
        <f>V34/G34</f>
        <v>6.273684210526316E-2</v>
      </c>
      <c r="X34" s="40">
        <f>W34/W51</f>
        <v>4.0435964872351036E-2</v>
      </c>
      <c r="AB34" s="23"/>
      <c r="AC34" s="23"/>
      <c r="AH34">
        <v>167</v>
      </c>
      <c r="AI34">
        <v>168</v>
      </c>
      <c r="AJ34">
        <f t="shared" si="9"/>
        <v>-1</v>
      </c>
      <c r="AK34">
        <v>127</v>
      </c>
      <c r="AL34">
        <v>156</v>
      </c>
      <c r="AM34" s="119">
        <f t="shared" ref="AM34:AM39" si="17">D34*AL$53</f>
        <v>157.25576730190573</v>
      </c>
      <c r="AN34">
        <v>159</v>
      </c>
      <c r="AO34" s="119">
        <f t="shared" ref="AO34:AO39" si="18">AL34-AM34</f>
        <v>-1.2557673019057347</v>
      </c>
      <c r="AP34">
        <f t="shared" ref="AP34:AP39" si="19">AL34-AN34</f>
        <v>-3</v>
      </c>
      <c r="AQ34" s="23">
        <f t="shared" ref="AQ34:AR39" si="20">(AO34-AO$50)/AO$51</f>
        <v>-5.8944178105082783E-2</v>
      </c>
      <c r="AR34" s="23">
        <f t="shared" si="20"/>
        <v>-0.11783532958456533</v>
      </c>
      <c r="AS34" s="119">
        <v>131.376543</v>
      </c>
      <c r="AT34">
        <f t="shared" si="3"/>
        <v>40</v>
      </c>
      <c r="AU34" s="119">
        <f t="shared" si="10"/>
        <v>36.623457000000002</v>
      </c>
      <c r="AV34" s="23">
        <v>1.3919999999999999</v>
      </c>
      <c r="AW34" s="23">
        <f t="shared" si="11"/>
        <v>1.4899712277028512</v>
      </c>
      <c r="AX34">
        <v>53</v>
      </c>
      <c r="AY34">
        <v>33</v>
      </c>
      <c r="AZ34">
        <v>91</v>
      </c>
      <c r="BA34">
        <f t="shared" ref="BA34:BA39" si="21">AY34-AZ34</f>
        <v>-58</v>
      </c>
      <c r="BB34" s="23">
        <f t="shared" ref="BB34:BB39" si="22">(BA34-BA$50)/BA$51</f>
        <v>-2.8343184947940743</v>
      </c>
      <c r="BC34" s="26">
        <f t="shared" ref="BC34:BC39" si="23">(0.6*AR34)+(0.4*BB34)</f>
        <v>-1.2044285956683689</v>
      </c>
      <c r="BD34">
        <v>59</v>
      </c>
      <c r="BE34">
        <f t="shared" si="12"/>
        <v>-6</v>
      </c>
      <c r="BF34" s="23">
        <v>-1.298</v>
      </c>
      <c r="BG34" s="23">
        <v>0.316</v>
      </c>
      <c r="BH34" s="23">
        <f t="shared" si="13"/>
        <v>0.37478273662171069</v>
      </c>
      <c r="BI34" s="34">
        <v>0</v>
      </c>
      <c r="BJ34" s="77">
        <v>0</v>
      </c>
      <c r="BK34">
        <v>230473</v>
      </c>
      <c r="BL34" s="34">
        <v>0</v>
      </c>
      <c r="BM34" s="34">
        <f t="shared" ref="BM34:BM39" si="24">D34*BL$53</f>
        <v>70356</v>
      </c>
      <c r="BN34" s="34">
        <f t="shared" ref="BN34:BN39" si="25">BL34-BM34</f>
        <v>-70356</v>
      </c>
      <c r="BO34" s="36">
        <f t="shared" ref="BO34:BO39" si="26">(BN34-BN$50)/BN$51</f>
        <v>-1.964496803080213</v>
      </c>
      <c r="BP34" s="34">
        <v>206412.70050000001</v>
      </c>
      <c r="BQ34">
        <f t="shared" si="14"/>
        <v>-230473</v>
      </c>
      <c r="BR34" s="34">
        <f t="shared" si="7"/>
        <v>-206412.70050000001</v>
      </c>
      <c r="BS34" s="23">
        <v>-3.98</v>
      </c>
      <c r="BT34" s="23">
        <f t="shared" si="15"/>
        <v>-3.5468140993783752</v>
      </c>
      <c r="BU34" s="23">
        <f t="shared" si="16"/>
        <v>-1.5084558786331066</v>
      </c>
    </row>
    <row r="35" spans="1:73" x14ac:dyDescent="0.25">
      <c r="A35" s="7" t="s">
        <v>114</v>
      </c>
      <c r="B35" s="7" t="s">
        <v>117</v>
      </c>
      <c r="C35" s="10">
        <v>10</v>
      </c>
      <c r="D35" s="10">
        <v>18</v>
      </c>
      <c r="E35" s="15">
        <v>11</v>
      </c>
      <c r="F35" s="15">
        <v>0</v>
      </c>
      <c r="G35" s="28">
        <v>1</v>
      </c>
      <c r="H35" s="25">
        <v>0.51800000000000002</v>
      </c>
      <c r="I35" s="26">
        <v>8.2825119863635749E-2</v>
      </c>
      <c r="J35" s="25">
        <f t="shared" si="8"/>
        <v>0.51469813433722256</v>
      </c>
      <c r="K35" s="68">
        <f>P35*AE$6</f>
        <v>59984.877500946764</v>
      </c>
      <c r="L35" s="48"/>
      <c r="M35" s="48"/>
      <c r="N35" s="37">
        <f>S35*AE$2</f>
        <v>3610.7019363729955</v>
      </c>
      <c r="O35" s="37">
        <f>N35-K35</f>
        <v>-56374.175564573772</v>
      </c>
      <c r="P35" s="48">
        <f>C34*T35</f>
        <v>16.698155490432683</v>
      </c>
      <c r="Q35" s="48"/>
      <c r="R35" s="48"/>
      <c r="S35" s="40">
        <f>C35*AC35</f>
        <v>0.87915938303631891</v>
      </c>
      <c r="T35" s="26">
        <f>H35/AF$3</f>
        <v>8.9294949146698846E-2</v>
      </c>
      <c r="U35" s="40"/>
      <c r="V35" s="23"/>
      <c r="W35" s="40"/>
      <c r="X35" s="40"/>
      <c r="AB35" s="23"/>
      <c r="AC35" s="23">
        <f>J35/AG$3</f>
        <v>8.7915938303631896E-2</v>
      </c>
      <c r="AH35">
        <v>13</v>
      </c>
      <c r="AI35">
        <v>13</v>
      </c>
      <c r="AJ35">
        <f t="shared" si="9"/>
        <v>0</v>
      </c>
      <c r="AK35">
        <v>7</v>
      </c>
      <c r="AL35">
        <v>14</v>
      </c>
      <c r="AM35" s="119">
        <f t="shared" si="17"/>
        <v>17.259779338014042</v>
      </c>
      <c r="AN35">
        <v>17</v>
      </c>
      <c r="AO35" s="119">
        <f t="shared" si="18"/>
        <v>-3.2597793380140416</v>
      </c>
      <c r="AP35">
        <f t="shared" si="19"/>
        <v>-3</v>
      </c>
      <c r="AQ35" s="23">
        <f t="shared" si="20"/>
        <v>-0.15301004699801629</v>
      </c>
      <c r="AR35" s="23">
        <f t="shared" si="20"/>
        <v>-0.11783532958456533</v>
      </c>
      <c r="AS35" s="119">
        <v>7.7280319999999998</v>
      </c>
      <c r="AT35">
        <f t="shared" si="3"/>
        <v>6</v>
      </c>
      <c r="AU35" s="119">
        <f t="shared" si="10"/>
        <v>5.2719680000000002</v>
      </c>
      <c r="AV35" s="23">
        <v>6.8000000000000005E-2</v>
      </c>
      <c r="AW35" s="23">
        <f t="shared" si="11"/>
        <v>9.2258931082116205E-2</v>
      </c>
      <c r="AX35">
        <v>3</v>
      </c>
      <c r="AY35">
        <v>19</v>
      </c>
      <c r="AZ35">
        <v>10</v>
      </c>
      <c r="BA35">
        <f t="shared" si="21"/>
        <v>9</v>
      </c>
      <c r="BB35" s="25">
        <f t="shared" si="22"/>
        <v>0.86261867232863132</v>
      </c>
      <c r="BC35" s="26">
        <f t="shared" si="23"/>
        <v>0.27434627118071336</v>
      </c>
      <c r="BD35">
        <v>3</v>
      </c>
      <c r="BE35">
        <f t="shared" si="12"/>
        <v>0</v>
      </c>
      <c r="BF35" s="23">
        <v>1.917</v>
      </c>
      <c r="BG35" s="23">
        <v>0.80800000000000005</v>
      </c>
      <c r="BH35" s="23">
        <f t="shared" si="13"/>
        <v>0.82215535864926981</v>
      </c>
      <c r="BI35" s="34">
        <v>5746</v>
      </c>
      <c r="BJ35" s="77">
        <v>5746</v>
      </c>
      <c r="BK35">
        <v>1750</v>
      </c>
      <c r="BL35" s="34">
        <v>0</v>
      </c>
      <c r="BM35" s="34">
        <f t="shared" si="24"/>
        <v>7722</v>
      </c>
      <c r="BN35" s="34">
        <f t="shared" si="25"/>
        <v>-7722</v>
      </c>
      <c r="BO35" s="36">
        <f t="shared" si="26"/>
        <v>-0.2044566071119806</v>
      </c>
      <c r="BP35" s="34">
        <v>1918.2783999999999</v>
      </c>
      <c r="BQ35">
        <f t="shared" si="14"/>
        <v>3996</v>
      </c>
      <c r="BR35" s="34">
        <f t="shared" si="7"/>
        <v>3827.7215999999999</v>
      </c>
      <c r="BS35" s="23">
        <v>8.3000000000000004E-2</v>
      </c>
      <c r="BT35" s="23">
        <f t="shared" si="15"/>
        <v>5.3512297869151758E-2</v>
      </c>
      <c r="BU35" s="23">
        <f t="shared" si="16"/>
        <v>8.2825119863635749E-2</v>
      </c>
    </row>
    <row r="36" spans="1:73" x14ac:dyDescent="0.25">
      <c r="A36" s="7" t="s">
        <v>118</v>
      </c>
      <c r="B36" s="7" t="s">
        <v>100</v>
      </c>
      <c r="C36" s="10">
        <v>74</v>
      </c>
      <c r="D36" s="10">
        <v>68</v>
      </c>
      <c r="E36" s="8">
        <v>56</v>
      </c>
      <c r="F36" s="8">
        <v>18</v>
      </c>
      <c r="G36" s="8">
        <v>19</v>
      </c>
      <c r="H36" s="25">
        <v>0.51300000000000001</v>
      </c>
      <c r="I36" s="26">
        <v>0.14674606964539172</v>
      </c>
      <c r="J36" s="25">
        <f t="shared" si="8"/>
        <v>0.60607243566089419</v>
      </c>
      <c r="K36" s="68">
        <f>P36*AE$6</f>
        <v>23508.206385015808</v>
      </c>
      <c r="L36" s="48"/>
      <c r="M36" s="48"/>
      <c r="N36" s="37">
        <f>S36*AE$2</f>
        <v>31462.649863348721</v>
      </c>
      <c r="O36" s="37">
        <f>N36-K36</f>
        <v>7954.4434783329125</v>
      </c>
      <c r="P36" s="48">
        <f>C36*T36</f>
        <v>6.5440441303223587</v>
      </c>
      <c r="Q36" s="48"/>
      <c r="R36" s="48"/>
      <c r="S36" s="40">
        <f>C36*AC36</f>
        <v>7.6607497184702424</v>
      </c>
      <c r="T36" s="26">
        <f>H36/AF$3</f>
        <v>8.8433028788139981E-2</v>
      </c>
      <c r="U36" s="40" t="e">
        <f>(0.6*X36)+(0.4*#REF!)</f>
        <v>#REF!</v>
      </c>
      <c r="V36" s="23">
        <v>0.54700000000000004</v>
      </c>
      <c r="W36" s="40">
        <f>V36/G36</f>
        <v>2.8789473684210528E-2</v>
      </c>
      <c r="X36" s="40">
        <f>W36/W51</f>
        <v>1.8555765759375852E-2</v>
      </c>
      <c r="AB36" s="23"/>
      <c r="AC36" s="23">
        <f>J36/AG$3</f>
        <v>0.10352364484419246</v>
      </c>
      <c r="AH36">
        <v>102</v>
      </c>
      <c r="AI36">
        <v>104</v>
      </c>
      <c r="AJ36">
        <f t="shared" si="9"/>
        <v>-2</v>
      </c>
      <c r="AK36">
        <v>50</v>
      </c>
      <c r="AL36">
        <v>88</v>
      </c>
      <c r="AM36" s="119">
        <f t="shared" si="17"/>
        <v>65.203610832497489</v>
      </c>
      <c r="AN36">
        <v>66</v>
      </c>
      <c r="AO36" s="119">
        <f t="shared" si="18"/>
        <v>22.796389167502511</v>
      </c>
      <c r="AP36">
        <f t="shared" si="19"/>
        <v>22</v>
      </c>
      <c r="AQ36" s="25">
        <f t="shared" si="20"/>
        <v>1.0700345686679742</v>
      </c>
      <c r="AR36" s="25">
        <f t="shared" si="20"/>
        <v>1.060517966261088</v>
      </c>
      <c r="AS36" s="119">
        <v>51.988579000000001</v>
      </c>
      <c r="AT36">
        <f t="shared" si="3"/>
        <v>52</v>
      </c>
      <c r="AU36" s="119">
        <f t="shared" si="10"/>
        <v>52.011420999999999</v>
      </c>
      <c r="AV36" s="23">
        <v>1.86</v>
      </c>
      <c r="AW36" s="23">
        <f t="shared" si="11"/>
        <v>2.1759975437976684</v>
      </c>
      <c r="AX36">
        <v>24</v>
      </c>
      <c r="AY36">
        <v>38</v>
      </c>
      <c r="AZ36">
        <v>38</v>
      </c>
      <c r="BA36">
        <f t="shared" si="21"/>
        <v>0</v>
      </c>
      <c r="BB36" s="23">
        <f t="shared" si="22"/>
        <v>0.3660151722673724</v>
      </c>
      <c r="BC36" s="25">
        <f t="shared" si="23"/>
        <v>0.78271684866360169</v>
      </c>
      <c r="BD36">
        <v>23</v>
      </c>
      <c r="BE36">
        <f t="shared" si="12"/>
        <v>1</v>
      </c>
      <c r="BF36" s="23">
        <v>0.67300000000000004</v>
      </c>
      <c r="BG36" s="23">
        <v>1.385</v>
      </c>
      <c r="BH36" s="23">
        <f t="shared" si="13"/>
        <v>1.5747985262786011</v>
      </c>
      <c r="BI36" s="34">
        <v>0</v>
      </c>
      <c r="BJ36" s="77">
        <v>0</v>
      </c>
      <c r="BK36">
        <v>46674</v>
      </c>
      <c r="BL36" s="34">
        <v>0</v>
      </c>
      <c r="BM36" s="34">
        <f t="shared" si="24"/>
        <v>29172</v>
      </c>
      <c r="BN36" s="34">
        <f t="shared" si="25"/>
        <v>-29172</v>
      </c>
      <c r="BO36" s="36">
        <f t="shared" si="26"/>
        <v>-0.80721009888192319</v>
      </c>
      <c r="BP36" s="34">
        <v>48758.509700000002</v>
      </c>
      <c r="BQ36">
        <f t="shared" si="14"/>
        <v>-46674</v>
      </c>
      <c r="BR36" s="34">
        <f t="shared" si="7"/>
        <v>-48758.509700000002</v>
      </c>
      <c r="BS36" s="23">
        <v>-0.79500000000000004</v>
      </c>
      <c r="BT36" s="23">
        <f t="shared" si="15"/>
        <v>-0.84701670026566567</v>
      </c>
      <c r="BU36" s="23">
        <f t="shared" si="16"/>
        <v>0.14674606964539172</v>
      </c>
    </row>
    <row r="37" spans="1:73" x14ac:dyDescent="0.25">
      <c r="A37" s="7" t="s">
        <v>118</v>
      </c>
      <c r="B37" s="7" t="s">
        <v>123</v>
      </c>
      <c r="C37" s="10">
        <f t="shared" si="0"/>
        <v>19</v>
      </c>
      <c r="D37" s="10">
        <v>17</v>
      </c>
      <c r="E37" s="8">
        <v>13</v>
      </c>
      <c r="F37" s="8">
        <v>6</v>
      </c>
      <c r="G37" s="8">
        <v>0</v>
      </c>
      <c r="H37" s="25">
        <v>0.39</v>
      </c>
      <c r="I37" s="26">
        <v>9.6757552547424741E-2</v>
      </c>
      <c r="J37" s="25">
        <f t="shared" si="8"/>
        <v>0.40424118610058463</v>
      </c>
      <c r="K37" s="68">
        <f>P37*AE$6</f>
        <v>4588.6889340120952</v>
      </c>
      <c r="L37" s="48" t="e">
        <f>C37*Q37</f>
        <v>#REF!</v>
      </c>
      <c r="M37" s="48"/>
      <c r="N37" s="37">
        <f>S37*AE$2</f>
        <v>5388.0697023698694</v>
      </c>
      <c r="O37" s="37">
        <f>N37-K37</f>
        <v>799.38076835777429</v>
      </c>
      <c r="P37" s="48">
        <f>C37*T37</f>
        <v>1.2773659713842442</v>
      </c>
      <c r="Q37" s="48" t="e">
        <f>#REF!/AF2</f>
        <v>#REF!</v>
      </c>
      <c r="R37" s="48"/>
      <c r="S37" s="40">
        <f>C37*AC37</f>
        <v>1.3119255254978306</v>
      </c>
      <c r="T37" s="26">
        <f>H37/AF$3</f>
        <v>6.7229787967591798E-2</v>
      </c>
      <c r="U37" s="40"/>
      <c r="V37" s="23"/>
      <c r="W37" s="40"/>
      <c r="X37" s="40"/>
      <c r="AB37" s="23"/>
      <c r="AC37" s="23">
        <f>J37/AG$3</f>
        <v>6.904871186830687E-2</v>
      </c>
      <c r="AH37">
        <v>27</v>
      </c>
      <c r="AI37">
        <v>27</v>
      </c>
      <c r="AJ37">
        <f t="shared" si="9"/>
        <v>0</v>
      </c>
      <c r="AK37">
        <v>13</v>
      </c>
      <c r="AL37">
        <v>20</v>
      </c>
      <c r="AM37" s="119">
        <f t="shared" si="17"/>
        <v>16.300902708124372</v>
      </c>
      <c r="AN37">
        <v>17</v>
      </c>
      <c r="AO37" s="119">
        <f t="shared" si="18"/>
        <v>3.6990972918756277</v>
      </c>
      <c r="AP37">
        <f t="shared" si="19"/>
        <v>3</v>
      </c>
      <c r="AQ37" s="26">
        <f t="shared" si="20"/>
        <v>0.17363109333190294</v>
      </c>
      <c r="AR37" s="23">
        <f t="shared" si="20"/>
        <v>0.16496946141839147</v>
      </c>
      <c r="AS37" s="119">
        <v>13.348419</v>
      </c>
      <c r="AT37">
        <f t="shared" si="3"/>
        <v>14</v>
      </c>
      <c r="AU37" s="119">
        <f t="shared" si="10"/>
        <v>13.651581</v>
      </c>
      <c r="AV37" s="23">
        <v>0.38</v>
      </c>
      <c r="AW37" s="23">
        <f t="shared" si="11"/>
        <v>0.46583889505202414</v>
      </c>
      <c r="AX37">
        <v>13</v>
      </c>
      <c r="AY37">
        <v>11</v>
      </c>
      <c r="AZ37">
        <v>9</v>
      </c>
      <c r="BA37">
        <f t="shared" si="21"/>
        <v>2</v>
      </c>
      <c r="BB37" s="25">
        <f t="shared" si="22"/>
        <v>0.47637150561431879</v>
      </c>
      <c r="BC37" s="26">
        <f t="shared" si="23"/>
        <v>0.28953027909676243</v>
      </c>
      <c r="BD37">
        <v>6</v>
      </c>
      <c r="BE37">
        <f t="shared" si="12"/>
        <v>7</v>
      </c>
      <c r="BF37" s="23">
        <v>0.05</v>
      </c>
      <c r="BG37" s="23">
        <v>0.248</v>
      </c>
      <c r="BH37" s="23">
        <f t="shared" si="13"/>
        <v>0.29950333703121451</v>
      </c>
      <c r="BI37" s="34">
        <v>38484</v>
      </c>
      <c r="BJ37" s="77">
        <v>38484</v>
      </c>
      <c r="BK37">
        <v>4486</v>
      </c>
      <c r="BL37" s="34">
        <v>0</v>
      </c>
      <c r="BM37" s="34">
        <f t="shared" si="24"/>
        <v>7293</v>
      </c>
      <c r="BN37" s="34">
        <f t="shared" si="25"/>
        <v>-7293</v>
      </c>
      <c r="BO37" s="36">
        <f t="shared" si="26"/>
        <v>-0.19240153727658177</v>
      </c>
      <c r="BP37" s="34">
        <v>5001.3049000000001</v>
      </c>
      <c r="BQ37">
        <f t="shared" si="14"/>
        <v>33998</v>
      </c>
      <c r="BR37" s="34">
        <f t="shared" si="7"/>
        <v>33482.695099999997</v>
      </c>
      <c r="BS37" s="23">
        <v>0.60299999999999998</v>
      </c>
      <c r="BT37" s="23">
        <f t="shared" si="15"/>
        <v>0.5613479597046398</v>
      </c>
      <c r="BU37" s="23">
        <f t="shared" si="16"/>
        <v>9.6757552547424741E-2</v>
      </c>
    </row>
    <row r="38" spans="1:73" x14ac:dyDescent="0.25">
      <c r="A38" s="9" t="s">
        <v>118</v>
      </c>
      <c r="B38" s="9" t="s">
        <v>124</v>
      </c>
      <c r="C38" s="10">
        <f t="shared" si="0"/>
        <v>5</v>
      </c>
      <c r="D38" s="10">
        <v>10</v>
      </c>
      <c r="E38" s="8">
        <v>5</v>
      </c>
      <c r="F38" s="8">
        <v>0</v>
      </c>
      <c r="G38" s="8">
        <v>0</v>
      </c>
      <c r="H38" s="25">
        <v>0.157</v>
      </c>
      <c r="I38" s="26">
        <v>0.15161239079872307</v>
      </c>
      <c r="J38" s="25">
        <f t="shared" si="8"/>
        <v>0.15069622106345801</v>
      </c>
      <c r="K38" s="68">
        <f>P38*AE$6</f>
        <v>486.11616912273877</v>
      </c>
      <c r="L38" s="48" t="e">
        <f>C38*Q38</f>
        <v>#REF!</v>
      </c>
      <c r="M38" s="48"/>
      <c r="N38" s="37">
        <f>S38*AE$2</f>
        <v>528.58083301446561</v>
      </c>
      <c r="O38" s="37">
        <f>N38-K38</f>
        <v>42.464663891726843</v>
      </c>
      <c r="P38" s="48">
        <f>C38*T38</f>
        <v>0.13532149629374246</v>
      </c>
      <c r="Q38" s="48" t="e">
        <f>#REF!/AF2</f>
        <v>#REF!</v>
      </c>
      <c r="R38" s="48"/>
      <c r="S38" s="40">
        <f>C38*AC38</f>
        <v>0.12870261994115917</v>
      </c>
      <c r="T38" s="26">
        <f>H38/AF$3</f>
        <v>2.7064299258748491E-2</v>
      </c>
      <c r="U38" s="40"/>
      <c r="V38" s="23"/>
      <c r="W38" s="40"/>
      <c r="X38" s="40"/>
      <c r="AB38" s="23"/>
      <c r="AC38" s="23">
        <f>J38/AG$3</f>
        <v>2.5740523988231834E-2</v>
      </c>
      <c r="AH38">
        <v>5</v>
      </c>
      <c r="AI38">
        <v>5</v>
      </c>
      <c r="AJ38">
        <f t="shared" si="9"/>
        <v>0</v>
      </c>
      <c r="AK38">
        <v>3</v>
      </c>
      <c r="AL38">
        <v>8</v>
      </c>
      <c r="AM38" s="119">
        <f t="shared" si="17"/>
        <v>9.5887662988966902</v>
      </c>
      <c r="AN38">
        <v>10</v>
      </c>
      <c r="AO38" s="119">
        <f t="shared" si="18"/>
        <v>-1.5887662988966902</v>
      </c>
      <c r="AP38">
        <f t="shared" si="19"/>
        <v>-2</v>
      </c>
      <c r="AQ38" s="23">
        <f t="shared" si="20"/>
        <v>-7.4574742906110103E-2</v>
      </c>
      <c r="AR38" s="23">
        <f t="shared" si="20"/>
        <v>-7.07011977507392E-2</v>
      </c>
      <c r="AS38" s="119">
        <v>3.5127419999999998</v>
      </c>
      <c r="AT38">
        <f t="shared" si="3"/>
        <v>2</v>
      </c>
      <c r="AU38" s="119">
        <f t="shared" si="10"/>
        <v>1.4872580000000002</v>
      </c>
      <c r="AV38" s="23">
        <v>-8.7999999999999995E-2</v>
      </c>
      <c r="AW38" s="23">
        <f t="shared" si="11"/>
        <v>-7.6471035974423313E-2</v>
      </c>
      <c r="AX38">
        <v>8</v>
      </c>
      <c r="AY38">
        <v>16</v>
      </c>
      <c r="AZ38">
        <v>6</v>
      </c>
      <c r="BA38">
        <f t="shared" si="21"/>
        <v>10</v>
      </c>
      <c r="BB38" s="25">
        <f t="shared" si="22"/>
        <v>0.91779683900210451</v>
      </c>
      <c r="BC38" s="25">
        <f t="shared" si="23"/>
        <v>0.32469801695039835</v>
      </c>
      <c r="BD38">
        <v>2</v>
      </c>
      <c r="BE38">
        <f t="shared" si="12"/>
        <v>6</v>
      </c>
      <c r="BF38" s="23">
        <v>0.77600000000000002</v>
      </c>
      <c r="BG38" s="23">
        <v>0.25800000000000001</v>
      </c>
      <c r="BH38" s="23">
        <f t="shared" si="13"/>
        <v>0.26451737841534601</v>
      </c>
      <c r="BI38" s="34">
        <v>0</v>
      </c>
      <c r="BJ38" s="77">
        <v>0</v>
      </c>
      <c r="BK38">
        <v>450</v>
      </c>
      <c r="BL38" s="34">
        <v>0</v>
      </c>
      <c r="BM38" s="34">
        <f t="shared" si="24"/>
        <v>4290</v>
      </c>
      <c r="BN38" s="34">
        <f t="shared" si="25"/>
        <v>-4290</v>
      </c>
      <c r="BO38" s="36">
        <f t="shared" si="26"/>
        <v>-0.1080160484287898</v>
      </c>
      <c r="BP38" s="34">
        <v>467.0899</v>
      </c>
      <c r="BQ38">
        <f t="shared" si="14"/>
        <v>-450</v>
      </c>
      <c r="BR38" s="34">
        <f t="shared" si="7"/>
        <v>-467.0899</v>
      </c>
      <c r="BS38" s="23">
        <v>6.0000000000000001E-3</v>
      </c>
      <c r="BT38" s="23">
        <f t="shared" si="15"/>
        <v>-2.003551496437397E-2</v>
      </c>
      <c r="BU38" s="23">
        <f t="shared" si="16"/>
        <v>0.15161239079872307</v>
      </c>
    </row>
    <row r="39" spans="1:73" x14ac:dyDescent="0.25">
      <c r="A39" s="9" t="s">
        <v>118</v>
      </c>
      <c r="B39" s="9" t="s">
        <v>143</v>
      </c>
      <c r="C39" s="10">
        <f t="shared" si="0"/>
        <v>15</v>
      </c>
      <c r="D39" s="10">
        <v>15</v>
      </c>
      <c r="E39" s="8">
        <v>15</v>
      </c>
      <c r="F39" s="8">
        <v>0</v>
      </c>
      <c r="G39" s="8">
        <v>0</v>
      </c>
      <c r="H39" s="26">
        <v>-0.28499999999999998</v>
      </c>
      <c r="I39" s="25">
        <v>1.1456090471141107</v>
      </c>
      <c r="J39" s="26">
        <f t="shared" si="8"/>
        <v>-0.31220931191521645</v>
      </c>
      <c r="K39" s="69"/>
      <c r="L39" s="48"/>
      <c r="M39" s="68">
        <f>R39*AE$8</f>
        <v>13162.105355112142</v>
      </c>
      <c r="N39" s="69"/>
      <c r="O39" s="69"/>
      <c r="P39" s="48"/>
      <c r="Q39" s="48"/>
      <c r="R39" s="40">
        <f>D39*AB39</f>
        <v>3.2877243283898299</v>
      </c>
      <c r="S39" s="48"/>
      <c r="T39" s="26"/>
      <c r="U39" s="40"/>
      <c r="V39" s="23"/>
      <c r="W39" s="40"/>
      <c r="X39" s="40"/>
      <c r="AB39" s="23">
        <f>I39/AG$6</f>
        <v>0.21918162189265533</v>
      </c>
      <c r="AC39" s="23"/>
      <c r="AH39">
        <v>3</v>
      </c>
      <c r="AI39">
        <v>3</v>
      </c>
      <c r="AJ39">
        <f t="shared" si="9"/>
        <v>0</v>
      </c>
      <c r="AK39">
        <v>10</v>
      </c>
      <c r="AL39">
        <v>2</v>
      </c>
      <c r="AM39" s="119">
        <f t="shared" si="17"/>
        <v>14.383149448345035</v>
      </c>
      <c r="AN39">
        <v>15</v>
      </c>
      <c r="AO39" s="119">
        <f t="shared" si="18"/>
        <v>-12.383149448345035</v>
      </c>
      <c r="AP39">
        <f t="shared" si="19"/>
        <v>-13</v>
      </c>
      <c r="AQ39" s="23">
        <f t="shared" si="20"/>
        <v>-0.58124985853461841</v>
      </c>
      <c r="AR39" s="23">
        <f t="shared" si="20"/>
        <v>-0.58917664792282665</v>
      </c>
      <c r="AS39" s="119">
        <v>10.538225000000001</v>
      </c>
      <c r="AT39">
        <f t="shared" si="3"/>
        <v>-7</v>
      </c>
      <c r="AU39" s="119">
        <f t="shared" si="10"/>
        <v>-7.5382250000000006</v>
      </c>
      <c r="AV39" s="23">
        <v>-0.439</v>
      </c>
      <c r="AW39" s="23">
        <f t="shared" si="11"/>
        <v>-0.47884518069339987</v>
      </c>
      <c r="AX39">
        <v>0</v>
      </c>
      <c r="AY39">
        <v>2</v>
      </c>
      <c r="AZ39">
        <v>8</v>
      </c>
      <c r="BA39">
        <f t="shared" si="21"/>
        <v>-6</v>
      </c>
      <c r="BB39" s="23">
        <f t="shared" si="22"/>
        <v>3.4946172226533061E-2</v>
      </c>
      <c r="BC39" s="26">
        <f t="shared" si="23"/>
        <v>-0.33952751986308277</v>
      </c>
      <c r="BD39">
        <v>5</v>
      </c>
      <c r="BE39">
        <f t="shared" si="12"/>
        <v>-5</v>
      </c>
      <c r="BF39" s="23">
        <v>-0.46800000000000003</v>
      </c>
      <c r="BG39" s="23">
        <v>-0.45100000000000001</v>
      </c>
      <c r="BH39" s="23">
        <f t="shared" si="13"/>
        <v>-0.47450710841603994</v>
      </c>
      <c r="BI39" s="34">
        <v>0</v>
      </c>
      <c r="BJ39" s="77">
        <v>0</v>
      </c>
      <c r="BK39">
        <v>2986</v>
      </c>
      <c r="BL39" s="34">
        <v>126034</v>
      </c>
      <c r="BM39" s="34">
        <f t="shared" si="24"/>
        <v>6435</v>
      </c>
      <c r="BN39" s="34">
        <f t="shared" si="25"/>
        <v>119599</v>
      </c>
      <c r="BO39" s="231">
        <f t="shared" si="26"/>
        <v>3.3733138975799006</v>
      </c>
      <c r="BP39" s="34">
        <v>3312.5003999999999</v>
      </c>
      <c r="BQ39">
        <f t="shared" si="14"/>
        <v>-2986</v>
      </c>
      <c r="BR39" s="34">
        <f t="shared" si="7"/>
        <v>-3312.5003999999999</v>
      </c>
      <c r="BS39" s="23">
        <v>-3.7999999999999999E-2</v>
      </c>
      <c r="BT39" s="23">
        <f t="shared" si="15"/>
        <v>-6.8762617163981299E-2</v>
      </c>
      <c r="BU39" s="25">
        <f t="shared" si="16"/>
        <v>1.1456090471141107</v>
      </c>
    </row>
    <row r="40" spans="1:73" x14ac:dyDescent="0.25">
      <c r="A40" s="7" t="s">
        <v>125</v>
      </c>
      <c r="B40" s="7" t="s">
        <v>126</v>
      </c>
      <c r="C40" s="32">
        <f t="shared" si="0"/>
        <v>31</v>
      </c>
      <c r="D40" s="32">
        <v>0</v>
      </c>
      <c r="E40">
        <v>0</v>
      </c>
      <c r="F40">
        <v>0</v>
      </c>
      <c r="G40" s="8">
        <v>31</v>
      </c>
      <c r="H40" s="23"/>
      <c r="I40" s="26"/>
      <c r="J40" s="23"/>
      <c r="K40" s="69"/>
      <c r="L40" s="48"/>
      <c r="M40" s="48"/>
      <c r="N40" s="69"/>
      <c r="O40" s="69"/>
      <c r="P40" s="48"/>
      <c r="Q40" s="48"/>
      <c r="R40" s="48"/>
      <c r="S40" s="48"/>
      <c r="T40" s="26"/>
      <c r="U40" s="40" t="e">
        <f>(0.6*X40)+(0.4*#REF!)</f>
        <v>#REF!</v>
      </c>
      <c r="V40" s="23">
        <v>19.085000000000001</v>
      </c>
      <c r="W40" s="48">
        <f>V40/(G40+G41+G42)</f>
        <v>0.17836448598130841</v>
      </c>
      <c r="X40" s="40">
        <f>W40/W51</f>
        <v>0.1149617967304426</v>
      </c>
      <c r="AB40" s="23"/>
      <c r="AC40" s="23"/>
      <c r="AM40" s="119"/>
      <c r="AQ40" s="23"/>
      <c r="BB40" s="23"/>
      <c r="BC40" s="23"/>
      <c r="BI40" s="34"/>
      <c r="BJ40" s="77">
        <v>0</v>
      </c>
      <c r="BO40" s="36"/>
      <c r="BT40" s="23"/>
      <c r="BU40" s="23"/>
    </row>
    <row r="41" spans="1:73" x14ac:dyDescent="0.25">
      <c r="A41" s="9" t="s">
        <v>125</v>
      </c>
      <c r="B41" s="9" t="s">
        <v>127</v>
      </c>
      <c r="C41" s="32">
        <f t="shared" si="0"/>
        <v>32</v>
      </c>
      <c r="D41" s="32">
        <v>0</v>
      </c>
      <c r="E41">
        <v>0</v>
      </c>
      <c r="F41">
        <v>0</v>
      </c>
      <c r="G41" s="8">
        <v>32</v>
      </c>
      <c r="H41" s="23"/>
      <c r="I41" s="26"/>
      <c r="J41" s="23"/>
      <c r="K41" s="69"/>
      <c r="L41" s="48"/>
      <c r="M41" s="48"/>
      <c r="N41" s="69"/>
      <c r="O41" s="69"/>
      <c r="P41" s="48"/>
      <c r="Q41" s="48"/>
      <c r="R41" s="48"/>
      <c r="S41" s="48"/>
      <c r="T41" s="26"/>
      <c r="U41" s="40"/>
      <c r="V41" s="23"/>
      <c r="W41" s="40"/>
      <c r="X41" s="40"/>
      <c r="AB41" s="23"/>
      <c r="AC41" s="23"/>
      <c r="AM41" s="119"/>
      <c r="AQ41" s="23"/>
      <c r="BB41" s="23"/>
      <c r="BC41" s="23"/>
      <c r="BI41" s="34"/>
      <c r="BJ41" s="77">
        <v>0</v>
      </c>
      <c r="BO41" s="36"/>
      <c r="BT41" s="23"/>
      <c r="BU41" s="23"/>
    </row>
    <row r="42" spans="1:73" x14ac:dyDescent="0.25">
      <c r="A42" s="7" t="s">
        <v>125</v>
      </c>
      <c r="B42" s="7" t="s">
        <v>128</v>
      </c>
      <c r="C42" s="32">
        <f t="shared" si="0"/>
        <v>44</v>
      </c>
      <c r="D42" s="32">
        <v>0</v>
      </c>
      <c r="E42">
        <v>0</v>
      </c>
      <c r="F42">
        <v>0</v>
      </c>
      <c r="G42" s="8">
        <v>44</v>
      </c>
      <c r="H42" s="23"/>
      <c r="I42" s="26"/>
      <c r="J42" s="23"/>
      <c r="K42" s="69"/>
      <c r="L42" s="48"/>
      <c r="M42" s="48"/>
      <c r="N42" s="69"/>
      <c r="O42" s="69"/>
      <c r="P42" s="48"/>
      <c r="Q42" s="48"/>
      <c r="R42" s="48"/>
      <c r="S42" s="48"/>
      <c r="T42" s="26"/>
      <c r="U42" s="40"/>
      <c r="V42" s="23"/>
      <c r="W42" s="40"/>
      <c r="X42" s="40"/>
      <c r="AB42" s="23"/>
      <c r="AC42" s="23"/>
      <c r="AM42" s="119"/>
      <c r="AQ42" s="23"/>
      <c r="BB42" s="23"/>
      <c r="BC42" s="23"/>
      <c r="BI42" s="34"/>
      <c r="BJ42" s="77">
        <v>0</v>
      </c>
      <c r="BO42" s="36"/>
      <c r="BT42" s="23"/>
      <c r="BU42" s="23"/>
    </row>
    <row r="43" spans="1:73" x14ac:dyDescent="0.25">
      <c r="A43" s="9" t="s">
        <v>135</v>
      </c>
      <c r="B43" s="9" t="s">
        <v>100</v>
      </c>
      <c r="C43" s="10">
        <f t="shared" si="0"/>
        <v>70</v>
      </c>
      <c r="D43" s="10">
        <v>65</v>
      </c>
      <c r="E43" s="8">
        <v>52</v>
      </c>
      <c r="F43" s="8">
        <v>18</v>
      </c>
      <c r="G43">
        <v>0</v>
      </c>
      <c r="H43" s="26">
        <v>-0.55500000000000005</v>
      </c>
      <c r="I43" s="26">
        <v>-0.37720182357364174</v>
      </c>
      <c r="J43" s="26">
        <f t="shared" ref="J43" si="27">(0.6*BH43)+(0.4*BT43)</f>
        <v>-0.56541634749928771</v>
      </c>
      <c r="K43" s="70"/>
      <c r="L43" s="48" t="e">
        <f>C43*Q43</f>
        <v>#REF!</v>
      </c>
      <c r="M43" s="48"/>
      <c r="N43" s="69"/>
      <c r="O43" s="69"/>
      <c r="P43" s="48"/>
      <c r="Q43" s="48" t="e">
        <f>#REF!/AF2</f>
        <v>#REF!</v>
      </c>
      <c r="R43" s="48"/>
      <c r="S43" s="48"/>
      <c r="T43" s="26"/>
      <c r="U43" s="40"/>
      <c r="V43" s="23"/>
      <c r="W43" s="40"/>
      <c r="X43" s="40"/>
      <c r="AB43" s="23"/>
      <c r="AC43" s="23"/>
      <c r="AH43">
        <v>59</v>
      </c>
      <c r="AI43">
        <v>59</v>
      </c>
      <c r="AJ43">
        <f>AH43-AI43</f>
        <v>0</v>
      </c>
      <c r="AK43">
        <v>48</v>
      </c>
      <c r="AL43">
        <v>72</v>
      </c>
      <c r="AM43" s="119">
        <f>D43*AL$53</f>
        <v>62.326980942828484</v>
      </c>
      <c r="AN43">
        <v>63</v>
      </c>
      <c r="AO43" s="119">
        <f>AL43-AM43</f>
        <v>9.6730190571715156</v>
      </c>
      <c r="AP43">
        <f>AL43-AN43</f>
        <v>9</v>
      </c>
      <c r="AQ43" s="25">
        <f>(AO43-AO$50)/AO$51</f>
        <v>0.45403965946119074</v>
      </c>
      <c r="AR43" s="25">
        <f>(AP43-AP$50)/AP$51</f>
        <v>0.44777425242134827</v>
      </c>
      <c r="AS43" s="119">
        <v>49.178384999999999</v>
      </c>
      <c r="AT43">
        <f t="shared" si="3"/>
        <v>11</v>
      </c>
      <c r="AU43" s="119">
        <f>AI43-AS43</f>
        <v>9.8216150000000013</v>
      </c>
      <c r="AV43" s="23">
        <v>0.26300000000000001</v>
      </c>
      <c r="AW43" s="23">
        <f>(AU43-AU$51)/AU$52</f>
        <v>0.29509132469454197</v>
      </c>
      <c r="AX43">
        <v>33</v>
      </c>
      <c r="AY43">
        <v>12</v>
      </c>
      <c r="AZ43">
        <v>36</v>
      </c>
      <c r="BA43">
        <f>AY43-AZ43</f>
        <v>-24</v>
      </c>
      <c r="BB43" s="23">
        <f>(BA43-BA$50)/BA$51</f>
        <v>-0.95826082789598499</v>
      </c>
      <c r="BC43" s="26">
        <f>(0.6*AR43)+(0.4*BB43)</f>
        <v>-0.11463977970558509</v>
      </c>
      <c r="BD43">
        <v>22</v>
      </c>
      <c r="BE43">
        <f>AX43-BD43</f>
        <v>11</v>
      </c>
      <c r="BF43" s="23">
        <v>-1.506</v>
      </c>
      <c r="BG43" s="23">
        <v>-0.44500000000000001</v>
      </c>
      <c r="BH43" s="23">
        <f>(0.6*AW43)+(0.4*BF43)</f>
        <v>-0.4253452051832749</v>
      </c>
      <c r="BI43" s="34">
        <v>0</v>
      </c>
      <c r="BJ43" s="77">
        <v>0</v>
      </c>
      <c r="BK43">
        <v>42413</v>
      </c>
      <c r="BL43" s="34">
        <v>0</v>
      </c>
      <c r="BM43" s="34">
        <f>D43*BL$53</f>
        <v>27885</v>
      </c>
      <c r="BN43" s="34">
        <f>BL43-BM43</f>
        <v>-27885</v>
      </c>
      <c r="BO43" s="36">
        <f>(BN43-BN$50)/BN$51</f>
        <v>-0.77104488937572668</v>
      </c>
      <c r="BP43" s="34">
        <v>44583.651299999998</v>
      </c>
      <c r="BQ43">
        <f>BI43-BK43</f>
        <v>-42413</v>
      </c>
      <c r="BR43" s="34">
        <f t="shared" ref="BR43" si="28">BJ43-BP43</f>
        <v>-44583.651299999998</v>
      </c>
      <c r="BS43" s="23">
        <v>-0.72099999999999997</v>
      </c>
      <c r="BT43" s="23">
        <f>(BR43-BR$51)/BR$52</f>
        <v>-0.77552306097330714</v>
      </c>
      <c r="BU43" s="23">
        <f>(0.6*BC43)+(0.4*BO43)</f>
        <v>-0.37720182357364174</v>
      </c>
    </row>
    <row r="44" spans="1:73" x14ac:dyDescent="0.25">
      <c r="A44" s="7" t="s">
        <v>135</v>
      </c>
      <c r="B44" s="7" t="s">
        <v>113</v>
      </c>
      <c r="C44" s="32">
        <f t="shared" si="0"/>
        <v>2</v>
      </c>
      <c r="D44" s="32">
        <v>2</v>
      </c>
      <c r="E44" s="8">
        <v>2</v>
      </c>
      <c r="F44" s="8">
        <v>0</v>
      </c>
      <c r="G44">
        <v>0</v>
      </c>
      <c r="H44" s="23"/>
      <c r="I44" s="26"/>
      <c r="J44" s="23"/>
      <c r="K44" s="69"/>
      <c r="L44" s="48"/>
      <c r="M44" s="48"/>
      <c r="N44" s="69"/>
      <c r="O44" s="69"/>
      <c r="P44" s="48"/>
      <c r="Q44" s="48"/>
      <c r="R44" s="48"/>
      <c r="S44" s="48"/>
      <c r="T44" s="26"/>
      <c r="U44" s="40"/>
      <c r="V44" s="23"/>
      <c r="W44" s="40"/>
      <c r="X44" s="40"/>
      <c r="AB44" s="23"/>
      <c r="AC44" s="23"/>
      <c r="AM44" s="119"/>
      <c r="AQ44" s="23"/>
      <c r="BB44" s="23"/>
      <c r="BC44" s="23"/>
      <c r="BI44" s="34"/>
      <c r="BJ44" s="77">
        <v>0</v>
      </c>
      <c r="BO44" s="36"/>
      <c r="BT44" s="23"/>
      <c r="BU44" s="23"/>
    </row>
    <row r="45" spans="1:73" x14ac:dyDescent="0.25">
      <c r="A45" s="9" t="s">
        <v>138</v>
      </c>
      <c r="B45" s="9" t="s">
        <v>107</v>
      </c>
      <c r="C45" s="10">
        <v>22</v>
      </c>
      <c r="D45" s="10">
        <v>11</v>
      </c>
      <c r="E45">
        <v>22</v>
      </c>
      <c r="F45">
        <v>0</v>
      </c>
      <c r="G45">
        <v>9</v>
      </c>
      <c r="H45" s="26">
        <v>-0.24399999999999999</v>
      </c>
      <c r="I45" s="26">
        <v>-8.7446961912836629E-2</v>
      </c>
      <c r="J45" s="26">
        <f t="shared" ref="J45:J49" si="29">(0.6*BH45)+(0.4*BT45)</f>
        <v>-0.19350228700969671</v>
      </c>
      <c r="K45" s="69"/>
      <c r="L45" s="48"/>
      <c r="M45" s="48"/>
      <c r="N45" s="69"/>
      <c r="O45" s="69"/>
      <c r="P45" s="48"/>
      <c r="Q45" s="48"/>
      <c r="R45" s="48"/>
      <c r="S45" s="48"/>
      <c r="T45" s="26"/>
      <c r="U45" s="40" t="e">
        <f>(0.6*X45)+(0.4*#REF!)</f>
        <v>#REF!</v>
      </c>
      <c r="V45" s="23">
        <v>1.274</v>
      </c>
      <c r="W45" s="40">
        <f>V45/G45</f>
        <v>0.14155555555555555</v>
      </c>
      <c r="X45" s="40">
        <f>W45/W51</f>
        <v>9.1237226482114936E-2</v>
      </c>
      <c r="AB45" s="23"/>
      <c r="AC45" s="23"/>
      <c r="AH45">
        <v>7</v>
      </c>
      <c r="AI45">
        <v>12</v>
      </c>
      <c r="AJ45">
        <f>AH45-AI45</f>
        <v>-5</v>
      </c>
      <c r="AK45">
        <v>15</v>
      </c>
      <c r="AL45">
        <v>3</v>
      </c>
      <c r="AM45" s="119">
        <f>D45*AL$53</f>
        <v>10.54764292878636</v>
      </c>
      <c r="AN45">
        <v>11</v>
      </c>
      <c r="AO45" s="119">
        <f>AL45-AM45</f>
        <v>-7.5476429287863596</v>
      </c>
      <c r="AP45">
        <f>AL45-AN45</f>
        <v>-8</v>
      </c>
      <c r="AQ45" s="23">
        <f t="shared" ref="AQ45:AR49" si="30">(AO45-AO$50)/AO$51</f>
        <v>-0.35427710881848401</v>
      </c>
      <c r="AR45" s="23">
        <f t="shared" si="30"/>
        <v>-0.35350598875369599</v>
      </c>
      <c r="AS45" s="119">
        <v>15.456064</v>
      </c>
      <c r="AT45">
        <f t="shared" si="3"/>
        <v>-8</v>
      </c>
      <c r="AU45" s="119">
        <f>AI45-AS45</f>
        <v>-3.4560639999999996</v>
      </c>
      <c r="AV45" s="23">
        <v>-0.47799999999999998</v>
      </c>
      <c r="AW45" s="23">
        <f>(AU45-AU$51)/AU$52</f>
        <v>-0.29685425112429403</v>
      </c>
      <c r="AX45">
        <v>7</v>
      </c>
      <c r="AY45">
        <v>6</v>
      </c>
      <c r="AZ45">
        <v>6</v>
      </c>
      <c r="BA45">
        <f>AY45-AZ45</f>
        <v>0</v>
      </c>
      <c r="BB45" s="23">
        <f>(BA45-BA$50)/BA$51</f>
        <v>0.3660151722673724</v>
      </c>
      <c r="BC45" s="26">
        <f>(0.6*AR45)+(0.4*BB45)</f>
        <v>-6.5697524345268626E-2</v>
      </c>
      <c r="BD45">
        <v>7</v>
      </c>
      <c r="BE45">
        <f>AX45-BD45</f>
        <v>0</v>
      </c>
      <c r="BF45" s="23">
        <v>-0.157</v>
      </c>
      <c r="BG45" s="23">
        <v>-0.34899999999999998</v>
      </c>
      <c r="BH45" s="23">
        <f>(0.6*AW45)+(0.4*BF45)</f>
        <v>-0.2409125506745764</v>
      </c>
      <c r="BI45" s="34">
        <v>0</v>
      </c>
      <c r="BJ45" s="77">
        <v>0</v>
      </c>
      <c r="BK45">
        <v>5775</v>
      </c>
      <c r="BL45" s="34">
        <v>0</v>
      </c>
      <c r="BM45" s="34">
        <f>D45*BL$53</f>
        <v>4719</v>
      </c>
      <c r="BN45" s="34">
        <f>BL45-BM45</f>
        <v>-4719</v>
      </c>
      <c r="BO45" s="36">
        <f>(BN45-BN$50)/BN$51</f>
        <v>-0.12007111826418865</v>
      </c>
      <c r="BP45" s="34">
        <v>6443.8804</v>
      </c>
      <c r="BQ45">
        <f>BI45-BK45</f>
        <v>-5775</v>
      </c>
      <c r="BR45" s="34">
        <f t="shared" ref="BR45:BR49" si="31">BJ45-BP45</f>
        <v>-6443.8804</v>
      </c>
      <c r="BS45" s="23">
        <v>-8.5999999999999993E-2</v>
      </c>
      <c r="BT45" s="23">
        <f>(BR45-BR$51)/BR$52</f>
        <v>-0.12238689151237722</v>
      </c>
      <c r="BU45" s="23">
        <f>(0.6*BC45)+(0.4*BO45)</f>
        <v>-8.7446961912836629E-2</v>
      </c>
    </row>
    <row r="46" spans="1:73" x14ac:dyDescent="0.25">
      <c r="A46" s="7" t="s">
        <v>138</v>
      </c>
      <c r="B46" s="7" t="s">
        <v>108</v>
      </c>
      <c r="C46" s="10">
        <v>23</v>
      </c>
      <c r="D46" s="10">
        <v>21</v>
      </c>
      <c r="E46">
        <v>23</v>
      </c>
      <c r="F46">
        <v>0</v>
      </c>
      <c r="G46" s="28">
        <v>1</v>
      </c>
      <c r="H46" s="25">
        <v>0.38500000000000001</v>
      </c>
      <c r="I46" s="25">
        <v>0.2810527297312676</v>
      </c>
      <c r="J46" s="25">
        <f t="shared" si="29"/>
        <v>0.34714211304987652</v>
      </c>
      <c r="K46" s="68">
        <f>P46*AE$6</f>
        <v>5483.5142389577722</v>
      </c>
      <c r="L46" s="48" t="e">
        <f>C46*Q46</f>
        <v>#REF!</v>
      </c>
      <c r="M46" s="68">
        <f>R46*AE$8</f>
        <v>4520.690463938754</v>
      </c>
      <c r="N46" s="37">
        <f>S46*AE$2</f>
        <v>5601.1110536074439</v>
      </c>
      <c r="O46" s="37">
        <f>N46-K46</f>
        <v>117.59681464967161</v>
      </c>
      <c r="P46" s="48">
        <f>C46*T46</f>
        <v>1.526460955007757</v>
      </c>
      <c r="Q46" s="48" t="e">
        <f>#REF!/AF2</f>
        <v>#REF!</v>
      </c>
      <c r="R46" s="40">
        <f>D46*AB46</f>
        <v>1.129210230310052</v>
      </c>
      <c r="S46" s="40">
        <f>C46*AC46</f>
        <v>1.3637983486263419</v>
      </c>
      <c r="T46" s="26">
        <f>H46/AF$3</f>
        <v>6.6367867609032918E-2</v>
      </c>
      <c r="U46" s="40"/>
      <c r="V46" s="23"/>
      <c r="W46" s="40"/>
      <c r="X46" s="40"/>
      <c r="AB46" s="23">
        <f>I46/AG$6</f>
        <v>5.3771915729050095E-2</v>
      </c>
      <c r="AC46" s="23">
        <f>J46/AG$3</f>
        <v>5.9295580375058339E-2</v>
      </c>
      <c r="AH46">
        <v>4</v>
      </c>
      <c r="AI46">
        <v>4</v>
      </c>
      <c r="AJ46">
        <f>AH46-AI46</f>
        <v>0</v>
      </c>
      <c r="AK46">
        <v>16</v>
      </c>
      <c r="AL46">
        <v>8</v>
      </c>
      <c r="AM46" s="119">
        <f>D46*AL$53</f>
        <v>20.13640922768305</v>
      </c>
      <c r="AN46">
        <v>20</v>
      </c>
      <c r="AO46" s="119">
        <f>AL46-AM46</f>
        <v>-12.13640922768305</v>
      </c>
      <c r="AP46">
        <f>AL46-AN46</f>
        <v>-12</v>
      </c>
      <c r="AQ46" s="23">
        <f t="shared" si="30"/>
        <v>-0.5696681749772301</v>
      </c>
      <c r="AR46" s="23">
        <f t="shared" si="30"/>
        <v>-0.54204251608900056</v>
      </c>
      <c r="AS46" s="119">
        <v>16.158612000000002</v>
      </c>
      <c r="AT46">
        <f t="shared" si="3"/>
        <v>-12</v>
      </c>
      <c r="AU46" s="119">
        <f>AI46-AS46</f>
        <v>-12.158612000000002</v>
      </c>
      <c r="AV46" s="23">
        <v>-0.63300000000000001</v>
      </c>
      <c r="AW46" s="23">
        <f>(AU46-AU$51)/AU$52</f>
        <v>-0.68483130546873627</v>
      </c>
      <c r="AX46">
        <v>26</v>
      </c>
      <c r="AY46">
        <v>16</v>
      </c>
      <c r="AZ46">
        <v>12</v>
      </c>
      <c r="BA46">
        <f>AY46-AZ46</f>
        <v>4</v>
      </c>
      <c r="BB46" s="25">
        <f>(BA46-BA$50)/BA$51</f>
        <v>0.58672783896126524</v>
      </c>
      <c r="BC46" s="26">
        <f>(0.6*AR46)+(0.4*BB46)</f>
        <v>-9.0534374068894197E-2</v>
      </c>
      <c r="BD46">
        <v>7</v>
      </c>
      <c r="BE46">
        <f>AX46-BD46</f>
        <v>19</v>
      </c>
      <c r="BF46" s="23">
        <v>1.1910000000000001</v>
      </c>
      <c r="BG46" s="23">
        <v>9.6000000000000002E-2</v>
      </c>
      <c r="BH46" s="23">
        <f>(0.6*AW46)+(0.4*BF46)</f>
        <v>6.5501216718758304E-2</v>
      </c>
      <c r="BI46" s="34">
        <v>52600</v>
      </c>
      <c r="BJ46" s="77">
        <v>52600</v>
      </c>
      <c r="BK46">
        <v>6235</v>
      </c>
      <c r="BL46" s="34">
        <v>38400</v>
      </c>
      <c r="BM46" s="34">
        <f>D46*BL$53</f>
        <v>9009</v>
      </c>
      <c r="BN46" s="34">
        <f>BL46-BM46</f>
        <v>29391</v>
      </c>
      <c r="BO46" s="231">
        <f>(BN46-BN$50)/BN$51</f>
        <v>0.83843338543151025</v>
      </c>
      <c r="BP46" s="34">
        <v>6956.2619999999997</v>
      </c>
      <c r="BQ46">
        <f>BI46-BK46</f>
        <v>46365</v>
      </c>
      <c r="BR46" s="34">
        <f t="shared" si="31"/>
        <v>45643.737999999998</v>
      </c>
      <c r="BS46" s="23">
        <v>0.81699999999999995</v>
      </c>
      <c r="BT46" s="23">
        <f>(BR46-BR$51)/BR$52</f>
        <v>0.76960345754655368</v>
      </c>
      <c r="BU46" s="25">
        <f>(0.6*BC46)+(0.4*BO46)</f>
        <v>0.2810527297312676</v>
      </c>
    </row>
    <row r="47" spans="1:73" x14ac:dyDescent="0.25">
      <c r="A47" s="9" t="s">
        <v>138</v>
      </c>
      <c r="B47" s="9" t="s">
        <v>100</v>
      </c>
      <c r="C47" s="10">
        <f t="shared" si="0"/>
        <v>35</v>
      </c>
      <c r="D47" s="10">
        <v>7</v>
      </c>
      <c r="E47">
        <v>28</v>
      </c>
      <c r="F47">
        <v>7</v>
      </c>
      <c r="G47">
        <v>0</v>
      </c>
      <c r="H47" s="26">
        <v>-0.32700000000000001</v>
      </c>
      <c r="I47" s="25">
        <v>0.69297243432125544</v>
      </c>
      <c r="J47" s="26">
        <f t="shared" si="29"/>
        <v>-0.32572065009905421</v>
      </c>
      <c r="K47" s="69"/>
      <c r="L47" s="48"/>
      <c r="M47" s="68">
        <f>R47*AE$8</f>
        <v>3715.4521129705349</v>
      </c>
      <c r="N47" s="218"/>
      <c r="O47" s="218"/>
      <c r="P47" s="48"/>
      <c r="Q47" s="48"/>
      <c r="R47" s="40">
        <f>D47*AB47</f>
        <v>0.92807206546452614</v>
      </c>
      <c r="S47" s="48"/>
      <c r="T47" s="26"/>
      <c r="U47" s="40"/>
      <c r="V47" s="23"/>
      <c r="W47" s="40"/>
      <c r="X47" s="40"/>
      <c r="AB47" s="23">
        <f>I47/AG$6</f>
        <v>0.13258172363778944</v>
      </c>
      <c r="AC47" s="23"/>
      <c r="AH47">
        <v>26</v>
      </c>
      <c r="AI47">
        <v>26</v>
      </c>
      <c r="AJ47">
        <f>AH47-AI47</f>
        <v>0</v>
      </c>
      <c r="AK47">
        <v>24</v>
      </c>
      <c r="AL47">
        <v>42</v>
      </c>
      <c r="AM47" s="119">
        <f>D47*AL$53</f>
        <v>6.712136409227683</v>
      </c>
      <c r="AN47">
        <v>7</v>
      </c>
      <c r="AO47" s="119">
        <f>AL47-AM47</f>
        <v>35.287863590772318</v>
      </c>
      <c r="AP47">
        <f>AL47-AN47</f>
        <v>35</v>
      </c>
      <c r="AQ47" s="25">
        <f t="shared" si="30"/>
        <v>1.6563690687643728</v>
      </c>
      <c r="AR47" s="25">
        <f t="shared" si="30"/>
        <v>1.6732616801008278</v>
      </c>
      <c r="AS47" s="119">
        <v>24.589193000000002</v>
      </c>
      <c r="AT47">
        <f t="shared" si="3"/>
        <v>2</v>
      </c>
      <c r="AU47" s="119">
        <f>AI47-AS47</f>
        <v>1.4108069999999984</v>
      </c>
      <c r="AV47" s="23">
        <v>-8.7999999999999995E-2</v>
      </c>
      <c r="AW47" s="23">
        <f>(AU47-AU$51)/AU$52</f>
        <v>-7.9879374978320525E-2</v>
      </c>
      <c r="AX47">
        <v>4</v>
      </c>
      <c r="AY47">
        <v>4</v>
      </c>
      <c r="AZ47">
        <v>4</v>
      </c>
      <c r="BA47">
        <f>AY47-AZ47</f>
        <v>0</v>
      </c>
      <c r="BB47" s="23">
        <f>(BA47-BA$50)/BA$51</f>
        <v>0.3660151722673724</v>
      </c>
      <c r="BC47" s="25">
        <f>(0.6*AR47)+(0.4*BB47)</f>
        <v>1.1503630769674458</v>
      </c>
      <c r="BD47">
        <v>11</v>
      </c>
      <c r="BE47">
        <f>AX47-BD47</f>
        <v>-7</v>
      </c>
      <c r="BF47" s="23">
        <v>-0.88300000000000001</v>
      </c>
      <c r="BG47" s="23">
        <v>-0.40600000000000003</v>
      </c>
      <c r="BH47" s="23">
        <f>(0.6*AW47)+(0.4*BF47)</f>
        <v>-0.40112762498699234</v>
      </c>
      <c r="BI47" s="34">
        <v>0</v>
      </c>
      <c r="BJ47" s="77">
        <v>2500</v>
      </c>
      <c r="BK47">
        <v>12851</v>
      </c>
      <c r="BL47" s="34">
        <v>2802</v>
      </c>
      <c r="BM47" s="34">
        <f>D47*BL$53</f>
        <v>3003</v>
      </c>
      <c r="BN47" s="34">
        <f>BL47-BM47</f>
        <v>-201</v>
      </c>
      <c r="BO47" s="231">
        <f>(BN47-BN$50)/BN$51</f>
        <v>6.8864703519698799E-3</v>
      </c>
      <c r="BP47" s="34">
        <v>14212.453799999999</v>
      </c>
      <c r="BQ47">
        <f>BI47-BK47</f>
        <v>-12851</v>
      </c>
      <c r="BR47" s="34">
        <f t="shared" si="31"/>
        <v>-11712.453799999999</v>
      </c>
      <c r="BS47" s="23">
        <v>-0.20899999999999999</v>
      </c>
      <c r="BT47" s="23">
        <f>(BR47-BR$51)/BR$52</f>
        <v>-0.21261018776714702</v>
      </c>
      <c r="BU47" s="25">
        <f>(0.6*BC47)+(0.4*BO47)</f>
        <v>0.69297243432125544</v>
      </c>
    </row>
    <row r="48" spans="1:73" x14ac:dyDescent="0.25">
      <c r="A48" s="9" t="s">
        <v>139</v>
      </c>
      <c r="B48" s="9" t="s">
        <v>107</v>
      </c>
      <c r="C48" s="10">
        <f t="shared" si="0"/>
        <v>10</v>
      </c>
      <c r="D48" s="10">
        <v>9</v>
      </c>
      <c r="E48" s="8">
        <v>10</v>
      </c>
      <c r="F48">
        <v>0</v>
      </c>
      <c r="G48">
        <v>0</v>
      </c>
      <c r="H48" s="26">
        <v>4.2000000000000003E-2</v>
      </c>
      <c r="I48" s="25">
        <v>0.50406487844043901</v>
      </c>
      <c r="J48" s="26">
        <f t="shared" si="29"/>
        <v>5.1042450175049187E-2</v>
      </c>
      <c r="K48" s="70"/>
      <c r="L48" s="48" t="e">
        <f>C48*Q48</f>
        <v>#REF!</v>
      </c>
      <c r="M48" s="68">
        <f>R48*AE$8</f>
        <v>3474.7744280954539</v>
      </c>
      <c r="N48" s="218"/>
      <c r="O48" s="218"/>
      <c r="P48" s="48"/>
      <c r="Q48" s="48" t="e">
        <f>#REF!/AF2</f>
        <v>#REF!</v>
      </c>
      <c r="R48" s="40">
        <f>D48*AB48</f>
        <v>0.867953880834055</v>
      </c>
      <c r="S48" s="48"/>
      <c r="T48" s="26"/>
      <c r="U48" s="40"/>
      <c r="V48" s="23"/>
      <c r="W48" s="40"/>
      <c r="X48" s="40"/>
      <c r="AB48" s="23">
        <f>I48/AG$6</f>
        <v>9.6439320092672781E-2</v>
      </c>
      <c r="AC48" s="23"/>
      <c r="AH48">
        <v>13</v>
      </c>
      <c r="AI48">
        <v>13</v>
      </c>
      <c r="AJ48">
        <f>AH48-AI48</f>
        <v>0</v>
      </c>
      <c r="AK48">
        <v>7</v>
      </c>
      <c r="AL48">
        <v>15</v>
      </c>
      <c r="AM48" s="119">
        <f>D48*AL$53</f>
        <v>8.6298896690070208</v>
      </c>
      <c r="AN48">
        <v>9</v>
      </c>
      <c r="AO48" s="119">
        <f>AL48-AM48</f>
        <v>6.3701103309929792</v>
      </c>
      <c r="AP48">
        <f>AL48-AN48</f>
        <v>6</v>
      </c>
      <c r="AQ48" s="25">
        <f t="shared" si="30"/>
        <v>0.29900517184135444</v>
      </c>
      <c r="AR48" s="25">
        <f t="shared" si="30"/>
        <v>0.30637185691986984</v>
      </c>
      <c r="AS48" s="119">
        <v>7.0254839999999996</v>
      </c>
      <c r="AT48">
        <f t="shared" si="3"/>
        <v>6</v>
      </c>
      <c r="AU48" s="119">
        <f>AI48-AS48</f>
        <v>5.9745160000000004</v>
      </c>
      <c r="AV48" s="23">
        <v>6.8000000000000005E-2</v>
      </c>
      <c r="AW48" s="23">
        <f>(AU48-AU$51)/AU$52</f>
        <v>0.12357993081410036</v>
      </c>
      <c r="AX48">
        <v>22</v>
      </c>
      <c r="AY48">
        <v>31</v>
      </c>
      <c r="AZ48">
        <v>5</v>
      </c>
      <c r="BA48">
        <f>AY48-AZ48</f>
        <v>26</v>
      </c>
      <c r="BB48" s="25">
        <f>(BA48-BA$50)/BA$51</f>
        <v>1.8006475057776761</v>
      </c>
      <c r="BC48" s="25">
        <f>(0.6*AR48)+(0.4*BB48)</f>
        <v>0.9040821164629923</v>
      </c>
      <c r="BD48">
        <v>3</v>
      </c>
      <c r="BE48">
        <f>AX48-BD48</f>
        <v>19</v>
      </c>
      <c r="BF48" s="23">
        <v>0.05</v>
      </c>
      <c r="BG48" s="23">
        <v>6.0999999999999999E-2</v>
      </c>
      <c r="BH48" s="23">
        <f>(0.6*AW48)+(0.4*BF48)</f>
        <v>9.4147958488460221E-2</v>
      </c>
      <c r="BI48" s="34">
        <v>1528</v>
      </c>
      <c r="BJ48" s="77">
        <v>1527.7</v>
      </c>
      <c r="BK48">
        <v>1485</v>
      </c>
      <c r="BL48" s="34">
        <v>0</v>
      </c>
      <c r="BM48" s="34">
        <f>D48*BL$53</f>
        <v>3861</v>
      </c>
      <c r="BN48" s="34">
        <f>BL48-BM48</f>
        <v>-3861</v>
      </c>
      <c r="BO48" s="36">
        <f>(BN48-BN$50)/BN$51</f>
        <v>-9.596097859339095E-2</v>
      </c>
      <c r="BP48" s="34">
        <v>1619.9124999999999</v>
      </c>
      <c r="BQ48">
        <f>BI48-BK48</f>
        <v>43</v>
      </c>
      <c r="BR48" s="34">
        <f t="shared" si="31"/>
        <v>-92.212499999999864</v>
      </c>
      <c r="BS48" s="23">
        <v>1.4999999999999999E-2</v>
      </c>
      <c r="BT48" s="23">
        <f>(BR48-BR$51)/BR$52</f>
        <v>-1.3615812295067349E-2</v>
      </c>
      <c r="BU48" s="25">
        <f>(0.6*BC48)+(0.4*BO48)</f>
        <v>0.50406487844043901</v>
      </c>
    </row>
    <row r="49" spans="1:73" x14ac:dyDescent="0.25">
      <c r="A49" s="7" t="s">
        <v>139</v>
      </c>
      <c r="B49" s="7" t="s">
        <v>141</v>
      </c>
      <c r="C49" s="10">
        <f t="shared" si="0"/>
        <v>7</v>
      </c>
      <c r="D49" s="10">
        <v>11</v>
      </c>
      <c r="E49" s="8">
        <v>7</v>
      </c>
      <c r="F49">
        <v>0</v>
      </c>
      <c r="G49">
        <v>0</v>
      </c>
      <c r="H49" s="26">
        <v>-8.3000000000000004E-2</v>
      </c>
      <c r="I49" s="26">
        <v>0.10499590523366076</v>
      </c>
      <c r="J49" s="26">
        <f t="shared" si="29"/>
        <v>-6.6344618791754642E-2</v>
      </c>
      <c r="K49" s="37"/>
      <c r="L49" s="40"/>
      <c r="M49" s="40"/>
      <c r="N49" s="59"/>
      <c r="O49" s="59"/>
      <c r="P49" s="40"/>
      <c r="Q49" s="40"/>
      <c r="R49" s="40"/>
      <c r="S49" s="40"/>
      <c r="T49" s="23"/>
      <c r="U49" s="40"/>
      <c r="V49" s="23"/>
      <c r="W49" s="40"/>
      <c r="X49" s="40"/>
      <c r="AB49" s="23"/>
      <c r="AC49" s="23"/>
      <c r="AH49">
        <v>6</v>
      </c>
      <c r="AI49">
        <v>7</v>
      </c>
      <c r="AJ49">
        <f>AH49-AI49</f>
        <v>-1</v>
      </c>
      <c r="AK49">
        <v>5</v>
      </c>
      <c r="AL49">
        <v>12</v>
      </c>
      <c r="AM49" s="119">
        <f>D49*AL$53</f>
        <v>10.54764292878636</v>
      </c>
      <c r="AN49">
        <v>11</v>
      </c>
      <c r="AO49" s="119">
        <f>AL49-AM49</f>
        <v>1.4523570712136404</v>
      </c>
      <c r="AP49">
        <f>AL49-AN49</f>
        <v>1</v>
      </c>
      <c r="AQ49" s="23">
        <f t="shared" si="30"/>
        <v>6.8171860939423914E-2</v>
      </c>
      <c r="AR49" s="23">
        <f t="shared" si="30"/>
        <v>7.07011977507392E-2</v>
      </c>
      <c r="AS49" s="119">
        <v>4.9178389999999998</v>
      </c>
      <c r="AT49">
        <f t="shared" si="3"/>
        <v>1</v>
      </c>
      <c r="AU49" s="119">
        <f>AI49-AS49</f>
        <v>2.0821610000000002</v>
      </c>
      <c r="AV49" s="23">
        <v>-0.127</v>
      </c>
      <c r="AW49" s="23">
        <f>(AU49-AU$51)/AU$52</f>
        <v>-4.9949066367283926E-2</v>
      </c>
      <c r="AX49">
        <v>0</v>
      </c>
      <c r="AY49">
        <v>9</v>
      </c>
      <c r="AZ49">
        <v>6</v>
      </c>
      <c r="BA49">
        <f>AY49-AZ49</f>
        <v>3</v>
      </c>
      <c r="BB49" s="25">
        <f>(BA49-BA$50)/BA$51</f>
        <v>0.53154967228779204</v>
      </c>
      <c r="BC49" s="26">
        <f>(0.6*AR49)+(0.4*BB49)</f>
        <v>0.25504058756556036</v>
      </c>
      <c r="BD49">
        <v>2</v>
      </c>
      <c r="BE49">
        <f>AX49-BD49</f>
        <v>-2</v>
      </c>
      <c r="BF49" s="23">
        <v>-0.157</v>
      </c>
      <c r="BG49" s="23">
        <v>-0.13900000000000001</v>
      </c>
      <c r="BH49" s="23">
        <f>(0.6*AW49)+(0.4*BF49)</f>
        <v>-9.2769439820370364E-2</v>
      </c>
      <c r="BI49" s="34">
        <v>0</v>
      </c>
      <c r="BJ49" s="77">
        <v>0</v>
      </c>
      <c r="BK49">
        <v>803</v>
      </c>
      <c r="BL49" s="34">
        <v>0</v>
      </c>
      <c r="BM49" s="34">
        <f>D49*BL$53</f>
        <v>4719</v>
      </c>
      <c r="BN49" s="34">
        <f>BL49-BM49</f>
        <v>-4719</v>
      </c>
      <c r="BO49" s="36">
        <f>(BN49-BN$50)/BN$51</f>
        <v>-0.12007111826418865</v>
      </c>
      <c r="BP49" s="34">
        <v>856.69269999999995</v>
      </c>
      <c r="BQ49">
        <f>BI49-BK49</f>
        <v>-803</v>
      </c>
      <c r="BR49" s="34">
        <f t="shared" si="31"/>
        <v>-856.69269999999995</v>
      </c>
      <c r="BS49" s="23">
        <v>0</v>
      </c>
      <c r="BT49" s="23">
        <f>(BR49-BR$51)/BR$52</f>
        <v>-2.6707387248831052E-2</v>
      </c>
      <c r="BU49" s="23">
        <f>(0.6*BC49)+(0.4*BO49)</f>
        <v>0.10499590523366076</v>
      </c>
    </row>
    <row r="50" spans="1:73" x14ac:dyDescent="0.25">
      <c r="A50" s="71"/>
      <c r="B50" s="71"/>
      <c r="C50" s="1">
        <f>SUM(C3:C49)</f>
        <v>1420</v>
      </c>
      <c r="D50" s="1">
        <f>SUM(D3:D5,D8,D10,D11,D13,D17,D18:D19,D22,D23,D26,D27,D28,D29,D31,D32,D34,D35,D36,D37,D38,D39,D43,D45,D46,D47,D48,D49)</f>
        <v>997</v>
      </c>
      <c r="E50" s="1">
        <f>SUM(E3:E49)</f>
        <v>947</v>
      </c>
      <c r="F50" s="1">
        <f>SUM(F3:F49)</f>
        <v>178</v>
      </c>
      <c r="G50" s="1">
        <f>SUM(G3:G49)</f>
        <v>496</v>
      </c>
      <c r="H50" s="57"/>
      <c r="I50" s="82"/>
      <c r="J50" s="57"/>
      <c r="K50" s="67">
        <f>SUM(K3:K49)</f>
        <v>459664.01844726491</v>
      </c>
      <c r="L50" s="57"/>
      <c r="M50" s="57"/>
      <c r="N50" s="60">
        <f>SUM(N3:N49)</f>
        <v>459664.01844726491</v>
      </c>
      <c r="O50" s="60"/>
      <c r="P50" s="57"/>
      <c r="Q50" s="57" t="e">
        <f>SUM(Q3:Q49)</f>
        <v>#REF!</v>
      </c>
      <c r="R50" s="57"/>
      <c r="S50" s="57"/>
      <c r="T50" s="54">
        <f>SUM(T3:T49)</f>
        <v>1</v>
      </c>
      <c r="U50" s="57" t="e">
        <f>SUM(U3:U49)</f>
        <v>#REF!</v>
      </c>
      <c r="V50" s="54">
        <f>SUM(V3:V49)</f>
        <v>96.146999999999991</v>
      </c>
      <c r="W50" s="63">
        <f>V50/G50</f>
        <v>0.19384475806451612</v>
      </c>
      <c r="X50" s="57">
        <f>SUM(X3:X49)</f>
        <v>1</v>
      </c>
      <c r="AB50" s="23"/>
      <c r="AC50" s="23"/>
      <c r="AH50" s="1">
        <f>SUM(AH3:AH49)</f>
        <v>884</v>
      </c>
      <c r="AI50" s="1">
        <f>SUM(AI3:AI49)</f>
        <v>877</v>
      </c>
      <c r="AJ50" s="1"/>
      <c r="AL50" s="1">
        <f>SUM(AL3:AL5,AL8,AL10,AL11,AL13,AL17:AL19,AL22:AL23,AL26:AL29,AL31:AL32,AL34:AL39,AL43,AL45:AL49)</f>
        <v>956</v>
      </c>
      <c r="AM50" s="1"/>
      <c r="AN50" s="1"/>
      <c r="AO50" s="54">
        <f>AVERAGE(AO3:AO5,AO8,AO10,AO11,AO13,AO17,AO18,AO19,AO22,AO23,AO26:AO29,AO31,AO32,AO34:AO39,AO43,AO45:AO49)</f>
        <v>-7.1054273576010023E-16</v>
      </c>
      <c r="AP50" s="54">
        <f>AVERAGE(AP3:AP5,AP8,AP10,AP11,AP13,AP17,AP18,AP19,AP22,AP23,AP26:AP29,AP31,AP32,AP34:AP39,AP43,AP45:AP49)</f>
        <v>-0.5</v>
      </c>
      <c r="AQ50" s="54"/>
      <c r="AR50" s="54"/>
      <c r="AX50" s="1">
        <f>SUM(AX3:AX49)</f>
        <v>399</v>
      </c>
      <c r="AY50" s="1">
        <f>SUM(AY45:AY49,AY3:AY5,AY8,AY10:AY11,AY13,AY17:AY19,AY22:AY23,AY26:AY29,AY31:AY32,AY34:AY39,AY43)</f>
        <v>356</v>
      </c>
      <c r="AZ50" s="1"/>
      <c r="BA50" s="54">
        <f>AVERAGE(BA45:BA49,BA3:BA5,BA8,BA10:BA11,BA13,BA17:BA19,BA22:BA23,BA26:BA29,BA31:BA32,BA34:BA39,BA43)</f>
        <v>-6.6333333333333337</v>
      </c>
      <c r="BB50" s="54"/>
      <c r="BC50" s="54"/>
      <c r="BI50" s="55">
        <f>SUM(BI3:BI49)</f>
        <v>786525</v>
      </c>
      <c r="BJ50" s="55">
        <f>SUM(BJ3:BJ49)</f>
        <v>798303</v>
      </c>
      <c r="BL50" s="55">
        <f>SUM(BL45:BL49,BL43,BL3:BL5,BL7,BL8,BL10,BL11,BL13,BL17:BL19,BL22:BL23,BL26:BL29,BL31:BL32,BL34:BL39)</f>
        <v>414331</v>
      </c>
      <c r="BM50" s="55"/>
      <c r="BN50" s="55">
        <f>AVERAGE(BN45:BN49,BN43,BN3:BN5,BN8,BN10:BN11,BN13,BN17:BN19,BN22:BN23,BN26:BN29,BN31:BN32,BN34:BN39)</f>
        <v>-446.06666666666666</v>
      </c>
      <c r="BO50" s="55"/>
    </row>
    <row r="51" spans="1:73" x14ac:dyDescent="0.25">
      <c r="C51" s="1">
        <v>339</v>
      </c>
      <c r="D51" s="1"/>
      <c r="L51" s="57" t="e">
        <f>SUM(L3:L50)</f>
        <v>#REF!</v>
      </c>
      <c r="M51" s="57"/>
      <c r="N51" s="57"/>
      <c r="O51" s="57"/>
      <c r="P51" s="57">
        <f>SUM(P3:P50)</f>
        <v>127.95793828650233</v>
      </c>
      <c r="R51" s="57">
        <f>SUM(R3:R50)</f>
        <v>75.007858921782528</v>
      </c>
      <c r="S51" s="57">
        <f>SUM(S3:S50)</f>
        <v>111.92226386541203</v>
      </c>
      <c r="W51" s="40">
        <f>SUM(W3:W49)</f>
        <v>1.5515109458451635</v>
      </c>
      <c r="X51" s="40"/>
      <c r="Z51" s="57" t="e">
        <f>SUM(Z12:Z50)</f>
        <v>#REF!</v>
      </c>
      <c r="AB51" s="23"/>
      <c r="AI51" s="158">
        <f>(AI50/AH50)*100</f>
        <v>99.208144796380097</v>
      </c>
      <c r="AO51" s="23">
        <f>STDEV(AO3:AO5,AO8,AO10,AO11,AO13,AO17:AO19,AO22,AO23,AO26:AO29,AO31,AO32,AO34:AO39,AO43,AO45:AO49)</f>
        <v>21.30434832201772</v>
      </c>
      <c r="AP51" s="23">
        <f>STDEV(AP3:AP5,AP8,AP10,AP11,AP13,AP17:AP19,AP22,AP23,AP26:AP29,AP31,AP32,AP34:AP39,AP43,AP45:AP49)</f>
        <v>21.216047927339634</v>
      </c>
      <c r="AQ51" s="23"/>
      <c r="AR51" s="23"/>
      <c r="AT51" s="1" t="s">
        <v>304</v>
      </c>
      <c r="AU51" s="119">
        <f>AVERAGE(AU3:AU5,AU7:AU8,AU10:AU11,AU13:AU14,AU17,AU22:AU23,AU26:AU29,AU31:AU39,AU43,AU45:AU49)</f>
        <v>3.2025472258064513</v>
      </c>
      <c r="AX51" s="1">
        <f>AH50+AX50</f>
        <v>1283</v>
      </c>
      <c r="AY51" s="1"/>
      <c r="AZ51" s="1"/>
      <c r="BA51" s="54">
        <f>STDEV(BA3:BA5,BA8,BA10:BA11,BA13,BA17:BA19,BA22:BA23,BA26:BA29,BA31:BA32,BA34:BA39,BA43,BA45:BA49)</f>
        <v>18.123110285952066</v>
      </c>
      <c r="BB51" s="54"/>
      <c r="BC51" s="54"/>
      <c r="BN51" s="34">
        <f>STDEV(BN3:BN5,BN8,BN10:BN11,BN13,BN17:BN19,BN22:BN23,BN26:BN29,BN31:BN32,BN34:BN39,BN43,BN45:BN49)</f>
        <v>35586.687249232862</v>
      </c>
      <c r="BQ51" s="1" t="s">
        <v>304</v>
      </c>
      <c r="BR51" s="34">
        <f>AVERAGE(BR3:BR5,BR7:BR8,BR10:BR11,BR13:BR14,BR17,BR22:BR23,BR26:BR29,BR31:BR39,BR43,BR45:BR49)</f>
        <v>702.8804466666694</v>
      </c>
      <c r="BT51" s="23"/>
    </row>
    <row r="52" spans="1:73" ht="18.75" x14ac:dyDescent="0.3">
      <c r="A52" s="14"/>
      <c r="C52" s="1">
        <f>C51/C50</f>
        <v>0.23873239436619717</v>
      </c>
      <c r="D52" s="1"/>
      <c r="AB52" s="23"/>
      <c r="AT52" s="1" t="s">
        <v>269</v>
      </c>
      <c r="AU52">
        <f>STDEV(AU3:AU5,AU7:AU8,AU10:AU11,AU13:AU14,AU17,AU22:AU23,AU26:AU29,AU31:AU39,AU43,AU45:AU49)</f>
        <v>22.430573928410631</v>
      </c>
      <c r="BJ52" s="229" t="s">
        <v>360</v>
      </c>
      <c r="BL52" s="34">
        <f>BL50/D50</f>
        <v>415.57773319959881</v>
      </c>
      <c r="BQ52" s="1" t="s">
        <v>269</v>
      </c>
      <c r="BR52">
        <f>STDEV(BR3:BR5,BR7:BR8,BR10:BR11,BR13:BR14,BR17,BR22:BR23,BR26:BR29,BR31:BR39,BR43,BR45:BR49)</f>
        <v>58394.822830710626</v>
      </c>
    </row>
    <row r="53" spans="1:73" x14ac:dyDescent="0.25">
      <c r="AI53" s="229" t="s">
        <v>349</v>
      </c>
      <c r="AL53">
        <f>AL50/D50</f>
        <v>0.95887662988966904</v>
      </c>
      <c r="AX53" s="229" t="s">
        <v>354</v>
      </c>
      <c r="AY53">
        <f>AY50/D50</f>
        <v>0.35707121364092276</v>
      </c>
      <c r="BJ53" s="229" t="s">
        <v>361</v>
      </c>
      <c r="BL53" s="34">
        <v>429</v>
      </c>
    </row>
    <row r="54" spans="1:73" x14ac:dyDescent="0.25">
      <c r="AI54" s="229" t="s">
        <v>350</v>
      </c>
      <c r="AL54">
        <v>0.9686131</v>
      </c>
      <c r="AX54" s="229" t="s">
        <v>355</v>
      </c>
      <c r="AY54">
        <v>0.55233529999999997</v>
      </c>
      <c r="BJ54" t="s">
        <v>417</v>
      </c>
    </row>
    <row r="55" spans="1:73" x14ac:dyDescent="0.25">
      <c r="AI55" t="s">
        <v>416</v>
      </c>
      <c r="AX55" t="s">
        <v>416</v>
      </c>
    </row>
  </sheetData>
  <dataValidations count="1">
    <dataValidation type="list" showInputMessage="1" showErrorMessage="1" sqref="E1:G1">
      <formula1>$A$52:$A$76</formula1>
    </dataValidation>
  </dataValidations>
  <pageMargins left="0.75" right="0.75" top="1" bottom="1" header="0.5" footer="0.5"/>
  <pageSetup paperSize="9" orientation="portrait" r:id="rId1"/>
  <ignoredErrors>
    <ignoredError sqref="C19:C49 C3:C17" formulaRange="1"/>
    <ignoredError sqref="D5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8AB54B-7E14-407F-B572-303BFBA6F292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DEF2437-A33C-447F-B9E7-1FB7A7C7F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37213D-B332-4E50-8BCF-C88BAC9F6C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E1_alokácia</vt:lpstr>
      <vt:lpstr>E2_zamestnanci_2021</vt:lpstr>
      <vt:lpstr>E3_oblasti</vt:lpstr>
      <vt:lpstr>E4a_M1_prirodne</vt:lpstr>
      <vt:lpstr>E4b_M2_technicke</vt:lpstr>
      <vt:lpstr>E4c_M3_lekarske</vt:lpstr>
      <vt:lpstr>E4d_M4_polno_les_vet</vt:lpstr>
      <vt:lpstr>E4e_M5_spolocenske</vt:lpstr>
      <vt:lpstr>E4f_M6_humanitne</vt:lpstr>
      <vt:lpstr>E4g_M6_umenie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Kanovský Martin</dc:creator>
  <cp:lastModifiedBy>Kanovský Martin</cp:lastModifiedBy>
  <dcterms:created xsi:type="dcterms:W3CDTF">2021-06-03T13:52:00Z</dcterms:created>
  <dcterms:modified xsi:type="dcterms:W3CDTF">2022-11-21T12:08:14Z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  <property fmtid="{D5CDD505-2E9C-101B-9397-08002B2CF9AE}" pid="3" name="ContentTypeId">
    <vt:lpwstr>0x010100909021EF4742B343A1D85F8700228882</vt:lpwstr>
  </property>
</Properties>
</file>