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Rozpis26\"/>
    </mc:Choice>
  </mc:AlternateContent>
  <xr:revisionPtr revIDLastSave="0" documentId="13_ncr:1_{7559190B-D91B-45F8-8E18-0B4803F7DD0D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T14b-exc" sheetId="37" r:id="rId1"/>
    <sheet name="E2_zamestnanci_2023" sheetId="2" r:id="rId2"/>
    <sheet name="E1_alokácia" sheetId="33" r:id="rId3"/>
    <sheet name="E3_oblasti" sheetId="35" r:id="rId4"/>
    <sheet name="E4a_M1_prirodne" sheetId="27" r:id="rId5"/>
    <sheet name="E4b_M2_technicke" sheetId="28" r:id="rId6"/>
    <sheet name="E4c_M3_lekarske" sheetId="29" r:id="rId7"/>
    <sheet name="E4d_M4_polno_les_vet" sheetId="30" r:id="rId8"/>
    <sheet name="E4e_M5_spolocenske" sheetId="31" r:id="rId9"/>
    <sheet name="E4f_M6_humanitne" sheetId="36" r:id="rId10"/>
    <sheet name="E4g_M6_umenie" sheetId="34" r:id="rId11"/>
  </sheets>
  <externalReferences>
    <externalReference r:id="rId12"/>
  </externalReferences>
  <definedNames>
    <definedName name="_AMO_UniqueIdentifier" hidden="1">"'95bc7c00-fbd2-4af4-8554-0d283ae41af0'"</definedName>
    <definedName name="_xlnm._FilterDatabase" localSheetId="0" hidden="1">'T14b-exc'!$A$2:$G$76</definedName>
    <definedName name="aaa" hidden="1">3</definedName>
    <definedName name="absolventi">'[1]T2-KAP-25'!$Q:$Q</definedName>
    <definedName name="Bc_p">'[1]T3-vstupy'!$C$127</definedName>
    <definedName name="Bc_v">'[1]T3-vstupy'!$C$132</definedName>
    <definedName name="Drš">'[1]T3-vstupy'!$C$129</definedName>
    <definedName name="DrŠ_denní" comment="Počet denných doktorandov">'[1]T5b-studenti'!$BJ:$BJ</definedName>
    <definedName name="EUCA">'[1]T20b-Vizual'!$AE$4:$AF$28</definedName>
    <definedName name="exc">'T14b-exc'!$F:$F</definedName>
    <definedName name="exc_G">'T14b-exc'!$G:$G</definedName>
    <definedName name="exc_vvs">'T14b-exc'!$B:$B</definedName>
    <definedName name="Fak_abs" comment="Názov fakulty v absolventoch">'[1]T5a-abs'!$J:$J</definedName>
    <definedName name="faknez">'[1]T2-KAP-25'!$C:$C</definedName>
    <definedName name="Fakulta" comment="nazov fakulty">'[1]T5b-studenti'!$E:$E</definedName>
    <definedName name="form" comment="forma študia, denna=1, externa=2">'[1]T5b-studenti'!$L:$L</definedName>
    <definedName name="GmP">'[1]T3-vstupy'!$C$63</definedName>
    <definedName name="GmV">'[1]T3-vstupy'!$C$64</definedName>
    <definedName name="K_KAP">'[1]T3-vstupy'!$C$115</definedName>
    <definedName name="K_ŠpP">'[1]T3-vstupy'!$C$40</definedName>
    <definedName name="K_VŠO">'[1]T3-vstupy'!$C$39</definedName>
    <definedName name="Kod_šp">'[1]T23-crš'!$F:$F</definedName>
    <definedName name="KOD_VVŠ">'[1]VŠ-Názov'!$A$3:$C$42</definedName>
    <definedName name="koef_kp">'[1]T2-KO'!$B$5:$L$26</definedName>
    <definedName name="koef_PV">'[1]T3-vstupy'!$C$59</definedName>
    <definedName name="koef_VV">'[1]T3-vstupy'!$C$60</definedName>
    <definedName name="lev_abs" comment="stupen študia pre absolventoch">'[1]T5a-abs'!$E:$E</definedName>
    <definedName name="level" comment="level = stupeň študia; bakalar=1;druhy=2;Drš=3;spojite=4">'[1]T5b-studenti'!$M:$M</definedName>
    <definedName name="MI">'[1]T3-vstupy'!$C$128</definedName>
    <definedName name="mot_odb" comment="motivačné odborové">'[1]T5b-studenti'!$AP:$AP</definedName>
    <definedName name="mot_zak" comment="študenti pre motivačne štipendia základné">'[1]T5b-studenti'!$AO:$AO</definedName>
    <definedName name="motštip">'[1]T3-vstupy'!$C$117</definedName>
    <definedName name="motštip_ŠO">'[1]T3-vstupy'!$C$118</definedName>
    <definedName name="nefinanc">1</definedName>
    <definedName name="nezam_a" comment="Nezamestnaný absolventi">'[1]T2-KAP-25'!$P:$P</definedName>
    <definedName name="osv" comment="Osobne výdavky  MP + odvody">'[1]T3-vstupy'!$C$12</definedName>
    <definedName name="P_dp">'[1]T21-Ped-Ume'!$R$9</definedName>
    <definedName name="P_ka">'[1]T21-Ped-Ume'!$R$12</definedName>
    <definedName name="P_pz">'[1]T21-Ped-Ume'!$R$11</definedName>
    <definedName name="P_sk">'[1]T21-Ped-Ume'!$R$8</definedName>
    <definedName name="P_us">'[1]T21-Ped-Ume'!$R$6</definedName>
    <definedName name="P_ut">'[1]T21-Ped-Ume'!$R$10</definedName>
    <definedName name="P_uv">'[1]T21-Ped-Ume'!$R$5</definedName>
    <definedName name="P_uz">'[1]T21-Ped-Ume'!$R$7</definedName>
    <definedName name="PDrš">'[1]T14d-Drš-data'!$J:$J</definedName>
    <definedName name="poistné" comment="poistné odvody">'[1]T3-vstupy'!$C$11</definedName>
    <definedName name="Pp_klinické">'[1]T3-vstupy'!$C$49</definedName>
    <definedName name="Pp_klinické_rozpísaný">'[1]T3-vstupy'!$C$50</definedName>
    <definedName name="Pp_medici">'[1]T3-vstupy'!$C$42</definedName>
    <definedName name="Pp_Rozvoj">'[1]T3-vstupy'!$C$25</definedName>
    <definedName name="Pp_Soc">'[1]T3-vstupy'!$C$26</definedName>
    <definedName name="Pp_VaT">'[1]T3-vstupy'!$C$18</definedName>
    <definedName name="Pp_VaV_EIZ">'[1]T3-vstupy'!$C$54</definedName>
    <definedName name="Pp_VaV_odvod">'[1]T3-vstupy'!$C$57</definedName>
    <definedName name="Pp_VaV_rozp">'[1]T3-vstupy'!$C$56</definedName>
    <definedName name="Pp_VaV_VVŠ">'[1]T3-vstupy'!$C$53</definedName>
    <definedName name="Pp_všeob">'[1]T3-vstupy'!$C$43</definedName>
    <definedName name="Pp_Vzdel">'[1]T3-vstupy'!$C$15</definedName>
    <definedName name="Pp_Vzdel_objem">'[1]T3-vstupy'!$C$32</definedName>
    <definedName name="Pp_Vzdel_osv_spec">'[1]T3-vstupy'!$C$45</definedName>
    <definedName name="Pp_Vzdel_pedN">'[1]T3-vstupy'!$C$44</definedName>
    <definedName name="Pp_Vzdel_rek">'[1]T3-vstupy'!$C$47</definedName>
    <definedName name="Pp_Vzdel_spec">'[1]T3-vstupy'!$C$46</definedName>
    <definedName name="Pp_Vzdel_specN">'[1]T3-vstupy'!$C$48</definedName>
    <definedName name="Pp_Vzdel_učel">'[1]T3-vstupy'!$C$38</definedName>
    <definedName name="Pp_Vzdel_výkon">'[1]T3-vstupy'!$C$33</definedName>
    <definedName name="Pp_Vzdel_výkon_PV">'[1]T3-vstupy'!$C$35</definedName>
    <definedName name="Pp_Vzdel_výkon_VV">'[1]T3-vstupy'!$C$36</definedName>
    <definedName name="PPŠ_KAP" comment="PPŠ * KO * KAP">'[1]T5b-studenti'!$BH:$BH</definedName>
    <definedName name="Pr_IV_BD">'[1]T3-vstupy'!$C$19</definedName>
    <definedName name="Pr_KD">'[1]T3-vstupy'!$C$9</definedName>
    <definedName name="Pr_KD_Stavby">'[1]T3-vstupy'!$C$10</definedName>
    <definedName name="Pr_KEGA">'[1]T3-vstupy'!$C$21</definedName>
    <definedName name="Pr_klinické">'[1]T3-vstupy'!$C$30</definedName>
    <definedName name="Pr_KŠ">'[1]T3-vstupy'!$C$90</definedName>
    <definedName name="Pr_KŠ_rozp">'[1]T3-vstupy'!$C$91</definedName>
    <definedName name="Pr_motštip">'[1]T3-vstupy'!$C$28</definedName>
    <definedName name="Pr_NSVVI">'[1]T3-vstupy'!$C$22</definedName>
    <definedName name="Pr_NSVVI_SVŠ">'[1]T3-vstupy'!$C$31</definedName>
    <definedName name="Pr_p">'[1]T3-vstupy'!$C$131</definedName>
    <definedName name="Pr_socštip">'[1]T3-vstupy'!$C$27</definedName>
    <definedName name="Pr_ŠD">'[1]T3-vstupy'!$C$88</definedName>
    <definedName name="Pr_ŠDaJKŠPC">'[1]T3-vstupy'!$C$29</definedName>
    <definedName name="Pr_v">'[1]T3-vstupy'!$C$134</definedName>
    <definedName name="Pr_VaV_rezerva">'[1]T3-vstupy'!$C$58</definedName>
    <definedName name="Pr_VEGA">'[1]T3-vstupy'!$C$20</definedName>
    <definedName name="Pr_Výk_zm_VaV">'[1]T3-vstupy'!$C$23</definedName>
    <definedName name="Pr_Výk_zm_Vzdel">'[1]T3-vstupy'!$C$24</definedName>
    <definedName name="prisp_na_1_jedlo">'[1]T3-vstupy'!$C$104</definedName>
    <definedName name="prisp_na_ubyt_stud_SD">'[1]T3-vstupy'!$C$108</definedName>
    <definedName name="prisp_na_ubyt_stud_ZZ">'[1]T3-vstupy'!$C$109</definedName>
    <definedName name="Pššp" comment="počet študentov so špecifickými potrebami">'[1]T23-crš'!$E:$E</definedName>
    <definedName name="Pšt_dot" comment="Počet študentov s nárokom na dotáciu">'[1]T5b-studenti'!$AN:$AN</definedName>
    <definedName name="R_vvs">'[1]T3-vstupy'!$C$4</definedName>
    <definedName name="R_vvs_BD">'[1]T3-vstupy'!$C$6</definedName>
    <definedName name="R_vvs_VaT">'[1]T3-vstupy'!$C$7</definedName>
    <definedName name="R_výk_zm">'[1]T3-vstupy'!$C$8</definedName>
    <definedName name="RD_BD" comment="Sumar bežnej dotácie">#REF!</definedName>
    <definedName name="RD_Pro">#REF!</definedName>
    <definedName name="RD_uče">#REF!</definedName>
    <definedName name="RD_VVš">#REF!</definedName>
    <definedName name="Rok">'[1]T14d-Drš-data'!$A:$A</definedName>
    <definedName name="rok_RD">'[1]T3-vstupy'!$C$120</definedName>
    <definedName name="rok_rozpis">'[1]T3-vstupy'!$C$121</definedName>
    <definedName name="rok_VV1">'[1]T3-vstupy'!$C$122</definedName>
    <definedName name="rok_VV2">'[1]T3-vstupy'!$C$123</definedName>
    <definedName name="rok_VV3">'[1]T3-vstupy'!$C$124</definedName>
    <definedName name="roky">'[1]T3-vstupy'!$C$116</definedName>
    <definedName name="SAPBEXrevision" hidden="1">7</definedName>
    <definedName name="SAPBEXsysID" hidden="1">"BS1"</definedName>
    <definedName name="SAPBEXwbID" hidden="1">"3TG3S316PX9BHXMQEBSXSYZZO"</definedName>
    <definedName name="Sp_p">'[1]T3-vstupy'!$C$131</definedName>
    <definedName name="sp_subj">#REF!</definedName>
    <definedName name="Sp_v">'[1]T3-vstupy'!$C$133</definedName>
    <definedName name="stlpec">'[1]T3-vstupy'!$C$114</definedName>
    <definedName name="stu_den_dot">'[1]T5b-studenti'!$BN:$BN</definedName>
    <definedName name="student" comment="Počet študentov všetkých. denný,externý,všetky stupne">'[1]T5b-studenti'!$BI:$BI</definedName>
    <definedName name="škola">'[1]T14d-Drš-data'!$C:$C</definedName>
    <definedName name="školanez">'[1]T2-KAP-25'!$B:$B</definedName>
    <definedName name="Tab_šp">'[1]T23-crš'!$H$4:$K$14</definedName>
    <definedName name="TaS_kul" comment="TaS pre kulturné,športové a UPC aktivity">'[1]T5b-studenti'!$AR:$AR</definedName>
    <definedName name="TaS_odb" comment="TaS pre vybrané odbory">'[1]T5b-studenti'!$AQ:$AQ</definedName>
    <definedName name="U_1">'[1]T21-Ped-Ume'!$Q$15</definedName>
    <definedName name="U_23">'[1]T21-Ped-Ume'!$Q$16</definedName>
    <definedName name="university" comment="nazov univerzity VVŠ">'[1]T5b-studenti'!$D:$D</definedName>
    <definedName name="university_code">'[1]T5b-studenti'!$A:$A</definedName>
    <definedName name="váha_Pub">'[1]T3-vstupy'!$C$61</definedName>
    <definedName name="váha_um">'[1]T3-vstupy'!$C$62</definedName>
    <definedName name="vvš_abs" comment="nazov univerzity pri absolventoch">'[1]T5a-abs'!$I:$I</definedName>
    <definedName name="VVŠ_abs_naša" comment="naša skratka VVŠ v absolventoch">'[1]T5a-abs'!$AC:$AC</definedName>
    <definedName name="VVŠ_naša" comment="Názov univerzity naša skratka">'[1]T5b-studenti'!$BK:$BK</definedName>
    <definedName name="vvš_šp">'[1]T23-crš'!$B:$B</definedName>
    <definedName name="výk_DG">'[1]T3-vstupy'!$C$68</definedName>
    <definedName name="výk_DP">'[1]T3-vstupy'!$C$65</definedName>
    <definedName name="výk_Dršpo">'[1]T3-vstupy'!$C$70</definedName>
    <definedName name="výk_exc">'[1]T3-vstupy'!$C$66</definedName>
    <definedName name="výk_PC">'[1]T3-vstupy'!$C$67</definedName>
    <definedName name="výk_Pub">'[1]T3-vstupy'!$C$71</definedName>
    <definedName name="výk_um">'[1]T3-vstupy'!$C$72</definedName>
    <definedName name="výk_ZG">'[1]T3-vstupy'!$C$69</definedName>
    <definedName name="výkon_abs" comment="výkon absolventov">'[1]T5a-abs'!$Z:$Z</definedName>
    <definedName name="xxx" hidden="1">"3TGMUFSSIAIMK2KTNC9DELQD0"</definedName>
    <definedName name="zakl_prisp_na_prev_SD">'[1]T3-vstupy'!$C$110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37" l="1"/>
  <c r="G72" i="37"/>
  <c r="G19" i="37"/>
  <c r="J6" i="34"/>
  <c r="E6" i="34"/>
  <c r="P22" i="34"/>
  <c r="P21" i="34"/>
  <c r="P20" i="34"/>
  <c r="O23" i="34"/>
  <c r="N22" i="34"/>
  <c r="O22" i="34"/>
  <c r="O21" i="34"/>
  <c r="O20" i="34"/>
  <c r="C25" i="34"/>
  <c r="C24" i="34"/>
  <c r="C22" i="34"/>
  <c r="C23" i="34"/>
  <c r="AL27" i="34"/>
  <c r="AK27" i="34"/>
  <c r="AJ27" i="34"/>
  <c r="AI27" i="34"/>
  <c r="AH27" i="34"/>
  <c r="AG27" i="34"/>
  <c r="AF27" i="34"/>
  <c r="AE27" i="34"/>
  <c r="AD27" i="34"/>
  <c r="AL26" i="34"/>
  <c r="AK26" i="34"/>
  <c r="AJ26" i="34"/>
  <c r="AI26" i="34"/>
  <c r="AH26" i="34"/>
  <c r="AG26" i="34"/>
  <c r="AF26" i="34"/>
  <c r="AE26" i="34"/>
  <c r="AD26" i="34"/>
  <c r="AL25" i="34"/>
  <c r="AK25" i="34"/>
  <c r="AJ25" i="34"/>
  <c r="AI25" i="34"/>
  <c r="AH25" i="34"/>
  <c r="AG25" i="34"/>
  <c r="AF25" i="34"/>
  <c r="AE25" i="34"/>
  <c r="AD25" i="34"/>
  <c r="AL24" i="34"/>
  <c r="AK24" i="34"/>
  <c r="AJ24" i="34"/>
  <c r="AI24" i="34"/>
  <c r="AH24" i="34"/>
  <c r="AG24" i="34"/>
  <c r="AF24" i="34"/>
  <c r="AE24" i="34"/>
  <c r="AD24" i="34"/>
  <c r="AL23" i="34"/>
  <c r="AK23" i="34"/>
  <c r="AJ23" i="34"/>
  <c r="AI23" i="34"/>
  <c r="AH23" i="34"/>
  <c r="AG23" i="34"/>
  <c r="AF23" i="34"/>
  <c r="AE23" i="34"/>
  <c r="AD23" i="34"/>
  <c r="AL7" i="34"/>
  <c r="AK7" i="34"/>
  <c r="AJ7" i="34"/>
  <c r="AI7" i="34"/>
  <c r="AH7" i="34"/>
  <c r="AG7" i="34"/>
  <c r="AF7" i="34"/>
  <c r="AE7" i="34"/>
  <c r="AD7" i="34"/>
  <c r="AM7" i="34" l="1"/>
  <c r="C11" i="34" s="1"/>
  <c r="AM27" i="34"/>
  <c r="AM23" i="34"/>
  <c r="AM26" i="34"/>
  <c r="AM25" i="34"/>
  <c r="C18" i="34" s="1"/>
  <c r="AM24" i="34"/>
  <c r="BK51" i="36" l="1"/>
  <c r="BK50" i="36"/>
  <c r="BK49" i="36"/>
  <c r="BK41" i="36"/>
  <c r="BK40" i="36"/>
  <c r="BK39" i="36"/>
  <c r="BK38" i="36"/>
  <c r="BK37" i="36"/>
  <c r="BK31" i="36"/>
  <c r="BK28" i="36"/>
  <c r="BK24" i="36"/>
  <c r="BK11" i="36"/>
  <c r="BK4" i="36"/>
  <c r="BJ39" i="36"/>
  <c r="BJ24" i="36"/>
  <c r="BM39" i="36"/>
  <c r="BN39" i="36"/>
  <c r="BM24" i="36"/>
  <c r="BN24" i="36"/>
  <c r="BP3" i="36"/>
  <c r="FB52" i="36"/>
  <c r="FB51" i="36"/>
  <c r="FB50" i="36"/>
  <c r="FB49" i="36"/>
  <c r="FB48" i="36"/>
  <c r="FB47" i="36"/>
  <c r="FB46" i="36"/>
  <c r="FB45" i="36"/>
  <c r="FB44" i="36"/>
  <c r="FB43" i="36"/>
  <c r="FB42" i="36"/>
  <c r="FB41" i="36"/>
  <c r="FB40" i="36"/>
  <c r="FB39" i="36"/>
  <c r="FB38" i="36"/>
  <c r="FB37" i="36"/>
  <c r="FB36" i="36"/>
  <c r="FB35" i="36"/>
  <c r="FB34" i="36"/>
  <c r="FB33" i="36"/>
  <c r="FB32" i="36"/>
  <c r="FB31" i="36"/>
  <c r="FB30" i="36"/>
  <c r="FB29" i="36"/>
  <c r="FB28" i="36"/>
  <c r="FB27" i="36"/>
  <c r="FB26" i="36"/>
  <c r="FB25" i="36"/>
  <c r="FB24" i="36"/>
  <c r="FB23" i="36"/>
  <c r="FB22" i="36"/>
  <c r="FB21" i="36"/>
  <c r="FB20" i="36"/>
  <c r="FB19" i="36"/>
  <c r="FB18" i="36"/>
  <c r="FB17" i="36"/>
  <c r="FB16" i="36"/>
  <c r="FB15" i="36"/>
  <c r="FB14" i="36"/>
  <c r="FB13" i="36"/>
  <c r="FB12" i="36"/>
  <c r="FB11" i="36"/>
  <c r="FB10" i="36"/>
  <c r="FB9" i="36"/>
  <c r="FB8" i="36"/>
  <c r="FB7" i="36"/>
  <c r="FB6" i="36"/>
  <c r="FB5" i="36"/>
  <c r="FB4" i="36"/>
  <c r="DN52" i="36"/>
  <c r="DN51" i="36"/>
  <c r="DN50" i="36"/>
  <c r="DN49" i="36"/>
  <c r="DN48" i="36"/>
  <c r="DN47" i="36"/>
  <c r="DN46" i="36"/>
  <c r="DN45" i="36"/>
  <c r="DN44" i="36"/>
  <c r="DN43" i="36"/>
  <c r="DN42" i="36"/>
  <c r="DN41" i="36"/>
  <c r="DN40" i="36"/>
  <c r="DN39" i="36"/>
  <c r="DN38" i="36"/>
  <c r="DN37" i="36"/>
  <c r="DN36" i="36"/>
  <c r="DN35" i="36"/>
  <c r="DN34" i="36"/>
  <c r="DN33" i="36"/>
  <c r="DN32" i="36"/>
  <c r="DN31" i="36"/>
  <c r="DN30" i="36"/>
  <c r="DN29" i="36"/>
  <c r="DN28" i="36"/>
  <c r="DN27" i="36"/>
  <c r="DN26" i="36"/>
  <c r="DN25" i="36"/>
  <c r="DN24" i="36"/>
  <c r="DN23" i="36"/>
  <c r="DN22" i="36"/>
  <c r="DN21" i="36"/>
  <c r="DN20" i="36"/>
  <c r="DN19" i="36"/>
  <c r="DN18" i="36"/>
  <c r="DN17" i="36"/>
  <c r="DN16" i="36"/>
  <c r="DN15" i="36"/>
  <c r="DN14" i="36"/>
  <c r="DN13" i="36"/>
  <c r="DN12" i="36"/>
  <c r="DN11" i="36"/>
  <c r="DN10" i="36"/>
  <c r="DN9" i="36"/>
  <c r="DN8" i="36"/>
  <c r="DN7" i="36"/>
  <c r="DN6" i="36"/>
  <c r="DN5" i="36"/>
  <c r="DN4" i="36"/>
  <c r="CS52" i="36"/>
  <c r="CS51" i="36"/>
  <c r="CS50" i="36"/>
  <c r="CS49" i="36"/>
  <c r="CS48" i="36"/>
  <c r="CS47" i="36"/>
  <c r="CS46" i="36"/>
  <c r="CS45" i="36"/>
  <c r="CS44" i="36"/>
  <c r="CS43" i="36"/>
  <c r="CS42" i="36"/>
  <c r="CS41" i="36"/>
  <c r="CS40" i="36"/>
  <c r="CS39" i="36"/>
  <c r="CS38" i="36"/>
  <c r="CS37" i="36"/>
  <c r="CS36" i="36"/>
  <c r="CS35" i="36"/>
  <c r="CS34" i="36"/>
  <c r="CS33" i="36"/>
  <c r="CS32" i="36"/>
  <c r="CS31" i="36"/>
  <c r="CS30" i="36"/>
  <c r="CS29" i="36"/>
  <c r="CS28" i="36"/>
  <c r="CS27" i="36"/>
  <c r="CS26" i="36"/>
  <c r="CS25" i="36"/>
  <c r="CS24" i="36"/>
  <c r="CS23" i="36"/>
  <c r="CS22" i="36"/>
  <c r="CS21" i="36"/>
  <c r="CS20" i="36"/>
  <c r="CS19" i="36"/>
  <c r="CS18" i="36"/>
  <c r="CS17" i="36"/>
  <c r="CS16" i="36"/>
  <c r="CS15" i="36"/>
  <c r="CS14" i="36"/>
  <c r="CS13" i="36"/>
  <c r="CS12" i="36"/>
  <c r="CS11" i="36"/>
  <c r="CS10" i="36"/>
  <c r="CS9" i="36"/>
  <c r="CS8" i="36"/>
  <c r="CS7" i="36"/>
  <c r="CS6" i="36"/>
  <c r="CS5" i="36"/>
  <c r="CS4" i="36"/>
  <c r="BV60" i="31"/>
  <c r="BV30" i="31"/>
  <c r="BW70" i="31"/>
  <c r="BW69" i="31"/>
  <c r="BW67" i="31"/>
  <c r="BW60" i="31"/>
  <c r="BW58" i="31"/>
  <c r="BW55" i="31"/>
  <c r="BW54" i="31"/>
  <c r="BW48" i="31"/>
  <c r="BW47" i="31"/>
  <c r="BW44" i="31"/>
  <c r="BW43" i="31"/>
  <c r="BW41" i="31"/>
  <c r="BW40" i="31"/>
  <c r="BW38" i="31"/>
  <c r="BW34" i="31"/>
  <c r="BW32" i="31"/>
  <c r="BW30" i="31"/>
  <c r="BW29" i="31"/>
  <c r="BW27" i="31"/>
  <c r="BW24" i="31"/>
  <c r="BW23" i="31"/>
  <c r="BW22" i="31"/>
  <c r="BW19" i="31"/>
  <c r="BW18" i="31"/>
  <c r="BW17" i="31"/>
  <c r="BW12" i="31"/>
  <c r="BW11" i="31"/>
  <c r="BW10" i="31"/>
  <c r="BW6" i="31"/>
  <c r="BW5" i="31"/>
  <c r="BV5" i="31"/>
  <c r="BY60" i="31"/>
  <c r="BY30" i="31"/>
  <c r="BY5" i="31"/>
  <c r="BZ60" i="31"/>
  <c r="BZ30" i="31"/>
  <c r="BZ5" i="31"/>
  <c r="CB3" i="31"/>
  <c r="FN70" i="31"/>
  <c r="FN69" i="31"/>
  <c r="FN68" i="31"/>
  <c r="FN67" i="31"/>
  <c r="FN66" i="31"/>
  <c r="FN65" i="31"/>
  <c r="FN64" i="31"/>
  <c r="FN63" i="31"/>
  <c r="FN62" i="31"/>
  <c r="FN61" i="31"/>
  <c r="FN60" i="31"/>
  <c r="FN59" i="31"/>
  <c r="FN58" i="31"/>
  <c r="FN57" i="31"/>
  <c r="FN56" i="31"/>
  <c r="FN55" i="31"/>
  <c r="FN54" i="31"/>
  <c r="FN53" i="31"/>
  <c r="FN52" i="31"/>
  <c r="FN51" i="31"/>
  <c r="FN50" i="31"/>
  <c r="FN49" i="31"/>
  <c r="FN48" i="31"/>
  <c r="FN47" i="31"/>
  <c r="FN46" i="31"/>
  <c r="FN45" i="31"/>
  <c r="FN44" i="31"/>
  <c r="FN43" i="31"/>
  <c r="FN42" i="31"/>
  <c r="FN41" i="31"/>
  <c r="FN40" i="31"/>
  <c r="FN39" i="31"/>
  <c r="FN38" i="31"/>
  <c r="FN37" i="31"/>
  <c r="FN36" i="31"/>
  <c r="FN35" i="31"/>
  <c r="FN34" i="31"/>
  <c r="FN33" i="31"/>
  <c r="FN32" i="31"/>
  <c r="FN31" i="31"/>
  <c r="FN30" i="31"/>
  <c r="FN29" i="31"/>
  <c r="FN28" i="31"/>
  <c r="FN27" i="31"/>
  <c r="FN26" i="31"/>
  <c r="FN25" i="31"/>
  <c r="FN24" i="31"/>
  <c r="FN23" i="31"/>
  <c r="FN22" i="31"/>
  <c r="FN21" i="31"/>
  <c r="FN20" i="31"/>
  <c r="FN19" i="31"/>
  <c r="FN18" i="31"/>
  <c r="FN17" i="31"/>
  <c r="FN16" i="31"/>
  <c r="FN15" i="31"/>
  <c r="FN14" i="31"/>
  <c r="FN13" i="31"/>
  <c r="FN12" i="31"/>
  <c r="FN11" i="31"/>
  <c r="FN10" i="31"/>
  <c r="FN9" i="31"/>
  <c r="FN8" i="31"/>
  <c r="FN7" i="31"/>
  <c r="FN6" i="31"/>
  <c r="FN5" i="31"/>
  <c r="FN4" i="31"/>
  <c r="FN3" i="31"/>
  <c r="DQ70" i="31"/>
  <c r="DQ69" i="31"/>
  <c r="DQ68" i="31"/>
  <c r="DQ67" i="31"/>
  <c r="DQ66" i="31"/>
  <c r="DQ65" i="31"/>
  <c r="DQ64" i="31"/>
  <c r="DQ63" i="31"/>
  <c r="DQ62" i="31"/>
  <c r="DQ61" i="31"/>
  <c r="DQ60" i="31"/>
  <c r="DQ59" i="31"/>
  <c r="DQ58" i="31"/>
  <c r="DQ57" i="31"/>
  <c r="DQ56" i="31"/>
  <c r="DQ55" i="31"/>
  <c r="DQ54" i="31"/>
  <c r="DQ53" i="31"/>
  <c r="DQ52" i="31"/>
  <c r="DQ51" i="31"/>
  <c r="DQ50" i="31"/>
  <c r="DQ49" i="31"/>
  <c r="DQ48" i="31"/>
  <c r="DQ47" i="31"/>
  <c r="DQ46" i="31"/>
  <c r="DQ45" i="31"/>
  <c r="DQ44" i="31"/>
  <c r="DQ43" i="31"/>
  <c r="DQ42" i="31"/>
  <c r="DQ41" i="31"/>
  <c r="DQ40" i="31"/>
  <c r="DQ39" i="31"/>
  <c r="DQ38" i="31"/>
  <c r="DQ37" i="31"/>
  <c r="DQ36" i="31"/>
  <c r="DQ35" i="31"/>
  <c r="DQ34" i="31"/>
  <c r="DQ33" i="31"/>
  <c r="DQ32" i="31"/>
  <c r="DQ31" i="31"/>
  <c r="DQ30" i="31"/>
  <c r="DQ29" i="31"/>
  <c r="DQ28" i="31"/>
  <c r="DQ27" i="31"/>
  <c r="DQ26" i="31"/>
  <c r="DQ25" i="31"/>
  <c r="DQ24" i="31"/>
  <c r="DQ23" i="31"/>
  <c r="DQ22" i="31"/>
  <c r="DQ21" i="31"/>
  <c r="DQ20" i="31"/>
  <c r="DQ19" i="31"/>
  <c r="DQ18" i="31"/>
  <c r="DQ17" i="31"/>
  <c r="DQ16" i="31"/>
  <c r="DQ15" i="31"/>
  <c r="DQ14" i="31"/>
  <c r="DQ13" i="31"/>
  <c r="DQ12" i="31"/>
  <c r="DQ11" i="31"/>
  <c r="DQ10" i="31"/>
  <c r="DQ9" i="31"/>
  <c r="DQ8" i="31"/>
  <c r="DQ7" i="31"/>
  <c r="DQ6" i="31"/>
  <c r="DQ5" i="31"/>
  <c r="DQ4" i="31"/>
  <c r="DQ3" i="31"/>
  <c r="DJ70" i="31"/>
  <c r="DJ69" i="31"/>
  <c r="DJ68" i="31"/>
  <c r="DJ67" i="31"/>
  <c r="DJ66" i="31"/>
  <c r="DJ65" i="31"/>
  <c r="DJ64" i="31"/>
  <c r="DJ63" i="31"/>
  <c r="DJ62" i="31"/>
  <c r="DJ61" i="31"/>
  <c r="DJ60" i="31"/>
  <c r="DJ59" i="31"/>
  <c r="DJ58" i="31"/>
  <c r="DJ57" i="31"/>
  <c r="DJ56" i="31"/>
  <c r="DJ55" i="31"/>
  <c r="DJ54" i="31"/>
  <c r="DJ53" i="31"/>
  <c r="DJ52" i="31"/>
  <c r="DJ51" i="31"/>
  <c r="DJ50" i="31"/>
  <c r="DJ49" i="31"/>
  <c r="DJ48" i="31"/>
  <c r="DJ47" i="31"/>
  <c r="DJ46" i="31"/>
  <c r="DJ45" i="31"/>
  <c r="DJ44" i="31"/>
  <c r="DJ43" i="31"/>
  <c r="DJ42" i="31"/>
  <c r="DJ41" i="31"/>
  <c r="DJ40" i="31"/>
  <c r="DJ39" i="31"/>
  <c r="DJ38" i="31"/>
  <c r="DJ37" i="31"/>
  <c r="DJ36" i="31"/>
  <c r="DJ35" i="31"/>
  <c r="DJ34" i="31"/>
  <c r="DJ33" i="31"/>
  <c r="DJ32" i="31"/>
  <c r="DJ31" i="31"/>
  <c r="DJ30" i="31"/>
  <c r="DJ29" i="31"/>
  <c r="DJ28" i="31"/>
  <c r="DJ27" i="31"/>
  <c r="DJ26" i="31"/>
  <c r="DJ25" i="31"/>
  <c r="DJ24" i="31"/>
  <c r="DJ23" i="31"/>
  <c r="DJ22" i="31"/>
  <c r="DJ21" i="31"/>
  <c r="DJ20" i="31"/>
  <c r="DJ19" i="31"/>
  <c r="DJ18" i="31"/>
  <c r="DJ17" i="31"/>
  <c r="DJ16" i="31"/>
  <c r="DJ15" i="31"/>
  <c r="DJ14" i="31"/>
  <c r="DJ13" i="31"/>
  <c r="DJ12" i="31"/>
  <c r="DJ11" i="31"/>
  <c r="DJ10" i="31"/>
  <c r="DJ9" i="31"/>
  <c r="DJ8" i="31"/>
  <c r="DJ7" i="31"/>
  <c r="DJ6" i="31"/>
  <c r="DJ5" i="31"/>
  <c r="DJ4" i="31"/>
  <c r="DJ3" i="31"/>
  <c r="BT9" i="30"/>
  <c r="BT5" i="30"/>
  <c r="BT4" i="30"/>
  <c r="EA11" i="30"/>
  <c r="EA10" i="30"/>
  <c r="EA9" i="30"/>
  <c r="EA8" i="30"/>
  <c r="EA7" i="30"/>
  <c r="EA6" i="30"/>
  <c r="EA5" i="30"/>
  <c r="EA4" i="30"/>
  <c r="EA3" i="30"/>
  <c r="DB11" i="30"/>
  <c r="DB10" i="30"/>
  <c r="DB9" i="30"/>
  <c r="DB6" i="30"/>
  <c r="DB5" i="30"/>
  <c r="DB4" i="30"/>
  <c r="DB3" i="30"/>
  <c r="CC13" i="29"/>
  <c r="CC9" i="29"/>
  <c r="CC3" i="29"/>
  <c r="CC4" i="29"/>
  <c r="CB13" i="29"/>
  <c r="CB9" i="29"/>
  <c r="CB5" i="29"/>
  <c r="CB4" i="29"/>
  <c r="CB3" i="29"/>
  <c r="DL19" i="29"/>
  <c r="DM14" i="29"/>
  <c r="DM13" i="29"/>
  <c r="DM12" i="29"/>
  <c r="DM11" i="29"/>
  <c r="DM10" i="29"/>
  <c r="DM9" i="29"/>
  <c r="DM8" i="29"/>
  <c r="DM7" i="29"/>
  <c r="DM6" i="29"/>
  <c r="DM5" i="29"/>
  <c r="DM4" i="29"/>
  <c r="DM3" i="29"/>
  <c r="CN14" i="29"/>
  <c r="CN13" i="29"/>
  <c r="CN12" i="29"/>
  <c r="CN11" i="29"/>
  <c r="CN10" i="29"/>
  <c r="CN9" i="29"/>
  <c r="CN8" i="29"/>
  <c r="CN7" i="29"/>
  <c r="CN6" i="29"/>
  <c r="CN5" i="29"/>
  <c r="CN4" i="29"/>
  <c r="CN3" i="29"/>
  <c r="BU35" i="28"/>
  <c r="BU32" i="28"/>
  <c r="BU31" i="28"/>
  <c r="BU30" i="28"/>
  <c r="BU21" i="28"/>
  <c r="BU20" i="28"/>
  <c r="BU19" i="28"/>
  <c r="BU18" i="28"/>
  <c r="BU17" i="28"/>
  <c r="BU15" i="28"/>
  <c r="BU12" i="28"/>
  <c r="BU11" i="28"/>
  <c r="BU3" i="28"/>
  <c r="CR19" i="27"/>
  <c r="CR14" i="27"/>
  <c r="CR13" i="27"/>
  <c r="CR10" i="27"/>
  <c r="CR7" i="27"/>
  <c r="CR4" i="27"/>
  <c r="CR3" i="27"/>
  <c r="BT30" i="28"/>
  <c r="BW30" i="28"/>
  <c r="BX30" i="28"/>
  <c r="BZ3" i="28"/>
  <c r="EA40" i="28"/>
  <c r="EA39" i="28"/>
  <c r="EA38" i="28"/>
  <c r="EA37" i="28"/>
  <c r="EA36" i="28"/>
  <c r="EA35" i="28"/>
  <c r="EA34" i="28"/>
  <c r="EA33" i="28"/>
  <c r="EA32" i="28"/>
  <c r="EA31" i="28"/>
  <c r="EA30" i="28"/>
  <c r="EA29" i="28"/>
  <c r="EA28" i="28"/>
  <c r="EA27" i="28"/>
  <c r="EA26" i="28"/>
  <c r="EA25" i="28"/>
  <c r="EA24" i="28"/>
  <c r="EA23" i="28"/>
  <c r="EA22" i="28"/>
  <c r="EA21" i="28"/>
  <c r="EA20" i="28"/>
  <c r="EA19" i="28"/>
  <c r="EA18" i="28"/>
  <c r="EA17" i="28"/>
  <c r="EA16" i="28"/>
  <c r="EA15" i="28"/>
  <c r="EA14" i="28"/>
  <c r="EA13" i="28"/>
  <c r="EA12" i="28"/>
  <c r="EA11" i="28"/>
  <c r="EA10" i="28"/>
  <c r="EA9" i="28"/>
  <c r="EA8" i="28"/>
  <c r="EA7" i="28"/>
  <c r="EA6" i="28"/>
  <c r="EA5" i="28"/>
  <c r="EA4" i="28"/>
  <c r="EA3" i="28"/>
  <c r="CF40" i="28"/>
  <c r="CF39" i="28"/>
  <c r="CF38" i="28"/>
  <c r="CF37" i="28"/>
  <c r="CF36" i="28"/>
  <c r="CF35" i="28"/>
  <c r="CF34" i="28"/>
  <c r="CF33" i="28"/>
  <c r="CF32" i="28"/>
  <c r="CF31" i="28"/>
  <c r="CF30" i="28"/>
  <c r="CF29" i="28"/>
  <c r="CF28" i="28"/>
  <c r="CF27" i="28"/>
  <c r="CF26" i="28"/>
  <c r="CF25" i="28"/>
  <c r="CF24" i="28"/>
  <c r="CF23" i="28"/>
  <c r="CF22" i="28"/>
  <c r="CF21" i="28"/>
  <c r="CF20" i="28"/>
  <c r="CF19" i="28"/>
  <c r="CF18" i="28"/>
  <c r="CF17" i="28"/>
  <c r="CF16" i="28"/>
  <c r="CF15" i="28"/>
  <c r="CF14" i="28"/>
  <c r="CF13" i="28"/>
  <c r="CF12" i="28"/>
  <c r="CF11" i="28"/>
  <c r="CF10" i="28"/>
  <c r="CF9" i="28"/>
  <c r="CF8" i="28"/>
  <c r="CF7" i="28"/>
  <c r="CF6" i="28"/>
  <c r="CF5" i="28"/>
  <c r="CF4" i="28"/>
  <c r="CF3" i="28"/>
  <c r="CP24" i="27"/>
  <c r="CQ3" i="27"/>
  <c r="CT3" i="27"/>
  <c r="CU3" i="27"/>
  <c r="CW3" i="27"/>
  <c r="EL23" i="27"/>
  <c r="EL22" i="27"/>
  <c r="EL21" i="27"/>
  <c r="EL20" i="27"/>
  <c r="EL19" i="27"/>
  <c r="EL18" i="27"/>
  <c r="EL17" i="27"/>
  <c r="EL16" i="27"/>
  <c r="EL15" i="27"/>
  <c r="EL14" i="27"/>
  <c r="EL13" i="27"/>
  <c r="EL12" i="27"/>
  <c r="EL11" i="27"/>
  <c r="EL10" i="27"/>
  <c r="EL9" i="27"/>
  <c r="EL8" i="27"/>
  <c r="EL7" i="27"/>
  <c r="EL6" i="27"/>
  <c r="EL5" i="27"/>
  <c r="EL4" i="27"/>
  <c r="EL3" i="27"/>
  <c r="DE23" i="27"/>
  <c r="DE22" i="27"/>
  <c r="DE21" i="27"/>
  <c r="DE20" i="27"/>
  <c r="DE19" i="27"/>
  <c r="DE18" i="27"/>
  <c r="DE17" i="27"/>
  <c r="DE16" i="27"/>
  <c r="DE15" i="27"/>
  <c r="DE14" i="27"/>
  <c r="DE13" i="27"/>
  <c r="DE12" i="27"/>
  <c r="DE11" i="27"/>
  <c r="DE10" i="27"/>
  <c r="DE9" i="27"/>
  <c r="DE8" i="27"/>
  <c r="DE7" i="27"/>
  <c r="DE6" i="27"/>
  <c r="DE5" i="27"/>
  <c r="DE4" i="27"/>
  <c r="DE3" i="27"/>
  <c r="EZ53" i="36"/>
  <c r="EY53" i="36"/>
  <c r="EZ52" i="36"/>
  <c r="EZ51" i="36"/>
  <c r="EZ50" i="36"/>
  <c r="EZ49" i="36"/>
  <c r="EZ48" i="36"/>
  <c r="EZ47" i="36"/>
  <c r="EZ46" i="36"/>
  <c r="EZ45" i="36"/>
  <c r="EZ44" i="36"/>
  <c r="EZ43" i="36"/>
  <c r="EZ42" i="36"/>
  <c r="EZ41" i="36"/>
  <c r="EZ40" i="36"/>
  <c r="EZ39" i="36"/>
  <c r="EZ38" i="36"/>
  <c r="EZ37" i="36"/>
  <c r="EZ36" i="36"/>
  <c r="EZ35" i="36"/>
  <c r="EZ34" i="36"/>
  <c r="EZ33" i="36"/>
  <c r="EZ32" i="36"/>
  <c r="EZ31" i="36"/>
  <c r="EZ30" i="36"/>
  <c r="EZ29" i="36"/>
  <c r="EZ28" i="36"/>
  <c r="EZ27" i="36"/>
  <c r="EZ26" i="36"/>
  <c r="EZ25" i="36"/>
  <c r="EZ24" i="36"/>
  <c r="EZ23" i="36"/>
  <c r="EZ22" i="36"/>
  <c r="EZ21" i="36"/>
  <c r="EZ20" i="36"/>
  <c r="EZ19" i="36"/>
  <c r="EZ18" i="36"/>
  <c r="EZ17" i="36"/>
  <c r="EZ16" i="36"/>
  <c r="EZ15" i="36"/>
  <c r="EZ14" i="36"/>
  <c r="EZ13" i="36"/>
  <c r="EZ12" i="36"/>
  <c r="EZ11" i="36"/>
  <c r="EZ10" i="36"/>
  <c r="EZ9" i="36"/>
  <c r="EZ8" i="36"/>
  <c r="EZ7" i="36"/>
  <c r="EZ6" i="36"/>
  <c r="EZ5" i="36"/>
  <c r="EZ4" i="36"/>
  <c r="FK71" i="31"/>
  <c r="FL70" i="31"/>
  <c r="FL69" i="31"/>
  <c r="FL68" i="31"/>
  <c r="FL67" i="31"/>
  <c r="FL66" i="31"/>
  <c r="FL65" i="31"/>
  <c r="FL64" i="31"/>
  <c r="FL63" i="31"/>
  <c r="FL62" i="31"/>
  <c r="FL61" i="31"/>
  <c r="FL60" i="31"/>
  <c r="FL59" i="31"/>
  <c r="FL58" i="31"/>
  <c r="FL57" i="31"/>
  <c r="FL56" i="31"/>
  <c r="FL55" i="31"/>
  <c r="FL54" i="31"/>
  <c r="FL53" i="31"/>
  <c r="FL52" i="31"/>
  <c r="FL51" i="31"/>
  <c r="FL50" i="31"/>
  <c r="FL49" i="31"/>
  <c r="FL48" i="31"/>
  <c r="FL47" i="31"/>
  <c r="FL46" i="31"/>
  <c r="FL45" i="31"/>
  <c r="FL44" i="31"/>
  <c r="FL43" i="31"/>
  <c r="FL42" i="31"/>
  <c r="FL41" i="31"/>
  <c r="FL40" i="31"/>
  <c r="FL39" i="31"/>
  <c r="FL38" i="31"/>
  <c r="FL37" i="31"/>
  <c r="FL36" i="31"/>
  <c r="FL35" i="31"/>
  <c r="FL34" i="31"/>
  <c r="FL33" i="31"/>
  <c r="FL32" i="31"/>
  <c r="FL31" i="31"/>
  <c r="FL30" i="31"/>
  <c r="FL29" i="31"/>
  <c r="FL28" i="31"/>
  <c r="FL27" i="31"/>
  <c r="FL26" i="31"/>
  <c r="FL25" i="31"/>
  <c r="FL24" i="31"/>
  <c r="FL23" i="31"/>
  <c r="FL22" i="31"/>
  <c r="FL21" i="31"/>
  <c r="FL20" i="31"/>
  <c r="FL19" i="31"/>
  <c r="FL18" i="31"/>
  <c r="FL17" i="31"/>
  <c r="FL16" i="31"/>
  <c r="FL15" i="31"/>
  <c r="FL14" i="31"/>
  <c r="FL13" i="31"/>
  <c r="FL12" i="31"/>
  <c r="FL11" i="31"/>
  <c r="FL10" i="31"/>
  <c r="FL9" i="31"/>
  <c r="FL8" i="31"/>
  <c r="FL7" i="31"/>
  <c r="FL6" i="31"/>
  <c r="FL5" i="31"/>
  <c r="FL4" i="31"/>
  <c r="FL3" i="31"/>
  <c r="DX12" i="30"/>
  <c r="DJ15" i="29"/>
  <c r="DK14" i="29"/>
  <c r="DK13" i="29"/>
  <c r="DK12" i="29"/>
  <c r="DK11" i="29"/>
  <c r="DK10" i="29"/>
  <c r="DK9" i="29"/>
  <c r="DK8" i="29"/>
  <c r="DK7" i="29"/>
  <c r="DK6" i="29"/>
  <c r="DK5" i="29"/>
  <c r="DK4" i="29"/>
  <c r="DK3" i="29"/>
  <c r="DX41" i="28"/>
  <c r="DP24" i="27"/>
  <c r="DY11" i="30"/>
  <c r="DY10" i="30"/>
  <c r="DY9" i="30"/>
  <c r="DY8" i="30"/>
  <c r="DY7" i="30"/>
  <c r="DY6" i="30"/>
  <c r="DY5" i="30"/>
  <c r="DY4" i="30"/>
  <c r="DY3" i="30"/>
  <c r="DY40" i="28"/>
  <c r="DY39" i="28"/>
  <c r="DY38" i="28"/>
  <c r="DY37" i="28"/>
  <c r="DY36" i="28"/>
  <c r="DY35" i="28"/>
  <c r="DY34" i="28"/>
  <c r="DY33" i="28"/>
  <c r="DY32" i="28"/>
  <c r="DY31" i="28"/>
  <c r="DY30" i="28"/>
  <c r="DY29" i="28"/>
  <c r="DY28" i="28"/>
  <c r="DY27" i="28"/>
  <c r="DY26" i="28"/>
  <c r="DY25" i="28"/>
  <c r="DY24" i="28"/>
  <c r="DY23" i="28"/>
  <c r="DY22" i="28"/>
  <c r="DY21" i="28"/>
  <c r="DY20" i="28"/>
  <c r="DY19" i="28"/>
  <c r="DY18" i="28"/>
  <c r="DY17" i="28"/>
  <c r="DY16" i="28"/>
  <c r="DY15" i="28"/>
  <c r="DY14" i="28"/>
  <c r="DY13" i="28"/>
  <c r="DY12" i="28"/>
  <c r="DY11" i="28"/>
  <c r="DY10" i="28"/>
  <c r="DY9" i="28"/>
  <c r="DY8" i="28"/>
  <c r="DY7" i="28"/>
  <c r="DY6" i="28"/>
  <c r="DY5" i="28"/>
  <c r="DY4" i="28"/>
  <c r="DY3" i="28"/>
  <c r="DQ23" i="27"/>
  <c r="DQ22" i="27"/>
  <c r="DQ21" i="27"/>
  <c r="DQ20" i="27"/>
  <c r="DQ19" i="27"/>
  <c r="DQ18" i="27"/>
  <c r="DQ17" i="27"/>
  <c r="DQ16" i="27"/>
  <c r="DQ15" i="27"/>
  <c r="DQ14" i="27"/>
  <c r="DQ13" i="27"/>
  <c r="DQ12" i="27"/>
  <c r="DQ11" i="27"/>
  <c r="DQ10" i="27"/>
  <c r="DQ9" i="27"/>
  <c r="DQ8" i="27"/>
  <c r="DQ7" i="27"/>
  <c r="DQ6" i="27"/>
  <c r="DQ5" i="27"/>
  <c r="DQ4" i="27"/>
  <c r="DQ3" i="27"/>
  <c r="DK53" i="36"/>
  <c r="DL52" i="36"/>
  <c r="DL51" i="36"/>
  <c r="DL50" i="36"/>
  <c r="DL49" i="36"/>
  <c r="DL48" i="36"/>
  <c r="DL47" i="36"/>
  <c r="DL46" i="36"/>
  <c r="DL45" i="36"/>
  <c r="DL44" i="36"/>
  <c r="DL43" i="36"/>
  <c r="DL42" i="36"/>
  <c r="DL41" i="36"/>
  <c r="DL40" i="36"/>
  <c r="DL39" i="36"/>
  <c r="DL38" i="36"/>
  <c r="DL37" i="36"/>
  <c r="DL36" i="36"/>
  <c r="DL35" i="36"/>
  <c r="DL34" i="36"/>
  <c r="DL33" i="36"/>
  <c r="DL32" i="36"/>
  <c r="DL31" i="36"/>
  <c r="DL30" i="36"/>
  <c r="DL29" i="36"/>
  <c r="DL28" i="36"/>
  <c r="DL27" i="36"/>
  <c r="DL26" i="36"/>
  <c r="DL25" i="36"/>
  <c r="DL24" i="36"/>
  <c r="DL23" i="36"/>
  <c r="DL22" i="36"/>
  <c r="DL21" i="36"/>
  <c r="DL20" i="36"/>
  <c r="DL19" i="36"/>
  <c r="DL18" i="36"/>
  <c r="DL17" i="36"/>
  <c r="DL16" i="36"/>
  <c r="DL15" i="36"/>
  <c r="DL14" i="36"/>
  <c r="DL13" i="36"/>
  <c r="DL12" i="36"/>
  <c r="DL11" i="36"/>
  <c r="DL10" i="36"/>
  <c r="DL9" i="36"/>
  <c r="DL8" i="36"/>
  <c r="DL7" i="36"/>
  <c r="DL6" i="36"/>
  <c r="DL5" i="36"/>
  <c r="DL4" i="36"/>
  <c r="DN71" i="31"/>
  <c r="DO70" i="31"/>
  <c r="DO69" i="31"/>
  <c r="DO68" i="31"/>
  <c r="DO67" i="31"/>
  <c r="DO66" i="31"/>
  <c r="DO65" i="31"/>
  <c r="DO64" i="31"/>
  <c r="DO63" i="31"/>
  <c r="DO62" i="31"/>
  <c r="DO61" i="31"/>
  <c r="DO60" i="31"/>
  <c r="DO59" i="31"/>
  <c r="DO58" i="31"/>
  <c r="DO57" i="31"/>
  <c r="DO56" i="31"/>
  <c r="DO55" i="31"/>
  <c r="DO54" i="31"/>
  <c r="DO53" i="31"/>
  <c r="DO52" i="31"/>
  <c r="DO51" i="31"/>
  <c r="DO50" i="31"/>
  <c r="DO49" i="31"/>
  <c r="DO48" i="31"/>
  <c r="DO47" i="31"/>
  <c r="DO46" i="31"/>
  <c r="DO45" i="31"/>
  <c r="DO44" i="31"/>
  <c r="DO43" i="31"/>
  <c r="DO42" i="31"/>
  <c r="DO41" i="31"/>
  <c r="DO40" i="31"/>
  <c r="DO39" i="31"/>
  <c r="DO38" i="31"/>
  <c r="DO37" i="31"/>
  <c r="DO36" i="31"/>
  <c r="DO35" i="31"/>
  <c r="DO34" i="31"/>
  <c r="DO33" i="31"/>
  <c r="DO32" i="31"/>
  <c r="DO31" i="31"/>
  <c r="DO30" i="31"/>
  <c r="DO29" i="31"/>
  <c r="DO28" i="31"/>
  <c r="DO27" i="31"/>
  <c r="DO26" i="31"/>
  <c r="DO25" i="31"/>
  <c r="DO24" i="31"/>
  <c r="DO23" i="31"/>
  <c r="DO22" i="31"/>
  <c r="DO21" i="31"/>
  <c r="DO20" i="31"/>
  <c r="DO19" i="31"/>
  <c r="DO18" i="31"/>
  <c r="DO17" i="31"/>
  <c r="DO16" i="31"/>
  <c r="DO15" i="31"/>
  <c r="DO14" i="31"/>
  <c r="DO13" i="31"/>
  <c r="DO12" i="31"/>
  <c r="DO11" i="31"/>
  <c r="DO10" i="31"/>
  <c r="DO9" i="31"/>
  <c r="DO8" i="31"/>
  <c r="DO7" i="31"/>
  <c r="DO6" i="31"/>
  <c r="DO5" i="31"/>
  <c r="DO4" i="31"/>
  <c r="DO3" i="31"/>
  <c r="CP53" i="36"/>
  <c r="CQ52" i="36"/>
  <c r="CQ51" i="36"/>
  <c r="CQ50" i="36"/>
  <c r="CQ49" i="36"/>
  <c r="CQ48" i="36"/>
  <c r="CQ47" i="36"/>
  <c r="CQ46" i="36"/>
  <c r="CQ45" i="36"/>
  <c r="CQ44" i="36"/>
  <c r="CQ43" i="36"/>
  <c r="CQ42" i="36"/>
  <c r="CQ41" i="36"/>
  <c r="CQ40" i="36"/>
  <c r="CQ39" i="36"/>
  <c r="CQ38" i="36"/>
  <c r="CQ37" i="36"/>
  <c r="CQ36" i="36"/>
  <c r="CQ35" i="36"/>
  <c r="CQ34" i="36"/>
  <c r="CQ33" i="36"/>
  <c r="CQ32" i="36"/>
  <c r="CQ31" i="36"/>
  <c r="CQ30" i="36"/>
  <c r="CQ29" i="36"/>
  <c r="CQ28" i="36"/>
  <c r="CQ27" i="36"/>
  <c r="CQ26" i="36"/>
  <c r="CQ25" i="36"/>
  <c r="CQ24" i="36"/>
  <c r="CQ23" i="36"/>
  <c r="CQ22" i="36"/>
  <c r="CQ21" i="36"/>
  <c r="CQ20" i="36"/>
  <c r="CQ19" i="36"/>
  <c r="CQ18" i="36"/>
  <c r="CQ17" i="36"/>
  <c r="CQ16" i="36"/>
  <c r="CQ15" i="36"/>
  <c r="CQ14" i="36"/>
  <c r="CQ13" i="36"/>
  <c r="CQ12" i="36"/>
  <c r="CQ11" i="36"/>
  <c r="CQ10" i="36"/>
  <c r="CQ9" i="36"/>
  <c r="CQ8" i="36"/>
  <c r="CQ7" i="36"/>
  <c r="CQ6" i="36"/>
  <c r="CQ5" i="36"/>
  <c r="CQ4" i="36"/>
  <c r="DG71" i="31"/>
  <c r="DH70" i="31"/>
  <c r="DH69" i="31"/>
  <c r="DH68" i="31"/>
  <c r="DH67" i="31"/>
  <c r="DH66" i="31"/>
  <c r="DH65" i="31"/>
  <c r="DH64" i="31"/>
  <c r="DH63" i="31"/>
  <c r="DH62" i="31"/>
  <c r="DH61" i="31"/>
  <c r="DH60" i="31"/>
  <c r="DH59" i="31"/>
  <c r="DH58" i="31"/>
  <c r="DH57" i="31"/>
  <c r="DH56" i="31"/>
  <c r="DH55" i="31"/>
  <c r="DH54" i="31"/>
  <c r="DH53" i="31"/>
  <c r="DH52" i="31"/>
  <c r="DH51" i="31"/>
  <c r="DH50" i="31"/>
  <c r="DH49" i="31"/>
  <c r="DH48" i="31"/>
  <c r="DH47" i="31"/>
  <c r="DH46" i="31"/>
  <c r="DH45" i="31"/>
  <c r="DH44" i="31"/>
  <c r="DH43" i="31"/>
  <c r="DH42" i="31"/>
  <c r="DH41" i="31"/>
  <c r="DH40" i="31"/>
  <c r="DH39" i="31"/>
  <c r="DH38" i="31"/>
  <c r="DH37" i="31"/>
  <c r="DH36" i="31"/>
  <c r="DH35" i="31"/>
  <c r="DH34" i="31"/>
  <c r="DH33" i="31"/>
  <c r="DH32" i="31"/>
  <c r="DH31" i="31"/>
  <c r="DH30" i="31"/>
  <c r="DH29" i="31"/>
  <c r="DH28" i="31"/>
  <c r="DH27" i="31"/>
  <c r="DH26" i="31"/>
  <c r="DH25" i="31"/>
  <c r="DH24" i="31"/>
  <c r="DH23" i="31"/>
  <c r="DH22" i="31"/>
  <c r="DH21" i="31"/>
  <c r="DH20" i="31"/>
  <c r="DH19" i="31"/>
  <c r="DH18" i="31"/>
  <c r="DH17" i="31"/>
  <c r="DH16" i="31"/>
  <c r="DH15" i="31"/>
  <c r="DH14" i="31"/>
  <c r="DH13" i="31"/>
  <c r="DH12" i="31"/>
  <c r="DH11" i="31"/>
  <c r="DH10" i="31"/>
  <c r="DH9" i="31"/>
  <c r="DH8" i="31"/>
  <c r="DH7" i="31"/>
  <c r="DH6" i="31"/>
  <c r="DH5" i="31"/>
  <c r="DH4" i="31"/>
  <c r="DH3" i="31"/>
  <c r="BU71" i="31"/>
  <c r="CY12" i="30"/>
  <c r="CZ11" i="30"/>
  <c r="CZ10" i="30"/>
  <c r="CZ9" i="30"/>
  <c r="CZ8" i="30"/>
  <c r="CZ7" i="30"/>
  <c r="CZ6" i="30"/>
  <c r="CZ5" i="30"/>
  <c r="CZ4" i="30"/>
  <c r="CZ3" i="30"/>
  <c r="BR13" i="30"/>
  <c r="CL14" i="29"/>
  <c r="CL13" i="29"/>
  <c r="CL12" i="29"/>
  <c r="CL11" i="29"/>
  <c r="CL10" i="29"/>
  <c r="CL9" i="29"/>
  <c r="CL8" i="29"/>
  <c r="CL7" i="29"/>
  <c r="CL6" i="29"/>
  <c r="CL5" i="29"/>
  <c r="CL4" i="29"/>
  <c r="CK15" i="29"/>
  <c r="CL3" i="29"/>
  <c r="BS41" i="28"/>
  <c r="AQ15" i="29"/>
  <c r="CC41" i="28"/>
  <c r="CD40" i="28"/>
  <c r="CD39" i="28"/>
  <c r="CD38" i="28"/>
  <c r="CD37" i="28"/>
  <c r="CD36" i="28"/>
  <c r="CD35" i="28"/>
  <c r="CD34" i="28"/>
  <c r="CD33" i="28"/>
  <c r="CD32" i="28"/>
  <c r="CD31" i="28"/>
  <c r="CD30" i="28"/>
  <c r="CD29" i="28"/>
  <c r="CD28" i="28"/>
  <c r="CD27" i="28"/>
  <c r="CD26" i="28"/>
  <c r="CD25" i="28"/>
  <c r="CD24" i="28"/>
  <c r="CD23" i="28"/>
  <c r="CD22" i="28"/>
  <c r="CD21" i="28"/>
  <c r="CD20" i="28"/>
  <c r="CD19" i="28"/>
  <c r="CD18" i="28"/>
  <c r="CD17" i="28"/>
  <c r="CD16" i="28"/>
  <c r="CD15" i="28"/>
  <c r="CD14" i="28"/>
  <c r="CD13" i="28"/>
  <c r="CD12" i="28"/>
  <c r="CD11" i="28"/>
  <c r="CD10" i="28"/>
  <c r="CD9" i="28"/>
  <c r="CD8" i="28"/>
  <c r="CD7" i="28"/>
  <c r="CD6" i="28"/>
  <c r="CD5" i="28"/>
  <c r="CD4" i="28"/>
  <c r="CD3" i="28"/>
  <c r="CZ24" i="27"/>
  <c r="DA23" i="27"/>
  <c r="DA22" i="27"/>
  <c r="DA21" i="27"/>
  <c r="DA20" i="27"/>
  <c r="DA19" i="27"/>
  <c r="DA18" i="27"/>
  <c r="DA17" i="27"/>
  <c r="DA16" i="27"/>
  <c r="DA15" i="27"/>
  <c r="DA14" i="27"/>
  <c r="DA13" i="27"/>
  <c r="DA12" i="27"/>
  <c r="DA11" i="27"/>
  <c r="DA10" i="27"/>
  <c r="DA9" i="27"/>
  <c r="DA8" i="27"/>
  <c r="DA7" i="27"/>
  <c r="DA6" i="27"/>
  <c r="DA5" i="27"/>
  <c r="DA4" i="27"/>
  <c r="DA3" i="27"/>
  <c r="F79" i="37"/>
  <c r="G59" i="37"/>
  <c r="G57" i="37"/>
  <c r="G55" i="37"/>
  <c r="G43" i="37"/>
  <c r="G29" i="37"/>
  <c r="G26" i="37"/>
  <c r="G21" i="37" l="1"/>
  <c r="G6" i="37"/>
  <c r="G76" i="37"/>
  <c r="G75" i="37"/>
  <c r="G74" i="37"/>
  <c r="G73" i="37"/>
  <c r="G71" i="37"/>
  <c r="G70" i="37"/>
  <c r="G69" i="37"/>
  <c r="G66" i="37"/>
  <c r="G64" i="37"/>
  <c r="G63" i="37"/>
  <c r="G62" i="37"/>
  <c r="G61" i="37"/>
  <c r="G60" i="37"/>
  <c r="G58" i="37"/>
  <c r="G56" i="37"/>
  <c r="G54" i="37"/>
  <c r="G53" i="37"/>
  <c r="G51" i="37"/>
  <c r="G50" i="37"/>
  <c r="G49" i="37"/>
  <c r="G48" i="37"/>
  <c r="G47" i="37"/>
  <c r="G46" i="37"/>
  <c r="G45" i="37"/>
  <c r="G44" i="37"/>
  <c r="G42" i="37"/>
  <c r="G41" i="37"/>
  <c r="G40" i="37"/>
  <c r="G36" i="37"/>
  <c r="G35" i="37"/>
  <c r="G34" i="37"/>
  <c r="G33" i="37"/>
  <c r="G32" i="37"/>
  <c r="G31" i="37"/>
  <c r="G30" i="37"/>
  <c r="G28" i="37"/>
  <c r="G27" i="37"/>
  <c r="G25" i="37"/>
  <c r="G24" i="37"/>
  <c r="G23" i="37"/>
  <c r="G22" i="37"/>
  <c r="G20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5" i="37"/>
  <c r="G4" i="37"/>
  <c r="G3" i="37"/>
  <c r="FE14" i="36"/>
  <c r="FE13" i="36"/>
  <c r="CD17" i="29"/>
  <c r="E12" i="33"/>
  <c r="C12" i="33"/>
  <c r="C2" i="33"/>
  <c r="D2" i="33" s="1"/>
  <c r="B4" i="33" s="1"/>
  <c r="D10" i="33" l="1"/>
  <c r="D11" i="33"/>
  <c r="D9" i="33"/>
  <c r="D8" i="33"/>
  <c r="D7" i="33"/>
  <c r="F10" i="33"/>
  <c r="F11" i="33"/>
  <c r="F7" i="33"/>
  <c r="G7" i="33" s="1"/>
  <c r="H7" i="33" s="1"/>
  <c r="F8" i="33"/>
  <c r="G8" i="33" s="1"/>
  <c r="H8" i="33" s="1"/>
  <c r="F9" i="33"/>
  <c r="G9" i="33" s="1"/>
  <c r="H9" i="33" s="1"/>
  <c r="F6" i="33"/>
  <c r="D6" i="33"/>
  <c r="G11" i="33" l="1"/>
  <c r="H11" i="33" s="1"/>
  <c r="G10" i="33"/>
  <c r="H10" i="33" s="1"/>
  <c r="D12" i="33"/>
  <c r="G6" i="33"/>
  <c r="F12" i="33"/>
  <c r="H6" i="33" l="1"/>
  <c r="H12" i="33" s="1"/>
  <c r="G12" i="33"/>
  <c r="AL20" i="34" l="1"/>
  <c r="AE20" i="34"/>
  <c r="AL22" i="34"/>
  <c r="AK22" i="34"/>
  <c r="AJ22" i="34"/>
  <c r="AI22" i="34"/>
  <c r="AH22" i="34"/>
  <c r="AG22" i="34"/>
  <c r="AF22" i="34"/>
  <c r="AE22" i="34"/>
  <c r="AD22" i="34"/>
  <c r="AL21" i="34"/>
  <c r="AK21" i="34"/>
  <c r="AJ21" i="34"/>
  <c r="AI21" i="34"/>
  <c r="AH21" i="34"/>
  <c r="AG21" i="34"/>
  <c r="AF21" i="34"/>
  <c r="AE21" i="34"/>
  <c r="AD21" i="34"/>
  <c r="AK20" i="34"/>
  <c r="AJ20" i="34"/>
  <c r="AI20" i="34"/>
  <c r="AH20" i="34"/>
  <c r="AG20" i="34"/>
  <c r="AF20" i="34"/>
  <c r="AD20" i="34"/>
  <c r="AJ13" i="34"/>
  <c r="AL12" i="34"/>
  <c r="AK12" i="34"/>
  <c r="AJ12" i="34"/>
  <c r="AI12" i="34"/>
  <c r="AH12" i="34"/>
  <c r="AG12" i="34"/>
  <c r="AF12" i="34"/>
  <c r="AE12" i="34"/>
  <c r="AD12" i="34"/>
  <c r="AL11" i="34"/>
  <c r="AK11" i="34"/>
  <c r="AJ11" i="34"/>
  <c r="AI11" i="34"/>
  <c r="AH11" i="34"/>
  <c r="AG11" i="34"/>
  <c r="AF11" i="34"/>
  <c r="AE11" i="34"/>
  <c r="AD11" i="34"/>
  <c r="AL10" i="34"/>
  <c r="AK10" i="34"/>
  <c r="AJ10" i="34"/>
  <c r="AI10" i="34"/>
  <c r="AH10" i="34"/>
  <c r="AG10" i="34"/>
  <c r="AF10" i="34"/>
  <c r="AE10" i="34"/>
  <c r="AD10" i="34"/>
  <c r="AL9" i="34"/>
  <c r="AK9" i="34"/>
  <c r="AJ9" i="34"/>
  <c r="AI9" i="34"/>
  <c r="AH9" i="34"/>
  <c r="AG9" i="34"/>
  <c r="AF9" i="34"/>
  <c r="AE9" i="34"/>
  <c r="AD9" i="34"/>
  <c r="AL8" i="34"/>
  <c r="AK8" i="34"/>
  <c r="AJ8" i="34"/>
  <c r="AI8" i="34"/>
  <c r="AH8" i="34"/>
  <c r="AG8" i="34"/>
  <c r="AF8" i="34"/>
  <c r="AE8" i="34"/>
  <c r="AD8" i="34"/>
  <c r="AE6" i="34"/>
  <c r="AD6" i="34"/>
  <c r="AI6" i="34"/>
  <c r="AH6" i="34"/>
  <c r="AG6" i="34"/>
  <c r="EE53" i="36"/>
  <c r="EX53" i="36"/>
  <c r="FJ71" i="31"/>
  <c r="ER71" i="31"/>
  <c r="DW12" i="30"/>
  <c r="DD12" i="30"/>
  <c r="DI15" i="29"/>
  <c r="DH15" i="29"/>
  <c r="DW41" i="28"/>
  <c r="DO24" i="27"/>
  <c r="DN24" i="27"/>
  <c r="AM21" i="34" l="1"/>
  <c r="C20" i="34" s="1"/>
  <c r="E20" i="34" s="1"/>
  <c r="AM20" i="34"/>
  <c r="C19" i="34" s="1"/>
  <c r="AM12" i="34"/>
  <c r="C10" i="34" s="1"/>
  <c r="E10" i="34" s="1"/>
  <c r="AM11" i="34"/>
  <c r="C9" i="34" s="1"/>
  <c r="AM9" i="34"/>
  <c r="C6" i="34" s="1"/>
  <c r="AM8" i="34"/>
  <c r="C5" i="34" s="1"/>
  <c r="E5" i="34" s="1"/>
  <c r="AM10" i="34"/>
  <c r="C7" i="34" s="1"/>
  <c r="AM22" i="34"/>
  <c r="C21" i="34" s="1"/>
  <c r="E21" i="34" s="1"/>
  <c r="DK15" i="29"/>
  <c r="DQ24" i="27"/>
  <c r="DY41" i="28"/>
  <c r="DY12" i="30"/>
  <c r="FL71" i="31"/>
  <c r="Y24" i="27"/>
  <c r="AT3" i="27"/>
  <c r="AT24" i="27" s="1"/>
  <c r="AT25" i="27" s="1"/>
  <c r="AQ4" i="27"/>
  <c r="AT4" i="27"/>
  <c r="AS10" i="27"/>
  <c r="AT10" i="27"/>
  <c r="AQ10" i="27"/>
  <c r="AS13" i="27"/>
  <c r="AT13" i="27"/>
  <c r="AQ13" i="27"/>
  <c r="AS14" i="27"/>
  <c r="AT14" i="27"/>
  <c r="AQ14" i="27"/>
  <c r="AQ19" i="27"/>
  <c r="AT19" i="27"/>
  <c r="AW42" i="28"/>
  <c r="AX34" i="28"/>
  <c r="AX31" i="28"/>
  <c r="AX24" i="28"/>
  <c r="AX21" i="28"/>
  <c r="AX20" i="28"/>
  <c r="AX11" i="28"/>
  <c r="AV34" i="28"/>
  <c r="AV32" i="28"/>
  <c r="AV31" i="28"/>
  <c r="AV24" i="28"/>
  <c r="AV21" i="28"/>
  <c r="AV20" i="28"/>
  <c r="AV19" i="28"/>
  <c r="AV15" i="28"/>
  <c r="AV11" i="28"/>
  <c r="AV3" i="28"/>
  <c r="K6" i="34" l="1"/>
  <c r="K9" i="34"/>
  <c r="J9" i="34"/>
  <c r="E9" i="34"/>
  <c r="E27" i="34"/>
  <c r="J21" i="34" s="1"/>
  <c r="C26" i="34"/>
  <c r="AM28" i="34"/>
  <c r="AQ24" i="27"/>
  <c r="E13" i="34" l="1"/>
  <c r="F9" i="34"/>
  <c r="J20" i="34"/>
  <c r="AR27" i="27"/>
  <c r="AV18" i="28"/>
  <c r="AV17" i="28"/>
  <c r="AX15" i="28" s="1"/>
  <c r="AV12" i="28"/>
  <c r="AH42" i="28"/>
  <c r="AU34" i="28"/>
  <c r="AU32" i="28"/>
  <c r="AU24" i="28"/>
  <c r="AU21" i="28"/>
  <c r="AU20" i="28"/>
  <c r="AU19" i="28"/>
  <c r="AU17" i="28"/>
  <c r="AU15" i="28"/>
  <c r="AU11" i="28"/>
  <c r="AU3" i="28"/>
  <c r="DJ53" i="36"/>
  <c r="CU53" i="36"/>
  <c r="DL53" i="36"/>
  <c r="CO53" i="36"/>
  <c r="BQ53" i="36"/>
  <c r="C48" i="36"/>
  <c r="ED53" i="36"/>
  <c r="EC53" i="36"/>
  <c r="EA53" i="36"/>
  <c r="DZ53" i="36"/>
  <c r="CY53" i="36"/>
  <c r="CN53" i="36"/>
  <c r="CK53" i="36"/>
  <c r="BH53" i="36"/>
  <c r="BG53" i="36"/>
  <c r="BF53" i="36"/>
  <c r="BC53" i="36"/>
  <c r="BB53" i="36"/>
  <c r="BC54" i="36" s="1"/>
  <c r="AH53" i="36"/>
  <c r="R53" i="36"/>
  <c r="FA55" i="36" s="1"/>
  <c r="G53" i="36"/>
  <c r="F53" i="36"/>
  <c r="E53" i="36"/>
  <c r="D53" i="36"/>
  <c r="CN56" i="36" s="1"/>
  <c r="ER52" i="36"/>
  <c r="EQ52" i="36"/>
  <c r="EI52" i="36"/>
  <c r="EJ52" i="36" s="1"/>
  <c r="EG52" i="36"/>
  <c r="EF52" i="36"/>
  <c r="DV52" i="36"/>
  <c r="CZ52" i="36"/>
  <c r="DA52" i="36" s="1"/>
  <c r="CX52" i="36"/>
  <c r="DG52" i="36" s="1"/>
  <c r="CW52" i="36"/>
  <c r="CV52" i="36"/>
  <c r="CH52" i="36"/>
  <c r="CG52" i="36"/>
  <c r="CB52" i="36"/>
  <c r="BU52" i="36"/>
  <c r="BW52" i="36" s="1"/>
  <c r="BT52" i="36"/>
  <c r="BX52" i="36" s="1"/>
  <c r="BS52" i="36"/>
  <c r="BR52" i="36"/>
  <c r="BD52" i="36"/>
  <c r="C52" i="36"/>
  <c r="ER51" i="36"/>
  <c r="EQ51" i="36"/>
  <c r="EI51" i="36"/>
  <c r="EJ51" i="36" s="1"/>
  <c r="EG51" i="36"/>
  <c r="EF51" i="36"/>
  <c r="EK51" i="36" s="1"/>
  <c r="DV51" i="36"/>
  <c r="CZ51" i="36"/>
  <c r="DA51" i="36" s="1"/>
  <c r="CX51" i="36"/>
  <c r="DG51" i="36" s="1"/>
  <c r="CW51" i="36"/>
  <c r="CV51" i="36"/>
  <c r="CH51" i="36"/>
  <c r="CG51" i="36"/>
  <c r="CB51" i="36"/>
  <c r="BU51" i="36"/>
  <c r="BW51" i="36" s="1"/>
  <c r="BT51" i="36"/>
  <c r="BX51" i="36" s="1"/>
  <c r="BS51" i="36"/>
  <c r="BR51" i="36"/>
  <c r="BV51" i="36" s="1"/>
  <c r="BD51" i="36"/>
  <c r="AS51" i="36"/>
  <c r="AD51" i="36" s="1"/>
  <c r="M51" i="36" s="1"/>
  <c r="Q51" i="36"/>
  <c r="C51" i="36"/>
  <c r="ER50" i="36"/>
  <c r="EQ50" i="36"/>
  <c r="EI50" i="36"/>
  <c r="EJ50" i="36" s="1"/>
  <c r="EG50" i="36"/>
  <c r="EF50" i="36"/>
  <c r="DV50" i="36"/>
  <c r="CZ50" i="36"/>
  <c r="DA50" i="36" s="1"/>
  <c r="CX50" i="36"/>
  <c r="DG50" i="36" s="1"/>
  <c r="CW50" i="36"/>
  <c r="CV50" i="36"/>
  <c r="CH50" i="36"/>
  <c r="CG50" i="36"/>
  <c r="CB50" i="36"/>
  <c r="BU50" i="36"/>
  <c r="BW50" i="36" s="1"/>
  <c r="BT50" i="36"/>
  <c r="BX50" i="36" s="1"/>
  <c r="BS50" i="36"/>
  <c r="BR50" i="36"/>
  <c r="BD50" i="36"/>
  <c r="AS50" i="36"/>
  <c r="AD50" i="36" s="1"/>
  <c r="M50" i="36" s="1"/>
  <c r="C50" i="36"/>
  <c r="ER49" i="36"/>
  <c r="EQ49" i="36"/>
  <c r="EI49" i="36"/>
  <c r="EJ49" i="36" s="1"/>
  <c r="EG49" i="36"/>
  <c r="EF49" i="36"/>
  <c r="DV49" i="36"/>
  <c r="CZ49" i="36"/>
  <c r="DA49" i="36" s="1"/>
  <c r="CX49" i="36"/>
  <c r="DG49" i="36" s="1"/>
  <c r="CW49" i="36"/>
  <c r="CV49" i="36"/>
  <c r="CH49" i="36"/>
  <c r="CG49" i="36"/>
  <c r="CB49" i="36"/>
  <c r="BU49" i="36"/>
  <c r="BW49" i="36" s="1"/>
  <c r="BT49" i="36"/>
  <c r="BX49" i="36" s="1"/>
  <c r="BS49" i="36"/>
  <c r="BR49" i="36"/>
  <c r="BV49" i="36" s="1"/>
  <c r="BD49" i="36"/>
  <c r="AS49" i="36"/>
  <c r="AD49" i="36" s="1"/>
  <c r="M49" i="36" s="1"/>
  <c r="AF49" i="36"/>
  <c r="P49" i="36" s="1"/>
  <c r="K49" i="36" s="1"/>
  <c r="Q49" i="36"/>
  <c r="L49" i="36"/>
  <c r="ER48" i="36"/>
  <c r="EQ48" i="36"/>
  <c r="EI48" i="36"/>
  <c r="EJ48" i="36" s="1"/>
  <c r="EG48" i="36"/>
  <c r="EF48" i="36"/>
  <c r="EK48" i="36" s="1"/>
  <c r="DV48" i="36"/>
  <c r="CZ48" i="36"/>
  <c r="DA48" i="36" s="1"/>
  <c r="CX48" i="36"/>
  <c r="DG48" i="36" s="1"/>
  <c r="CW48" i="36"/>
  <c r="CV48" i="36"/>
  <c r="CH48" i="36"/>
  <c r="CG48" i="36"/>
  <c r="CB48" i="36"/>
  <c r="BU48" i="36"/>
  <c r="BW48" i="36" s="1"/>
  <c r="BT48" i="36"/>
  <c r="BX48" i="36" s="1"/>
  <c r="BS48" i="36"/>
  <c r="BR48" i="36"/>
  <c r="BV48" i="36" s="1"/>
  <c r="BD48" i="36"/>
  <c r="AI48" i="36"/>
  <c r="EI47" i="36"/>
  <c r="EJ47" i="36" s="1"/>
  <c r="EG47" i="36"/>
  <c r="EF47" i="36"/>
  <c r="EK47" i="36" s="1"/>
  <c r="CZ47" i="36"/>
  <c r="DA47" i="36" s="1"/>
  <c r="CX47" i="36"/>
  <c r="DG47" i="36" s="1"/>
  <c r="CW47" i="36"/>
  <c r="CV47" i="36"/>
  <c r="BU47" i="36"/>
  <c r="BW47" i="36" s="1"/>
  <c r="BT47" i="36"/>
  <c r="BX47" i="36" s="1"/>
  <c r="BS47" i="36"/>
  <c r="BR47" i="36"/>
  <c r="BV47" i="36" s="1"/>
  <c r="C47" i="36"/>
  <c r="ER46" i="36"/>
  <c r="EQ46" i="36"/>
  <c r="EI46" i="36"/>
  <c r="EJ46" i="36" s="1"/>
  <c r="EG46" i="36"/>
  <c r="EF46" i="36"/>
  <c r="DV46" i="36"/>
  <c r="CZ46" i="36"/>
  <c r="DA46" i="36" s="1"/>
  <c r="CX46" i="36"/>
  <c r="DG46" i="36" s="1"/>
  <c r="CW46" i="36"/>
  <c r="CV46" i="36"/>
  <c r="DF46" i="36" s="1"/>
  <c r="CH46" i="36"/>
  <c r="CG46" i="36"/>
  <c r="CB46" i="36"/>
  <c r="BU46" i="36"/>
  <c r="BW46" i="36" s="1"/>
  <c r="BT46" i="36"/>
  <c r="BX46" i="36" s="1"/>
  <c r="BS46" i="36"/>
  <c r="BR46" i="36"/>
  <c r="BD46" i="36"/>
  <c r="Q46" i="36"/>
  <c r="C46" i="36"/>
  <c r="EI45" i="36"/>
  <c r="EJ45" i="36" s="1"/>
  <c r="EG45" i="36"/>
  <c r="EF45" i="36"/>
  <c r="EK45" i="36" s="1"/>
  <c r="CZ45" i="36"/>
  <c r="DA45" i="36" s="1"/>
  <c r="CX45" i="36"/>
  <c r="DG45" i="36" s="1"/>
  <c r="CW45" i="36"/>
  <c r="CV45" i="36"/>
  <c r="BU45" i="36"/>
  <c r="BW45" i="36" s="1"/>
  <c r="BT45" i="36"/>
  <c r="BX45" i="36" s="1"/>
  <c r="BS45" i="36"/>
  <c r="BR45" i="36"/>
  <c r="C45" i="36"/>
  <c r="EI44" i="36"/>
  <c r="EJ44" i="36" s="1"/>
  <c r="EG44" i="36"/>
  <c r="EF44" i="36"/>
  <c r="CZ44" i="36"/>
  <c r="DA44" i="36" s="1"/>
  <c r="CX44" i="36"/>
  <c r="DG44" i="36" s="1"/>
  <c r="CW44" i="36"/>
  <c r="CV44" i="36"/>
  <c r="DF44" i="36" s="1"/>
  <c r="BU44" i="36"/>
  <c r="BW44" i="36" s="1"/>
  <c r="BT44" i="36"/>
  <c r="BX44" i="36" s="1"/>
  <c r="BS44" i="36"/>
  <c r="BR44" i="36"/>
  <c r="C44" i="36"/>
  <c r="EI43" i="36"/>
  <c r="EJ43" i="36" s="1"/>
  <c r="EG43" i="36"/>
  <c r="EF43" i="36"/>
  <c r="EK43" i="36" s="1"/>
  <c r="CZ43" i="36"/>
  <c r="DA43" i="36" s="1"/>
  <c r="CX43" i="36"/>
  <c r="DG43" i="36" s="1"/>
  <c r="CW43" i="36"/>
  <c r="CV43" i="36"/>
  <c r="DF43" i="36" s="1"/>
  <c r="BU43" i="36"/>
  <c r="BW43" i="36" s="1"/>
  <c r="BT43" i="36"/>
  <c r="BX43" i="36" s="1"/>
  <c r="BS43" i="36"/>
  <c r="BR43" i="36"/>
  <c r="AI43" i="36"/>
  <c r="C43" i="36"/>
  <c r="ER42" i="36"/>
  <c r="EQ42" i="36"/>
  <c r="EI42" i="36"/>
  <c r="EJ42" i="36" s="1"/>
  <c r="EG42" i="36"/>
  <c r="EF42" i="36"/>
  <c r="DV42" i="36"/>
  <c r="CZ42" i="36"/>
  <c r="DA42" i="36" s="1"/>
  <c r="CX42" i="36"/>
  <c r="DG42" i="36" s="1"/>
  <c r="CW42" i="36"/>
  <c r="CV42" i="36"/>
  <c r="CH42" i="36"/>
  <c r="CG42" i="36"/>
  <c r="CB42" i="36"/>
  <c r="BU42" i="36"/>
  <c r="BW42" i="36" s="1"/>
  <c r="BT42" i="36"/>
  <c r="BX42" i="36" s="1"/>
  <c r="BS42" i="36"/>
  <c r="BR42" i="36"/>
  <c r="BD42" i="36"/>
  <c r="AS42" i="36"/>
  <c r="AD42" i="36" s="1"/>
  <c r="M42" i="36" s="1"/>
  <c r="C42" i="36"/>
  <c r="ER41" i="36"/>
  <c r="EQ41" i="36"/>
  <c r="EI41" i="36"/>
  <c r="EJ41" i="36" s="1"/>
  <c r="EG41" i="36"/>
  <c r="EF41" i="36"/>
  <c r="EK41" i="36" s="1"/>
  <c r="DV41" i="36"/>
  <c r="DB41" i="36"/>
  <c r="DC41" i="36" s="1"/>
  <c r="CZ41" i="36"/>
  <c r="DA41" i="36" s="1"/>
  <c r="CX41" i="36"/>
  <c r="DG41" i="36" s="1"/>
  <c r="CW41" i="36"/>
  <c r="CV41" i="36"/>
  <c r="DF41" i="36" s="1"/>
  <c r="CH41" i="36"/>
  <c r="CG41" i="36"/>
  <c r="CB41" i="36"/>
  <c r="BU41" i="36"/>
  <c r="BW41" i="36" s="1"/>
  <c r="BT41" i="36"/>
  <c r="BX41" i="36" s="1"/>
  <c r="BS41" i="36"/>
  <c r="BR41" i="36"/>
  <c r="BV41" i="36" s="1"/>
  <c r="BD41" i="36"/>
  <c r="AF41" i="36"/>
  <c r="Z41" i="36"/>
  <c r="Q41" i="36"/>
  <c r="C41" i="36"/>
  <c r="ER40" i="36"/>
  <c r="EQ40" i="36"/>
  <c r="EI40" i="36"/>
  <c r="EJ40" i="36" s="1"/>
  <c r="EG40" i="36"/>
  <c r="EF40" i="36"/>
  <c r="EK40" i="36" s="1"/>
  <c r="DV40" i="36"/>
  <c r="CZ40" i="36"/>
  <c r="DA40" i="36" s="1"/>
  <c r="CX40" i="36"/>
  <c r="DG40" i="36" s="1"/>
  <c r="CW40" i="36"/>
  <c r="CV40" i="36"/>
  <c r="DF40" i="36" s="1"/>
  <c r="CH40" i="36"/>
  <c r="CG40" i="36"/>
  <c r="CB40" i="36"/>
  <c r="BU40" i="36"/>
  <c r="BW40" i="36" s="1"/>
  <c r="BT40" i="36"/>
  <c r="BX40" i="36" s="1"/>
  <c r="BS40" i="36"/>
  <c r="BR40" i="36"/>
  <c r="BV40" i="36" s="1"/>
  <c r="BD40" i="36"/>
  <c r="AF40" i="36"/>
  <c r="Z40" i="36"/>
  <c r="Q40" i="36"/>
  <c r="C40" i="36"/>
  <c r="ER39" i="36"/>
  <c r="EQ39" i="36"/>
  <c r="EI39" i="36"/>
  <c r="EJ39" i="36" s="1"/>
  <c r="EG39" i="36"/>
  <c r="EF39" i="36"/>
  <c r="EK39" i="36" s="1"/>
  <c r="DV39" i="36"/>
  <c r="CZ39" i="36"/>
  <c r="DA39" i="36" s="1"/>
  <c r="CX39" i="36"/>
  <c r="DG39" i="36" s="1"/>
  <c r="CW39" i="36"/>
  <c r="CV39" i="36"/>
  <c r="CH39" i="36"/>
  <c r="CG39" i="36"/>
  <c r="CB39" i="36"/>
  <c r="BU39" i="36"/>
  <c r="BW39" i="36" s="1"/>
  <c r="BT39" i="36"/>
  <c r="BX39" i="36" s="1"/>
  <c r="BS39" i="36"/>
  <c r="BR39" i="36"/>
  <c r="BV39" i="36" s="1"/>
  <c r="BD39" i="36"/>
  <c r="AS39" i="36"/>
  <c r="AI39" i="36"/>
  <c r="AF39" i="36"/>
  <c r="P39" i="36" s="1"/>
  <c r="K39" i="36" s="1"/>
  <c r="AD39" i="36"/>
  <c r="M39" i="36" s="1"/>
  <c r="ER38" i="36"/>
  <c r="EQ38" i="36"/>
  <c r="EI38" i="36"/>
  <c r="EJ38" i="36" s="1"/>
  <c r="EG38" i="36"/>
  <c r="EF38" i="36"/>
  <c r="DV38" i="36"/>
  <c r="CZ38" i="36"/>
  <c r="DA38" i="36" s="1"/>
  <c r="CX38" i="36"/>
  <c r="DG38" i="36" s="1"/>
  <c r="CW38" i="36"/>
  <c r="CV38" i="36"/>
  <c r="DF38" i="36" s="1"/>
  <c r="CH38" i="36"/>
  <c r="CG38" i="36"/>
  <c r="CB38" i="36"/>
  <c r="BU38" i="36"/>
  <c r="BW38" i="36" s="1"/>
  <c r="BT38" i="36"/>
  <c r="BX38" i="36" s="1"/>
  <c r="BS38" i="36"/>
  <c r="BR38" i="36"/>
  <c r="BD38" i="36"/>
  <c r="AF38" i="36"/>
  <c r="Z38" i="36"/>
  <c r="P38" i="36"/>
  <c r="K38" i="36" s="1"/>
  <c r="ER37" i="36"/>
  <c r="EQ37" i="36"/>
  <c r="EI37" i="36"/>
  <c r="EJ37" i="36" s="1"/>
  <c r="EG37" i="36"/>
  <c r="EF37" i="36"/>
  <c r="EK37" i="36" s="1"/>
  <c r="DV37" i="36"/>
  <c r="CZ37" i="36"/>
  <c r="DA37" i="36" s="1"/>
  <c r="CX37" i="36"/>
  <c r="DG37" i="36" s="1"/>
  <c r="CW37" i="36"/>
  <c r="CV37" i="36"/>
  <c r="DF37" i="36" s="1"/>
  <c r="CH37" i="36"/>
  <c r="CG37" i="36"/>
  <c r="CB37" i="36"/>
  <c r="BU37" i="36"/>
  <c r="BW37" i="36" s="1"/>
  <c r="BT37" i="36"/>
  <c r="BX37" i="36" s="1"/>
  <c r="BS37" i="36"/>
  <c r="BR37" i="36"/>
  <c r="BV37" i="36" s="1"/>
  <c r="BD37" i="36"/>
  <c r="AI37" i="36"/>
  <c r="EU36" i="36"/>
  <c r="ER36" i="36"/>
  <c r="EQ36" i="36"/>
  <c r="EI36" i="36"/>
  <c r="EJ36" i="36" s="1"/>
  <c r="EG36" i="36"/>
  <c r="EF36" i="36"/>
  <c r="EK36" i="36" s="1"/>
  <c r="DV36" i="36"/>
  <c r="CZ36" i="36"/>
  <c r="DA36" i="36" s="1"/>
  <c r="CX36" i="36"/>
  <c r="DG36" i="36" s="1"/>
  <c r="CW36" i="36"/>
  <c r="CV36" i="36"/>
  <c r="DF36" i="36" s="1"/>
  <c r="CH36" i="36"/>
  <c r="CG36" i="36"/>
  <c r="BU36" i="36"/>
  <c r="BW36" i="36" s="1"/>
  <c r="BT36" i="36"/>
  <c r="BX36" i="36" s="1"/>
  <c r="BS36" i="36"/>
  <c r="BR36" i="36"/>
  <c r="BV36" i="36" s="1"/>
  <c r="BD36" i="36"/>
  <c r="ER35" i="36"/>
  <c r="EQ35" i="36"/>
  <c r="EI35" i="36"/>
  <c r="EJ35" i="36" s="1"/>
  <c r="EG35" i="36"/>
  <c r="EF35" i="36"/>
  <c r="EK35" i="36" s="1"/>
  <c r="DV35" i="36"/>
  <c r="CZ35" i="36"/>
  <c r="DA35" i="36" s="1"/>
  <c r="CX35" i="36"/>
  <c r="DG35" i="36" s="1"/>
  <c r="CW35" i="36"/>
  <c r="CV35" i="36"/>
  <c r="CH35" i="36"/>
  <c r="CG35" i="36"/>
  <c r="CB35" i="36"/>
  <c r="BU35" i="36"/>
  <c r="BW35" i="36" s="1"/>
  <c r="BT35" i="36"/>
  <c r="BX35" i="36" s="1"/>
  <c r="BS35" i="36"/>
  <c r="BR35" i="36"/>
  <c r="BV35" i="36" s="1"/>
  <c r="BD35" i="36"/>
  <c r="AI35" i="36"/>
  <c r="Q35" i="36"/>
  <c r="ER34" i="36"/>
  <c r="EQ34" i="36"/>
  <c r="EI34" i="36"/>
  <c r="EJ34" i="36" s="1"/>
  <c r="EG34" i="36"/>
  <c r="EF34" i="36"/>
  <c r="DV34" i="36"/>
  <c r="CZ34" i="36"/>
  <c r="DA34" i="36" s="1"/>
  <c r="CX34" i="36"/>
  <c r="DG34" i="36" s="1"/>
  <c r="CW34" i="36"/>
  <c r="CV34" i="36"/>
  <c r="CH34" i="36"/>
  <c r="CG34" i="36"/>
  <c r="CB34" i="36"/>
  <c r="BU34" i="36"/>
  <c r="BW34" i="36" s="1"/>
  <c r="BT34" i="36"/>
  <c r="BX34" i="36" s="1"/>
  <c r="BS34" i="36"/>
  <c r="BR34" i="36"/>
  <c r="BD34" i="36"/>
  <c r="C34" i="36"/>
  <c r="EI33" i="36"/>
  <c r="EJ33" i="36" s="1"/>
  <c r="EG33" i="36"/>
  <c r="CZ33" i="36"/>
  <c r="DA33" i="36" s="1"/>
  <c r="CX33" i="36"/>
  <c r="DG33" i="36" s="1"/>
  <c r="CW33" i="36"/>
  <c r="BU33" i="36"/>
  <c r="BW33" i="36" s="1"/>
  <c r="BT33" i="36"/>
  <c r="BX33" i="36" s="1"/>
  <c r="BS33" i="36"/>
  <c r="EI32" i="36"/>
  <c r="EJ32" i="36" s="1"/>
  <c r="EG32" i="36"/>
  <c r="EF32" i="36"/>
  <c r="EK32" i="36" s="1"/>
  <c r="CZ32" i="36"/>
  <c r="DA32" i="36" s="1"/>
  <c r="CX32" i="36"/>
  <c r="DG32" i="36" s="1"/>
  <c r="CW32" i="36"/>
  <c r="CV32" i="36"/>
  <c r="BU32" i="36"/>
  <c r="BW32" i="36" s="1"/>
  <c r="BT32" i="36"/>
  <c r="BX32" i="36" s="1"/>
  <c r="BS32" i="36"/>
  <c r="BR32" i="36"/>
  <c r="BV32" i="36" s="1"/>
  <c r="C32" i="36"/>
  <c r="ER31" i="36"/>
  <c r="EQ31" i="36"/>
  <c r="EI31" i="36"/>
  <c r="EJ31" i="36" s="1"/>
  <c r="EG31" i="36"/>
  <c r="EF31" i="36"/>
  <c r="EK31" i="36" s="1"/>
  <c r="DV31" i="36"/>
  <c r="DB31" i="36"/>
  <c r="DC31" i="36" s="1"/>
  <c r="CZ31" i="36"/>
  <c r="DA31" i="36" s="1"/>
  <c r="CX31" i="36"/>
  <c r="DG31" i="36" s="1"/>
  <c r="CW31" i="36"/>
  <c r="CV31" i="36"/>
  <c r="CH31" i="36"/>
  <c r="CG31" i="36"/>
  <c r="CB31" i="36"/>
  <c r="BU31" i="36"/>
  <c r="BW31" i="36" s="1"/>
  <c r="BT31" i="36"/>
  <c r="BX31" i="36" s="1"/>
  <c r="BS31" i="36"/>
  <c r="BR31" i="36"/>
  <c r="BV31" i="36" s="1"/>
  <c r="BD31" i="36"/>
  <c r="AS31" i="36"/>
  <c r="AF31" i="36"/>
  <c r="AD31" i="36"/>
  <c r="M31" i="36"/>
  <c r="C31" i="36"/>
  <c r="ER30" i="36"/>
  <c r="EQ30" i="36"/>
  <c r="EI30" i="36"/>
  <c r="EJ30" i="36" s="1"/>
  <c r="EG30" i="36"/>
  <c r="EF30" i="36"/>
  <c r="EK30" i="36" s="1"/>
  <c r="DV30" i="36"/>
  <c r="CZ30" i="36"/>
  <c r="DA30" i="36" s="1"/>
  <c r="CX30" i="36"/>
  <c r="DG30" i="36" s="1"/>
  <c r="CW30" i="36"/>
  <c r="CV30" i="36"/>
  <c r="CH30" i="36"/>
  <c r="CG30" i="36"/>
  <c r="CB30" i="36"/>
  <c r="BU30" i="36"/>
  <c r="BW30" i="36" s="1"/>
  <c r="BT30" i="36"/>
  <c r="BX30" i="36" s="1"/>
  <c r="BS30" i="36"/>
  <c r="BR30" i="36"/>
  <c r="BD30" i="36"/>
  <c r="C30" i="36"/>
  <c r="ER29" i="36"/>
  <c r="EQ29" i="36"/>
  <c r="EI29" i="36"/>
  <c r="EJ29" i="36" s="1"/>
  <c r="EG29" i="36"/>
  <c r="EF29" i="36"/>
  <c r="EK29" i="36" s="1"/>
  <c r="DV29" i="36"/>
  <c r="DB29" i="36"/>
  <c r="DC29" i="36" s="1"/>
  <c r="CZ29" i="36"/>
  <c r="DA29" i="36" s="1"/>
  <c r="CX29" i="36"/>
  <c r="DG29" i="36" s="1"/>
  <c r="CW29" i="36"/>
  <c r="CV29" i="36"/>
  <c r="DF29" i="36" s="1"/>
  <c r="CH29" i="36"/>
  <c r="CG29" i="36"/>
  <c r="CB29" i="36"/>
  <c r="BU29" i="36"/>
  <c r="BW29" i="36" s="1"/>
  <c r="BT29" i="36"/>
  <c r="BX29" i="36" s="1"/>
  <c r="BS29" i="36"/>
  <c r="BR29" i="36"/>
  <c r="BV29" i="36" s="1"/>
  <c r="BD29" i="36"/>
  <c r="Q29" i="36"/>
  <c r="C29" i="36"/>
  <c r="L29" i="36" s="1"/>
  <c r="ER28" i="36"/>
  <c r="EQ28" i="36"/>
  <c r="EI28" i="36"/>
  <c r="EJ28" i="36" s="1"/>
  <c r="EG28" i="36"/>
  <c r="EF28" i="36"/>
  <c r="DV28" i="36"/>
  <c r="CZ28" i="36"/>
  <c r="DA28" i="36" s="1"/>
  <c r="CX28" i="36"/>
  <c r="DG28" i="36" s="1"/>
  <c r="CW28" i="36"/>
  <c r="CV28" i="36"/>
  <c r="CH28" i="36"/>
  <c r="CG28" i="36"/>
  <c r="CB28" i="36"/>
  <c r="BU28" i="36"/>
  <c r="BW28" i="36" s="1"/>
  <c r="BT28" i="36"/>
  <c r="BX28" i="36" s="1"/>
  <c r="BS28" i="36"/>
  <c r="BR28" i="36"/>
  <c r="BD28" i="36"/>
  <c r="EI27" i="36"/>
  <c r="EJ27" i="36" s="1"/>
  <c r="EG27" i="36"/>
  <c r="EF27" i="36"/>
  <c r="CZ27" i="36"/>
  <c r="DA27" i="36" s="1"/>
  <c r="CX27" i="36"/>
  <c r="DG27" i="36" s="1"/>
  <c r="CW27" i="36"/>
  <c r="CV27" i="36"/>
  <c r="DF27" i="36" s="1"/>
  <c r="BU27" i="36"/>
  <c r="BW27" i="36" s="1"/>
  <c r="BT27" i="36"/>
  <c r="BX27" i="36" s="1"/>
  <c r="BS27" i="36"/>
  <c r="BR27" i="36"/>
  <c r="AI27" i="36"/>
  <c r="C27" i="36"/>
  <c r="EI26" i="36"/>
  <c r="EJ26" i="36" s="1"/>
  <c r="EG26" i="36"/>
  <c r="EF26" i="36"/>
  <c r="CZ26" i="36"/>
  <c r="DA26" i="36" s="1"/>
  <c r="CX26" i="36"/>
  <c r="DG26" i="36" s="1"/>
  <c r="CW26" i="36"/>
  <c r="CV26" i="36"/>
  <c r="DF26" i="36" s="1"/>
  <c r="BU26" i="36"/>
  <c r="BW26" i="36" s="1"/>
  <c r="BT26" i="36"/>
  <c r="BX26" i="36" s="1"/>
  <c r="BS26" i="36"/>
  <c r="BR26" i="36"/>
  <c r="ER25" i="36"/>
  <c r="EQ25" i="36"/>
  <c r="EI25" i="36"/>
  <c r="EJ25" i="36" s="1"/>
  <c r="EG25" i="36"/>
  <c r="EF25" i="36"/>
  <c r="EK25" i="36" s="1"/>
  <c r="DV25" i="36"/>
  <c r="CZ25" i="36"/>
  <c r="DA25" i="36" s="1"/>
  <c r="CX25" i="36"/>
  <c r="DG25" i="36" s="1"/>
  <c r="CW25" i="36"/>
  <c r="CV25" i="36"/>
  <c r="CH25" i="36"/>
  <c r="CG25" i="36"/>
  <c r="CB25" i="36"/>
  <c r="BU25" i="36"/>
  <c r="BW25" i="36" s="1"/>
  <c r="BT25" i="36"/>
  <c r="BX25" i="36" s="1"/>
  <c r="BS25" i="36"/>
  <c r="BR25" i="36"/>
  <c r="BV25" i="36" s="1"/>
  <c r="BD25" i="36"/>
  <c r="ER24" i="36"/>
  <c r="EQ24" i="36"/>
  <c r="EI24" i="36"/>
  <c r="EJ24" i="36" s="1"/>
  <c r="EG24" i="36"/>
  <c r="EF24" i="36"/>
  <c r="DV24" i="36"/>
  <c r="DB24" i="36"/>
  <c r="DC24" i="36" s="1"/>
  <c r="CZ24" i="36"/>
  <c r="DA24" i="36" s="1"/>
  <c r="CX24" i="36"/>
  <c r="DG24" i="36" s="1"/>
  <c r="CW24" i="36"/>
  <c r="CV24" i="36"/>
  <c r="DF24" i="36" s="1"/>
  <c r="CH24" i="36"/>
  <c r="CG24" i="36"/>
  <c r="CB24" i="36"/>
  <c r="BU24" i="36"/>
  <c r="BW24" i="36" s="1"/>
  <c r="BT24" i="36"/>
  <c r="BX24" i="36" s="1"/>
  <c r="BS24" i="36"/>
  <c r="BR24" i="36"/>
  <c r="BV24" i="36" s="1"/>
  <c r="BD24" i="36"/>
  <c r="AI24" i="36"/>
  <c r="EI23" i="36"/>
  <c r="EJ23" i="36" s="1"/>
  <c r="EG23" i="36"/>
  <c r="EF23" i="36"/>
  <c r="EK23" i="36" s="1"/>
  <c r="CZ23" i="36"/>
  <c r="DA23" i="36" s="1"/>
  <c r="CX23" i="36"/>
  <c r="DG23" i="36" s="1"/>
  <c r="CW23" i="36"/>
  <c r="CV23" i="36"/>
  <c r="DF23" i="36" s="1"/>
  <c r="BU23" i="36"/>
  <c r="BW23" i="36" s="1"/>
  <c r="BT23" i="36"/>
  <c r="BX23" i="36" s="1"/>
  <c r="BS23" i="36"/>
  <c r="BR23" i="36"/>
  <c r="AI23" i="36"/>
  <c r="C23" i="36"/>
  <c r="EI22" i="36"/>
  <c r="EJ22" i="36" s="1"/>
  <c r="EG22" i="36"/>
  <c r="EF22" i="36"/>
  <c r="EK22" i="36" s="1"/>
  <c r="CZ22" i="36"/>
  <c r="DA22" i="36" s="1"/>
  <c r="CX22" i="36"/>
  <c r="DG22" i="36" s="1"/>
  <c r="CW22" i="36"/>
  <c r="CV22" i="36"/>
  <c r="BU22" i="36"/>
  <c r="BW22" i="36" s="1"/>
  <c r="BT22" i="36"/>
  <c r="BX22" i="36" s="1"/>
  <c r="BS22" i="36"/>
  <c r="BR22" i="36"/>
  <c r="BV22" i="36" s="1"/>
  <c r="AI22" i="36"/>
  <c r="C22" i="36"/>
  <c r="EI21" i="36"/>
  <c r="EJ21" i="36" s="1"/>
  <c r="EG21" i="36"/>
  <c r="EF21" i="36"/>
  <c r="EK21" i="36" s="1"/>
  <c r="DB21" i="36"/>
  <c r="DC21" i="36" s="1"/>
  <c r="CZ21" i="36"/>
  <c r="DA21" i="36" s="1"/>
  <c r="CX21" i="36"/>
  <c r="DG21" i="36" s="1"/>
  <c r="CW21" i="36"/>
  <c r="CV21" i="36"/>
  <c r="DF21" i="36" s="1"/>
  <c r="CB21" i="36"/>
  <c r="BU21" i="36"/>
  <c r="BW21" i="36" s="1"/>
  <c r="BT21" i="36"/>
  <c r="BX21" i="36" s="1"/>
  <c r="BS21" i="36"/>
  <c r="BR21" i="36"/>
  <c r="BV21" i="36" s="1"/>
  <c r="C21" i="36"/>
  <c r="CB20" i="36"/>
  <c r="BU20" i="36"/>
  <c r="BW20" i="36" s="1"/>
  <c r="BT20" i="36"/>
  <c r="BX20" i="36" s="1"/>
  <c r="BS20" i="36"/>
  <c r="BR20" i="36"/>
  <c r="ER19" i="36"/>
  <c r="EQ19" i="36"/>
  <c r="EI19" i="36"/>
  <c r="EJ19" i="36" s="1"/>
  <c r="EG19" i="36"/>
  <c r="EF19" i="36"/>
  <c r="DV19" i="36"/>
  <c r="DB19" i="36"/>
  <c r="DC19" i="36" s="1"/>
  <c r="CZ19" i="36"/>
  <c r="DA19" i="36" s="1"/>
  <c r="CX19" i="36"/>
  <c r="DG19" i="36" s="1"/>
  <c r="CW19" i="36"/>
  <c r="CV19" i="36"/>
  <c r="CH19" i="36"/>
  <c r="CG19" i="36"/>
  <c r="CB19" i="36"/>
  <c r="BU19" i="36"/>
  <c r="BW19" i="36" s="1"/>
  <c r="BT19" i="36"/>
  <c r="BX19" i="36" s="1"/>
  <c r="BS19" i="36"/>
  <c r="BR19" i="36"/>
  <c r="BV19" i="36" s="1"/>
  <c r="BD19" i="36"/>
  <c r="C19" i="36"/>
  <c r="EI18" i="36"/>
  <c r="EJ18" i="36" s="1"/>
  <c r="EG18" i="36"/>
  <c r="EF18" i="36"/>
  <c r="CZ18" i="36"/>
  <c r="DA18" i="36" s="1"/>
  <c r="CX18" i="36"/>
  <c r="DG18" i="36" s="1"/>
  <c r="CW18" i="36"/>
  <c r="CV18" i="36"/>
  <c r="DF18" i="36" s="1"/>
  <c r="BU18" i="36"/>
  <c r="BW18" i="36" s="1"/>
  <c r="BT18" i="36"/>
  <c r="BX18" i="36" s="1"/>
  <c r="BS18" i="36"/>
  <c r="BR18" i="36"/>
  <c r="C18" i="36"/>
  <c r="EI17" i="36"/>
  <c r="EJ17" i="36" s="1"/>
  <c r="EG17" i="36"/>
  <c r="EF17" i="36"/>
  <c r="CZ17" i="36"/>
  <c r="DA17" i="36" s="1"/>
  <c r="CX17" i="36"/>
  <c r="DG17" i="36" s="1"/>
  <c r="CW17" i="36"/>
  <c r="CV17" i="36"/>
  <c r="DF17" i="36" s="1"/>
  <c r="BU17" i="36"/>
  <c r="BW17" i="36" s="1"/>
  <c r="BT17" i="36"/>
  <c r="BX17" i="36" s="1"/>
  <c r="BS17" i="36"/>
  <c r="BR17" i="36"/>
  <c r="BV17" i="36" s="1"/>
  <c r="C17" i="36"/>
  <c r="EU16" i="36"/>
  <c r="ER16" i="36"/>
  <c r="EQ16" i="36"/>
  <c r="EI16" i="36"/>
  <c r="EJ16" i="36" s="1"/>
  <c r="EG16" i="36"/>
  <c r="EF16" i="36"/>
  <c r="EK16" i="36" s="1"/>
  <c r="DV16" i="36"/>
  <c r="CZ16" i="36"/>
  <c r="DA16" i="36" s="1"/>
  <c r="CX16" i="36"/>
  <c r="DG16" i="36" s="1"/>
  <c r="CW16" i="36"/>
  <c r="CV16" i="36"/>
  <c r="DF16" i="36" s="1"/>
  <c r="CH16" i="36"/>
  <c r="CG16" i="36"/>
  <c r="BU16" i="36"/>
  <c r="BW16" i="36" s="1"/>
  <c r="BT16" i="36"/>
  <c r="BX16" i="36" s="1"/>
  <c r="BS16" i="36"/>
  <c r="BR16" i="36"/>
  <c r="BV16" i="36" s="1"/>
  <c r="BD16" i="36"/>
  <c r="C16" i="36"/>
  <c r="ER15" i="36"/>
  <c r="EQ15" i="36"/>
  <c r="EI15" i="36"/>
  <c r="EJ15" i="36" s="1"/>
  <c r="EG15" i="36"/>
  <c r="EF15" i="36"/>
  <c r="EK15" i="36" s="1"/>
  <c r="DV15" i="36"/>
  <c r="DB15" i="36"/>
  <c r="DC15" i="36" s="1"/>
  <c r="CZ15" i="36"/>
  <c r="DA15" i="36" s="1"/>
  <c r="CX15" i="36"/>
  <c r="DG15" i="36" s="1"/>
  <c r="CW15" i="36"/>
  <c r="CV15" i="36"/>
  <c r="CH15" i="36"/>
  <c r="CG15" i="36"/>
  <c r="CB15" i="36"/>
  <c r="BU15" i="36"/>
  <c r="BW15" i="36" s="1"/>
  <c r="BT15" i="36"/>
  <c r="BX15" i="36" s="1"/>
  <c r="BS15" i="36"/>
  <c r="BR15" i="36"/>
  <c r="BV15" i="36" s="1"/>
  <c r="BD15" i="36"/>
  <c r="EI12" i="36"/>
  <c r="EJ12" i="36" s="1"/>
  <c r="EG12" i="36"/>
  <c r="EF12" i="36"/>
  <c r="EK12" i="36" s="1"/>
  <c r="CZ12" i="36"/>
  <c r="DA12" i="36" s="1"/>
  <c r="CX12" i="36"/>
  <c r="DG12" i="36" s="1"/>
  <c r="CW12" i="36"/>
  <c r="CV12" i="36"/>
  <c r="BU12" i="36"/>
  <c r="BW12" i="36" s="1"/>
  <c r="BT12" i="36"/>
  <c r="BX12" i="36" s="1"/>
  <c r="BS12" i="36"/>
  <c r="BR12" i="36"/>
  <c r="BV12" i="36" s="1"/>
  <c r="AI12" i="36"/>
  <c r="C12" i="36"/>
  <c r="ER11" i="36"/>
  <c r="EQ11" i="36"/>
  <c r="EI11" i="36"/>
  <c r="EJ11" i="36" s="1"/>
  <c r="EG11" i="36"/>
  <c r="EF11" i="36"/>
  <c r="EK11" i="36" s="1"/>
  <c r="DV11" i="36"/>
  <c r="DB11" i="36"/>
  <c r="DC11" i="36" s="1"/>
  <c r="CZ11" i="36"/>
  <c r="DA11" i="36" s="1"/>
  <c r="CX11" i="36"/>
  <c r="DG11" i="36" s="1"/>
  <c r="CW11" i="36"/>
  <c r="CV11" i="36"/>
  <c r="CH11" i="36"/>
  <c r="CG11" i="36"/>
  <c r="CB11" i="36"/>
  <c r="BU11" i="36"/>
  <c r="BW11" i="36" s="1"/>
  <c r="BT11" i="36"/>
  <c r="BX11" i="36" s="1"/>
  <c r="BS11" i="36"/>
  <c r="BR11" i="36"/>
  <c r="BD11" i="36"/>
  <c r="C11" i="36"/>
  <c r="ER10" i="36"/>
  <c r="EQ10" i="36"/>
  <c r="EI10" i="36"/>
  <c r="EJ10" i="36" s="1"/>
  <c r="EG10" i="36"/>
  <c r="EF10" i="36"/>
  <c r="DV10" i="36"/>
  <c r="DB10" i="36"/>
  <c r="DC10" i="36" s="1"/>
  <c r="CZ10" i="36"/>
  <c r="DA10" i="36" s="1"/>
  <c r="CX10" i="36"/>
  <c r="DG10" i="36" s="1"/>
  <c r="CW10" i="36"/>
  <c r="CV10" i="36"/>
  <c r="DF10" i="36" s="1"/>
  <c r="CH10" i="36"/>
  <c r="CG10" i="36"/>
  <c r="CB10" i="36"/>
  <c r="BU10" i="36"/>
  <c r="BW10" i="36" s="1"/>
  <c r="BT10" i="36"/>
  <c r="BX10" i="36" s="1"/>
  <c r="BS10" i="36"/>
  <c r="BR10" i="36"/>
  <c r="BD10" i="36"/>
  <c r="C10" i="36"/>
  <c r="EI9" i="36"/>
  <c r="EJ9" i="36" s="1"/>
  <c r="EG9" i="36"/>
  <c r="EF9" i="36"/>
  <c r="CZ9" i="36"/>
  <c r="DA9" i="36" s="1"/>
  <c r="CX9" i="36"/>
  <c r="DG9" i="36" s="1"/>
  <c r="CW9" i="36"/>
  <c r="CV9" i="36"/>
  <c r="BU9" i="36"/>
  <c r="BW9" i="36" s="1"/>
  <c r="BT9" i="36"/>
  <c r="BX9" i="36" s="1"/>
  <c r="BS9" i="36"/>
  <c r="BR9" i="36"/>
  <c r="BV9" i="36" s="1"/>
  <c r="C9" i="36"/>
  <c r="ER8" i="36"/>
  <c r="EQ8" i="36"/>
  <c r="EI8" i="36"/>
  <c r="EJ8" i="36" s="1"/>
  <c r="EG8" i="36"/>
  <c r="EF8" i="36"/>
  <c r="DV8" i="36"/>
  <c r="DB8" i="36"/>
  <c r="DC8" i="36" s="1"/>
  <c r="CZ8" i="36"/>
  <c r="DA8" i="36" s="1"/>
  <c r="CX8" i="36"/>
  <c r="DG8" i="36" s="1"/>
  <c r="CW8" i="36"/>
  <c r="CV8" i="36"/>
  <c r="CH8" i="36"/>
  <c r="CG8" i="36"/>
  <c r="CB8" i="36"/>
  <c r="BU8" i="36"/>
  <c r="BW8" i="36" s="1"/>
  <c r="BT8" i="36"/>
  <c r="BX8" i="36" s="1"/>
  <c r="BS8" i="36"/>
  <c r="BR8" i="36"/>
  <c r="BV8" i="36" s="1"/>
  <c r="BD8" i="36"/>
  <c r="C8" i="36"/>
  <c r="EQ7" i="36"/>
  <c r="EI7" i="36"/>
  <c r="EJ7" i="36" s="1"/>
  <c r="EG7" i="36"/>
  <c r="EF7" i="36"/>
  <c r="EK7" i="36" s="1"/>
  <c r="DV7" i="36"/>
  <c r="CZ7" i="36"/>
  <c r="DA7" i="36" s="1"/>
  <c r="CX7" i="36"/>
  <c r="DG7" i="36" s="1"/>
  <c r="CW7" i="36"/>
  <c r="CV7" i="36"/>
  <c r="CH7" i="36"/>
  <c r="CG7" i="36"/>
  <c r="BU7" i="36"/>
  <c r="BW7" i="36" s="1"/>
  <c r="BT7" i="36"/>
  <c r="BX7" i="36" s="1"/>
  <c r="BS7" i="36"/>
  <c r="BR7" i="36"/>
  <c r="BD7" i="36"/>
  <c r="C7" i="36"/>
  <c r="EI6" i="36"/>
  <c r="EJ6" i="36" s="1"/>
  <c r="EG6" i="36"/>
  <c r="EF6" i="36"/>
  <c r="CZ6" i="36"/>
  <c r="DA6" i="36" s="1"/>
  <c r="CX6" i="36"/>
  <c r="DG6" i="36" s="1"/>
  <c r="CW6" i="36"/>
  <c r="CV6" i="36"/>
  <c r="BU6" i="36"/>
  <c r="BW6" i="36" s="1"/>
  <c r="BT6" i="36"/>
  <c r="BX6" i="36" s="1"/>
  <c r="BS6" i="36"/>
  <c r="BR6" i="36"/>
  <c r="BV6" i="36" s="1"/>
  <c r="C6" i="36"/>
  <c r="ER5" i="36"/>
  <c r="EQ5" i="36"/>
  <c r="EI5" i="36"/>
  <c r="EJ5" i="36" s="1"/>
  <c r="EG5" i="36"/>
  <c r="EF5" i="36"/>
  <c r="DV5" i="36"/>
  <c r="DB5" i="36"/>
  <c r="DC5" i="36" s="1"/>
  <c r="CZ5" i="36"/>
  <c r="DA5" i="36" s="1"/>
  <c r="CX5" i="36"/>
  <c r="DG5" i="36" s="1"/>
  <c r="CW5" i="36"/>
  <c r="CV5" i="36"/>
  <c r="CH5" i="36"/>
  <c r="CG5" i="36"/>
  <c r="CB5" i="36"/>
  <c r="BU5" i="36"/>
  <c r="BW5" i="36" s="1"/>
  <c r="BT5" i="36"/>
  <c r="BX5" i="36" s="1"/>
  <c r="BS5" i="36"/>
  <c r="BR5" i="36"/>
  <c r="BD5" i="36"/>
  <c r="C5" i="36"/>
  <c r="ER4" i="36"/>
  <c r="EQ4" i="36"/>
  <c r="EI4" i="36"/>
  <c r="EJ4" i="36" s="1"/>
  <c r="EG4" i="36"/>
  <c r="EF4" i="36"/>
  <c r="DV4" i="36"/>
  <c r="DB4" i="36"/>
  <c r="DC4" i="36" s="1"/>
  <c r="CZ4" i="36"/>
  <c r="DA4" i="36" s="1"/>
  <c r="CX4" i="36"/>
  <c r="DG4" i="36" s="1"/>
  <c r="CW4" i="36"/>
  <c r="CV4" i="36"/>
  <c r="CH4" i="36"/>
  <c r="CG4" i="36"/>
  <c r="CB4" i="36"/>
  <c r="BU4" i="36"/>
  <c r="BW4" i="36" s="1"/>
  <c r="BT4" i="36"/>
  <c r="BX4" i="36" s="1"/>
  <c r="BS4" i="36"/>
  <c r="BR4" i="36"/>
  <c r="BD4" i="36"/>
  <c r="AS4" i="36"/>
  <c r="AD4" i="36" s="1"/>
  <c r="M4" i="36" s="1"/>
  <c r="AF4" i="36"/>
  <c r="Q4" i="36"/>
  <c r="Q53" i="36" s="1"/>
  <c r="C4" i="36"/>
  <c r="DY3" i="36"/>
  <c r="DV3" i="36"/>
  <c r="DB3" i="36"/>
  <c r="DC3" i="36" s="1"/>
  <c r="CZ3" i="36"/>
  <c r="DA3" i="36" s="1"/>
  <c r="CX3" i="36"/>
  <c r="DG3" i="36" s="1"/>
  <c r="CW3" i="36"/>
  <c r="CV3" i="36"/>
  <c r="DF3" i="36" s="1"/>
  <c r="BD3" i="36"/>
  <c r="AS3" i="36"/>
  <c r="AF3" i="36"/>
  <c r="AD3" i="36"/>
  <c r="AD54" i="36" s="1"/>
  <c r="M3" i="36"/>
  <c r="M54" i="36" s="1"/>
  <c r="C3" i="36"/>
  <c r="P3" i="36" s="1"/>
  <c r="K3" i="36" s="1"/>
  <c r="F5" i="34" l="1"/>
  <c r="J5" i="34"/>
  <c r="EK24" i="36"/>
  <c r="EK38" i="36"/>
  <c r="DF8" i="36"/>
  <c r="DF15" i="36"/>
  <c r="DF35" i="36"/>
  <c r="DF25" i="36"/>
  <c r="BV20" i="36"/>
  <c r="BV27" i="36"/>
  <c r="BV38" i="36"/>
  <c r="EK49" i="36"/>
  <c r="EK17" i="36"/>
  <c r="EK18" i="36"/>
  <c r="DF19" i="36"/>
  <c r="DF22" i="36"/>
  <c r="DF9" i="36"/>
  <c r="DF11" i="36"/>
  <c r="AI54" i="36"/>
  <c r="AJ22" i="36" s="1"/>
  <c r="AG22" i="36" s="1"/>
  <c r="P31" i="36"/>
  <c r="K31" i="36" s="1"/>
  <c r="DF32" i="36"/>
  <c r="DF42" i="36"/>
  <c r="BV43" i="36"/>
  <c r="BV44" i="36"/>
  <c r="BV45" i="36"/>
  <c r="DF47" i="36"/>
  <c r="DF50" i="36"/>
  <c r="L35" i="36"/>
  <c r="EK9" i="36"/>
  <c r="DF49" i="36"/>
  <c r="EK4" i="36"/>
  <c r="BV11" i="36"/>
  <c r="EK26" i="36"/>
  <c r="DF28" i="36"/>
  <c r="BV34" i="36"/>
  <c r="EK34" i="36"/>
  <c r="BV42" i="36"/>
  <c r="EK42" i="36"/>
  <c r="EK50" i="36"/>
  <c r="DF52" i="36"/>
  <c r="P4" i="36"/>
  <c r="K4" i="36" s="1"/>
  <c r="DF4" i="36"/>
  <c r="BV5" i="36"/>
  <c r="DF5" i="36"/>
  <c r="EK5" i="36"/>
  <c r="EK6" i="36"/>
  <c r="EK8" i="36"/>
  <c r="BV10" i="36"/>
  <c r="EK19" i="36"/>
  <c r="BV23" i="36"/>
  <c r="EK28" i="36"/>
  <c r="BV30" i="36"/>
  <c r="DF31" i="36"/>
  <c r="AJ35" i="36"/>
  <c r="AG35" i="36" s="1"/>
  <c r="AJ37" i="36"/>
  <c r="AG37" i="36" s="1"/>
  <c r="DF39" i="36"/>
  <c r="P40" i="36"/>
  <c r="K40" i="36" s="1"/>
  <c r="L40" i="36"/>
  <c r="EK44" i="36"/>
  <c r="DF45" i="36"/>
  <c r="L46" i="36"/>
  <c r="BV46" i="36"/>
  <c r="EK46" i="36"/>
  <c r="BV50" i="36"/>
  <c r="L51" i="36"/>
  <c r="BV52" i="36"/>
  <c r="EK52" i="36"/>
  <c r="FA48" i="36"/>
  <c r="FA8" i="36"/>
  <c r="FA20" i="36"/>
  <c r="FA30" i="36"/>
  <c r="FA42" i="36"/>
  <c r="FA28" i="36"/>
  <c r="FA47" i="36"/>
  <c r="FA17" i="36"/>
  <c r="FA36" i="36"/>
  <c r="FA41" i="36"/>
  <c r="FA25" i="36"/>
  <c r="FA45" i="36"/>
  <c r="FA16" i="36"/>
  <c r="FA7" i="36"/>
  <c r="FA40" i="36"/>
  <c r="FA24" i="36"/>
  <c r="FA44" i="36"/>
  <c r="FA12" i="36"/>
  <c r="FA39" i="36"/>
  <c r="FA21" i="36"/>
  <c r="FA43" i="36"/>
  <c r="FA9" i="36"/>
  <c r="FA37" i="36"/>
  <c r="FA15" i="36"/>
  <c r="FA32" i="36"/>
  <c r="FA6" i="36"/>
  <c r="FA52" i="36"/>
  <c r="FA35" i="36"/>
  <c r="FA14" i="36"/>
  <c r="FA27" i="36"/>
  <c r="FA4" i="36"/>
  <c r="FA51" i="36"/>
  <c r="FA34" i="36"/>
  <c r="FA13" i="36"/>
  <c r="FA26" i="36"/>
  <c r="FA50" i="36"/>
  <c r="FA33" i="36"/>
  <c r="FA11" i="36"/>
  <c r="FA23" i="36"/>
  <c r="FA49" i="36"/>
  <c r="FA31" i="36"/>
  <c r="FA10" i="36"/>
  <c r="FA22" i="36"/>
  <c r="FA46" i="36"/>
  <c r="FA29" i="36"/>
  <c r="FA5" i="36"/>
  <c r="FA18" i="36"/>
  <c r="FA38" i="36"/>
  <c r="FA19" i="36"/>
  <c r="AI53" i="36"/>
  <c r="BF56" i="36"/>
  <c r="BH56" i="36"/>
  <c r="DL56" i="36"/>
  <c r="DG54" i="36"/>
  <c r="DI41" i="36" s="1"/>
  <c r="DG53" i="36"/>
  <c r="DI30" i="36" s="1"/>
  <c r="EJ54" i="36"/>
  <c r="BR53" i="36"/>
  <c r="DI4" i="36"/>
  <c r="DI26" i="36"/>
  <c r="EK10" i="36"/>
  <c r="BV26" i="36"/>
  <c r="DI34" i="36"/>
  <c r="DI38" i="36"/>
  <c r="BV4" i="36"/>
  <c r="DF6" i="36"/>
  <c r="DF12" i="36"/>
  <c r="DI16" i="36"/>
  <c r="BV18" i="36"/>
  <c r="BX53" i="36"/>
  <c r="BX54" i="36"/>
  <c r="CC23" i="36" s="1"/>
  <c r="CV53" i="36"/>
  <c r="CC5" i="36"/>
  <c r="AF53" i="36"/>
  <c r="ER55" i="36"/>
  <c r="ER54" i="36"/>
  <c r="ET11" i="36" s="1"/>
  <c r="J3" i="36"/>
  <c r="AT3" i="36" s="1"/>
  <c r="AE3" i="36" s="1"/>
  <c r="CB53" i="36"/>
  <c r="CE35" i="36" s="1"/>
  <c r="CB54" i="36"/>
  <c r="CE34" i="36" s="1"/>
  <c r="DI12" i="36"/>
  <c r="DI27" i="36"/>
  <c r="BW53" i="36"/>
  <c r="BW54" i="36"/>
  <c r="CM33" i="36" s="1"/>
  <c r="DI21" i="36"/>
  <c r="DI22" i="36"/>
  <c r="CC28" i="36"/>
  <c r="DI45" i="36"/>
  <c r="DI28" i="36"/>
  <c r="DA54" i="36"/>
  <c r="EF53" i="36"/>
  <c r="DF7" i="36"/>
  <c r="CC31" i="36"/>
  <c r="DI39" i="36"/>
  <c r="DI18" i="36"/>
  <c r="CC7" i="36"/>
  <c r="CC25" i="36"/>
  <c r="DI11" i="36"/>
  <c r="CM16" i="36"/>
  <c r="DI17" i="36"/>
  <c r="C53" i="36"/>
  <c r="C55" i="36" s="1"/>
  <c r="L4" i="36"/>
  <c r="L54" i="36" s="1"/>
  <c r="CH55" i="36"/>
  <c r="CH54" i="36"/>
  <c r="CJ34" i="36" s="1"/>
  <c r="DY34" i="36" s="1"/>
  <c r="BV7" i="36"/>
  <c r="CC16" i="36"/>
  <c r="DI24" i="36"/>
  <c r="DI37" i="36"/>
  <c r="CC38" i="36"/>
  <c r="ET40" i="36"/>
  <c r="CC41" i="36"/>
  <c r="CJ30" i="36"/>
  <c r="DY30" i="36" s="1"/>
  <c r="CC40" i="36"/>
  <c r="DB46" i="36"/>
  <c r="DC46" i="36" s="1"/>
  <c r="DB51" i="36"/>
  <c r="DC51" i="36" s="1"/>
  <c r="DB42" i="36"/>
  <c r="DC42" i="36" s="1"/>
  <c r="DB50" i="36"/>
  <c r="DC50" i="36" s="1"/>
  <c r="DB40" i="36"/>
  <c r="DC40" i="36" s="1"/>
  <c r="DB25" i="36"/>
  <c r="DC25" i="36" s="1"/>
  <c r="DB38" i="36"/>
  <c r="DC38" i="36" s="1"/>
  <c r="DB28" i="36"/>
  <c r="DC28" i="36" s="1"/>
  <c r="DB35" i="36"/>
  <c r="DC35" i="36" s="1"/>
  <c r="DB34" i="36"/>
  <c r="DC34" i="36" s="1"/>
  <c r="DB30" i="36"/>
  <c r="DC30" i="36" s="1"/>
  <c r="DB39" i="36"/>
  <c r="DC39" i="36" s="1"/>
  <c r="DB37" i="36"/>
  <c r="DC37" i="36" s="1"/>
  <c r="DF30" i="36"/>
  <c r="DF34" i="36"/>
  <c r="CC39" i="36"/>
  <c r="P41" i="36"/>
  <c r="L41" i="36"/>
  <c r="CJ42" i="36"/>
  <c r="DY42" i="36" s="1"/>
  <c r="CC43" i="36"/>
  <c r="CC33" i="36"/>
  <c r="CM35" i="36"/>
  <c r="DI40" i="36"/>
  <c r="DB49" i="36"/>
  <c r="DC49" i="36" s="1"/>
  <c r="DI31" i="36"/>
  <c r="CC35" i="36"/>
  <c r="DI36" i="36"/>
  <c r="DI46" i="36"/>
  <c r="CC47" i="36"/>
  <c r="CC51" i="36"/>
  <c r="DB52" i="36"/>
  <c r="DC52" i="36" s="1"/>
  <c r="BV28" i="36"/>
  <c r="DI32" i="36"/>
  <c r="DI33" i="36"/>
  <c r="DI42" i="36"/>
  <c r="AJ48" i="36"/>
  <c r="AG48" i="36" s="1"/>
  <c r="AJ43" i="36"/>
  <c r="AG43" i="36" s="1"/>
  <c r="AJ39" i="36"/>
  <c r="AG39" i="36" s="1"/>
  <c r="CC27" i="36"/>
  <c r="DA53" i="36"/>
  <c r="DD38" i="36" s="1"/>
  <c r="AJ12" i="36"/>
  <c r="EK27" i="36"/>
  <c r="CC34" i="36"/>
  <c r="CJ39" i="36"/>
  <c r="DY39" i="36" s="1"/>
  <c r="CC45" i="36"/>
  <c r="DB48" i="36"/>
  <c r="DC48" i="36" s="1"/>
  <c r="CC52" i="36"/>
  <c r="CC42" i="36"/>
  <c r="BY52" i="36"/>
  <c r="CA52" i="36" s="1"/>
  <c r="BY49" i="36"/>
  <c r="CA49" i="36" s="1"/>
  <c r="BY46" i="36"/>
  <c r="CA46" i="36" s="1"/>
  <c r="BY50" i="36"/>
  <c r="CA50" i="36" s="1"/>
  <c r="BY41" i="36"/>
  <c r="CA41" i="36" s="1"/>
  <c r="BY37" i="36"/>
  <c r="CA37" i="36" s="1"/>
  <c r="BY31" i="36"/>
  <c r="CA31" i="36" s="1"/>
  <c r="BY51" i="36"/>
  <c r="CA51" i="36" s="1"/>
  <c r="BY40" i="36"/>
  <c r="CA40" i="36" s="1"/>
  <c r="BY42" i="36"/>
  <c r="CA42" i="36" s="1"/>
  <c r="BY29" i="36"/>
  <c r="CA29" i="36" s="1"/>
  <c r="BY48" i="36"/>
  <c r="CA48" i="36" s="1"/>
  <c r="BY38" i="36"/>
  <c r="CA38" i="36" s="1"/>
  <c r="BG56" i="36"/>
  <c r="DM46" i="36"/>
  <c r="DM29" i="36"/>
  <c r="DM5" i="36"/>
  <c r="DM20" i="36"/>
  <c r="DM42" i="36"/>
  <c r="DM28" i="36"/>
  <c r="DM4" i="36"/>
  <c r="DM18" i="36"/>
  <c r="DM41" i="36"/>
  <c r="DM25" i="36"/>
  <c r="DM47" i="36"/>
  <c r="DM17" i="36"/>
  <c r="DM40" i="36"/>
  <c r="DM24" i="36"/>
  <c r="DM45" i="36"/>
  <c r="DM16" i="36"/>
  <c r="DM39" i="36"/>
  <c r="DM21" i="36"/>
  <c r="DM44" i="36"/>
  <c r="DM12" i="36"/>
  <c r="DM38" i="36"/>
  <c r="DM19" i="36"/>
  <c r="DM43" i="36"/>
  <c r="DM9" i="36"/>
  <c r="DM37" i="36"/>
  <c r="DM15" i="36"/>
  <c r="DM36" i="36"/>
  <c r="DM7" i="36"/>
  <c r="DM52" i="36"/>
  <c r="DM35" i="36"/>
  <c r="DM14" i="36"/>
  <c r="DM32" i="36"/>
  <c r="DM6" i="36"/>
  <c r="DM51" i="36"/>
  <c r="DM34" i="36"/>
  <c r="DM13" i="36"/>
  <c r="DM27" i="36"/>
  <c r="DM50" i="36"/>
  <c r="CJ50" i="36"/>
  <c r="DY50" i="36" s="1"/>
  <c r="DM22" i="36"/>
  <c r="CJ41" i="36"/>
  <c r="DY41" i="36" s="1"/>
  <c r="DI43" i="36"/>
  <c r="CC44" i="36"/>
  <c r="CY56" i="36"/>
  <c r="DM23" i="36"/>
  <c r="CM44" i="36"/>
  <c r="CE51" i="36"/>
  <c r="DM26" i="36"/>
  <c r="CJ52" i="36"/>
  <c r="DY52" i="36" s="1"/>
  <c r="DM8" i="36"/>
  <c r="CC46" i="36"/>
  <c r="CJ48" i="36"/>
  <c r="DY48" i="36" s="1"/>
  <c r="CJ51" i="36"/>
  <c r="DY51" i="36" s="1"/>
  <c r="DM10" i="36"/>
  <c r="DF48" i="36"/>
  <c r="DM11" i="36"/>
  <c r="DI44" i="36"/>
  <c r="EJ53" i="36"/>
  <c r="DI49" i="36"/>
  <c r="DF51" i="36"/>
  <c r="EC55" i="36"/>
  <c r="CQ53" i="36"/>
  <c r="CR55" i="36" s="1"/>
  <c r="DM30" i="36"/>
  <c r="CJ46" i="36"/>
  <c r="DY46" i="36" s="1"/>
  <c r="ED55" i="36"/>
  <c r="DM31" i="36"/>
  <c r="CK54" i="36"/>
  <c r="AV42" i="28"/>
  <c r="DM71" i="31"/>
  <c r="DL71" i="31"/>
  <c r="CM52" i="36" l="1"/>
  <c r="CE30" i="36"/>
  <c r="DI3" i="36"/>
  <c r="DR3" i="36" s="1"/>
  <c r="ET37" i="36"/>
  <c r="DD47" i="36"/>
  <c r="AJ27" i="36"/>
  <c r="AG27" i="36" s="1"/>
  <c r="AJ24" i="36"/>
  <c r="AG24" i="36" s="1"/>
  <c r="AM24" i="36" s="1"/>
  <c r="AL24" i="36" s="1"/>
  <c r="AK24" i="36" s="1"/>
  <c r="AJ23" i="36"/>
  <c r="AG23" i="36" s="1"/>
  <c r="AM23" i="36" s="1"/>
  <c r="AL23" i="36" s="1"/>
  <c r="AK23" i="36" s="1"/>
  <c r="DR16" i="36"/>
  <c r="EW16" i="36" s="1"/>
  <c r="ET49" i="36"/>
  <c r="DI19" i="36"/>
  <c r="ET50" i="36"/>
  <c r="J50" i="36" s="1"/>
  <c r="ET51" i="36"/>
  <c r="ET34" i="36"/>
  <c r="CE4" i="36"/>
  <c r="DI15" i="36"/>
  <c r="DI50" i="36"/>
  <c r="EM24" i="36"/>
  <c r="EM18" i="36"/>
  <c r="DR44" i="36"/>
  <c r="EW44" i="36" s="1"/>
  <c r="DD44" i="36"/>
  <c r="DD17" i="36"/>
  <c r="DD29" i="36"/>
  <c r="K41" i="36"/>
  <c r="K53" i="36" s="1"/>
  <c r="P54" i="36"/>
  <c r="CJ10" i="36"/>
  <c r="DY10" i="36" s="1"/>
  <c r="CJ7" i="36"/>
  <c r="DY7" i="36" s="1"/>
  <c r="J7" i="36" s="1"/>
  <c r="CJ35" i="36"/>
  <c r="DY35" i="36" s="1"/>
  <c r="CJ24" i="36"/>
  <c r="DY24" i="36" s="1"/>
  <c r="CJ31" i="36"/>
  <c r="DY31" i="36" s="1"/>
  <c r="CJ15" i="36"/>
  <c r="DY15" i="36" s="1"/>
  <c r="DR33" i="36"/>
  <c r="EW33" i="36" s="1"/>
  <c r="CM15" i="36"/>
  <c r="DR15" i="36" s="1"/>
  <c r="CC24" i="36"/>
  <c r="DS24" i="36" s="1"/>
  <c r="EV24" i="36" s="1"/>
  <c r="CC20" i="36"/>
  <c r="CC32" i="36"/>
  <c r="CC10" i="36"/>
  <c r="EK53" i="36"/>
  <c r="EN49" i="36" s="1"/>
  <c r="EK54" i="36"/>
  <c r="DI7" i="36"/>
  <c r="DI6" i="36"/>
  <c r="DM49" i="36"/>
  <c r="DM48" i="36"/>
  <c r="DM33" i="36"/>
  <c r="BY39" i="36"/>
  <c r="CA39" i="36" s="1"/>
  <c r="BY35" i="36"/>
  <c r="CA35" i="36" s="1"/>
  <c r="BY34" i="36"/>
  <c r="CA34" i="36" s="1"/>
  <c r="BY30" i="36"/>
  <c r="CA30" i="36" s="1"/>
  <c r="BY28" i="36"/>
  <c r="CA28" i="36" s="1"/>
  <c r="BY25" i="36"/>
  <c r="CA25" i="36" s="1"/>
  <c r="BY24" i="36"/>
  <c r="CA24" i="36" s="1"/>
  <c r="BY21" i="36"/>
  <c r="CA21" i="36" s="1"/>
  <c r="BY20" i="36"/>
  <c r="CA20" i="36" s="1"/>
  <c r="BY19" i="36"/>
  <c r="CA19" i="36" s="1"/>
  <c r="BY15" i="36"/>
  <c r="CA15" i="36" s="1"/>
  <c r="BY11" i="36"/>
  <c r="CA11" i="36" s="1"/>
  <c r="BY10" i="36"/>
  <c r="CA10" i="36" s="1"/>
  <c r="BY8" i="36"/>
  <c r="CA8" i="36" s="1"/>
  <c r="BY5" i="36"/>
  <c r="CA5" i="36" s="1"/>
  <c r="BY4" i="36"/>
  <c r="CA4" i="36" s="1"/>
  <c r="CA54" i="36" s="1"/>
  <c r="FB57" i="36"/>
  <c r="FB56" i="36"/>
  <c r="FC9" i="36" s="1"/>
  <c r="EM43" i="36"/>
  <c r="EM11" i="36"/>
  <c r="ET10" i="36"/>
  <c r="J10" i="36" s="1"/>
  <c r="ET48" i="36"/>
  <c r="J48" i="36" s="1"/>
  <c r="ET8" i="36"/>
  <c r="ET5" i="36"/>
  <c r="ET35" i="36"/>
  <c r="J35" i="36" s="1"/>
  <c r="EM36" i="36"/>
  <c r="ET30" i="36"/>
  <c r="ET24" i="36"/>
  <c r="ET46" i="36"/>
  <c r="ET38" i="36"/>
  <c r="J34" i="36"/>
  <c r="ET31" i="36"/>
  <c r="J31" i="36" s="1"/>
  <c r="AT31" i="36" s="1"/>
  <c r="AE31" i="36" s="1"/>
  <c r="N31" i="36" s="1"/>
  <c r="O31" i="36" s="1"/>
  <c r="ET19" i="36"/>
  <c r="ET29" i="36"/>
  <c r="ET52" i="36"/>
  <c r="J52" i="36" s="1"/>
  <c r="ET36" i="36"/>
  <c r="EN39" i="36"/>
  <c r="EN37" i="36"/>
  <c r="EN30" i="36"/>
  <c r="EN32" i="36"/>
  <c r="EN26" i="36"/>
  <c r="EN7" i="36"/>
  <c r="EN22" i="36"/>
  <c r="EN51" i="36"/>
  <c r="EN19" i="36"/>
  <c r="EN29" i="36"/>
  <c r="EN21" i="36"/>
  <c r="EN11" i="36"/>
  <c r="EN25" i="36"/>
  <c r="EN46" i="36"/>
  <c r="EN5" i="36"/>
  <c r="EN6" i="36"/>
  <c r="EN24" i="36"/>
  <c r="EN17" i="36"/>
  <c r="EN16" i="36"/>
  <c r="EN41" i="36"/>
  <c r="EN4" i="36"/>
  <c r="EN12" i="36"/>
  <c r="EN52" i="36"/>
  <c r="EN50" i="36"/>
  <c r="EN34" i="36"/>
  <c r="EN18" i="36"/>
  <c r="EN43" i="36"/>
  <c r="EN23" i="36"/>
  <c r="EN9" i="36"/>
  <c r="EN28" i="36"/>
  <c r="EN47" i="36"/>
  <c r="EN45" i="36"/>
  <c r="DS44" i="36"/>
  <c r="EN44" i="36"/>
  <c r="DO71" i="31"/>
  <c r="EN31" i="36"/>
  <c r="DD42" i="36"/>
  <c r="DS42" i="36" s="1"/>
  <c r="DD49" i="36"/>
  <c r="DD41" i="36"/>
  <c r="DD26" i="36"/>
  <c r="DD10" i="36"/>
  <c r="DS10" i="36" s="1"/>
  <c r="DD5" i="36"/>
  <c r="DS5" i="36" s="1"/>
  <c r="DD8" i="36"/>
  <c r="DD22" i="36"/>
  <c r="DD31" i="36"/>
  <c r="DD45" i="36"/>
  <c r="DD6" i="36"/>
  <c r="DD11" i="36"/>
  <c r="DD19" i="36"/>
  <c r="DD40" i="36"/>
  <c r="DD48" i="36"/>
  <c r="DD43" i="36"/>
  <c r="DS43" i="36" s="1"/>
  <c r="DD4" i="36"/>
  <c r="DD46" i="36"/>
  <c r="DS46" i="36" s="1"/>
  <c r="DD23" i="36"/>
  <c r="DD12" i="36"/>
  <c r="DD24" i="36"/>
  <c r="DD39" i="36"/>
  <c r="DS39" i="36" s="1"/>
  <c r="DD15" i="36"/>
  <c r="DD3" i="36"/>
  <c r="DS3" i="36" s="1"/>
  <c r="DD27" i="36"/>
  <c r="DS27" i="36" s="1"/>
  <c r="EV27" i="36" s="1"/>
  <c r="DD51" i="36"/>
  <c r="DD36" i="36"/>
  <c r="DD33" i="36"/>
  <c r="DD16" i="36"/>
  <c r="DD7" i="36"/>
  <c r="DD28" i="36"/>
  <c r="DD32" i="36"/>
  <c r="DD50" i="36"/>
  <c r="DD21" i="36"/>
  <c r="DD52" i="36"/>
  <c r="DS52" i="36" s="1"/>
  <c r="DD25" i="36"/>
  <c r="DS25" i="36" s="1"/>
  <c r="DD18" i="36"/>
  <c r="DD9" i="36"/>
  <c r="DD37" i="36"/>
  <c r="DD30" i="36"/>
  <c r="DD35" i="36"/>
  <c r="DS35" i="36" s="1"/>
  <c r="DD34" i="36"/>
  <c r="DS34" i="36" s="1"/>
  <c r="AE54" i="36"/>
  <c r="N3" i="36"/>
  <c r="CE46" i="36"/>
  <c r="CE24" i="36"/>
  <c r="CE40" i="36"/>
  <c r="CE29" i="36"/>
  <c r="DF54" i="36"/>
  <c r="DC54" i="36"/>
  <c r="DS28" i="36"/>
  <c r="J46" i="36"/>
  <c r="EM45" i="36"/>
  <c r="EM44" i="36"/>
  <c r="EM41" i="36"/>
  <c r="EM30" i="36"/>
  <c r="EM34" i="36"/>
  <c r="EM48" i="36"/>
  <c r="EM35" i="36"/>
  <c r="EM32" i="36"/>
  <c r="EM28" i="36"/>
  <c r="EM33" i="36"/>
  <c r="CM50" i="36"/>
  <c r="DR50" i="36" s="1"/>
  <c r="EM37" i="36"/>
  <c r="CM49" i="36"/>
  <c r="DR49" i="36" s="1"/>
  <c r="EM42" i="36"/>
  <c r="EM31" i="36"/>
  <c r="CM19" i="36"/>
  <c r="EM15" i="36"/>
  <c r="CM29" i="36"/>
  <c r="EM39" i="36"/>
  <c r="CM4" i="36"/>
  <c r="DR4" i="36" s="1"/>
  <c r="CE42" i="36"/>
  <c r="CE38" i="36"/>
  <c r="CE19" i="36"/>
  <c r="CE28" i="36"/>
  <c r="CE11" i="36"/>
  <c r="CE15" i="36"/>
  <c r="CE10" i="36"/>
  <c r="CE20" i="36"/>
  <c r="EM6" i="36"/>
  <c r="EM26" i="36"/>
  <c r="CM42" i="36"/>
  <c r="DR42" i="36" s="1"/>
  <c r="CM39" i="36"/>
  <c r="DR39" i="36" s="1"/>
  <c r="J24" i="36"/>
  <c r="EM21" i="36"/>
  <c r="CE52" i="36"/>
  <c r="EN27" i="36"/>
  <c r="CE39" i="36"/>
  <c r="DS51" i="36"/>
  <c r="CM31" i="36"/>
  <c r="DR31" i="36" s="1"/>
  <c r="CM12" i="36"/>
  <c r="DR12" i="36" s="1"/>
  <c r="EW12" i="36" s="1"/>
  <c r="CM10" i="36"/>
  <c r="CC37" i="36"/>
  <c r="DS37" i="36" s="1"/>
  <c r="EV37" i="36" s="1"/>
  <c r="EM5" i="36"/>
  <c r="CM6" i="36"/>
  <c r="DR6" i="36" s="1"/>
  <c r="EW6" i="36" s="1"/>
  <c r="J30" i="36"/>
  <c r="EM16" i="36"/>
  <c r="CM23" i="36"/>
  <c r="EM51" i="36"/>
  <c r="AJ53" i="36"/>
  <c r="AG12" i="36"/>
  <c r="CM34" i="36"/>
  <c r="DR34" i="36" s="1"/>
  <c r="DS47" i="36"/>
  <c r="DS41" i="36"/>
  <c r="CM32" i="36"/>
  <c r="DR32" i="36" s="1"/>
  <c r="EW32" i="36" s="1"/>
  <c r="CM20" i="36"/>
  <c r="EM19" i="36"/>
  <c r="CM11" i="36"/>
  <c r="DR11" i="36" s="1"/>
  <c r="CC49" i="36"/>
  <c r="DS49" i="36" s="1"/>
  <c r="CC29" i="36"/>
  <c r="CC50" i="36"/>
  <c r="DS50" i="36" s="1"/>
  <c r="CC11" i="36"/>
  <c r="CC8" i="36"/>
  <c r="DS8" i="36" s="1"/>
  <c r="CC22" i="36"/>
  <c r="DS22" i="36" s="1"/>
  <c r="EM4" i="36"/>
  <c r="AW4" i="36" s="1"/>
  <c r="AP4" i="36" s="1"/>
  <c r="CC9" i="36"/>
  <c r="DS9" i="36" s="1"/>
  <c r="EM12" i="36"/>
  <c r="CM41" i="36"/>
  <c r="DR41" i="36" s="1"/>
  <c r="CM43" i="36"/>
  <c r="DR43" i="36" s="1"/>
  <c r="EW43" i="36" s="1"/>
  <c r="CM36" i="36"/>
  <c r="DR36" i="36" s="1"/>
  <c r="EW36" i="36" s="1"/>
  <c r="CM46" i="36"/>
  <c r="DR46" i="36" s="1"/>
  <c r="CM25" i="36"/>
  <c r="CM9" i="36"/>
  <c r="CE49" i="36"/>
  <c r="CJ49" i="36"/>
  <c r="DY49" i="36" s="1"/>
  <c r="CJ38" i="36"/>
  <c r="DY38" i="36" s="1"/>
  <c r="J38" i="36" s="1"/>
  <c r="AT38" i="36" s="1"/>
  <c r="AE38" i="36" s="1"/>
  <c r="N38" i="36" s="1"/>
  <c r="O38" i="36" s="1"/>
  <c r="CJ28" i="36"/>
  <c r="DY28" i="36" s="1"/>
  <c r="CJ37" i="36"/>
  <c r="DY37" i="36" s="1"/>
  <c r="J37" i="36" s="1"/>
  <c r="CJ25" i="36"/>
  <c r="DY25" i="36" s="1"/>
  <c r="CJ40" i="36"/>
  <c r="DY40" i="36" s="1"/>
  <c r="J40" i="36" s="1"/>
  <c r="AT40" i="36" s="1"/>
  <c r="AE40" i="36" s="1"/>
  <c r="N40" i="36" s="1"/>
  <c r="O40" i="36" s="1"/>
  <c r="CJ8" i="36"/>
  <c r="DY8" i="36" s="1"/>
  <c r="J8" i="36" s="1"/>
  <c r="CJ5" i="36"/>
  <c r="DY5" i="36" s="1"/>
  <c r="J5" i="36" s="1"/>
  <c r="CJ19" i="36"/>
  <c r="DY19" i="36" s="1"/>
  <c r="CJ29" i="36"/>
  <c r="DY29" i="36" s="1"/>
  <c r="J29" i="36" s="1"/>
  <c r="CJ11" i="36"/>
  <c r="DY11" i="36" s="1"/>
  <c r="J11" i="36" s="1"/>
  <c r="CJ4" i="36"/>
  <c r="DY4" i="36" s="1"/>
  <c r="CM18" i="36"/>
  <c r="DR18" i="36" s="1"/>
  <c r="EW18" i="36" s="1"/>
  <c r="CM38" i="36"/>
  <c r="DR38" i="36" s="1"/>
  <c r="CC18" i="36"/>
  <c r="EM29" i="36"/>
  <c r="AW29" i="36" s="1"/>
  <c r="AP29" i="36" s="1"/>
  <c r="X29" i="36" s="1"/>
  <c r="V29" i="36" s="1"/>
  <c r="CC26" i="36"/>
  <c r="DS26" i="36" s="1"/>
  <c r="CM21" i="36"/>
  <c r="DR21" i="36" s="1"/>
  <c r="CC6" i="36"/>
  <c r="CE48" i="36"/>
  <c r="CM45" i="36"/>
  <c r="DR45" i="36" s="1"/>
  <c r="EW45" i="36" s="1"/>
  <c r="CM30" i="36"/>
  <c r="DR30" i="36" s="1"/>
  <c r="EM27" i="36"/>
  <c r="DS31" i="36"/>
  <c r="CC15" i="36"/>
  <c r="CM17" i="36"/>
  <c r="DR17" i="36" s="1"/>
  <c r="EW17" i="36" s="1"/>
  <c r="CC17" i="36"/>
  <c r="DS17" i="36" s="1"/>
  <c r="EM10" i="36"/>
  <c r="CC30" i="36"/>
  <c r="DS30" i="36" s="1"/>
  <c r="EV30" i="36" s="1"/>
  <c r="DI51" i="36"/>
  <c r="DI48" i="36"/>
  <c r="DI52" i="36"/>
  <c r="DR52" i="36" s="1"/>
  <c r="DI23" i="36"/>
  <c r="DI35" i="36"/>
  <c r="DR35" i="36" s="1"/>
  <c r="DI47" i="36"/>
  <c r="DI9" i="36"/>
  <c r="DI25" i="36"/>
  <c r="DI29" i="36"/>
  <c r="DI8" i="36"/>
  <c r="DI5" i="36"/>
  <c r="CM27" i="36"/>
  <c r="DR27" i="36" s="1"/>
  <c r="EW27" i="36" s="1"/>
  <c r="EM52" i="36"/>
  <c r="EM47" i="36"/>
  <c r="CM51" i="36"/>
  <c r="DR51" i="36" s="1"/>
  <c r="CE41" i="36"/>
  <c r="CM40" i="36"/>
  <c r="DR40" i="36" s="1"/>
  <c r="CM48" i="36"/>
  <c r="CM28" i="36"/>
  <c r="DR28" i="36" s="1"/>
  <c r="CM26" i="36"/>
  <c r="DR26" i="36" s="1"/>
  <c r="EW26" i="36" s="1"/>
  <c r="EM17" i="36"/>
  <c r="EM8" i="36"/>
  <c r="EM9" i="36"/>
  <c r="CR40" i="36"/>
  <c r="CR24" i="36"/>
  <c r="CR44" i="36"/>
  <c r="CR12" i="36"/>
  <c r="CR39" i="36"/>
  <c r="CR21" i="36"/>
  <c r="CR43" i="36"/>
  <c r="CR9" i="36"/>
  <c r="CR38" i="36"/>
  <c r="CR19" i="36"/>
  <c r="CR36" i="36"/>
  <c r="CR7" i="36"/>
  <c r="CR37" i="36"/>
  <c r="CR15" i="36"/>
  <c r="CR32" i="36"/>
  <c r="CR6" i="36"/>
  <c r="CR52" i="36"/>
  <c r="CR35" i="36"/>
  <c r="CR14" i="36"/>
  <c r="CR27" i="36"/>
  <c r="CR4" i="36"/>
  <c r="CR51" i="36"/>
  <c r="CR34" i="36"/>
  <c r="CR13" i="36"/>
  <c r="CR26" i="36"/>
  <c r="CR50" i="36"/>
  <c r="CR33" i="36"/>
  <c r="CR11" i="36"/>
  <c r="CR23" i="36"/>
  <c r="CR49" i="36"/>
  <c r="CR31" i="36"/>
  <c r="CR10" i="36"/>
  <c r="CR22" i="36"/>
  <c r="CR48" i="36"/>
  <c r="CR30" i="36"/>
  <c r="CR8" i="36"/>
  <c r="CR20" i="36"/>
  <c r="CR25" i="36"/>
  <c r="CR5" i="36"/>
  <c r="CR47" i="36"/>
  <c r="CR45" i="36"/>
  <c r="CR18" i="36"/>
  <c r="CR17" i="36"/>
  <c r="CR16" i="36"/>
  <c r="CR46" i="36"/>
  <c r="CR42" i="36"/>
  <c r="CR29" i="36"/>
  <c r="CR41" i="36"/>
  <c r="CR28" i="36"/>
  <c r="CM47" i="36"/>
  <c r="DC53" i="36"/>
  <c r="DE42" i="36" s="1"/>
  <c r="EM38" i="36"/>
  <c r="CE50" i="36"/>
  <c r="DS33" i="36"/>
  <c r="DS38" i="36"/>
  <c r="DS7" i="36"/>
  <c r="CC48" i="36"/>
  <c r="DS48" i="36" s="1"/>
  <c r="ET42" i="36"/>
  <c r="J42" i="36" s="1"/>
  <c r="ET39" i="36"/>
  <c r="J39" i="36" s="1"/>
  <c r="AT39" i="36" s="1"/>
  <c r="AE39" i="36" s="1"/>
  <c r="N39" i="36" s="1"/>
  <c r="O39" i="36" s="1"/>
  <c r="ET16" i="36"/>
  <c r="ET25" i="36"/>
  <c r="ET28" i="36"/>
  <c r="ET41" i="36"/>
  <c r="J41" i="36" s="1"/>
  <c r="AT41" i="36" s="1"/>
  <c r="AE41" i="36" s="1"/>
  <c r="N41" i="36" s="1"/>
  <c r="ET4" i="36"/>
  <c r="ET15" i="36"/>
  <c r="J15" i="36" s="1"/>
  <c r="BV54" i="36"/>
  <c r="BV53" i="36"/>
  <c r="CL4" i="36" s="1"/>
  <c r="CC12" i="36"/>
  <c r="DS12" i="36" s="1"/>
  <c r="CJ16" i="36"/>
  <c r="DY16" i="36" s="1"/>
  <c r="CM22" i="36"/>
  <c r="DR22" i="36" s="1"/>
  <c r="EW22" i="36" s="1"/>
  <c r="CM7" i="36"/>
  <c r="DR7" i="36" s="1"/>
  <c r="EW7" i="36" s="1"/>
  <c r="EM7" i="36"/>
  <c r="DS16" i="36"/>
  <c r="DS23" i="36"/>
  <c r="EH40" i="36"/>
  <c r="EL40" i="36" s="1"/>
  <c r="EH52" i="36"/>
  <c r="EL52" i="36" s="1"/>
  <c r="EH50" i="36"/>
  <c r="EL50" i="36" s="1"/>
  <c r="EH48" i="36"/>
  <c r="EL48" i="36" s="1"/>
  <c r="EH49" i="36"/>
  <c r="EL49" i="36" s="1"/>
  <c r="EH51" i="36"/>
  <c r="EL51" i="36" s="1"/>
  <c r="EH29" i="36"/>
  <c r="EL29" i="36" s="1"/>
  <c r="EH38" i="36"/>
  <c r="EL38" i="36" s="1"/>
  <c r="EH28" i="36"/>
  <c r="EL28" i="36" s="1"/>
  <c r="EH35" i="36"/>
  <c r="EL35" i="36" s="1"/>
  <c r="EH34" i="36"/>
  <c r="EL34" i="36" s="1"/>
  <c r="EH30" i="36"/>
  <c r="EL30" i="36" s="1"/>
  <c r="EH39" i="36"/>
  <c r="EL39" i="36" s="1"/>
  <c r="EH42" i="36"/>
  <c r="EL42" i="36" s="1"/>
  <c r="EH37" i="36"/>
  <c r="EL37" i="36" s="1"/>
  <c r="EH31" i="36"/>
  <c r="EL31" i="36" s="1"/>
  <c r="EH46" i="36"/>
  <c r="EL46" i="36" s="1"/>
  <c r="EH8" i="36"/>
  <c r="EL8" i="36" s="1"/>
  <c r="EH41" i="36"/>
  <c r="EL41" i="36" s="1"/>
  <c r="EH25" i="36"/>
  <c r="EL25" i="36" s="1"/>
  <c r="EH24" i="36"/>
  <c r="EL24" i="36" s="1"/>
  <c r="EH21" i="36"/>
  <c r="EL21" i="36" s="1"/>
  <c r="EH11" i="36"/>
  <c r="EL11" i="36" s="1"/>
  <c r="EH10" i="36"/>
  <c r="EL10" i="36" s="1"/>
  <c r="EH15" i="36"/>
  <c r="EL15" i="36" s="1"/>
  <c r="EH4" i="36"/>
  <c r="EL4" i="36" s="1"/>
  <c r="EH5" i="36"/>
  <c r="EL5" i="36" s="1"/>
  <c r="EH19" i="36"/>
  <c r="EL19" i="36" s="1"/>
  <c r="J51" i="36"/>
  <c r="EM50" i="36"/>
  <c r="EM46" i="36"/>
  <c r="EM40" i="36"/>
  <c r="AW40" i="36" s="1"/>
  <c r="AP40" i="36" s="1"/>
  <c r="X40" i="36" s="1"/>
  <c r="CE31" i="36"/>
  <c r="CE37" i="36"/>
  <c r="EM22" i="36"/>
  <c r="CC19" i="36"/>
  <c r="CC21" i="36"/>
  <c r="DS21" i="36" s="1"/>
  <c r="EV21" i="36" s="1"/>
  <c r="CC4" i="36"/>
  <c r="DS4" i="36" s="1"/>
  <c r="CC36" i="36"/>
  <c r="DS36" i="36" s="1"/>
  <c r="CE8" i="36"/>
  <c r="EM23" i="36"/>
  <c r="CE21" i="36"/>
  <c r="CM5" i="36"/>
  <c r="CM8" i="36"/>
  <c r="DR8" i="36" s="1"/>
  <c r="DI10" i="36"/>
  <c r="EM25" i="36"/>
  <c r="EM49" i="36"/>
  <c r="AW49" i="36" s="1"/>
  <c r="AP49" i="36" s="1"/>
  <c r="X49" i="36" s="1"/>
  <c r="V49" i="36" s="1"/>
  <c r="DS45" i="36"/>
  <c r="EV45" i="36" s="1"/>
  <c r="CM37" i="36"/>
  <c r="DR37" i="36" s="1"/>
  <c r="DS40" i="36"/>
  <c r="CJ36" i="36"/>
  <c r="DY36" i="36" s="1"/>
  <c r="J36" i="36" s="1"/>
  <c r="CM24" i="36"/>
  <c r="DR24" i="36" s="1"/>
  <c r="CE25" i="36"/>
  <c r="CE5" i="36"/>
  <c r="EN10" i="36"/>
  <c r="DF53" i="36"/>
  <c r="DH6" i="36" s="1"/>
  <c r="EN36" i="36" l="1"/>
  <c r="EN38" i="36"/>
  <c r="EN42" i="36"/>
  <c r="EN35" i="36"/>
  <c r="EN8" i="36"/>
  <c r="EN15" i="36"/>
  <c r="EN40" i="36"/>
  <c r="FC52" i="36"/>
  <c r="FC4" i="36"/>
  <c r="FC37" i="36"/>
  <c r="FC32" i="36"/>
  <c r="FC6" i="36"/>
  <c r="FC15" i="36"/>
  <c r="FC14" i="36"/>
  <c r="FC36" i="36"/>
  <c r="FC48" i="36"/>
  <c r="FC20" i="36"/>
  <c r="FC30" i="36"/>
  <c r="FC47" i="36"/>
  <c r="FC41" i="36"/>
  <c r="FC17" i="36"/>
  <c r="FC35" i="36"/>
  <c r="FC45" i="36"/>
  <c r="FC16" i="36"/>
  <c r="FC21" i="36"/>
  <c r="FC7" i="36"/>
  <c r="FC25" i="36"/>
  <c r="FC40" i="36"/>
  <c r="FC43" i="36"/>
  <c r="FC8" i="36"/>
  <c r="FC24" i="36"/>
  <c r="FC42" i="36"/>
  <c r="FC44" i="36"/>
  <c r="FC28" i="36"/>
  <c r="FC39" i="36"/>
  <c r="DR48" i="36"/>
  <c r="J49" i="36"/>
  <c r="AT49" i="36" s="1"/>
  <c r="AE49" i="36" s="1"/>
  <c r="N49" i="36" s="1"/>
  <c r="O49" i="36" s="1"/>
  <c r="O41" i="36"/>
  <c r="DR19" i="36"/>
  <c r="DS32" i="36"/>
  <c r="EV32" i="36" s="1"/>
  <c r="CA53" i="36"/>
  <c r="DS29" i="36"/>
  <c r="FC12" i="36"/>
  <c r="FC27" i="36"/>
  <c r="DS6" i="36"/>
  <c r="EV6" i="36" s="1"/>
  <c r="EV43" i="36"/>
  <c r="EV48" i="36"/>
  <c r="EV26" i="36"/>
  <c r="EV23" i="36"/>
  <c r="CL28" i="36"/>
  <c r="CL18" i="36"/>
  <c r="CS57" i="36"/>
  <c r="CS56" i="36"/>
  <c r="CD46" i="36"/>
  <c r="CD49" i="36"/>
  <c r="CD38" i="36"/>
  <c r="CD40" i="36"/>
  <c r="DR9" i="36"/>
  <c r="EW9" i="36" s="1"/>
  <c r="EV9" i="36"/>
  <c r="DR29" i="36"/>
  <c r="DH30" i="36"/>
  <c r="EV34" i="36"/>
  <c r="EV44" i="36"/>
  <c r="FC51" i="36"/>
  <c r="FC19" i="36"/>
  <c r="FC38" i="36"/>
  <c r="FC18" i="36"/>
  <c r="FC5" i="36"/>
  <c r="FC29" i="36"/>
  <c r="FC46" i="36"/>
  <c r="FC22" i="36"/>
  <c r="FC10" i="36"/>
  <c r="FC31" i="36"/>
  <c r="FC49" i="36"/>
  <c r="FC23" i="36"/>
  <c r="FC11" i="36"/>
  <c r="FC33" i="36"/>
  <c r="FC50" i="36"/>
  <c r="FC26" i="36"/>
  <c r="FC13" i="36"/>
  <c r="FC34" i="36"/>
  <c r="DM58" i="36"/>
  <c r="DM57" i="36"/>
  <c r="DO49" i="36" s="1"/>
  <c r="DO48" i="36"/>
  <c r="EN48" i="36"/>
  <c r="EV10" i="36"/>
  <c r="EV35" i="36"/>
  <c r="EV5" i="36"/>
  <c r="EV25" i="36"/>
  <c r="EV22" i="36"/>
  <c r="EV42" i="36"/>
  <c r="EV12" i="36"/>
  <c r="J19" i="36"/>
  <c r="EV52" i="36"/>
  <c r="EV36" i="36"/>
  <c r="EV39" i="36"/>
  <c r="AU39" i="36" s="1"/>
  <c r="AN39" i="36" s="1"/>
  <c r="U39" i="36" s="1"/>
  <c r="AV39" i="36"/>
  <c r="AO39" i="36" s="1"/>
  <c r="W39" i="36" s="1"/>
  <c r="V39" i="36" s="1"/>
  <c r="EV31" i="36"/>
  <c r="AU31" i="36" s="1"/>
  <c r="AN31" i="36" s="1"/>
  <c r="U31" i="36" s="1"/>
  <c r="AV31" i="36"/>
  <c r="AO31" i="36" s="1"/>
  <c r="W31" i="36" s="1"/>
  <c r="V31" i="36" s="1"/>
  <c r="AP54" i="36"/>
  <c r="X4" i="36"/>
  <c r="X54" i="36" s="1"/>
  <c r="AV41" i="36"/>
  <c r="AO41" i="36" s="1"/>
  <c r="W41" i="36" s="1"/>
  <c r="V41" i="36" s="1"/>
  <c r="EV41" i="36"/>
  <c r="AV51" i="36"/>
  <c r="AO51" i="36" s="1"/>
  <c r="W51" i="36" s="1"/>
  <c r="V51" i="36" s="1"/>
  <c r="EV51" i="36"/>
  <c r="AU51" i="36" s="1"/>
  <c r="AN51" i="36" s="1"/>
  <c r="U51" i="36" s="1"/>
  <c r="DH7" i="36"/>
  <c r="EV28" i="36"/>
  <c r="AU3" i="36"/>
  <c r="AN3" i="36" s="1"/>
  <c r="AV3" i="36"/>
  <c r="AO3" i="36" s="1"/>
  <c r="AV4" i="36"/>
  <c r="AO4" i="36" s="1"/>
  <c r="W4" i="36" s="1"/>
  <c r="V4" i="36" s="1"/>
  <c r="EV4" i="36"/>
  <c r="AU4" i="36" s="1"/>
  <c r="AN4" i="36" s="1"/>
  <c r="U4" i="36" s="1"/>
  <c r="DR23" i="36"/>
  <c r="EW23" i="36" s="1"/>
  <c r="DE5" i="36"/>
  <c r="DE3" i="36"/>
  <c r="DT3" i="36" s="1"/>
  <c r="DE19" i="36"/>
  <c r="DE8" i="36"/>
  <c r="DE21" i="36"/>
  <c r="DE10" i="36"/>
  <c r="DE29" i="36"/>
  <c r="DE24" i="36"/>
  <c r="DE11" i="36"/>
  <c r="DE41" i="36"/>
  <c r="DE15" i="36"/>
  <c r="DE31" i="36"/>
  <c r="DE4" i="36"/>
  <c r="DE46" i="36"/>
  <c r="DT46" i="36" s="1"/>
  <c r="EV8" i="36"/>
  <c r="EV47" i="36"/>
  <c r="DH49" i="36"/>
  <c r="DH43" i="36"/>
  <c r="DH45" i="36"/>
  <c r="DH3" i="36"/>
  <c r="DQ3" i="36" s="1"/>
  <c r="DH25" i="36"/>
  <c r="DH38" i="36"/>
  <c r="DH8" i="36"/>
  <c r="DH35" i="36"/>
  <c r="DH39" i="36"/>
  <c r="DH42" i="36"/>
  <c r="DH50" i="36"/>
  <c r="DH4" i="36"/>
  <c r="DQ4" i="36" s="1"/>
  <c r="FE4" i="36" s="1"/>
  <c r="DH37" i="36"/>
  <c r="DH18" i="36"/>
  <c r="DH9" i="36"/>
  <c r="DH44" i="36"/>
  <c r="DH41" i="36"/>
  <c r="DH47" i="36"/>
  <c r="DH52" i="36"/>
  <c r="DH24" i="36"/>
  <c r="DH46" i="36"/>
  <c r="DH27" i="36"/>
  <c r="DH10" i="36"/>
  <c r="DH29" i="36"/>
  <c r="DH16" i="36"/>
  <c r="DH36" i="36"/>
  <c r="DH28" i="36"/>
  <c r="DH22" i="36"/>
  <c r="DH23" i="36"/>
  <c r="DH17" i="36"/>
  <c r="DH15" i="36"/>
  <c r="DH5" i="36"/>
  <c r="DH26" i="36"/>
  <c r="DH21" i="36"/>
  <c r="DH31" i="36"/>
  <c r="DH11" i="36"/>
  <c r="DH40" i="36"/>
  <c r="DH19" i="36"/>
  <c r="DH32" i="36"/>
  <c r="DH51" i="36"/>
  <c r="DS19" i="36"/>
  <c r="EV19" i="36" s="1"/>
  <c r="DE48" i="36"/>
  <c r="CD15" i="36"/>
  <c r="DT15" i="36" s="1"/>
  <c r="CD20" i="36"/>
  <c r="CD5" i="36"/>
  <c r="DT5" i="36" s="1"/>
  <c r="CD10" i="36"/>
  <c r="CD34" i="36"/>
  <c r="CD24" i="36"/>
  <c r="CD19" i="36"/>
  <c r="CD4" i="36"/>
  <c r="DT4" i="36" s="1"/>
  <c r="CD11" i="36"/>
  <c r="CD30" i="36"/>
  <c r="CD39" i="36"/>
  <c r="CD8" i="36"/>
  <c r="CD35" i="36"/>
  <c r="CD28" i="36"/>
  <c r="CD25" i="36"/>
  <c r="CD21" i="36"/>
  <c r="DT21" i="36" s="1"/>
  <c r="DE37" i="36"/>
  <c r="DH12" i="36"/>
  <c r="J25" i="36"/>
  <c r="DR25" i="36"/>
  <c r="DS11" i="36"/>
  <c r="EV11" i="36" s="1"/>
  <c r="CD52" i="36"/>
  <c r="N53" i="36"/>
  <c r="O3" i="36"/>
  <c r="EL53" i="36"/>
  <c r="J16" i="36"/>
  <c r="EV50" i="36"/>
  <c r="AU50" i="36" s="1"/>
  <c r="AN50" i="36" s="1"/>
  <c r="U50" i="36" s="1"/>
  <c r="AV50" i="36"/>
  <c r="AO50" i="36" s="1"/>
  <c r="W50" i="36" s="1"/>
  <c r="V50" i="36" s="1"/>
  <c r="AG53" i="36"/>
  <c r="AM12" i="36"/>
  <c r="AL12" i="36" s="1"/>
  <c r="DE52" i="36"/>
  <c r="DH34" i="36"/>
  <c r="DE25" i="36"/>
  <c r="DE34" i="36"/>
  <c r="DS18" i="36"/>
  <c r="EV18" i="36" s="1"/>
  <c r="J28" i="36"/>
  <c r="EV29" i="36"/>
  <c r="DE38" i="36"/>
  <c r="DT38" i="36" s="1"/>
  <c r="EL54" i="36"/>
  <c r="EV7" i="36"/>
  <c r="DE39" i="36"/>
  <c r="EV49" i="36"/>
  <c r="AU49" i="36" s="1"/>
  <c r="AN49" i="36" s="1"/>
  <c r="U49" i="36" s="1"/>
  <c r="EV46" i="36"/>
  <c r="DE28" i="36"/>
  <c r="CL43" i="36"/>
  <c r="CL36" i="36"/>
  <c r="CL29" i="36"/>
  <c r="DQ29" i="36" s="1"/>
  <c r="FE29" i="36" s="1"/>
  <c r="CL6" i="36"/>
  <c r="DQ6" i="36" s="1"/>
  <c r="FE6" i="36" s="1"/>
  <c r="CL46" i="36"/>
  <c r="CL21" i="36"/>
  <c r="CL16" i="36"/>
  <c r="CL11" i="36"/>
  <c r="CL22" i="36"/>
  <c r="CL49" i="36"/>
  <c r="CL45" i="36"/>
  <c r="CL47" i="36"/>
  <c r="CL44" i="36"/>
  <c r="CL52" i="36"/>
  <c r="CL40" i="36"/>
  <c r="DQ40" i="36" s="1"/>
  <c r="CL24" i="36"/>
  <c r="CL5" i="36"/>
  <c r="CL38" i="36"/>
  <c r="DQ38" i="36" s="1"/>
  <c r="FE38" i="36" s="1"/>
  <c r="CL39" i="36"/>
  <c r="CL34" i="36"/>
  <c r="CL50" i="36"/>
  <c r="CL9" i="36"/>
  <c r="CL8" i="36"/>
  <c r="CL12" i="36"/>
  <c r="DQ12" i="36" s="1"/>
  <c r="FE12" i="36" s="1"/>
  <c r="CL37" i="36"/>
  <c r="CL30" i="36"/>
  <c r="CL42" i="36"/>
  <c r="CL23" i="36"/>
  <c r="DQ23" i="36" s="1"/>
  <c r="FE23" i="36" s="1"/>
  <c r="CL10" i="36"/>
  <c r="CL15" i="36"/>
  <c r="CL41" i="36"/>
  <c r="DQ41" i="36" s="1"/>
  <c r="FE41" i="36" s="1"/>
  <c r="CL27" i="36"/>
  <c r="CL17" i="36"/>
  <c r="DQ17" i="36" s="1"/>
  <c r="FE17" i="36" s="1"/>
  <c r="CL19" i="36"/>
  <c r="CL51" i="36"/>
  <c r="CL32" i="36"/>
  <c r="CL48" i="36"/>
  <c r="CL35" i="36"/>
  <c r="CL20" i="36"/>
  <c r="CL31" i="36"/>
  <c r="CL25" i="36"/>
  <c r="DQ25" i="36" s="1"/>
  <c r="FE25" i="36" s="1"/>
  <c r="EV38" i="36"/>
  <c r="CD42" i="36"/>
  <c r="DT42" i="36" s="1"/>
  <c r="CD48" i="36"/>
  <c r="DT48" i="36" s="1"/>
  <c r="DR5" i="36"/>
  <c r="DE30" i="36"/>
  <c r="DR47" i="36"/>
  <c r="EW47" i="36" s="1"/>
  <c r="DE49" i="36"/>
  <c r="DT49" i="36" s="1"/>
  <c r="EV17" i="36"/>
  <c r="J4" i="36"/>
  <c r="AT4" i="36" s="1"/>
  <c r="AE4" i="36" s="1"/>
  <c r="N4" i="36" s="1"/>
  <c r="O4" i="36" s="1"/>
  <c r="DE51" i="36"/>
  <c r="DR10" i="36"/>
  <c r="EV40" i="36"/>
  <c r="AU40" i="36" s="1"/>
  <c r="AN40" i="36" s="1"/>
  <c r="U40" i="36" s="1"/>
  <c r="AV40" i="36"/>
  <c r="AO40" i="36" s="1"/>
  <c r="W40" i="36" s="1"/>
  <c r="V40" i="36" s="1"/>
  <c r="EV16" i="36"/>
  <c r="DE40" i="36"/>
  <c r="DT40" i="36" s="1"/>
  <c r="CL26" i="36"/>
  <c r="DQ26" i="36" s="1"/>
  <c r="FE26" i="36" s="1"/>
  <c r="CD50" i="36"/>
  <c r="DH48" i="36"/>
  <c r="DE35" i="36"/>
  <c r="EV33" i="36"/>
  <c r="DS15" i="36"/>
  <c r="EV15" i="36" s="1"/>
  <c r="CD29" i="36"/>
  <c r="DT29" i="36" s="1"/>
  <c r="CL7" i="36"/>
  <c r="DE50" i="36"/>
  <c r="CD41" i="36"/>
  <c r="DF71" i="31"/>
  <c r="CC71" i="31"/>
  <c r="BZ12" i="30"/>
  <c r="CX12" i="30"/>
  <c r="CZ12" i="30"/>
  <c r="CJ15" i="29"/>
  <c r="CH15" i="29"/>
  <c r="CA41" i="28"/>
  <c r="CB41" i="28"/>
  <c r="CY24" i="27"/>
  <c r="CX24" i="27"/>
  <c r="FE40" i="36" l="1"/>
  <c r="DQ42" i="36"/>
  <c r="FE42" i="36" s="1"/>
  <c r="DQ24" i="36"/>
  <c r="FE24" i="36" s="1"/>
  <c r="DQ35" i="36"/>
  <c r="FE35" i="36" s="1"/>
  <c r="DQ32" i="36"/>
  <c r="FE32" i="36" s="1"/>
  <c r="DQ47" i="36"/>
  <c r="FE47" i="36" s="1"/>
  <c r="DQ8" i="36"/>
  <c r="FE8" i="36" s="1"/>
  <c r="DQ45" i="36"/>
  <c r="FE45" i="36" s="1"/>
  <c r="DQ5" i="36"/>
  <c r="FE5" i="36" s="1"/>
  <c r="DQ52" i="36"/>
  <c r="FE52" i="36" s="1"/>
  <c r="DQ9" i="36"/>
  <c r="FE9" i="36" s="1"/>
  <c r="DQ28" i="36"/>
  <c r="FE28" i="36" s="1"/>
  <c r="DQ18" i="36"/>
  <c r="FE18" i="36" s="1"/>
  <c r="CT38" i="36"/>
  <c r="CT7" i="36"/>
  <c r="CT17" i="36"/>
  <c r="CT44" i="36"/>
  <c r="CT18" i="36"/>
  <c r="CT20" i="36"/>
  <c r="CT47" i="36"/>
  <c r="CT19" i="36"/>
  <c r="CT23" i="36"/>
  <c r="CT15" i="36"/>
  <c r="CT52" i="36"/>
  <c r="CT26" i="36"/>
  <c r="CT37" i="36"/>
  <c r="CT16" i="36"/>
  <c r="CT35" i="36"/>
  <c r="DQ30" i="36"/>
  <c r="FE30" i="36" s="1"/>
  <c r="CT45" i="36"/>
  <c r="DT8" i="36"/>
  <c r="CT43" i="36"/>
  <c r="CT14" i="36"/>
  <c r="CD31" i="36"/>
  <c r="DT31" i="36" s="1"/>
  <c r="CD51" i="36"/>
  <c r="CD37" i="36"/>
  <c r="DT37" i="36" s="1"/>
  <c r="DQ27" i="36"/>
  <c r="FE27" i="36" s="1"/>
  <c r="DQ11" i="36"/>
  <c r="FE11" i="36" s="1"/>
  <c r="CT12" i="36"/>
  <c r="CT22" i="36"/>
  <c r="CT32" i="36"/>
  <c r="DQ39" i="36"/>
  <c r="FE39" i="36" s="1"/>
  <c r="CT6" i="36"/>
  <c r="CT24" i="36"/>
  <c r="CT39" i="36"/>
  <c r="DQ7" i="36"/>
  <c r="FE7" i="36" s="1"/>
  <c r="DT51" i="36"/>
  <c r="DQ10" i="36"/>
  <c r="FE10" i="36" s="1"/>
  <c r="DQ46" i="36"/>
  <c r="FE46" i="36" s="1"/>
  <c r="DT19" i="36"/>
  <c r="CT21" i="36"/>
  <c r="DQ15" i="36"/>
  <c r="FE15" i="36" s="1"/>
  <c r="DQ31" i="36"/>
  <c r="FE31" i="36" s="1"/>
  <c r="EO35" i="36"/>
  <c r="EW35" i="36" s="1"/>
  <c r="DT25" i="36"/>
  <c r="DT35" i="36"/>
  <c r="DO37" i="36"/>
  <c r="DO31" i="36"/>
  <c r="DO51" i="36"/>
  <c r="DO35" i="36"/>
  <c r="DP35" i="36" s="1"/>
  <c r="FD35" i="36" s="1"/>
  <c r="DO14" i="36"/>
  <c r="DO30" i="36"/>
  <c r="DO50" i="36"/>
  <c r="DO11" i="36"/>
  <c r="DO10" i="36"/>
  <c r="DO8" i="36"/>
  <c r="DO42" i="36"/>
  <c r="DO28" i="36"/>
  <c r="DO13" i="36"/>
  <c r="DO34" i="36"/>
  <c r="DO52" i="36"/>
  <c r="DO15" i="36"/>
  <c r="DP15" i="36" s="1"/>
  <c r="FD15" i="36" s="1"/>
  <c r="DO19" i="36"/>
  <c r="DP19" i="36" s="1"/>
  <c r="FD19" i="36" s="1"/>
  <c r="DO38" i="36"/>
  <c r="DO21" i="36"/>
  <c r="DO39" i="36"/>
  <c r="DO24" i="36"/>
  <c r="DO40" i="36"/>
  <c r="DO25" i="36"/>
  <c r="DO41" i="36"/>
  <c r="DO4" i="36"/>
  <c r="DO5" i="36"/>
  <c r="DO29" i="36"/>
  <c r="DO46" i="36"/>
  <c r="DO47" i="36"/>
  <c r="DP47" i="36" s="1"/>
  <c r="FD47" i="36" s="1"/>
  <c r="DO43" i="36"/>
  <c r="DO27" i="36"/>
  <c r="DO9" i="36"/>
  <c r="DO17" i="36"/>
  <c r="DP17" i="36" s="1"/>
  <c r="FD17" i="36" s="1"/>
  <c r="DO23" i="36"/>
  <c r="DO6" i="36"/>
  <c r="DP6" i="36" s="1"/>
  <c r="FD6" i="36" s="1"/>
  <c r="DO22" i="36"/>
  <c r="DP22" i="36" s="1"/>
  <c r="FD22" i="36" s="1"/>
  <c r="DO32" i="36"/>
  <c r="DP32" i="36" s="1"/>
  <c r="FD32" i="36" s="1"/>
  <c r="DO12" i="36"/>
  <c r="DP12" i="36" s="1"/>
  <c r="FD12" i="36" s="1"/>
  <c r="DO18" i="36"/>
  <c r="DP18" i="36" s="1"/>
  <c r="FD18" i="36" s="1"/>
  <c r="DO44" i="36"/>
  <c r="DP44" i="36" s="1"/>
  <c r="FD44" i="36" s="1"/>
  <c r="DO7" i="36"/>
  <c r="DP7" i="36" s="1"/>
  <c r="FD7" i="36" s="1"/>
  <c r="DO16" i="36"/>
  <c r="DP16" i="36" s="1"/>
  <c r="FD16" i="36" s="1"/>
  <c r="DO20" i="36"/>
  <c r="DO36" i="36"/>
  <c r="DO45" i="36"/>
  <c r="DP45" i="36" s="1"/>
  <c r="FD45" i="36" s="1"/>
  <c r="DO26" i="36"/>
  <c r="DO33" i="36"/>
  <c r="DP24" i="36"/>
  <c r="FD24" i="36" s="1"/>
  <c r="DP39" i="36"/>
  <c r="FD39" i="36" s="1"/>
  <c r="DP21" i="36"/>
  <c r="FD21" i="36" s="1"/>
  <c r="DP38" i="36"/>
  <c r="FD38" i="36" s="1"/>
  <c r="CT40" i="36"/>
  <c r="CT28" i="36"/>
  <c r="CT41" i="36"/>
  <c r="CT29" i="36"/>
  <c r="CT42" i="36"/>
  <c r="CT46" i="36"/>
  <c r="CT5" i="36"/>
  <c r="CT25" i="36"/>
  <c r="DP25" i="36" s="1"/>
  <c r="FD25" i="36" s="1"/>
  <c r="CT8" i="36"/>
  <c r="DP8" i="36" s="1"/>
  <c r="FD8" i="36" s="1"/>
  <c r="CT30" i="36"/>
  <c r="DP30" i="36" s="1"/>
  <c r="FD30" i="36" s="1"/>
  <c r="CT48" i="36"/>
  <c r="DP48" i="36" s="1"/>
  <c r="FD48" i="36" s="1"/>
  <c r="CT10" i="36"/>
  <c r="CT31" i="36"/>
  <c r="CT49" i="36"/>
  <c r="DP49" i="36" s="1"/>
  <c r="FD49" i="36" s="1"/>
  <c r="CT11" i="36"/>
  <c r="CT33" i="36"/>
  <c r="CT50" i="36"/>
  <c r="DP50" i="36" s="1"/>
  <c r="FD50" i="36" s="1"/>
  <c r="CT13" i="36"/>
  <c r="CT34" i="36"/>
  <c r="CT51" i="36"/>
  <c r="CT4" i="36"/>
  <c r="EO21" i="36"/>
  <c r="EW21" i="36" s="1"/>
  <c r="EO5" i="36"/>
  <c r="EW5" i="36" s="1"/>
  <c r="EO37" i="36"/>
  <c r="EW37" i="36" s="1"/>
  <c r="EO51" i="36"/>
  <c r="EW51" i="36" s="1"/>
  <c r="EO4" i="36"/>
  <c r="EW4" i="36" s="1"/>
  <c r="DT28" i="36"/>
  <c r="EO8" i="36"/>
  <c r="EW8" i="36" s="1"/>
  <c r="CT36" i="36"/>
  <c r="DP36" i="36" s="1"/>
  <c r="FD36" i="36" s="1"/>
  <c r="EO34" i="36"/>
  <c r="EW34" i="36" s="1"/>
  <c r="EU35" i="36"/>
  <c r="EO29" i="36"/>
  <c r="EW29" i="36" s="1"/>
  <c r="EO11" i="36"/>
  <c r="EW11" i="36" s="1"/>
  <c r="DQ36" i="36"/>
  <c r="FE36" i="36" s="1"/>
  <c r="EO41" i="36"/>
  <c r="EW41" i="36" s="1"/>
  <c r="AO54" i="36"/>
  <c r="W3" i="36"/>
  <c r="DQ48" i="36"/>
  <c r="FE48" i="36" s="1"/>
  <c r="DQ37" i="36"/>
  <c r="FE37" i="36" s="1"/>
  <c r="DQ44" i="36"/>
  <c r="FE44" i="36" s="1"/>
  <c r="DQ43" i="36"/>
  <c r="FE43" i="36" s="1"/>
  <c r="DT52" i="36"/>
  <c r="DT39" i="36"/>
  <c r="AN54" i="36"/>
  <c r="U3" i="36"/>
  <c r="U54" i="36" s="1"/>
  <c r="DT50" i="36"/>
  <c r="EO40" i="36"/>
  <c r="EW40" i="36" s="1"/>
  <c r="DT30" i="36"/>
  <c r="EO28" i="36"/>
  <c r="EW28" i="36" s="1"/>
  <c r="DQ51" i="36"/>
  <c r="FE51" i="36" s="1"/>
  <c r="EO39" i="36"/>
  <c r="EW39" i="36" s="1"/>
  <c r="DT11" i="36"/>
  <c r="EO24" i="36"/>
  <c r="EW24" i="36" s="1"/>
  <c r="EO30" i="36"/>
  <c r="EW30" i="36" s="1"/>
  <c r="DQ19" i="36"/>
  <c r="FE19" i="36" s="1"/>
  <c r="DQ49" i="36"/>
  <c r="FE49" i="36" s="1"/>
  <c r="EO15" i="36"/>
  <c r="EW15" i="36" s="1"/>
  <c r="AL54" i="36"/>
  <c r="AK12" i="36"/>
  <c r="EU4" i="36"/>
  <c r="CT9" i="36"/>
  <c r="EO38" i="36"/>
  <c r="EW38" i="36" s="1"/>
  <c r="EO10" i="36"/>
  <c r="EW10" i="36" s="1"/>
  <c r="DQ50" i="36"/>
  <c r="FE50" i="36" s="1"/>
  <c r="DQ22" i="36"/>
  <c r="FE22" i="36" s="1"/>
  <c r="EO48" i="36"/>
  <c r="EW48" i="36" s="1"/>
  <c r="EO49" i="36"/>
  <c r="EW49" i="36" s="1"/>
  <c r="CT27" i="36"/>
  <c r="DP27" i="36" s="1"/>
  <c r="FD27" i="36" s="1"/>
  <c r="EO25" i="36"/>
  <c r="EW25" i="36" s="1"/>
  <c r="DQ34" i="36"/>
  <c r="FE34" i="36" s="1"/>
  <c r="EO52" i="36"/>
  <c r="EW52" i="36" s="1"/>
  <c r="DT24" i="36"/>
  <c r="EO46" i="36"/>
  <c r="EW46" i="36" s="1"/>
  <c r="DQ16" i="36"/>
  <c r="FE16" i="36" s="1"/>
  <c r="EO42" i="36"/>
  <c r="EO31" i="36"/>
  <c r="EW31" i="36" s="1"/>
  <c r="DT34" i="36"/>
  <c r="EO19" i="36"/>
  <c r="EW19" i="36" s="1"/>
  <c r="DT41" i="36"/>
  <c r="DQ21" i="36"/>
  <c r="FE21" i="36" s="1"/>
  <c r="EO50" i="36"/>
  <c r="EW50" i="36" s="1"/>
  <c r="EU21" i="36"/>
  <c r="DT10" i="36"/>
  <c r="EU10" i="36" s="1"/>
  <c r="CD41" i="28"/>
  <c r="DH71" i="31"/>
  <c r="CL15" i="29"/>
  <c r="DP4" i="36" l="1"/>
  <c r="FD4" i="36" s="1"/>
  <c r="DP42" i="36"/>
  <c r="FD42" i="36" s="1"/>
  <c r="DP33" i="36"/>
  <c r="FD33" i="36" s="1"/>
  <c r="DP11" i="36"/>
  <c r="FD11" i="36" s="1"/>
  <c r="DP41" i="36"/>
  <c r="FD41" i="36" s="1"/>
  <c r="DP28" i="36"/>
  <c r="FD28" i="36" s="1"/>
  <c r="DP37" i="36"/>
  <c r="FD37" i="36" s="1"/>
  <c r="DP9" i="36"/>
  <c r="FD9" i="36" s="1"/>
  <c r="DP10" i="36"/>
  <c r="FD10" i="36" s="1"/>
  <c r="DP43" i="36"/>
  <c r="FD43" i="36" s="1"/>
  <c r="DP26" i="36"/>
  <c r="FD26" i="36" s="1"/>
  <c r="DP23" i="36"/>
  <c r="FD23" i="36" s="1"/>
  <c r="DP52" i="36"/>
  <c r="FD52" i="36" s="1"/>
  <c r="DP20" i="36"/>
  <c r="FD20" i="36" s="1"/>
  <c r="DP5" i="36"/>
  <c r="FD5" i="36" s="1"/>
  <c r="DP46" i="36"/>
  <c r="FD46" i="36" s="1"/>
  <c r="DP29" i="36"/>
  <c r="FD29" i="36" s="1"/>
  <c r="EU11" i="36"/>
  <c r="DP31" i="36"/>
  <c r="FD31" i="36" s="1"/>
  <c r="EU24" i="36"/>
  <c r="DP14" i="36"/>
  <c r="FD14" i="36" s="1"/>
  <c r="EW42" i="36"/>
  <c r="EU42" i="36"/>
  <c r="DP40" i="36"/>
  <c r="FD40" i="36" s="1"/>
  <c r="DP34" i="36"/>
  <c r="FD34" i="36" s="1"/>
  <c r="DP13" i="36"/>
  <c r="FD13" i="36" s="1"/>
  <c r="DP51" i="36"/>
  <c r="FD51" i="36" s="1"/>
  <c r="BA30" i="36"/>
  <c r="AQ4" i="36" s="1"/>
  <c r="AB4" i="36" s="1"/>
  <c r="EU5" i="36"/>
  <c r="EU52" i="36"/>
  <c r="EU38" i="36"/>
  <c r="EU34" i="36"/>
  <c r="EU15" i="36"/>
  <c r="EU41" i="36"/>
  <c r="EU46" i="36"/>
  <c r="EU28" i="36"/>
  <c r="EU19" i="36"/>
  <c r="EU8" i="36"/>
  <c r="EU48" i="36"/>
  <c r="EU25" i="36"/>
  <c r="EU29" i="36"/>
  <c r="W54" i="36"/>
  <c r="V3" i="36"/>
  <c r="V54" i="36" s="1"/>
  <c r="EU37" i="36"/>
  <c r="BA28" i="36"/>
  <c r="AR4" i="36" s="1"/>
  <c r="AC4" i="36" s="1"/>
  <c r="EU51" i="36"/>
  <c r="EU50" i="36"/>
  <c r="EU49" i="36"/>
  <c r="EU30" i="36"/>
  <c r="EU31" i="36"/>
  <c r="EU39" i="36"/>
  <c r="EU40" i="36"/>
  <c r="AQ50" i="36" l="1"/>
  <c r="AB50" i="36" s="1"/>
  <c r="AQ49" i="36"/>
  <c r="AB49" i="36" s="1"/>
  <c r="AQ11" i="36"/>
  <c r="AB11" i="36" s="1"/>
  <c r="AQ3" i="36"/>
  <c r="AB3" i="36" s="1"/>
  <c r="AQ51" i="36"/>
  <c r="AB51" i="36" s="1"/>
  <c r="AQ37" i="36"/>
  <c r="AB37" i="36" s="1"/>
  <c r="AQ31" i="36"/>
  <c r="AB31" i="36" s="1"/>
  <c r="AR3" i="36"/>
  <c r="AC3" i="36" s="1"/>
  <c r="AR28" i="36"/>
  <c r="AC28" i="36" s="1"/>
  <c r="AR50" i="36"/>
  <c r="AC50" i="36" s="1"/>
  <c r="AR51" i="36"/>
  <c r="AC51" i="36" s="1"/>
  <c r="AR49" i="36"/>
  <c r="AC49" i="36" s="1"/>
  <c r="AR31" i="36"/>
  <c r="AC31" i="36" s="1"/>
  <c r="AR39" i="36"/>
  <c r="AC39" i="36" s="1"/>
  <c r="DA24" i="27"/>
  <c r="AB54" i="36" l="1"/>
  <c r="AY24" i="36" s="1"/>
  <c r="Y51" i="36" s="1"/>
  <c r="Y49" i="36"/>
  <c r="Y11" i="36"/>
  <c r="Z11" i="36" s="1"/>
  <c r="BN11" i="36"/>
  <c r="BN49" i="36"/>
  <c r="BM49" i="36" s="1"/>
  <c r="BN31" i="36"/>
  <c r="BM31" i="36" s="1"/>
  <c r="BN41" i="36"/>
  <c r="BM41" i="36" s="1"/>
  <c r="BN37" i="36"/>
  <c r="BM37" i="36" s="1"/>
  <c r="BN40" i="36"/>
  <c r="BM40" i="36" s="1"/>
  <c r="Y4" i="36"/>
  <c r="Y31" i="36"/>
  <c r="Y50" i="36"/>
  <c r="AC54" i="36"/>
  <c r="AY39" i="36" s="1"/>
  <c r="T4" i="36" s="1"/>
  <c r="Y3" i="36"/>
  <c r="Y37" i="36" l="1"/>
  <c r="Z37" i="36" s="1"/>
  <c r="Y54" i="36"/>
  <c r="BM11" i="36"/>
  <c r="BN54" i="36"/>
  <c r="Z4" i="36"/>
  <c r="T28" i="36"/>
  <c r="T50" i="36"/>
  <c r="T51" i="36"/>
  <c r="T49" i="36"/>
  <c r="T31" i="36"/>
  <c r="T39" i="36"/>
  <c r="AE71" i="31"/>
  <c r="CE42" i="31"/>
  <c r="CF42" i="31"/>
  <c r="CG42" i="31"/>
  <c r="CX42" i="31"/>
  <c r="DE42" i="31"/>
  <c r="DT42" i="31"/>
  <c r="EQ42" i="31"/>
  <c r="ET42" i="31"/>
  <c r="V12" i="30"/>
  <c r="AL12" i="30"/>
  <c r="AB15" i="29"/>
  <c r="CM17" i="29" l="1"/>
  <c r="CM8" i="29" s="1"/>
  <c r="DK17" i="29"/>
  <c r="CZ14" i="30"/>
  <c r="DA7" i="30" s="1"/>
  <c r="DB7" i="30" s="1"/>
  <c r="DY14" i="30"/>
  <c r="BM54" i="36"/>
  <c r="BP4" i="36" s="1"/>
  <c r="BJ11" i="36" s="1"/>
  <c r="Z39" i="36"/>
  <c r="Z49" i="36"/>
  <c r="Z50" i="36"/>
  <c r="Z28" i="36"/>
  <c r="DH73" i="31"/>
  <c r="DI64" i="31" s="1"/>
  <c r="FM73" i="31"/>
  <c r="DO73" i="31"/>
  <c r="Z51" i="36"/>
  <c r="Z31" i="36"/>
  <c r="T54" i="36"/>
  <c r="Z3" i="36"/>
  <c r="CM13" i="29"/>
  <c r="CM14" i="29"/>
  <c r="CM12" i="29"/>
  <c r="CM11" i="29"/>
  <c r="CM10" i="29"/>
  <c r="CM9" i="29"/>
  <c r="DA3" i="30"/>
  <c r="DA11" i="30"/>
  <c r="DA10" i="30"/>
  <c r="DA9" i="30"/>
  <c r="DA5" i="30"/>
  <c r="DA4" i="30"/>
  <c r="DA8" i="30"/>
  <c r="DB8" i="30" s="1"/>
  <c r="DI67" i="31"/>
  <c r="DI14" i="31"/>
  <c r="DI25" i="31"/>
  <c r="DI66" i="31"/>
  <c r="AE41" i="28"/>
  <c r="AJ24" i="27"/>
  <c r="DI62" i="31" l="1"/>
  <c r="DI68" i="31"/>
  <c r="DI15" i="31"/>
  <c r="DI27" i="31"/>
  <c r="DI53" i="31"/>
  <c r="DI60" i="31"/>
  <c r="DI13" i="31"/>
  <c r="DI36" i="31"/>
  <c r="DI42" i="31"/>
  <c r="DI61" i="31"/>
  <c r="DI24" i="31"/>
  <c r="DI28" i="31"/>
  <c r="DI65" i="31"/>
  <c r="DI51" i="31"/>
  <c r="DI47" i="31"/>
  <c r="DI52" i="31"/>
  <c r="DI57" i="31"/>
  <c r="DI12" i="31"/>
  <c r="DI16" i="31"/>
  <c r="DI32" i="31"/>
  <c r="DI17" i="31"/>
  <c r="DI35" i="31"/>
  <c r="DI6" i="31"/>
  <c r="DI18" i="31"/>
  <c r="DI44" i="31"/>
  <c r="DI54" i="31"/>
  <c r="DI7" i="31"/>
  <c r="DI20" i="31"/>
  <c r="DI33" i="31"/>
  <c r="DI41" i="31"/>
  <c r="DI45" i="31"/>
  <c r="DI5" i="31"/>
  <c r="DI69" i="31"/>
  <c r="DI38" i="31"/>
  <c r="DI10" i="31"/>
  <c r="DI8" i="31"/>
  <c r="DI23" i="31"/>
  <c r="DI39" i="31"/>
  <c r="DI50" i="31"/>
  <c r="DI40" i="31"/>
  <c r="DI3" i="31"/>
  <c r="DI59" i="31"/>
  <c r="DI55" i="31"/>
  <c r="CM3" i="29"/>
  <c r="CM4" i="29"/>
  <c r="CM5" i="29"/>
  <c r="CM6" i="29"/>
  <c r="CM7" i="29"/>
  <c r="DA6" i="30"/>
  <c r="DA16" i="30"/>
  <c r="DA15" i="30"/>
  <c r="DC7" i="30" s="1"/>
  <c r="BJ40" i="36"/>
  <c r="BJ35" i="36"/>
  <c r="BK35" i="36" s="1"/>
  <c r="BJ37" i="36"/>
  <c r="BJ41" i="36"/>
  <c r="BJ31" i="36"/>
  <c r="BJ49" i="36"/>
  <c r="BJ50" i="36"/>
  <c r="DZ11" i="30"/>
  <c r="DZ9" i="30"/>
  <c r="DZ6" i="30"/>
  <c r="DZ5" i="30"/>
  <c r="DZ4" i="30"/>
  <c r="DZ8" i="30"/>
  <c r="DZ3" i="30"/>
  <c r="DZ10" i="30"/>
  <c r="DZ7" i="30"/>
  <c r="DL3" i="29"/>
  <c r="DL14" i="29"/>
  <c r="DL13" i="29"/>
  <c r="DL12" i="29"/>
  <c r="DL10" i="29"/>
  <c r="DL9" i="29"/>
  <c r="DL8" i="29"/>
  <c r="DL7" i="29"/>
  <c r="DL6" i="29"/>
  <c r="DL4" i="29"/>
  <c r="DL11" i="29"/>
  <c r="DL5" i="29"/>
  <c r="FM60" i="31"/>
  <c r="FM48" i="31"/>
  <c r="FM36" i="31"/>
  <c r="FM24" i="31"/>
  <c r="FM12" i="31"/>
  <c r="FM59" i="31"/>
  <c r="FM47" i="31"/>
  <c r="FM35" i="31"/>
  <c r="FM23" i="31"/>
  <c r="FM11" i="31"/>
  <c r="FM70" i="31"/>
  <c r="FM58" i="31"/>
  <c r="FM46" i="31"/>
  <c r="FM34" i="31"/>
  <c r="FM22" i="31"/>
  <c r="FM10" i="31"/>
  <c r="FM69" i="31"/>
  <c r="FM57" i="31"/>
  <c r="FM45" i="31"/>
  <c r="FM33" i="31"/>
  <c r="FM21" i="31"/>
  <c r="FM9" i="31"/>
  <c r="FM67" i="31"/>
  <c r="FM55" i="31"/>
  <c r="FM43" i="31"/>
  <c r="FM31" i="31"/>
  <c r="FM19" i="31"/>
  <c r="FM7" i="31"/>
  <c r="FM66" i="31"/>
  <c r="FM54" i="31"/>
  <c r="FM42" i="31"/>
  <c r="FM30" i="31"/>
  <c r="FM18" i="31"/>
  <c r="FM6" i="31"/>
  <c r="FM65" i="31"/>
  <c r="FM53" i="31"/>
  <c r="FM41" i="31"/>
  <c r="FM29" i="31"/>
  <c r="FM17" i="31"/>
  <c r="FM5" i="31"/>
  <c r="FM64" i="31"/>
  <c r="FM52" i="31"/>
  <c r="FM40" i="31"/>
  <c r="FM28" i="31"/>
  <c r="FM16" i="31"/>
  <c r="FM4" i="31"/>
  <c r="FM63" i="31"/>
  <c r="FM51" i="31"/>
  <c r="FM39" i="31"/>
  <c r="FM27" i="31"/>
  <c r="FM15" i="31"/>
  <c r="FM3" i="31"/>
  <c r="FM61" i="31"/>
  <c r="FM49" i="31"/>
  <c r="FM37" i="31"/>
  <c r="FM25" i="31"/>
  <c r="FM13" i="31"/>
  <c r="FM62" i="31"/>
  <c r="FM56" i="31"/>
  <c r="FM50" i="31"/>
  <c r="FM44" i="31"/>
  <c r="FM38" i="31"/>
  <c r="FM32" i="31"/>
  <c r="FM26" i="31"/>
  <c r="FM20" i="31"/>
  <c r="FM14" i="31"/>
  <c r="FM8" i="31"/>
  <c r="FM68" i="31"/>
  <c r="DA26" i="27"/>
  <c r="DQ26" i="27"/>
  <c r="DI30" i="31"/>
  <c r="DI19" i="31"/>
  <c r="DI22" i="31"/>
  <c r="DI56" i="31"/>
  <c r="DI48" i="31"/>
  <c r="DI31" i="31"/>
  <c r="DI34" i="31"/>
  <c r="DP47" i="31"/>
  <c r="DP45" i="31"/>
  <c r="DP43" i="31"/>
  <c r="DP66" i="31"/>
  <c r="DP4" i="31"/>
  <c r="DP13" i="31"/>
  <c r="DP68" i="31"/>
  <c r="DP35" i="31"/>
  <c r="DP33" i="31"/>
  <c r="DP31" i="31"/>
  <c r="DP53" i="31"/>
  <c r="DP39" i="31"/>
  <c r="DP60" i="31"/>
  <c r="DP63" i="31"/>
  <c r="DP23" i="31"/>
  <c r="DP21" i="31"/>
  <c r="DP19" i="31"/>
  <c r="DP41" i="31"/>
  <c r="DP3" i="31"/>
  <c r="DP37" i="31"/>
  <c r="DP49" i="31"/>
  <c r="DP11" i="31"/>
  <c r="DP9" i="31"/>
  <c r="DP7" i="31"/>
  <c r="DP29" i="31"/>
  <c r="DP25" i="31"/>
  <c r="DP26" i="31"/>
  <c r="DP58" i="31"/>
  <c r="DP69" i="31"/>
  <c r="DP67" i="31"/>
  <c r="DP17" i="31"/>
  <c r="DP24" i="31"/>
  <c r="DP38" i="31"/>
  <c r="DP70" i="31"/>
  <c r="DP46" i="31"/>
  <c r="DP56" i="31"/>
  <c r="DP54" i="31"/>
  <c r="DP5" i="31"/>
  <c r="DP48" i="31"/>
  <c r="DP36" i="31"/>
  <c r="DP28" i="31"/>
  <c r="DP34" i="31"/>
  <c r="DP44" i="31"/>
  <c r="DP42" i="31"/>
  <c r="DP27" i="31"/>
  <c r="DP62" i="31"/>
  <c r="DP22" i="31"/>
  <c r="DP32" i="31"/>
  <c r="DP30" i="31"/>
  <c r="DP65" i="31"/>
  <c r="DP14" i="31"/>
  <c r="DP10" i="31"/>
  <c r="DP20" i="31"/>
  <c r="DP18" i="31"/>
  <c r="DP52" i="31"/>
  <c r="DP12" i="31"/>
  <c r="DP51" i="31"/>
  <c r="DP8" i="31"/>
  <c r="DP6" i="31"/>
  <c r="DP40" i="31"/>
  <c r="DP50" i="31"/>
  <c r="DP59" i="31"/>
  <c r="DP57" i="31"/>
  <c r="DP55" i="31"/>
  <c r="DP15" i="31"/>
  <c r="DP16" i="31"/>
  <c r="DP61" i="31"/>
  <c r="DP64" i="31"/>
  <c r="DI63" i="31"/>
  <c r="DI43" i="31"/>
  <c r="DI46" i="31"/>
  <c r="CD43" i="28"/>
  <c r="CE4" i="28" s="1"/>
  <c r="DY43" i="28"/>
  <c r="DI58" i="31"/>
  <c r="DI70" i="31"/>
  <c r="DI4" i="31"/>
  <c r="DI11" i="31"/>
  <c r="DI49" i="31"/>
  <c r="DI9" i="31"/>
  <c r="DI26" i="31"/>
  <c r="DI37" i="31"/>
  <c r="DI29" i="31"/>
  <c r="DI21" i="31"/>
  <c r="Z54" i="36"/>
  <c r="Z55" i="36" s="1"/>
  <c r="AA3" i="36" s="1"/>
  <c r="CN19" i="29"/>
  <c r="CN18" i="29"/>
  <c r="CE9" i="28"/>
  <c r="CE12" i="28"/>
  <c r="DD15" i="27"/>
  <c r="DD3" i="27"/>
  <c r="DD14" i="27"/>
  <c r="DD12" i="27"/>
  <c r="DD18" i="27"/>
  <c r="DD13" i="27"/>
  <c r="DD17" i="27"/>
  <c r="DD16" i="27"/>
  <c r="DD5" i="27"/>
  <c r="DD22" i="27"/>
  <c r="DD4" i="27"/>
  <c r="DD21" i="27"/>
  <c r="DD20" i="27"/>
  <c r="DD19" i="27"/>
  <c r="DD11" i="27"/>
  <c r="DD10" i="27"/>
  <c r="DD6" i="27"/>
  <c r="DD23" i="27"/>
  <c r="DD9" i="27"/>
  <c r="DD8" i="27"/>
  <c r="DD7" i="27"/>
  <c r="BY18" i="27"/>
  <c r="CL18" i="27"/>
  <c r="DC18" i="27"/>
  <c r="DG18" i="27"/>
  <c r="DT18" i="27"/>
  <c r="DV18" i="27"/>
  <c r="BY23" i="27"/>
  <c r="CL23" i="27"/>
  <c r="DC23" i="27"/>
  <c r="DG23" i="27"/>
  <c r="DT23" i="27"/>
  <c r="DV23" i="27"/>
  <c r="CO9" i="29" l="1"/>
  <c r="CO11" i="29"/>
  <c r="CO10" i="29"/>
  <c r="CO13" i="29"/>
  <c r="CO14" i="29"/>
  <c r="CE17" i="28"/>
  <c r="CE13" i="28"/>
  <c r="CE18" i="28"/>
  <c r="CE3" i="28"/>
  <c r="CE19" i="28"/>
  <c r="CE15" i="28"/>
  <c r="CE27" i="28"/>
  <c r="CE10" i="28"/>
  <c r="CE22" i="28"/>
  <c r="CE28" i="28"/>
  <c r="CE20" i="28"/>
  <c r="CE29" i="28"/>
  <c r="CE32" i="28"/>
  <c r="CE21" i="28"/>
  <c r="CE40" i="28"/>
  <c r="CE35" i="28"/>
  <c r="CE16" i="28"/>
  <c r="CE11" i="28"/>
  <c r="CE7" i="28"/>
  <c r="CE26" i="28"/>
  <c r="CE23" i="28"/>
  <c r="CE24" i="28"/>
  <c r="CE5" i="28"/>
  <c r="CF43" i="28" s="1"/>
  <c r="CE31" i="28"/>
  <c r="CE30" i="28"/>
  <c r="CE6" i="28"/>
  <c r="DI74" i="31"/>
  <c r="DL18" i="29"/>
  <c r="DZ15" i="30"/>
  <c r="DZ16" i="30"/>
  <c r="EB5" i="30" s="1"/>
  <c r="BJ54" i="36"/>
  <c r="DC11" i="30"/>
  <c r="DC6" i="30"/>
  <c r="DC4" i="30"/>
  <c r="DC5" i="30"/>
  <c r="DC9" i="30"/>
  <c r="DC10" i="30"/>
  <c r="DC3" i="30"/>
  <c r="DP75" i="31"/>
  <c r="DP74" i="31"/>
  <c r="DR69" i="31" s="1"/>
  <c r="EK22" i="27"/>
  <c r="EK10" i="27"/>
  <c r="EK21" i="27"/>
  <c r="EK9" i="27"/>
  <c r="EK20" i="27"/>
  <c r="EK8" i="27"/>
  <c r="EK19" i="27"/>
  <c r="EK7" i="27"/>
  <c r="EK17" i="27"/>
  <c r="EK5" i="27"/>
  <c r="EK16" i="27"/>
  <c r="EK4" i="27"/>
  <c r="EK15" i="27"/>
  <c r="EK3" i="27"/>
  <c r="EK14" i="27"/>
  <c r="EK13" i="27"/>
  <c r="EK23" i="27"/>
  <c r="EK11" i="27"/>
  <c r="EK6" i="27"/>
  <c r="EK12" i="27"/>
  <c r="EK18" i="27"/>
  <c r="CE25" i="28"/>
  <c r="CE33" i="28"/>
  <c r="CE36" i="28"/>
  <c r="CE37" i="28"/>
  <c r="DZ29" i="28"/>
  <c r="DZ17" i="28"/>
  <c r="DZ5" i="28"/>
  <c r="DZ40" i="28"/>
  <c r="DZ28" i="28"/>
  <c r="DZ16" i="28"/>
  <c r="DZ4" i="28"/>
  <c r="DZ39" i="28"/>
  <c r="DZ27" i="28"/>
  <c r="DZ15" i="28"/>
  <c r="DZ3" i="28"/>
  <c r="DZ38" i="28"/>
  <c r="DZ26" i="28"/>
  <c r="DZ14" i="28"/>
  <c r="DZ36" i="28"/>
  <c r="DZ24" i="28"/>
  <c r="DZ12" i="28"/>
  <c r="DZ35" i="28"/>
  <c r="DZ23" i="28"/>
  <c r="DZ11" i="28"/>
  <c r="DZ34" i="28"/>
  <c r="DZ22" i="28"/>
  <c r="DZ10" i="28"/>
  <c r="DZ33" i="28"/>
  <c r="DZ21" i="28"/>
  <c r="DZ9" i="28"/>
  <c r="DZ32" i="28"/>
  <c r="DZ20" i="28"/>
  <c r="DZ8" i="28"/>
  <c r="DZ30" i="28"/>
  <c r="DZ18" i="28"/>
  <c r="DZ6" i="28"/>
  <c r="DZ13" i="28"/>
  <c r="DZ31" i="28"/>
  <c r="DZ37" i="28"/>
  <c r="DZ25" i="28"/>
  <c r="DZ19" i="28"/>
  <c r="DZ7" i="28"/>
  <c r="FN75" i="31"/>
  <c r="FN74" i="31"/>
  <c r="DI75" i="31"/>
  <c r="DK36" i="31" s="1"/>
  <c r="CE34" i="28"/>
  <c r="CE38" i="28"/>
  <c r="CE39" i="28"/>
  <c r="CE14" i="28"/>
  <c r="CE8" i="28"/>
  <c r="CF44" i="28" s="1"/>
  <c r="AA41" i="36"/>
  <c r="AA40" i="36"/>
  <c r="AA38" i="36"/>
  <c r="AA37" i="36"/>
  <c r="AA4" i="36"/>
  <c r="AA31" i="36"/>
  <c r="AA49" i="36"/>
  <c r="AA51" i="36"/>
  <c r="AA28" i="36"/>
  <c r="AA39" i="36"/>
  <c r="CO6" i="29"/>
  <c r="CO3" i="29"/>
  <c r="DC8" i="30"/>
  <c r="CO8" i="29"/>
  <c r="CO7" i="29"/>
  <c r="DE27" i="27"/>
  <c r="DE26" i="27"/>
  <c r="CO5" i="29"/>
  <c r="CO4" i="29"/>
  <c r="CO12" i="29"/>
  <c r="AL13" i="34"/>
  <c r="AK13" i="34"/>
  <c r="AI13" i="34"/>
  <c r="AH13" i="34"/>
  <c r="AG13" i="34"/>
  <c r="AF13" i="34"/>
  <c r="AE13" i="34"/>
  <c r="AD13" i="34"/>
  <c r="AL6" i="34"/>
  <c r="AK6" i="34"/>
  <c r="AJ6" i="34"/>
  <c r="AF6" i="34"/>
  <c r="AM13" i="34" l="1"/>
  <c r="C8" i="34" s="1"/>
  <c r="E8" i="34" s="1"/>
  <c r="AM6" i="34"/>
  <c r="AM14" i="34" s="1"/>
  <c r="DR27" i="31"/>
  <c r="DR25" i="31"/>
  <c r="DR28" i="31"/>
  <c r="DR5" i="31"/>
  <c r="DR68" i="31"/>
  <c r="DR3" i="31"/>
  <c r="DR37" i="31"/>
  <c r="DR24" i="31"/>
  <c r="DR51" i="31"/>
  <c r="DR29" i="31"/>
  <c r="DR42" i="31"/>
  <c r="DR54" i="31"/>
  <c r="DR30" i="31"/>
  <c r="DF20" i="27"/>
  <c r="DF17" i="27"/>
  <c r="DF21" i="27"/>
  <c r="FO10" i="31"/>
  <c r="FO44" i="31"/>
  <c r="DR50" i="31"/>
  <c r="DR14" i="31"/>
  <c r="DR64" i="31"/>
  <c r="DR46" i="31"/>
  <c r="FO22" i="31"/>
  <c r="FO31" i="31"/>
  <c r="DR16" i="31"/>
  <c r="DR31" i="31"/>
  <c r="FO60" i="31"/>
  <c r="DR40" i="31"/>
  <c r="DR48" i="31"/>
  <c r="DR21" i="31"/>
  <c r="DR4" i="31"/>
  <c r="DR12" i="31"/>
  <c r="DR9" i="31"/>
  <c r="DR43" i="31"/>
  <c r="DR57" i="31"/>
  <c r="FO32" i="31"/>
  <c r="FO38" i="31"/>
  <c r="DR11" i="31"/>
  <c r="DR49" i="31"/>
  <c r="DR62" i="31"/>
  <c r="DR67" i="31"/>
  <c r="DR45" i="31"/>
  <c r="DR58" i="31"/>
  <c r="DR19" i="31"/>
  <c r="DR34" i="31"/>
  <c r="DR22" i="31"/>
  <c r="DR6" i="31"/>
  <c r="DR56" i="31"/>
  <c r="DR32" i="31"/>
  <c r="DR66" i="31"/>
  <c r="DR33" i="31"/>
  <c r="DR35" i="31"/>
  <c r="DR38" i="31"/>
  <c r="DR8" i="31"/>
  <c r="DR47" i="31"/>
  <c r="DR63" i="31"/>
  <c r="DR55" i="31"/>
  <c r="DN3" i="29"/>
  <c r="EG3" i="29" s="1"/>
  <c r="EB6" i="30"/>
  <c r="EC6" i="30" s="1"/>
  <c r="EB4" i="30"/>
  <c r="EC4" i="30" s="1"/>
  <c r="EB9" i="30"/>
  <c r="EC9" i="30" s="1"/>
  <c r="EB8" i="30"/>
  <c r="EC8" i="30" s="1"/>
  <c r="EB11" i="30"/>
  <c r="C4" i="34"/>
  <c r="E4" i="34" s="1"/>
  <c r="DF18" i="27"/>
  <c r="DF11" i="27"/>
  <c r="CG34" i="28"/>
  <c r="FO55" i="31"/>
  <c r="FO51" i="31"/>
  <c r="FO11" i="31"/>
  <c r="FO45" i="31"/>
  <c r="FO59" i="31"/>
  <c r="FO63" i="31"/>
  <c r="FO46" i="31"/>
  <c r="DR39" i="31"/>
  <c r="EC11" i="30"/>
  <c r="EC5" i="30"/>
  <c r="EB7" i="30"/>
  <c r="EC7" i="30" s="1"/>
  <c r="EB10" i="30"/>
  <c r="EC10" i="30" s="1"/>
  <c r="EB3" i="30"/>
  <c r="EC3" i="30" s="1"/>
  <c r="DN14" i="29"/>
  <c r="EG14" i="29" s="1"/>
  <c r="DN5" i="29"/>
  <c r="EG5" i="29" s="1"/>
  <c r="DN11" i="29"/>
  <c r="EG11" i="29" s="1"/>
  <c r="DN4" i="29"/>
  <c r="EG4" i="29" s="1"/>
  <c r="DN6" i="29"/>
  <c r="EG6" i="29" s="1"/>
  <c r="DN7" i="29"/>
  <c r="EG7" i="29" s="1"/>
  <c r="DN9" i="29"/>
  <c r="EG9" i="29" s="1"/>
  <c r="DN10" i="29"/>
  <c r="EG10" i="29" s="1"/>
  <c r="DN12" i="29"/>
  <c r="EG12" i="29" s="1"/>
  <c r="DN13" i="29"/>
  <c r="EG13" i="29" s="1"/>
  <c r="DN8" i="29"/>
  <c r="EG8" i="29" s="1"/>
  <c r="DK18" i="31"/>
  <c r="DK24" i="31"/>
  <c r="EM24" i="31" s="1"/>
  <c r="DK68" i="31"/>
  <c r="EM68" i="31" s="1"/>
  <c r="DF4" i="27"/>
  <c r="DF22" i="27"/>
  <c r="DK49" i="31"/>
  <c r="EM49" i="31" s="1"/>
  <c r="DK70" i="31"/>
  <c r="DK38" i="31"/>
  <c r="DK25" i="31"/>
  <c r="EM25" i="31" s="1"/>
  <c r="DK64" i="31"/>
  <c r="FO39" i="31"/>
  <c r="FO34" i="31"/>
  <c r="FO47" i="31"/>
  <c r="FO53" i="31"/>
  <c r="DK5" i="31"/>
  <c r="EM5" i="31" s="1"/>
  <c r="DK3" i="31"/>
  <c r="EM3" i="31" s="1"/>
  <c r="DF9" i="27"/>
  <c r="DK31" i="31"/>
  <c r="EM31" i="31" s="1"/>
  <c r="DK7" i="31"/>
  <c r="DK41" i="31"/>
  <c r="DK39" i="31"/>
  <c r="FO29" i="31"/>
  <c r="FO70" i="31"/>
  <c r="FO65" i="31"/>
  <c r="FO42" i="31"/>
  <c r="FO23" i="31"/>
  <c r="FO9" i="31"/>
  <c r="FO50" i="31"/>
  <c r="DK19" i="31"/>
  <c r="DK66" i="31"/>
  <c r="EM66" i="31" s="1"/>
  <c r="DK55" i="31"/>
  <c r="DK21" i="31"/>
  <c r="DK52" i="31"/>
  <c r="FO27" i="31"/>
  <c r="FO36" i="31"/>
  <c r="FO24" i="31"/>
  <c r="FO40" i="31"/>
  <c r="FO35" i="31"/>
  <c r="FO21" i="31"/>
  <c r="FO6" i="31"/>
  <c r="DK17" i="31"/>
  <c r="FO37" i="31"/>
  <c r="FO33" i="31"/>
  <c r="FO18" i="31"/>
  <c r="FO4" i="31"/>
  <c r="DK20" i="31"/>
  <c r="DK44" i="31"/>
  <c r="DK34" i="31"/>
  <c r="DK42" i="31"/>
  <c r="DK16" i="31"/>
  <c r="EM16" i="31" s="1"/>
  <c r="DK56" i="31"/>
  <c r="DK67" i="31"/>
  <c r="DF13" i="27"/>
  <c r="DK57" i="31"/>
  <c r="DK29" i="31"/>
  <c r="FO19" i="31"/>
  <c r="FO7" i="31"/>
  <c r="FO12" i="31"/>
  <c r="FO57" i="31"/>
  <c r="FO8" i="31"/>
  <c r="FO30" i="31"/>
  <c r="FO16" i="31"/>
  <c r="FO62" i="31"/>
  <c r="DR13" i="31"/>
  <c r="DK27" i="31"/>
  <c r="EM27" i="31" s="1"/>
  <c r="DK28" i="31"/>
  <c r="EM28" i="31" s="1"/>
  <c r="DK43" i="31"/>
  <c r="DK9" i="31"/>
  <c r="DK30" i="31"/>
  <c r="EM30" i="31" s="1"/>
  <c r="DK23" i="31"/>
  <c r="DK15" i="31"/>
  <c r="DK8" i="31"/>
  <c r="FO17" i="31"/>
  <c r="FO5" i="31"/>
  <c r="FO69" i="31"/>
  <c r="FO54" i="31"/>
  <c r="FO28" i="31"/>
  <c r="FO13" i="31"/>
  <c r="DK4" i="31"/>
  <c r="DK54" i="31"/>
  <c r="DK26" i="31"/>
  <c r="DK11" i="31"/>
  <c r="DK14" i="31"/>
  <c r="DK32" i="31"/>
  <c r="DK13" i="31"/>
  <c r="DK53" i="31"/>
  <c r="DK10" i="31"/>
  <c r="FO15" i="31"/>
  <c r="FO66" i="31"/>
  <c r="FO52" i="31"/>
  <c r="EA44" i="28"/>
  <c r="EA43" i="28"/>
  <c r="FO25" i="31"/>
  <c r="DR20" i="31"/>
  <c r="DR17" i="31"/>
  <c r="DK58" i="31"/>
  <c r="EM58" i="31" s="1"/>
  <c r="DK62" i="31"/>
  <c r="FO64" i="31"/>
  <c r="FO49" i="31"/>
  <c r="FO68" i="31"/>
  <c r="DR15" i="31"/>
  <c r="DR44" i="31"/>
  <c r="DK60" i="31"/>
  <c r="DK6" i="31"/>
  <c r="FO3" i="31"/>
  <c r="FO61" i="31"/>
  <c r="FO14" i="31"/>
  <c r="DR41" i="31"/>
  <c r="DR52" i="31"/>
  <c r="EL27" i="27"/>
  <c r="EL26" i="27"/>
  <c r="DK61" i="31"/>
  <c r="CG39" i="28"/>
  <c r="DK47" i="31"/>
  <c r="DK65" i="31"/>
  <c r="DK48" i="31"/>
  <c r="DK22" i="31"/>
  <c r="DK33" i="31"/>
  <c r="DK50" i="31"/>
  <c r="EM50" i="31" s="1"/>
  <c r="FO43" i="31"/>
  <c r="FO67" i="31"/>
  <c r="FO26" i="31"/>
  <c r="FO20" i="31"/>
  <c r="FO56" i="31"/>
  <c r="DR65" i="31"/>
  <c r="DR23" i="31"/>
  <c r="DR36" i="31"/>
  <c r="EM36" i="31" s="1"/>
  <c r="FO58" i="31"/>
  <c r="DR61" i="31"/>
  <c r="AA54" i="36"/>
  <c r="DK37" i="31"/>
  <c r="EM37" i="31" s="1"/>
  <c r="DK35" i="31"/>
  <c r="DK45" i="31"/>
  <c r="DK69" i="31"/>
  <c r="EM69" i="31" s="1"/>
  <c r="FP69" i="31" s="1"/>
  <c r="DK46" i="31"/>
  <c r="EM46" i="31" s="1"/>
  <c r="FP46" i="31" s="1"/>
  <c r="DK63" i="31"/>
  <c r="DK12" i="31"/>
  <c r="DK59" i="31"/>
  <c r="DK40" i="31"/>
  <c r="FO41" i="31"/>
  <c r="FO48" i="31"/>
  <c r="DR70" i="31"/>
  <c r="DR53" i="31"/>
  <c r="DR7" i="31"/>
  <c r="DR60" i="31"/>
  <c r="DR18" i="31"/>
  <c r="DR59" i="31"/>
  <c r="DR26" i="31"/>
  <c r="DR10" i="31"/>
  <c r="DK51" i="31"/>
  <c r="DF10" i="27"/>
  <c r="DF6" i="27"/>
  <c r="DF7" i="27"/>
  <c r="CG38" i="28"/>
  <c r="CG20" i="28"/>
  <c r="DF12" i="27"/>
  <c r="CG37" i="28"/>
  <c r="CG32" i="28"/>
  <c r="CG16" i="28"/>
  <c r="CG3" i="28"/>
  <c r="CG33" i="28"/>
  <c r="CG28" i="28"/>
  <c r="CG23" i="28"/>
  <c r="CG21" i="28"/>
  <c r="CG4" i="28"/>
  <c r="CG24" i="28"/>
  <c r="CG27" i="28"/>
  <c r="CG30" i="28"/>
  <c r="CG22" i="28"/>
  <c r="CG35" i="28"/>
  <c r="CG8" i="28"/>
  <c r="CG7" i="28"/>
  <c r="CG26" i="28"/>
  <c r="CG25" i="28"/>
  <c r="CG40" i="28"/>
  <c r="CG14" i="28"/>
  <c r="CG12" i="28"/>
  <c r="CG19" i="28"/>
  <c r="CG29" i="28"/>
  <c r="CG9" i="28"/>
  <c r="CG10" i="28"/>
  <c r="CG17" i="28"/>
  <c r="CG11" i="28"/>
  <c r="CG18" i="28"/>
  <c r="DF3" i="27"/>
  <c r="CG13" i="28"/>
  <c r="CG31" i="28"/>
  <c r="DF16" i="27"/>
  <c r="CG36" i="28"/>
  <c r="CG6" i="28"/>
  <c r="DF15" i="27"/>
  <c r="DF19" i="27"/>
  <c r="CG5" i="28"/>
  <c r="DF8" i="27"/>
  <c r="CG15" i="28"/>
  <c r="DF5" i="27"/>
  <c r="DF23" i="27"/>
  <c r="DF14" i="27"/>
  <c r="C12" i="34" l="1"/>
  <c r="EM56" i="31"/>
  <c r="EM34" i="31"/>
  <c r="FP34" i="31" s="1"/>
  <c r="EM54" i="31"/>
  <c r="EM9" i="31"/>
  <c r="EM51" i="31"/>
  <c r="EM4" i="31"/>
  <c r="EM43" i="31"/>
  <c r="FP43" i="31" s="1"/>
  <c r="EM29" i="31"/>
  <c r="EM55" i="31"/>
  <c r="FP55" i="31" s="1"/>
  <c r="EM64" i="31"/>
  <c r="FP64" i="31" s="1"/>
  <c r="EM12" i="31"/>
  <c r="FP12" i="31" s="1"/>
  <c r="EM47" i="31"/>
  <c r="FP47" i="31" s="1"/>
  <c r="EM57" i="31"/>
  <c r="EM42" i="31"/>
  <c r="EM14" i="31"/>
  <c r="EM63" i="31"/>
  <c r="EM19" i="31"/>
  <c r="FP63" i="31"/>
  <c r="FP27" i="31"/>
  <c r="FP42" i="31"/>
  <c r="FP51" i="31"/>
  <c r="FP36" i="31"/>
  <c r="FP4" i="31"/>
  <c r="FP29" i="31"/>
  <c r="FP31" i="31"/>
  <c r="EM67" i="31"/>
  <c r="FP67" i="31" s="1"/>
  <c r="EM62" i="31"/>
  <c r="FP62" i="31" s="1"/>
  <c r="EM32" i="31"/>
  <c r="FP32" i="31" s="1"/>
  <c r="FP50" i="31"/>
  <c r="EM33" i="31"/>
  <c r="FP33" i="31" s="1"/>
  <c r="EM11" i="31"/>
  <c r="FP11" i="31" s="1"/>
  <c r="EM35" i="31"/>
  <c r="FP35" i="31" s="1"/>
  <c r="EM13" i="31"/>
  <c r="FP13" i="31" s="1"/>
  <c r="FP37" i="31"/>
  <c r="EM22" i="31"/>
  <c r="FP22" i="31" s="1"/>
  <c r="FP30" i="31"/>
  <c r="EM39" i="31"/>
  <c r="FP39" i="31" s="1"/>
  <c r="EM45" i="31"/>
  <c r="FP45" i="31" s="1"/>
  <c r="EM8" i="31"/>
  <c r="FP8" i="31" s="1"/>
  <c r="EM40" i="31"/>
  <c r="FP40" i="31" s="1"/>
  <c r="EM48" i="31"/>
  <c r="FP48" i="31" s="1"/>
  <c r="EM6" i="31"/>
  <c r="FP6" i="31" s="1"/>
  <c r="FP54" i="31"/>
  <c r="FP9" i="31"/>
  <c r="EM21" i="31"/>
  <c r="FP21" i="31" s="1"/>
  <c r="EM38" i="31"/>
  <c r="FP38" i="31" s="1"/>
  <c r="BY3" i="30"/>
  <c r="BW4" i="30" s="1"/>
  <c r="BV4" i="30" s="1"/>
  <c r="EM9" i="27"/>
  <c r="EM13" i="27"/>
  <c r="EN13" i="27" s="1"/>
  <c r="EB13" i="28"/>
  <c r="EC13" i="28" s="1"/>
  <c r="EB11" i="28"/>
  <c r="EC11" i="28" s="1"/>
  <c r="EB23" i="28"/>
  <c r="EM16" i="27"/>
  <c r="EN16" i="27" s="1"/>
  <c r="EM17" i="27"/>
  <c r="EN17" i="27" s="1"/>
  <c r="EM7" i="27"/>
  <c r="EN7" i="27" s="1"/>
  <c r="EM6" i="27"/>
  <c r="EN6" i="27" s="1"/>
  <c r="EM19" i="27"/>
  <c r="EN19" i="27" s="1"/>
  <c r="EM11" i="27"/>
  <c r="EN11" i="27" s="1"/>
  <c r="EM8" i="27"/>
  <c r="EN8" i="27" s="1"/>
  <c r="EM60" i="31"/>
  <c r="FP60" i="31" s="1"/>
  <c r="EB40" i="28"/>
  <c r="EC40" i="28" s="1"/>
  <c r="EB20" i="28"/>
  <c r="EC20" i="28" s="1"/>
  <c r="EM53" i="31"/>
  <c r="FP53" i="31" s="1"/>
  <c r="EM15" i="31"/>
  <c r="FP15" i="31" s="1"/>
  <c r="FP57" i="31"/>
  <c r="EM17" i="31"/>
  <c r="FP17" i="31" s="1"/>
  <c r="FP66" i="31"/>
  <c r="FP19" i="31"/>
  <c r="FP5" i="31"/>
  <c r="CG3" i="29"/>
  <c r="EM10" i="31"/>
  <c r="FP10" i="31" s="1"/>
  <c r="EB24" i="28"/>
  <c r="EC24" i="28" s="1"/>
  <c r="FP25" i="31"/>
  <c r="EB27" i="28"/>
  <c r="EC27" i="28" s="1"/>
  <c r="EM12" i="27"/>
  <c r="EN12" i="27" s="1"/>
  <c r="EM18" i="27"/>
  <c r="EN18" i="27" s="1"/>
  <c r="EB5" i="28"/>
  <c r="EC5" i="28" s="1"/>
  <c r="EM21" i="27"/>
  <c r="EN21" i="27" s="1"/>
  <c r="EM70" i="31"/>
  <c r="FP70" i="31" s="1"/>
  <c r="EB39" i="28"/>
  <c r="EC39" i="28" s="1"/>
  <c r="EM65" i="31"/>
  <c r="FP65" i="31" s="1"/>
  <c r="EB34" i="28"/>
  <c r="EC34" i="28" s="1"/>
  <c r="EB15" i="28"/>
  <c r="EC15" i="28" s="1"/>
  <c r="EM23" i="31"/>
  <c r="FP23" i="31" s="1"/>
  <c r="EB36" i="28"/>
  <c r="EC36" i="28" s="1"/>
  <c r="EB8" i="28"/>
  <c r="EC8" i="28" s="1"/>
  <c r="EM14" i="27"/>
  <c r="EN14" i="27" s="1"/>
  <c r="FP49" i="31"/>
  <c r="EB29" i="28"/>
  <c r="EC29" i="28" s="1"/>
  <c r="EB17" i="28"/>
  <c r="EC17" i="28" s="1"/>
  <c r="EB32" i="28"/>
  <c r="EC32" i="28" s="1"/>
  <c r="BK54" i="36"/>
  <c r="BK55" i="36" s="1"/>
  <c r="BL24" i="36" s="1"/>
  <c r="EB6" i="28"/>
  <c r="EC6" i="28" s="1"/>
  <c r="EB31" i="28"/>
  <c r="EC31" i="28" s="1"/>
  <c r="FP14" i="31"/>
  <c r="EB38" i="28"/>
  <c r="EC38" i="28" s="1"/>
  <c r="EB26" i="28"/>
  <c r="EC26" i="28" s="1"/>
  <c r="FP56" i="31"/>
  <c r="EB14" i="28"/>
  <c r="EC14" i="28" s="1"/>
  <c r="EB16" i="28"/>
  <c r="EC16" i="28" s="1"/>
  <c r="EB22" i="28"/>
  <c r="EC22" i="28" s="1"/>
  <c r="EM59" i="31"/>
  <c r="FP59" i="31" s="1"/>
  <c r="EM61" i="31"/>
  <c r="FP61" i="31" s="1"/>
  <c r="EB3" i="28"/>
  <c r="EC3" i="28" s="1"/>
  <c r="EB33" i="28"/>
  <c r="EC33" i="28" s="1"/>
  <c r="EB21" i="28"/>
  <c r="EC21" i="28" s="1"/>
  <c r="FP16" i="31"/>
  <c r="EB9" i="28"/>
  <c r="EC9" i="28" s="1"/>
  <c r="EM22" i="27"/>
  <c r="EN22" i="27" s="1"/>
  <c r="EB35" i="28"/>
  <c r="EC35" i="28" s="1"/>
  <c r="FP68" i="31"/>
  <c r="EB4" i="28"/>
  <c r="EC4" i="28" s="1"/>
  <c r="EM3" i="27"/>
  <c r="EN3" i="27" s="1"/>
  <c r="EB10" i="28"/>
  <c r="EC10" i="28" s="1"/>
  <c r="EM26" i="31"/>
  <c r="FP26" i="31" s="1"/>
  <c r="EB25" i="28"/>
  <c r="EC25" i="28" s="1"/>
  <c r="FP28" i="31"/>
  <c r="EB19" i="28"/>
  <c r="EC19" i="28" s="1"/>
  <c r="EB7" i="28"/>
  <c r="EC7" i="28" s="1"/>
  <c r="EM15" i="27"/>
  <c r="EN15" i="27" s="1"/>
  <c r="EM41" i="31"/>
  <c r="FP41" i="31" s="1"/>
  <c r="EB30" i="28"/>
  <c r="EC30" i="28" s="1"/>
  <c r="FP24" i="31"/>
  <c r="EB37" i="28"/>
  <c r="EC37" i="28" s="1"/>
  <c r="EM52" i="31"/>
  <c r="FP52" i="31" s="1"/>
  <c r="EM7" i="31"/>
  <c r="FP7" i="31" s="1"/>
  <c r="FP58" i="31"/>
  <c r="EM10" i="27"/>
  <c r="EN10" i="27" s="1"/>
  <c r="EM44" i="31"/>
  <c r="FP44" i="31" s="1"/>
  <c r="EM4" i="27"/>
  <c r="EN4" i="27" s="1"/>
  <c r="EB12" i="28"/>
  <c r="EC12" i="28" s="1"/>
  <c r="EB18" i="28"/>
  <c r="EC18" i="28" s="1"/>
  <c r="EM23" i="27"/>
  <c r="EN23" i="27" s="1"/>
  <c r="EM20" i="31"/>
  <c r="FP20" i="31" s="1"/>
  <c r="EN9" i="27"/>
  <c r="EM18" i="31"/>
  <c r="FP18" i="31" s="1"/>
  <c r="EM20" i="27"/>
  <c r="EN20" i="27" s="1"/>
  <c r="EC23" i="28"/>
  <c r="EB28" i="28"/>
  <c r="EC28" i="28" s="1"/>
  <c r="EM5" i="27"/>
  <c r="EN5" i="27" s="1"/>
  <c r="FP3" i="31"/>
  <c r="ET70" i="31"/>
  <c r="ET69" i="31"/>
  <c r="ET68" i="31"/>
  <c r="ET67" i="31"/>
  <c r="ET66" i="31"/>
  <c r="ET65" i="31"/>
  <c r="ET64" i="31"/>
  <c r="ET63" i="31"/>
  <c r="ET62" i="31"/>
  <c r="ET61" i="31"/>
  <c r="ET60" i="31"/>
  <c r="ET59" i="31"/>
  <c r="ET58" i="31"/>
  <c r="ET57" i="31"/>
  <c r="ET56" i="31"/>
  <c r="ET55" i="31"/>
  <c r="ET54" i="31"/>
  <c r="ET53" i="31"/>
  <c r="ET52" i="31"/>
  <c r="ET51" i="31"/>
  <c r="ET50" i="31"/>
  <c r="ET49" i="31"/>
  <c r="ET48" i="31"/>
  <c r="ET47" i="31"/>
  <c r="ET46" i="31"/>
  <c r="ET45" i="31"/>
  <c r="ET44" i="31"/>
  <c r="ET43" i="31"/>
  <c r="ET41" i="31"/>
  <c r="ET40" i="31"/>
  <c r="ET39" i="31"/>
  <c r="ET38" i="31"/>
  <c r="ET37" i="31"/>
  <c r="ET36" i="31"/>
  <c r="ET35" i="31"/>
  <c r="ET34" i="31"/>
  <c r="ET33" i="31"/>
  <c r="ET32" i="31"/>
  <c r="ET31" i="31"/>
  <c r="ET30" i="31"/>
  <c r="ET29" i="31"/>
  <c r="ET28" i="31"/>
  <c r="ET27" i="31"/>
  <c r="ET26" i="31"/>
  <c r="ET25" i="31"/>
  <c r="ET24" i="31"/>
  <c r="ET23" i="31"/>
  <c r="ET22" i="31"/>
  <c r="ET21" i="31"/>
  <c r="ET20" i="31"/>
  <c r="ET19" i="31"/>
  <c r="ET18" i="31"/>
  <c r="ET17" i="31"/>
  <c r="ET16" i="31"/>
  <c r="ET15" i="31"/>
  <c r="ET14" i="31"/>
  <c r="ET13" i="31"/>
  <c r="ET12" i="31"/>
  <c r="ET11" i="31"/>
  <c r="ET10" i="31"/>
  <c r="ET9" i="31"/>
  <c r="ET8" i="31"/>
  <c r="ET7" i="31"/>
  <c r="ET6" i="31"/>
  <c r="ET5" i="31"/>
  <c r="ET4" i="31"/>
  <c r="ET3" i="31"/>
  <c r="DT70" i="31"/>
  <c r="DT69" i="31"/>
  <c r="DT68" i="31"/>
  <c r="DT67" i="31"/>
  <c r="DT66" i="31"/>
  <c r="DT65" i="31"/>
  <c r="DT64" i="31"/>
  <c r="DT63" i="31"/>
  <c r="DT62" i="31"/>
  <c r="DT61" i="31"/>
  <c r="DT60" i="31"/>
  <c r="DT59" i="31"/>
  <c r="DT58" i="31"/>
  <c r="DT57" i="31"/>
  <c r="DT56" i="31"/>
  <c r="DT55" i="31"/>
  <c r="DT54" i="31"/>
  <c r="DT53" i="31"/>
  <c r="DT52" i="31"/>
  <c r="DT51" i="31"/>
  <c r="DT50" i="31"/>
  <c r="DT49" i="31"/>
  <c r="DT48" i="31"/>
  <c r="DT47" i="31"/>
  <c r="DT46" i="31"/>
  <c r="DT45" i="31"/>
  <c r="DT44" i="31"/>
  <c r="DT43" i="31"/>
  <c r="DT41" i="31"/>
  <c r="DT40" i="31"/>
  <c r="DT39" i="31"/>
  <c r="DT38" i="31"/>
  <c r="DT37" i="31"/>
  <c r="DT36" i="31"/>
  <c r="DT35" i="31"/>
  <c r="DT34" i="31"/>
  <c r="DT33" i="31"/>
  <c r="DT32" i="31"/>
  <c r="DT31" i="31"/>
  <c r="DT30" i="31"/>
  <c r="DT29" i="31"/>
  <c r="DT28" i="31"/>
  <c r="DT27" i="31"/>
  <c r="DT26" i="31"/>
  <c r="DT25" i="31"/>
  <c r="DT24" i="31"/>
  <c r="DT23" i="31"/>
  <c r="DT22" i="31"/>
  <c r="DT21" i="31"/>
  <c r="DT20" i="31"/>
  <c r="DT19" i="31"/>
  <c r="DT18" i="31"/>
  <c r="DT17" i="31"/>
  <c r="DT16" i="31"/>
  <c r="DT15" i="31"/>
  <c r="DT14" i="31"/>
  <c r="DT13" i="31"/>
  <c r="DT12" i="31"/>
  <c r="DT11" i="31"/>
  <c r="DT10" i="31"/>
  <c r="DT9" i="31"/>
  <c r="DT8" i="31"/>
  <c r="DT7" i="31"/>
  <c r="DT6" i="31"/>
  <c r="DT5" i="31"/>
  <c r="DT4" i="31"/>
  <c r="DT3" i="31"/>
  <c r="CE70" i="31"/>
  <c r="CE69" i="31"/>
  <c r="CE68" i="31"/>
  <c r="CE67" i="31"/>
  <c r="CE66" i="31"/>
  <c r="CE65" i="31"/>
  <c r="CE64" i="31"/>
  <c r="CE63" i="31"/>
  <c r="CE62" i="31"/>
  <c r="CE61" i="31"/>
  <c r="CE60" i="31"/>
  <c r="CE59" i="31"/>
  <c r="CE58" i="31"/>
  <c r="CE57" i="31"/>
  <c r="CE56" i="31"/>
  <c r="CE55" i="31"/>
  <c r="CE54" i="31"/>
  <c r="CE53" i="31"/>
  <c r="CE52" i="31"/>
  <c r="CE51" i="31"/>
  <c r="CE50" i="31"/>
  <c r="CE49" i="31"/>
  <c r="CE48" i="31"/>
  <c r="CE47" i="31"/>
  <c r="CE46" i="31"/>
  <c r="CE45" i="31"/>
  <c r="CE44" i="31"/>
  <c r="CE43" i="31"/>
  <c r="CE41" i="31"/>
  <c r="CE40" i="31"/>
  <c r="CE39" i="31"/>
  <c r="CE38" i="31"/>
  <c r="CE37" i="31"/>
  <c r="CE36" i="31"/>
  <c r="CE35" i="31"/>
  <c r="CE34" i="31"/>
  <c r="CE33" i="31"/>
  <c r="CE32" i="31"/>
  <c r="CE31" i="31"/>
  <c r="CE30" i="31"/>
  <c r="CE29" i="31"/>
  <c r="CE28" i="31"/>
  <c r="CE27" i="31"/>
  <c r="CE26" i="31"/>
  <c r="CE25" i="31"/>
  <c r="CE24" i="31"/>
  <c r="CE23" i="31"/>
  <c r="CE22" i="31"/>
  <c r="CE21" i="31"/>
  <c r="CE20" i="31"/>
  <c r="CE19" i="31"/>
  <c r="CE18" i="31"/>
  <c r="CE17" i="31"/>
  <c r="CE16" i="31"/>
  <c r="CE15" i="31"/>
  <c r="CE14" i="31"/>
  <c r="CE13" i="31"/>
  <c r="CE12" i="31"/>
  <c r="CE11" i="31"/>
  <c r="CE10" i="31"/>
  <c r="CE9" i="31"/>
  <c r="CE8" i="31"/>
  <c r="CE7" i="31"/>
  <c r="CE6" i="31"/>
  <c r="CE5" i="31"/>
  <c r="CE4" i="31"/>
  <c r="CE3" i="31"/>
  <c r="DF11" i="30"/>
  <c r="DF10" i="30"/>
  <c r="DF9" i="30"/>
  <c r="DF8" i="30"/>
  <c r="DF7" i="30"/>
  <c r="DF6" i="30"/>
  <c r="DF5" i="30"/>
  <c r="DF4" i="30"/>
  <c r="DF3" i="30"/>
  <c r="CB11" i="30"/>
  <c r="CB10" i="30"/>
  <c r="CB9" i="30"/>
  <c r="CB8" i="30"/>
  <c r="CB7" i="30"/>
  <c r="CB6" i="30"/>
  <c r="CB5" i="30"/>
  <c r="CB4" i="30"/>
  <c r="CB3" i="30"/>
  <c r="DP14" i="29"/>
  <c r="DP13" i="29"/>
  <c r="DP12" i="29"/>
  <c r="DP11" i="29"/>
  <c r="DP10" i="29"/>
  <c r="DP9" i="29"/>
  <c r="DP8" i="29"/>
  <c r="DP7" i="29"/>
  <c r="DP5" i="29"/>
  <c r="DP4" i="29"/>
  <c r="DP3" i="29"/>
  <c r="CP14" i="29"/>
  <c r="CP13" i="29"/>
  <c r="CP12" i="29"/>
  <c r="CP11" i="29"/>
  <c r="CP10" i="29"/>
  <c r="CP9" i="29"/>
  <c r="CP8" i="29"/>
  <c r="CP7" i="29"/>
  <c r="CP5" i="29"/>
  <c r="CP4" i="29"/>
  <c r="CP3" i="29"/>
  <c r="DJ40" i="28"/>
  <c r="DJ39" i="28"/>
  <c r="DJ38" i="28"/>
  <c r="DJ37" i="28"/>
  <c r="DJ36" i="28"/>
  <c r="DJ35" i="28"/>
  <c r="DJ34" i="28"/>
  <c r="DJ33" i="28"/>
  <c r="DJ32" i="28"/>
  <c r="DJ31" i="28"/>
  <c r="DJ30" i="28"/>
  <c r="DJ29" i="28"/>
  <c r="DJ28" i="28"/>
  <c r="DJ27" i="28"/>
  <c r="DJ26" i="28"/>
  <c r="DJ25" i="28"/>
  <c r="DJ24" i="28"/>
  <c r="DJ23" i="28"/>
  <c r="DJ22" i="28"/>
  <c r="DJ21" i="28"/>
  <c r="DJ20" i="28"/>
  <c r="DJ19" i="28"/>
  <c r="DJ18" i="28"/>
  <c r="DJ17" i="28"/>
  <c r="DJ16" i="28"/>
  <c r="DJ15" i="28"/>
  <c r="DJ14" i="28"/>
  <c r="DJ13" i="28"/>
  <c r="DJ12" i="28"/>
  <c r="DJ11" i="28"/>
  <c r="DJ10" i="28"/>
  <c r="DJ9" i="28"/>
  <c r="DJ8" i="28"/>
  <c r="DJ7" i="28"/>
  <c r="DJ6" i="28"/>
  <c r="DJ4" i="28"/>
  <c r="DJ3" i="28"/>
  <c r="CM40" i="28"/>
  <c r="CM39" i="28"/>
  <c r="CM38" i="28"/>
  <c r="CM37" i="28"/>
  <c r="CM36" i="28"/>
  <c r="CM35" i="28"/>
  <c r="CM34" i="28"/>
  <c r="CM33" i="28"/>
  <c r="CM32" i="28"/>
  <c r="CM31" i="28"/>
  <c r="CM30" i="28"/>
  <c r="CM29" i="28"/>
  <c r="CM28" i="28"/>
  <c r="CM27" i="28"/>
  <c r="CM26" i="28"/>
  <c r="CM25" i="28"/>
  <c r="CM24" i="28"/>
  <c r="CM23" i="28"/>
  <c r="CM22" i="28"/>
  <c r="CM21" i="28"/>
  <c r="CM20" i="28"/>
  <c r="CM19" i="28"/>
  <c r="CM18" i="28"/>
  <c r="CM17" i="28"/>
  <c r="CM16" i="28"/>
  <c r="CM15" i="28"/>
  <c r="CM14" i="28"/>
  <c r="CM13" i="28"/>
  <c r="CM12" i="28"/>
  <c r="CM11" i="28"/>
  <c r="CM10" i="28"/>
  <c r="CM9" i="28"/>
  <c r="CM8" i="28"/>
  <c r="CM7" i="28"/>
  <c r="CM6" i="28"/>
  <c r="CM4" i="28"/>
  <c r="CM3" i="28"/>
  <c r="DV22" i="27"/>
  <c r="DV21" i="27"/>
  <c r="DV20" i="27"/>
  <c r="DV19" i="27"/>
  <c r="DV17" i="27"/>
  <c r="DV16" i="27"/>
  <c r="DV15" i="27"/>
  <c r="DV14" i="27"/>
  <c r="DV13" i="27"/>
  <c r="DV12" i="27"/>
  <c r="DV11" i="27"/>
  <c r="DV10" i="27"/>
  <c r="DV9" i="27"/>
  <c r="DV8" i="27"/>
  <c r="DV7" i="27"/>
  <c r="DV6" i="27"/>
  <c r="DV5" i="27"/>
  <c r="DV4" i="27"/>
  <c r="DV3" i="27"/>
  <c r="DG22" i="27"/>
  <c r="DG21" i="27"/>
  <c r="DG20" i="27"/>
  <c r="DG19" i="27"/>
  <c r="DG17" i="27"/>
  <c r="DG16" i="27"/>
  <c r="DG15" i="27"/>
  <c r="DG14" i="27"/>
  <c r="DG13" i="27"/>
  <c r="DG12" i="27"/>
  <c r="DG11" i="27"/>
  <c r="DG10" i="27"/>
  <c r="DG9" i="27"/>
  <c r="DG8" i="27"/>
  <c r="DG7" i="27"/>
  <c r="DG6" i="27"/>
  <c r="DG5" i="27"/>
  <c r="DG4" i="27"/>
  <c r="DG3" i="27"/>
  <c r="BW5" i="30" l="1"/>
  <c r="BV5" i="30" s="1"/>
  <c r="BV13" i="30" s="1"/>
  <c r="BY4" i="30" s="1"/>
  <c r="BS4" i="30" s="1"/>
  <c r="BZ32" i="31"/>
  <c r="BY32" i="31" s="1"/>
  <c r="C14" i="34"/>
  <c r="C27" i="34" s="1"/>
  <c r="D27" i="34" s="1"/>
  <c r="BW13" i="30"/>
  <c r="CE4" i="29"/>
  <c r="CD4" i="29" s="1"/>
  <c r="CE13" i="29"/>
  <c r="CD13" i="29" s="1"/>
  <c r="CE3" i="29"/>
  <c r="CU14" i="27"/>
  <c r="CT14" i="27" s="1"/>
  <c r="BX11" i="28"/>
  <c r="BW11" i="28" s="1"/>
  <c r="BL35" i="36"/>
  <c r="BL31" i="36"/>
  <c r="BL51" i="36"/>
  <c r="BL38" i="36"/>
  <c r="BL11" i="36"/>
  <c r="BL40" i="36"/>
  <c r="BL37" i="36"/>
  <c r="BL49" i="36"/>
  <c r="BL41" i="36"/>
  <c r="BL39" i="36"/>
  <c r="BL28" i="36"/>
  <c r="BL50" i="36"/>
  <c r="BL4" i="36"/>
  <c r="F21" i="34"/>
  <c r="F20" i="34"/>
  <c r="C13" i="34" l="1"/>
  <c r="D13" i="34" s="1"/>
  <c r="BZ19" i="31"/>
  <c r="BY19" i="31" s="1"/>
  <c r="BZ24" i="31"/>
  <c r="BY24" i="31" s="1"/>
  <c r="BZ54" i="31"/>
  <c r="BY54" i="31" s="1"/>
  <c r="BZ40" i="31"/>
  <c r="BY40" i="31" s="1"/>
  <c r="BZ22" i="31"/>
  <c r="BY22" i="31" s="1"/>
  <c r="BZ11" i="31"/>
  <c r="BY11" i="31" s="1"/>
  <c r="BZ27" i="31"/>
  <c r="BY27" i="31" s="1"/>
  <c r="BZ67" i="31"/>
  <c r="BY67" i="31" s="1"/>
  <c r="BZ70" i="31"/>
  <c r="BY70" i="31" s="1"/>
  <c r="BZ69" i="31"/>
  <c r="BY69" i="31" s="1"/>
  <c r="BZ58" i="31"/>
  <c r="BY58" i="31" s="1"/>
  <c r="BZ43" i="31"/>
  <c r="BY43" i="31" s="1"/>
  <c r="BZ6" i="31"/>
  <c r="BX19" i="28"/>
  <c r="BW19" i="28" s="1"/>
  <c r="BX31" i="28"/>
  <c r="BW31" i="28" s="1"/>
  <c r="BX21" i="28"/>
  <c r="BW21" i="28" s="1"/>
  <c r="CU19" i="27"/>
  <c r="CT19" i="27" s="1"/>
  <c r="CU7" i="27"/>
  <c r="CT7" i="27" s="1"/>
  <c r="CD3" i="29"/>
  <c r="CE15" i="29"/>
  <c r="BS5" i="30"/>
  <c r="N21" i="34"/>
  <c r="N20" i="34"/>
  <c r="BY6" i="31"/>
  <c r="BX3" i="28"/>
  <c r="BX15" i="28"/>
  <c r="BW15" i="28" s="1"/>
  <c r="BX35" i="28"/>
  <c r="BW35" i="28" s="1"/>
  <c r="CU4" i="27"/>
  <c r="BL54" i="36"/>
  <c r="BX20" i="28"/>
  <c r="BW20" i="28" s="1"/>
  <c r="BX12" i="28"/>
  <c r="BW12" i="28" s="1"/>
  <c r="ES70" i="31"/>
  <c r="EW70" i="31" s="1"/>
  <c r="ES69" i="31"/>
  <c r="EW69" i="31" s="1"/>
  <c r="ES68" i="31"/>
  <c r="EW68" i="31" s="1"/>
  <c r="ES67" i="31"/>
  <c r="EW67" i="31" s="1"/>
  <c r="ES66" i="31"/>
  <c r="EW66" i="31" s="1"/>
  <c r="ES65" i="31"/>
  <c r="EW65" i="31" s="1"/>
  <c r="ES64" i="31"/>
  <c r="EW64" i="31" s="1"/>
  <c r="ES63" i="31"/>
  <c r="EW63" i="31" s="1"/>
  <c r="ES62" i="31"/>
  <c r="EW62" i="31" s="1"/>
  <c r="ES61" i="31"/>
  <c r="EW61" i="31" s="1"/>
  <c r="ES60" i="31"/>
  <c r="EW60" i="31" s="1"/>
  <c r="ES59" i="31"/>
  <c r="EW59" i="31" s="1"/>
  <c r="ES58" i="31"/>
  <c r="EW58" i="31" s="1"/>
  <c r="ES57" i="31"/>
  <c r="EW57" i="31" s="1"/>
  <c r="ES56" i="31"/>
  <c r="EW56" i="31" s="1"/>
  <c r="ES55" i="31"/>
  <c r="EW55" i="31" s="1"/>
  <c r="ES54" i="31"/>
  <c r="EW54" i="31" s="1"/>
  <c r="ES53" i="31"/>
  <c r="EW53" i="31" s="1"/>
  <c r="ES52" i="31"/>
  <c r="EW52" i="31" s="1"/>
  <c r="ES51" i="31"/>
  <c r="EW51" i="31" s="1"/>
  <c r="ES50" i="31"/>
  <c r="EW50" i="31" s="1"/>
  <c r="ES49" i="31"/>
  <c r="EW49" i="31" s="1"/>
  <c r="ES48" i="31"/>
  <c r="EW48" i="31" s="1"/>
  <c r="ES47" i="31"/>
  <c r="EW47" i="31" s="1"/>
  <c r="ES46" i="31"/>
  <c r="EW46" i="31" s="1"/>
  <c r="ES45" i="31"/>
  <c r="EW45" i="31" s="1"/>
  <c r="ES44" i="31"/>
  <c r="EW44" i="31" s="1"/>
  <c r="ES43" i="31"/>
  <c r="EW43" i="31" s="1"/>
  <c r="ES41" i="31"/>
  <c r="EW41" i="31" s="1"/>
  <c r="ES40" i="31"/>
  <c r="EW40" i="31" s="1"/>
  <c r="ES39" i="31"/>
  <c r="EW39" i="31" s="1"/>
  <c r="ES38" i="31"/>
  <c r="EW38" i="31" s="1"/>
  <c r="ES37" i="31"/>
  <c r="EW37" i="31" s="1"/>
  <c r="ES36" i="31"/>
  <c r="EW36" i="31" s="1"/>
  <c r="ES35" i="31"/>
  <c r="EW35" i="31" s="1"/>
  <c r="ES34" i="31"/>
  <c r="EW34" i="31" s="1"/>
  <c r="ES33" i="31"/>
  <c r="EW33" i="31" s="1"/>
  <c r="ES32" i="31"/>
  <c r="EW32" i="31" s="1"/>
  <c r="ES31" i="31"/>
  <c r="EW31" i="31" s="1"/>
  <c r="ES30" i="31"/>
  <c r="EW30" i="31" s="1"/>
  <c r="ES29" i="31"/>
  <c r="EW29" i="31" s="1"/>
  <c r="ES28" i="31"/>
  <c r="EW28" i="31" s="1"/>
  <c r="ES27" i="31"/>
  <c r="EW27" i="31" s="1"/>
  <c r="ES26" i="31"/>
  <c r="EW26" i="31" s="1"/>
  <c r="ES25" i="31"/>
  <c r="EW25" i="31" s="1"/>
  <c r="ES24" i="31"/>
  <c r="EW24" i="31" s="1"/>
  <c r="ES23" i="31"/>
  <c r="EW23" i="31" s="1"/>
  <c r="ES22" i="31"/>
  <c r="EW22" i="31" s="1"/>
  <c r="ES21" i="31"/>
  <c r="EW21" i="31" s="1"/>
  <c r="ES20" i="31"/>
  <c r="EW20" i="31" s="1"/>
  <c r="ES19" i="31"/>
  <c r="EW19" i="31" s="1"/>
  <c r="ES18" i="31"/>
  <c r="EW18" i="31" s="1"/>
  <c r="ES17" i="31"/>
  <c r="EW17" i="31" s="1"/>
  <c r="ES16" i="31"/>
  <c r="EW16" i="31" s="1"/>
  <c r="ES15" i="31"/>
  <c r="EW15" i="31" s="1"/>
  <c r="ES14" i="31"/>
  <c r="EW14" i="31" s="1"/>
  <c r="ES13" i="31"/>
  <c r="EW13" i="31" s="1"/>
  <c r="ES12" i="31"/>
  <c r="EW12" i="31" s="1"/>
  <c r="ES11" i="31"/>
  <c r="EW11" i="31" s="1"/>
  <c r="ES10" i="31"/>
  <c r="EW10" i="31" s="1"/>
  <c r="ES9" i="31"/>
  <c r="EW9" i="31" s="1"/>
  <c r="ES8" i="31"/>
  <c r="EW8" i="31" s="1"/>
  <c r="ES7" i="31"/>
  <c r="EW7" i="31" s="1"/>
  <c r="ES6" i="31"/>
  <c r="EW6" i="31" s="1"/>
  <c r="ES5" i="31"/>
  <c r="EW5" i="31" s="1"/>
  <c r="ES4" i="31"/>
  <c r="EW4" i="31" s="1"/>
  <c r="ES3" i="31"/>
  <c r="EW3" i="31" s="1"/>
  <c r="DS70" i="31"/>
  <c r="DW70" i="31" s="1"/>
  <c r="DS69" i="31"/>
  <c r="DW69" i="31" s="1"/>
  <c r="DS68" i="31"/>
  <c r="DW68" i="31" s="1"/>
  <c r="DS67" i="31"/>
  <c r="DW67" i="31" s="1"/>
  <c r="DS66" i="31"/>
  <c r="DW66" i="31" s="1"/>
  <c r="DS65" i="31"/>
  <c r="DW65" i="31" s="1"/>
  <c r="DS64" i="31"/>
  <c r="DW64" i="31" s="1"/>
  <c r="DS63" i="31"/>
  <c r="DW63" i="31" s="1"/>
  <c r="DS62" i="31"/>
  <c r="DW62" i="31" s="1"/>
  <c r="DS61" i="31"/>
  <c r="DW61" i="31" s="1"/>
  <c r="DS60" i="31"/>
  <c r="DW60" i="31" s="1"/>
  <c r="DS59" i="31"/>
  <c r="DW59" i="31" s="1"/>
  <c r="DS58" i="31"/>
  <c r="DW58" i="31" s="1"/>
  <c r="DS57" i="31"/>
  <c r="DW57" i="31" s="1"/>
  <c r="DS56" i="31"/>
  <c r="DW56" i="31" s="1"/>
  <c r="DS55" i="31"/>
  <c r="DW55" i="31" s="1"/>
  <c r="DS54" i="31"/>
  <c r="DW54" i="31" s="1"/>
  <c r="DS53" i="31"/>
  <c r="DW53" i="31" s="1"/>
  <c r="DS52" i="31"/>
  <c r="DW52" i="31" s="1"/>
  <c r="DS51" i="31"/>
  <c r="DW51" i="31" s="1"/>
  <c r="DS50" i="31"/>
  <c r="DW50" i="31" s="1"/>
  <c r="DS49" i="31"/>
  <c r="DW49" i="31" s="1"/>
  <c r="DS48" i="31"/>
  <c r="DW48" i="31" s="1"/>
  <c r="DS47" i="31"/>
  <c r="DW47" i="31" s="1"/>
  <c r="DS46" i="31"/>
  <c r="DW46" i="31" s="1"/>
  <c r="DS45" i="31"/>
  <c r="DW45" i="31" s="1"/>
  <c r="DS44" i="31"/>
  <c r="DW44" i="31" s="1"/>
  <c r="DS43" i="31"/>
  <c r="DW43" i="31" s="1"/>
  <c r="DS41" i="31"/>
  <c r="DW41" i="31" s="1"/>
  <c r="DS40" i="31"/>
  <c r="DW40" i="31" s="1"/>
  <c r="DS39" i="31"/>
  <c r="DW39" i="31" s="1"/>
  <c r="DS38" i="31"/>
  <c r="DW38" i="31" s="1"/>
  <c r="DS37" i="31"/>
  <c r="DW37" i="31" s="1"/>
  <c r="DS36" i="31"/>
  <c r="DW36" i="31" s="1"/>
  <c r="DS35" i="31"/>
  <c r="DW35" i="31" s="1"/>
  <c r="DS34" i="31"/>
  <c r="DW34" i="31" s="1"/>
  <c r="DS33" i="31"/>
  <c r="DW33" i="31" s="1"/>
  <c r="DS32" i="31"/>
  <c r="DW32" i="31" s="1"/>
  <c r="DS31" i="31"/>
  <c r="DW31" i="31" s="1"/>
  <c r="DS30" i="31"/>
  <c r="DW30" i="31" s="1"/>
  <c r="DS29" i="31"/>
  <c r="DW29" i="31" s="1"/>
  <c r="DS28" i="31"/>
  <c r="DW28" i="31" s="1"/>
  <c r="DS27" i="31"/>
  <c r="DW27" i="31" s="1"/>
  <c r="DS26" i="31"/>
  <c r="DW26" i="31" s="1"/>
  <c r="DS25" i="31"/>
  <c r="DW25" i="31" s="1"/>
  <c r="DS24" i="31"/>
  <c r="DW24" i="31" s="1"/>
  <c r="DS23" i="31"/>
  <c r="DW23" i="31" s="1"/>
  <c r="DS22" i="31"/>
  <c r="DW22" i="31" s="1"/>
  <c r="DS21" i="31"/>
  <c r="DW21" i="31" s="1"/>
  <c r="DS20" i="31"/>
  <c r="DW20" i="31" s="1"/>
  <c r="DS19" i="31"/>
  <c r="DW19" i="31" s="1"/>
  <c r="DS18" i="31"/>
  <c r="DW18" i="31" s="1"/>
  <c r="DS17" i="31"/>
  <c r="DW17" i="31" s="1"/>
  <c r="DS16" i="31"/>
  <c r="DW16" i="31" s="1"/>
  <c r="DS15" i="31"/>
  <c r="DW15" i="31" s="1"/>
  <c r="DS14" i="31"/>
  <c r="DW14" i="31" s="1"/>
  <c r="DS13" i="31"/>
  <c r="DW13" i="31" s="1"/>
  <c r="DS12" i="31"/>
  <c r="DW12" i="31" s="1"/>
  <c r="DS11" i="31"/>
  <c r="DW11" i="31" s="1"/>
  <c r="DS10" i="31"/>
  <c r="DW10" i="31" s="1"/>
  <c r="DS9" i="31"/>
  <c r="DW9" i="31" s="1"/>
  <c r="DS8" i="31"/>
  <c r="DW8" i="31" s="1"/>
  <c r="DS7" i="31"/>
  <c r="DW7" i="31" s="1"/>
  <c r="DS6" i="31"/>
  <c r="DW6" i="31" s="1"/>
  <c r="DS5" i="31"/>
  <c r="DW5" i="31" s="1"/>
  <c r="DS4" i="31"/>
  <c r="DW4" i="31" s="1"/>
  <c r="DS3" i="31"/>
  <c r="DW3" i="31" s="1"/>
  <c r="CD70" i="31"/>
  <c r="CN70" i="31" s="1"/>
  <c r="CD69" i="31"/>
  <c r="CN69" i="31" s="1"/>
  <c r="CD68" i="31"/>
  <c r="CN68" i="31" s="1"/>
  <c r="CD67" i="31"/>
  <c r="CN67" i="31" s="1"/>
  <c r="CD66" i="31"/>
  <c r="CN66" i="31" s="1"/>
  <c r="CD65" i="31"/>
  <c r="CN65" i="31" s="1"/>
  <c r="CD64" i="31"/>
  <c r="CN64" i="31" s="1"/>
  <c r="CD63" i="31"/>
  <c r="CN63" i="31" s="1"/>
  <c r="CD62" i="31"/>
  <c r="CN62" i="31" s="1"/>
  <c r="CD61" i="31"/>
  <c r="CN61" i="31" s="1"/>
  <c r="CD60" i="31"/>
  <c r="CN60" i="31" s="1"/>
  <c r="CD59" i="31"/>
  <c r="CN59" i="31" s="1"/>
  <c r="CD58" i="31"/>
  <c r="CN58" i="31" s="1"/>
  <c r="CD57" i="31"/>
  <c r="CN57" i="31" s="1"/>
  <c r="CD56" i="31"/>
  <c r="CN56" i="31" s="1"/>
  <c r="CD55" i="31"/>
  <c r="CN55" i="31" s="1"/>
  <c r="CD54" i="31"/>
  <c r="CN54" i="31" s="1"/>
  <c r="CD53" i="31"/>
  <c r="CN53" i="31" s="1"/>
  <c r="CD52" i="31"/>
  <c r="CN52" i="31" s="1"/>
  <c r="CD51" i="31"/>
  <c r="CN51" i="31" s="1"/>
  <c r="CD50" i="31"/>
  <c r="CN50" i="31" s="1"/>
  <c r="CD49" i="31"/>
  <c r="CN49" i="31" s="1"/>
  <c r="CD48" i="31"/>
  <c r="CN48" i="31" s="1"/>
  <c r="CD47" i="31"/>
  <c r="CN47" i="31" s="1"/>
  <c r="CD46" i="31"/>
  <c r="CN46" i="31" s="1"/>
  <c r="CD45" i="31"/>
  <c r="CN45" i="31" s="1"/>
  <c r="CD44" i="31"/>
  <c r="CN44" i="31" s="1"/>
  <c r="CD43" i="31"/>
  <c r="CN43" i="31" s="1"/>
  <c r="CD41" i="31"/>
  <c r="CN41" i="31" s="1"/>
  <c r="CD40" i="31"/>
  <c r="CN40" i="31" s="1"/>
  <c r="CD39" i="31"/>
  <c r="CN39" i="31" s="1"/>
  <c r="CD38" i="31"/>
  <c r="CN38" i="31" s="1"/>
  <c r="CD37" i="31"/>
  <c r="CN37" i="31" s="1"/>
  <c r="CD36" i="31"/>
  <c r="CN36" i="31" s="1"/>
  <c r="CD35" i="31"/>
  <c r="CN35" i="31" s="1"/>
  <c r="CD34" i="31"/>
  <c r="CN34" i="31" s="1"/>
  <c r="CD33" i="31"/>
  <c r="CN33" i="31" s="1"/>
  <c r="CD32" i="31"/>
  <c r="CN32" i="31" s="1"/>
  <c r="CD31" i="31"/>
  <c r="CN31" i="31" s="1"/>
  <c r="CD30" i="31"/>
  <c r="CN30" i="31" s="1"/>
  <c r="CD29" i="31"/>
  <c r="CN29" i="31" s="1"/>
  <c r="CD28" i="31"/>
  <c r="CN28" i="31" s="1"/>
  <c r="CD27" i="31"/>
  <c r="CN27" i="31" s="1"/>
  <c r="CD26" i="31"/>
  <c r="CN26" i="31" s="1"/>
  <c r="CD25" i="31"/>
  <c r="CN25" i="31" s="1"/>
  <c r="CD24" i="31"/>
  <c r="CN24" i="31" s="1"/>
  <c r="CD23" i="31"/>
  <c r="CN23" i="31" s="1"/>
  <c r="CD22" i="31"/>
  <c r="CN22" i="31" s="1"/>
  <c r="CD21" i="31"/>
  <c r="CN21" i="31" s="1"/>
  <c r="CD20" i="31"/>
  <c r="CN20" i="31" s="1"/>
  <c r="CD19" i="31"/>
  <c r="CN19" i="31" s="1"/>
  <c r="CD18" i="31"/>
  <c r="CN18" i="31" s="1"/>
  <c r="CD17" i="31"/>
  <c r="CN17" i="31" s="1"/>
  <c r="CD16" i="31"/>
  <c r="CN16" i="31" s="1"/>
  <c r="CD15" i="31"/>
  <c r="CN15" i="31" s="1"/>
  <c r="CD14" i="31"/>
  <c r="CN14" i="31" s="1"/>
  <c r="CD13" i="31"/>
  <c r="CN13" i="31" s="1"/>
  <c r="CD12" i="31"/>
  <c r="CN12" i="31" s="1"/>
  <c r="CD11" i="31"/>
  <c r="CN11" i="31" s="1"/>
  <c r="CD10" i="31"/>
  <c r="CN10" i="31" s="1"/>
  <c r="CD9" i="31"/>
  <c r="CN9" i="31" s="1"/>
  <c r="CD8" i="31"/>
  <c r="CN8" i="31" s="1"/>
  <c r="CD7" i="31"/>
  <c r="CN7" i="31" s="1"/>
  <c r="CD6" i="31"/>
  <c r="CN6" i="31" s="1"/>
  <c r="CD5" i="31"/>
  <c r="CN5" i="31" s="1"/>
  <c r="CD4" i="31"/>
  <c r="CN4" i="31" s="1"/>
  <c r="CD3" i="31"/>
  <c r="CN3" i="31" s="1"/>
  <c r="DE11" i="30"/>
  <c r="DI11" i="30" s="1"/>
  <c r="DE10" i="30"/>
  <c r="DI10" i="30" s="1"/>
  <c r="DE9" i="30"/>
  <c r="DI9" i="30" s="1"/>
  <c r="DE8" i="30"/>
  <c r="DI8" i="30" s="1"/>
  <c r="DE7" i="30"/>
  <c r="DI7" i="30" s="1"/>
  <c r="DE6" i="30"/>
  <c r="DI6" i="30" s="1"/>
  <c r="DE5" i="30"/>
  <c r="DI5" i="30" s="1"/>
  <c r="DE4" i="30"/>
  <c r="DI4" i="30" s="1"/>
  <c r="DE3" i="30"/>
  <c r="DI3" i="30" s="1"/>
  <c r="CA11" i="30"/>
  <c r="CA10" i="30"/>
  <c r="CA9" i="30"/>
  <c r="CA8" i="30"/>
  <c r="CA7" i="30"/>
  <c r="CA6" i="30"/>
  <c r="CA5" i="30"/>
  <c r="CA4" i="30"/>
  <c r="CA3" i="30"/>
  <c r="DO14" i="29"/>
  <c r="DU14" i="29" s="1"/>
  <c r="DO13" i="29"/>
  <c r="DU13" i="29" s="1"/>
  <c r="DO12" i="29"/>
  <c r="DU12" i="29" s="1"/>
  <c r="DO11" i="29"/>
  <c r="DU11" i="29" s="1"/>
  <c r="DO10" i="29"/>
  <c r="DU10" i="29" s="1"/>
  <c r="DO9" i="29"/>
  <c r="DU9" i="29" s="1"/>
  <c r="DO8" i="29"/>
  <c r="DU8" i="29" s="1"/>
  <c r="DO7" i="29"/>
  <c r="DU7" i="29" s="1"/>
  <c r="DO5" i="29"/>
  <c r="DU5" i="29" s="1"/>
  <c r="DO4" i="29"/>
  <c r="DU4" i="29" s="1"/>
  <c r="DO3" i="29"/>
  <c r="DU3" i="29" s="1"/>
  <c r="CI14" i="29"/>
  <c r="CI13" i="29"/>
  <c r="CR13" i="29" s="1"/>
  <c r="CI12" i="29"/>
  <c r="CR12" i="29" s="1"/>
  <c r="CI11" i="29"/>
  <c r="CR11" i="29" s="1"/>
  <c r="CI10" i="29"/>
  <c r="CR10" i="29" s="1"/>
  <c r="CI9" i="29"/>
  <c r="CR9" i="29" s="1"/>
  <c r="CI8" i="29"/>
  <c r="CR8" i="29" s="1"/>
  <c r="CI7" i="29"/>
  <c r="CR7" i="29" s="1"/>
  <c r="CI5" i="29"/>
  <c r="CR5" i="29" s="1"/>
  <c r="CI4" i="29"/>
  <c r="CR4" i="29" s="1"/>
  <c r="CI3" i="29"/>
  <c r="CR3" i="29" s="1"/>
  <c r="DC41" i="28"/>
  <c r="DD40" i="28"/>
  <c r="DK40" i="28" s="1"/>
  <c r="DD39" i="28"/>
  <c r="DK39" i="28" s="1"/>
  <c r="DD38" i="28"/>
  <c r="DK38" i="28" s="1"/>
  <c r="DD37" i="28"/>
  <c r="DK37" i="28" s="1"/>
  <c r="DD36" i="28"/>
  <c r="DK36" i="28" s="1"/>
  <c r="DD35" i="28"/>
  <c r="DK35" i="28" s="1"/>
  <c r="DD34" i="28"/>
  <c r="DK34" i="28" s="1"/>
  <c r="DD33" i="28"/>
  <c r="DK33" i="28" s="1"/>
  <c r="DD32" i="28"/>
  <c r="DK32" i="28" s="1"/>
  <c r="DD31" i="28"/>
  <c r="DK31" i="28" s="1"/>
  <c r="DD30" i="28"/>
  <c r="DK30" i="28" s="1"/>
  <c r="DD29" i="28"/>
  <c r="DK29" i="28" s="1"/>
  <c r="DD28" i="28"/>
  <c r="DK28" i="28" s="1"/>
  <c r="DD27" i="28"/>
  <c r="DK27" i="28" s="1"/>
  <c r="DD26" i="28"/>
  <c r="DK26" i="28" s="1"/>
  <c r="DD25" i="28"/>
  <c r="DK25" i="28" s="1"/>
  <c r="DD24" i="28"/>
  <c r="DK24" i="28" s="1"/>
  <c r="DD23" i="28"/>
  <c r="DK23" i="28" s="1"/>
  <c r="DD22" i="28"/>
  <c r="DK22" i="28" s="1"/>
  <c r="DD21" i="28"/>
  <c r="DK21" i="28" s="1"/>
  <c r="DD20" i="28"/>
  <c r="DK20" i="28" s="1"/>
  <c r="DD19" i="28"/>
  <c r="DK19" i="28" s="1"/>
  <c r="DD18" i="28"/>
  <c r="DK18" i="28" s="1"/>
  <c r="DD17" i="28"/>
  <c r="DK17" i="28" s="1"/>
  <c r="DD16" i="28"/>
  <c r="DK16" i="28" s="1"/>
  <c r="DD15" i="28"/>
  <c r="DK15" i="28" s="1"/>
  <c r="DD14" i="28"/>
  <c r="DK14" i="28" s="1"/>
  <c r="DD13" i="28"/>
  <c r="DK13" i="28" s="1"/>
  <c r="DD12" i="28"/>
  <c r="DK12" i="28" s="1"/>
  <c r="DD11" i="28"/>
  <c r="DK11" i="28" s="1"/>
  <c r="DD10" i="28"/>
  <c r="DK10" i="28" s="1"/>
  <c r="DD9" i="28"/>
  <c r="DK9" i="28" s="1"/>
  <c r="DD8" i="28"/>
  <c r="DK8" i="28" s="1"/>
  <c r="DD7" i="28"/>
  <c r="DK7" i="28" s="1"/>
  <c r="DD6" i="28"/>
  <c r="DK6" i="28" s="1"/>
  <c r="DD4" i="28"/>
  <c r="DK4" i="28" s="1"/>
  <c r="DD3" i="28"/>
  <c r="DK3" i="28" s="1"/>
  <c r="CH40" i="28"/>
  <c r="CO40" i="28" s="1"/>
  <c r="CH39" i="28"/>
  <c r="CO39" i="28" s="1"/>
  <c r="CH38" i="28"/>
  <c r="CO38" i="28" s="1"/>
  <c r="CH37" i="28"/>
  <c r="CO37" i="28" s="1"/>
  <c r="CH36" i="28"/>
  <c r="CO36" i="28" s="1"/>
  <c r="CH35" i="28"/>
  <c r="CO35" i="28" s="1"/>
  <c r="CH34" i="28"/>
  <c r="CO34" i="28" s="1"/>
  <c r="CH33" i="28"/>
  <c r="CO33" i="28" s="1"/>
  <c r="CH32" i="28"/>
  <c r="CO32" i="28" s="1"/>
  <c r="CH31" i="28"/>
  <c r="CO31" i="28" s="1"/>
  <c r="CH30" i="28"/>
  <c r="CO30" i="28" s="1"/>
  <c r="CH29" i="28"/>
  <c r="CO29" i="28" s="1"/>
  <c r="CH28" i="28"/>
  <c r="CO28" i="28" s="1"/>
  <c r="CH27" i="28"/>
  <c r="CO27" i="28" s="1"/>
  <c r="CH26" i="28"/>
  <c r="CO26" i="28" s="1"/>
  <c r="CH25" i="28"/>
  <c r="CO25" i="28" s="1"/>
  <c r="CH24" i="28"/>
  <c r="CO24" i="28" s="1"/>
  <c r="CH23" i="28"/>
  <c r="CO23" i="28" s="1"/>
  <c r="CH22" i="28"/>
  <c r="CO22" i="28" s="1"/>
  <c r="CH21" i="28"/>
  <c r="CO21" i="28" s="1"/>
  <c r="CH20" i="28"/>
  <c r="CO20" i="28" s="1"/>
  <c r="CH19" i="28"/>
  <c r="CO19" i="28" s="1"/>
  <c r="CH18" i="28"/>
  <c r="CO18" i="28" s="1"/>
  <c r="CH17" i="28"/>
  <c r="CO17" i="28" s="1"/>
  <c r="CH16" i="28"/>
  <c r="CO16" i="28" s="1"/>
  <c r="CH15" i="28"/>
  <c r="CO15" i="28" s="1"/>
  <c r="CH14" i="28"/>
  <c r="CO14" i="28" s="1"/>
  <c r="CH13" i="28"/>
  <c r="CO13" i="28" s="1"/>
  <c r="CH12" i="28"/>
  <c r="CO12" i="28" s="1"/>
  <c r="CH11" i="28"/>
  <c r="CO11" i="28" s="1"/>
  <c r="CH10" i="28"/>
  <c r="CO10" i="28" s="1"/>
  <c r="CH9" i="28"/>
  <c r="CO9" i="28" s="1"/>
  <c r="CH8" i="28"/>
  <c r="CO8" i="28" s="1"/>
  <c r="CH7" i="28"/>
  <c r="CO7" i="28" s="1"/>
  <c r="CH6" i="28"/>
  <c r="CO6" i="28" s="1"/>
  <c r="CH4" i="28"/>
  <c r="CO4" i="28" s="1"/>
  <c r="CH3" i="28"/>
  <c r="CO3" i="28" s="1"/>
  <c r="N6" i="34" l="1"/>
  <c r="O6" i="34" s="1"/>
  <c r="G9" i="34"/>
  <c r="I9" i="34" s="1"/>
  <c r="G5" i="34"/>
  <c r="N9" i="34"/>
  <c r="N11" i="34" s="1"/>
  <c r="BZ71" i="31"/>
  <c r="BS13" i="30"/>
  <c r="CD15" i="29"/>
  <c r="CG4" i="29" s="1"/>
  <c r="CA3" i="29" s="1"/>
  <c r="BY71" i="31"/>
  <c r="CB4" i="31" s="1"/>
  <c r="BV6" i="31" s="1"/>
  <c r="BX41" i="28"/>
  <c r="BW3" i="28"/>
  <c r="CU24" i="27"/>
  <c r="CT4" i="27"/>
  <c r="DW71" i="31"/>
  <c r="CI15" i="29"/>
  <c r="CR14" i="29"/>
  <c r="CR17" i="29" s="1"/>
  <c r="DK41" i="28"/>
  <c r="DI13" i="30"/>
  <c r="CO42" i="28"/>
  <c r="DK42" i="28"/>
  <c r="DU17" i="29"/>
  <c r="DU18" i="29"/>
  <c r="DI12" i="30"/>
  <c r="DL8" i="30" s="1"/>
  <c r="CN72" i="31"/>
  <c r="CN71" i="31"/>
  <c r="CO41" i="28"/>
  <c r="CZ39" i="28" s="1"/>
  <c r="DD41" i="28"/>
  <c r="EW72" i="31"/>
  <c r="EW71" i="31"/>
  <c r="CA12" i="30"/>
  <c r="DW72" i="31"/>
  <c r="ES71" i="31"/>
  <c r="DS71" i="31"/>
  <c r="CD71" i="31"/>
  <c r="DE12" i="30"/>
  <c r="DO15" i="29"/>
  <c r="DR22" i="27"/>
  <c r="DY22" i="27" s="1"/>
  <c r="DR21" i="27"/>
  <c r="DY21" i="27" s="1"/>
  <c r="DR20" i="27"/>
  <c r="DY20" i="27" s="1"/>
  <c r="DR19" i="27"/>
  <c r="DY19" i="27" s="1"/>
  <c r="DR17" i="27"/>
  <c r="DY17" i="27" s="1"/>
  <c r="DR16" i="27"/>
  <c r="DY16" i="27" s="1"/>
  <c r="DR15" i="27"/>
  <c r="DY15" i="27" s="1"/>
  <c r="DR14" i="27"/>
  <c r="DY14" i="27" s="1"/>
  <c r="DR13" i="27"/>
  <c r="DY13" i="27" s="1"/>
  <c r="DR12" i="27"/>
  <c r="DY12" i="27" s="1"/>
  <c r="DR11" i="27"/>
  <c r="DY11" i="27" s="1"/>
  <c r="DR10" i="27"/>
  <c r="DY10" i="27" s="1"/>
  <c r="DR9" i="27"/>
  <c r="DY9" i="27" s="1"/>
  <c r="DR8" i="27"/>
  <c r="DY8" i="27" s="1"/>
  <c r="DR7" i="27"/>
  <c r="DY7" i="27" s="1"/>
  <c r="DR6" i="27"/>
  <c r="DY6" i="27" s="1"/>
  <c r="DR5" i="27"/>
  <c r="DY5" i="27" s="1"/>
  <c r="DR4" i="27"/>
  <c r="DY4" i="27" s="1"/>
  <c r="DR3" i="27"/>
  <c r="DY3" i="27" s="1"/>
  <c r="DB22" i="27"/>
  <c r="DI22" i="27" s="1"/>
  <c r="DB21" i="27"/>
  <c r="DI21" i="27" s="1"/>
  <c r="DB20" i="27"/>
  <c r="DI20" i="27" s="1"/>
  <c r="DB19" i="27"/>
  <c r="DI19" i="27" s="1"/>
  <c r="DB17" i="27"/>
  <c r="DI17" i="27" s="1"/>
  <c r="DB16" i="27"/>
  <c r="DI16" i="27" s="1"/>
  <c r="DB15" i="27"/>
  <c r="DI15" i="27" s="1"/>
  <c r="DB14" i="27"/>
  <c r="DI14" i="27" s="1"/>
  <c r="DB13" i="27"/>
  <c r="DI13" i="27" s="1"/>
  <c r="DB12" i="27"/>
  <c r="DI12" i="27" s="1"/>
  <c r="DB11" i="27"/>
  <c r="DI11" i="27" s="1"/>
  <c r="DB10" i="27"/>
  <c r="DI10" i="27" s="1"/>
  <c r="DB9" i="27"/>
  <c r="DI9" i="27" s="1"/>
  <c r="DB8" i="27"/>
  <c r="DI8" i="27" s="1"/>
  <c r="DB7" i="27"/>
  <c r="DI7" i="27" s="1"/>
  <c r="DB6" i="27"/>
  <c r="DI6" i="27" s="1"/>
  <c r="DB5" i="27"/>
  <c r="DI5" i="27" s="1"/>
  <c r="DB4" i="27"/>
  <c r="DI4" i="27" s="1"/>
  <c r="DB3" i="27"/>
  <c r="DI3" i="27" s="1"/>
  <c r="I5" i="34" l="1"/>
  <c r="I10" i="34" s="1"/>
  <c r="G10" i="34"/>
  <c r="DL11" i="30"/>
  <c r="DW9" i="29"/>
  <c r="DZ68" i="31"/>
  <c r="CR18" i="29"/>
  <c r="DW12" i="29"/>
  <c r="DL10" i="30"/>
  <c r="DL4" i="30"/>
  <c r="DL6" i="30"/>
  <c r="DL3" i="30"/>
  <c r="DW10" i="29"/>
  <c r="CA4" i="29"/>
  <c r="CA13" i="29"/>
  <c r="DZ7" i="31"/>
  <c r="DZ14" i="31"/>
  <c r="DZ55" i="31"/>
  <c r="DZ25" i="31"/>
  <c r="DZ69" i="31"/>
  <c r="BW41" i="28"/>
  <c r="BZ4" i="28" s="1"/>
  <c r="BT3" i="28" s="1"/>
  <c r="DZ52" i="31"/>
  <c r="DU10" i="28"/>
  <c r="DZ61" i="31"/>
  <c r="CT24" i="27"/>
  <c r="CW4" i="27" s="1"/>
  <c r="BV48" i="31"/>
  <c r="BV24" i="31"/>
  <c r="BV26" i="31"/>
  <c r="BW26" i="31" s="1"/>
  <c r="BV43" i="31"/>
  <c r="BV32" i="31"/>
  <c r="BV58" i="31"/>
  <c r="BV54" i="31"/>
  <c r="BV11" i="31"/>
  <c r="BV67" i="31"/>
  <c r="BV19" i="31"/>
  <c r="BV40" i="31"/>
  <c r="BV70" i="31"/>
  <c r="BV41" i="31"/>
  <c r="BV22" i="31"/>
  <c r="BV69" i="31"/>
  <c r="BV27" i="31"/>
  <c r="DZ46" i="31"/>
  <c r="DZ18" i="31"/>
  <c r="DZ59" i="31"/>
  <c r="DU27" i="28"/>
  <c r="DU11" i="28"/>
  <c r="DU21" i="28"/>
  <c r="DU12" i="28"/>
  <c r="DU3" i="28"/>
  <c r="CZ15" i="28"/>
  <c r="DU16" i="28"/>
  <c r="DU38" i="28"/>
  <c r="DU33" i="28"/>
  <c r="DU32" i="28"/>
  <c r="CU3" i="29"/>
  <c r="CU4" i="29"/>
  <c r="CU7" i="29"/>
  <c r="CU11" i="29"/>
  <c r="CU5" i="29"/>
  <c r="DZ24" i="31"/>
  <c r="DU31" i="28"/>
  <c r="DZ57" i="31"/>
  <c r="DZ29" i="31"/>
  <c r="DZ49" i="31"/>
  <c r="DZ40" i="31"/>
  <c r="DZ67" i="31"/>
  <c r="DZ23" i="31"/>
  <c r="DZ44" i="31"/>
  <c r="DU22" i="28"/>
  <c r="DZ37" i="31"/>
  <c r="EY27" i="31"/>
  <c r="DU7" i="28"/>
  <c r="DL9" i="30"/>
  <c r="DZ64" i="31"/>
  <c r="DZ3" i="31"/>
  <c r="DZ65" i="31"/>
  <c r="DZ58" i="31"/>
  <c r="DZ19" i="31"/>
  <c r="DZ60" i="31"/>
  <c r="DZ63" i="31"/>
  <c r="DZ13" i="31"/>
  <c r="DZ54" i="31"/>
  <c r="DZ51" i="31"/>
  <c r="DU34" i="28"/>
  <c r="DZ8" i="31"/>
  <c r="DZ43" i="31"/>
  <c r="DU4" i="28"/>
  <c r="DZ39" i="31"/>
  <c r="DU24" i="28"/>
  <c r="DZ30" i="31"/>
  <c r="CP67" i="31"/>
  <c r="DU37" i="28"/>
  <c r="EY50" i="31"/>
  <c r="CP48" i="31"/>
  <c r="EY61" i="31"/>
  <c r="CP29" i="31"/>
  <c r="EY52" i="31"/>
  <c r="CP7" i="31"/>
  <c r="CP56" i="31"/>
  <c r="EY39" i="31"/>
  <c r="DW13" i="29"/>
  <c r="CZ27" i="28"/>
  <c r="EY4" i="31"/>
  <c r="EY38" i="31"/>
  <c r="CP36" i="31"/>
  <c r="DW5" i="29"/>
  <c r="EY49" i="31"/>
  <c r="EY25" i="31"/>
  <c r="CP53" i="31"/>
  <c r="CP17" i="31"/>
  <c r="CZ38" i="28"/>
  <c r="CZ4" i="28"/>
  <c r="ED4" i="28" s="1"/>
  <c r="EY41" i="31"/>
  <c r="CP33" i="31"/>
  <c r="CZ24" i="28"/>
  <c r="EY34" i="31"/>
  <c r="CP38" i="31"/>
  <c r="DW14" i="29"/>
  <c r="CP25" i="31"/>
  <c r="EN25" i="31" s="1"/>
  <c r="EY60" i="31"/>
  <c r="EY24" i="31"/>
  <c r="CP58" i="31"/>
  <c r="CP22" i="31"/>
  <c r="DW3" i="29"/>
  <c r="EH3" i="29" s="1"/>
  <c r="CZ10" i="28"/>
  <c r="ED10" i="28" s="1"/>
  <c r="CP57" i="31"/>
  <c r="DU14" i="28"/>
  <c r="EY58" i="31"/>
  <c r="CP45" i="31"/>
  <c r="DW8" i="29"/>
  <c r="CZ35" i="28"/>
  <c r="EY21" i="31"/>
  <c r="CP66" i="31"/>
  <c r="CZ12" i="28"/>
  <c r="ED12" i="28" s="1"/>
  <c r="DZ56" i="31"/>
  <c r="CP37" i="31"/>
  <c r="CZ40" i="28"/>
  <c r="EY67" i="31"/>
  <c r="EY32" i="31"/>
  <c r="DZ66" i="31"/>
  <c r="DZ31" i="31"/>
  <c r="CP65" i="31"/>
  <c r="CP30" i="31"/>
  <c r="EN30" i="31" s="1"/>
  <c r="DL5" i="30"/>
  <c r="CU12" i="29"/>
  <c r="EH12" i="29" s="1"/>
  <c r="DU15" i="28"/>
  <c r="ED15" i="28" s="1"/>
  <c r="EY44" i="31"/>
  <c r="EY19" i="31"/>
  <c r="DZ48" i="31"/>
  <c r="DZ12" i="31"/>
  <c r="CP47" i="31"/>
  <c r="DW11" i="29"/>
  <c r="DU26" i="28"/>
  <c r="CZ32" i="28"/>
  <c r="EY29" i="31"/>
  <c r="DZ28" i="31"/>
  <c r="CP21" i="31"/>
  <c r="DU30" i="28"/>
  <c r="CZ14" i="28"/>
  <c r="EY28" i="31"/>
  <c r="DZ27" i="31"/>
  <c r="CP26" i="31"/>
  <c r="CU8" i="29"/>
  <c r="DZ50" i="31"/>
  <c r="CP8" i="31"/>
  <c r="CZ22" i="28"/>
  <c r="EY54" i="31"/>
  <c r="EY18" i="31"/>
  <c r="DZ53" i="31"/>
  <c r="DZ17" i="31"/>
  <c r="CP52" i="31"/>
  <c r="EN52" i="31" s="1"/>
  <c r="CP16" i="31"/>
  <c r="CU10" i="29"/>
  <c r="DU25" i="28"/>
  <c r="CZ37" i="28"/>
  <c r="EY53" i="31"/>
  <c r="CP51" i="31"/>
  <c r="CZ30" i="28"/>
  <c r="EY40" i="31"/>
  <c r="DZ33" i="31"/>
  <c r="CP32" i="31"/>
  <c r="CU14" i="29"/>
  <c r="CZ29" i="28"/>
  <c r="EY10" i="31"/>
  <c r="CP49" i="31"/>
  <c r="EN49" i="31" s="1"/>
  <c r="DU28" i="28"/>
  <c r="DU8" i="28"/>
  <c r="DZ38" i="31"/>
  <c r="CP19" i="31"/>
  <c r="EN19" i="31" s="1"/>
  <c r="CZ28" i="28"/>
  <c r="EY55" i="31"/>
  <c r="CZ36" i="28"/>
  <c r="CP55" i="31"/>
  <c r="EN55" i="31" s="1"/>
  <c r="CP24" i="31"/>
  <c r="EN24" i="31" s="1"/>
  <c r="FQ24" i="31" s="1"/>
  <c r="EH5" i="29"/>
  <c r="EY37" i="31"/>
  <c r="EY13" i="31"/>
  <c r="CP41" i="31"/>
  <c r="CP6" i="31"/>
  <c r="DW4" i="29"/>
  <c r="DU20" i="28"/>
  <c r="CZ26" i="28"/>
  <c r="EY17" i="31"/>
  <c r="DZ16" i="31"/>
  <c r="CP10" i="31"/>
  <c r="DU18" i="28"/>
  <c r="EY16" i="31"/>
  <c r="DZ15" i="31"/>
  <c r="CP14" i="31"/>
  <c r="EN14" i="31" s="1"/>
  <c r="DU29" i="28"/>
  <c r="EY63" i="31"/>
  <c r="DZ32" i="31"/>
  <c r="CZ7" i="28"/>
  <c r="EY48" i="31"/>
  <c r="EY12" i="31"/>
  <c r="DZ47" i="31"/>
  <c r="CP11" i="31"/>
  <c r="DU19" i="28"/>
  <c r="CZ31" i="28"/>
  <c r="ED31" i="28" s="1"/>
  <c r="CZ3" i="28"/>
  <c r="ED3" i="28" s="1"/>
  <c r="EY35" i="31"/>
  <c r="DZ34" i="31"/>
  <c r="CP39" i="31"/>
  <c r="CU9" i="29"/>
  <c r="EH9" i="29" s="1"/>
  <c r="CZ18" i="28"/>
  <c r="EY22" i="31"/>
  <c r="DZ21" i="31"/>
  <c r="CP20" i="31"/>
  <c r="CZ8" i="28"/>
  <c r="DZ62" i="31"/>
  <c r="CP31" i="31"/>
  <c r="EN31" i="31" s="1"/>
  <c r="DU13" i="28"/>
  <c r="CZ17" i="28"/>
  <c r="DZ20" i="31"/>
  <c r="CZ13" i="28"/>
  <c r="EY14" i="31"/>
  <c r="CP12" i="31"/>
  <c r="EN12" i="31" s="1"/>
  <c r="EY59" i="31"/>
  <c r="CP63" i="31"/>
  <c r="EN63" i="31" s="1"/>
  <c r="CP62" i="31"/>
  <c r="EY45" i="31"/>
  <c r="EY9" i="31"/>
  <c r="CP43" i="31"/>
  <c r="EN43" i="31" s="1"/>
  <c r="CZ6" i="28"/>
  <c r="CP59" i="31"/>
  <c r="CP23" i="31"/>
  <c r="CZ11" i="28"/>
  <c r="EY47" i="31"/>
  <c r="CP46" i="31"/>
  <c r="EN46" i="31" s="1"/>
  <c r="CP50" i="31"/>
  <c r="EN50" i="31" s="1"/>
  <c r="FQ50" i="31" s="1"/>
  <c r="EY15" i="31"/>
  <c r="CP44" i="31"/>
  <c r="EN44" i="31" s="1"/>
  <c r="EY65" i="31"/>
  <c r="EY30" i="31"/>
  <c r="CP64" i="31"/>
  <c r="EN64" i="31" s="1"/>
  <c r="CP28" i="31"/>
  <c r="CP68" i="31"/>
  <c r="CP4" i="31"/>
  <c r="EY69" i="31"/>
  <c r="EY3" i="31"/>
  <c r="EY62" i="31"/>
  <c r="EY26" i="31"/>
  <c r="CP60" i="31"/>
  <c r="EN60" i="31" s="1"/>
  <c r="EY56" i="31"/>
  <c r="EY20" i="31"/>
  <c r="CP54" i="31"/>
  <c r="EN54" i="31" s="1"/>
  <c r="CP18" i="31"/>
  <c r="EN18" i="31" s="1"/>
  <c r="DU39" i="28"/>
  <c r="ED39" i="28" s="1"/>
  <c r="DU6" i="28"/>
  <c r="EY66" i="31"/>
  <c r="EY31" i="31"/>
  <c r="EY8" i="31"/>
  <c r="DZ36" i="31"/>
  <c r="CP70" i="31"/>
  <c r="CP35" i="31"/>
  <c r="EH11" i="29"/>
  <c r="CZ20" i="28"/>
  <c r="EY70" i="31"/>
  <c r="DZ5" i="31"/>
  <c r="DU9" i="28"/>
  <c r="EY64" i="31"/>
  <c r="EY5" i="31"/>
  <c r="DZ4" i="31"/>
  <c r="CP3" i="31"/>
  <c r="DU17" i="28"/>
  <c r="EY46" i="31"/>
  <c r="DZ9" i="31"/>
  <c r="DW7" i="29"/>
  <c r="EH7" i="29" s="1"/>
  <c r="CZ21" i="28"/>
  <c r="EY43" i="31"/>
  <c r="EY7" i="31"/>
  <c r="DZ41" i="31"/>
  <c r="DZ6" i="31"/>
  <c r="CP40" i="31"/>
  <c r="CP5" i="31"/>
  <c r="CZ25" i="28"/>
  <c r="EY23" i="31"/>
  <c r="DZ22" i="31"/>
  <c r="CP27" i="31"/>
  <c r="DU36" i="28"/>
  <c r="CZ9" i="28"/>
  <c r="EY11" i="31"/>
  <c r="DZ10" i="31"/>
  <c r="CP9" i="31"/>
  <c r="DU35" i="28"/>
  <c r="EY68" i="31"/>
  <c r="DZ45" i="31"/>
  <c r="CP13" i="31"/>
  <c r="CZ34" i="28"/>
  <c r="EY51" i="31"/>
  <c r="CU13" i="29"/>
  <c r="CZ33" i="28"/>
  <c r="CZ23" i="28"/>
  <c r="EY33" i="31"/>
  <c r="CP61" i="31"/>
  <c r="DU40" i="28"/>
  <c r="EY36" i="31"/>
  <c r="DZ70" i="31"/>
  <c r="DZ35" i="31"/>
  <c r="CP69" i="31"/>
  <c r="EN69" i="31" s="1"/>
  <c r="CP34" i="31"/>
  <c r="CZ19" i="28"/>
  <c r="EY6" i="31"/>
  <c r="DZ11" i="31"/>
  <c r="CP15" i="31"/>
  <c r="DL7" i="30"/>
  <c r="DU23" i="28"/>
  <c r="EY57" i="31"/>
  <c r="DZ26" i="31"/>
  <c r="CZ16" i="28"/>
  <c r="DI24" i="27"/>
  <c r="DI25" i="27"/>
  <c r="EN13" i="31" l="1"/>
  <c r="EN68" i="31"/>
  <c r="EN59" i="31"/>
  <c r="EN23" i="31"/>
  <c r="EN37" i="31"/>
  <c r="FQ37" i="31" s="1"/>
  <c r="EH8" i="29"/>
  <c r="EH10" i="29"/>
  <c r="EH4" i="29"/>
  <c r="ED33" i="28"/>
  <c r="ED19" i="28"/>
  <c r="ED34" i="28"/>
  <c r="ED7" i="28"/>
  <c r="ED11" i="28"/>
  <c r="ED16" i="28"/>
  <c r="EN62" i="31"/>
  <c r="EN29" i="31"/>
  <c r="FQ29" i="31" s="1"/>
  <c r="EN27" i="31"/>
  <c r="FQ27" i="31" s="1"/>
  <c r="EN65" i="31"/>
  <c r="EN8" i="31"/>
  <c r="FQ8" i="31" s="1"/>
  <c r="EN15" i="31"/>
  <c r="FQ60" i="31"/>
  <c r="EN3" i="31"/>
  <c r="FQ3" i="31" s="1"/>
  <c r="EN7" i="31"/>
  <c r="FQ7" i="31" s="1"/>
  <c r="FQ25" i="31"/>
  <c r="EN5" i="31"/>
  <c r="FQ5" i="31" s="1"/>
  <c r="EN39" i="31"/>
  <c r="FQ39" i="31" s="1"/>
  <c r="EN57" i="31"/>
  <c r="FQ57" i="31" s="1"/>
  <c r="EH13" i="29"/>
  <c r="ED27" i="28"/>
  <c r="ED38" i="28"/>
  <c r="ED20" i="28"/>
  <c r="ED37" i="28"/>
  <c r="ED26" i="28"/>
  <c r="ED22" i="28"/>
  <c r="ED32" i="28"/>
  <c r="EN20" i="31"/>
  <c r="FQ20" i="31" s="1"/>
  <c r="BV71" i="31"/>
  <c r="CA15" i="29"/>
  <c r="CQ14" i="27"/>
  <c r="CQ18" i="27"/>
  <c r="CR18" i="27" s="1"/>
  <c r="CQ7" i="27"/>
  <c r="CQ20" i="27"/>
  <c r="CR20" i="27" s="1"/>
  <c r="CQ19" i="27"/>
  <c r="EN51" i="31"/>
  <c r="FQ51" i="31" s="1"/>
  <c r="BT11" i="28"/>
  <c r="BT31" i="28"/>
  <c r="BT19" i="28"/>
  <c r="BT21" i="28"/>
  <c r="BT20" i="28"/>
  <c r="BT35" i="28"/>
  <c r="BT34" i="28"/>
  <c r="BT15" i="28"/>
  <c r="BT12" i="28"/>
  <c r="FQ59" i="31"/>
  <c r="FQ49" i="31"/>
  <c r="EN61" i="31"/>
  <c r="FQ61" i="31" s="1"/>
  <c r="FQ15" i="31"/>
  <c r="ED21" i="28"/>
  <c r="ED8" i="28"/>
  <c r="EN10" i="31"/>
  <c r="FQ10" i="31" s="1"/>
  <c r="CQ4" i="27"/>
  <c r="ED28" i="28"/>
  <c r="EN22" i="31"/>
  <c r="FQ22" i="31" s="1"/>
  <c r="EN58" i="31"/>
  <c r="FQ58" i="31" s="1"/>
  <c r="EN17" i="31"/>
  <c r="FQ17" i="31" s="1"/>
  <c r="FQ46" i="31"/>
  <c r="FQ12" i="31"/>
  <c r="EN40" i="31"/>
  <c r="FQ40" i="31" s="1"/>
  <c r="ED30" i="28"/>
  <c r="FQ44" i="31"/>
  <c r="EN6" i="31"/>
  <c r="FQ6" i="31" s="1"/>
  <c r="FQ19" i="31"/>
  <c r="EN9" i="31"/>
  <c r="FQ9" i="31" s="1"/>
  <c r="EN41" i="31"/>
  <c r="FQ41" i="31" s="1"/>
  <c r="EN38" i="31"/>
  <c r="FQ38" i="31" s="1"/>
  <c r="ED17" i="28"/>
  <c r="EN47" i="31"/>
  <c r="FQ47" i="31" s="1"/>
  <c r="EN26" i="31"/>
  <c r="FQ26" i="31" s="1"/>
  <c r="ED24" i="28"/>
  <c r="ED9" i="28"/>
  <c r="FQ43" i="31"/>
  <c r="FQ31" i="31"/>
  <c r="EN67" i="31"/>
  <c r="FQ67" i="31" s="1"/>
  <c r="EI19" i="27"/>
  <c r="EI6" i="27"/>
  <c r="EI4" i="27"/>
  <c r="DK9" i="27"/>
  <c r="EI3" i="27"/>
  <c r="EI22" i="27"/>
  <c r="EI11" i="27"/>
  <c r="EI5" i="27"/>
  <c r="EN16" i="31"/>
  <c r="FQ16" i="31" s="1"/>
  <c r="EN36" i="31"/>
  <c r="FQ36" i="31" s="1"/>
  <c r="EI15" i="27"/>
  <c r="ED18" i="28"/>
  <c r="FQ14" i="31"/>
  <c r="EI10" i="27"/>
  <c r="EI9" i="27"/>
  <c r="EH14" i="29"/>
  <c r="FQ52" i="31"/>
  <c r="FQ30" i="31"/>
  <c r="ED35" i="28"/>
  <c r="BO13" i="29"/>
  <c r="BA4" i="29" s="1"/>
  <c r="AR4" i="29" s="1"/>
  <c r="EN70" i="31"/>
  <c r="FQ70" i="31" s="1"/>
  <c r="FQ68" i="31"/>
  <c r="FQ62" i="31"/>
  <c r="EI14" i="27"/>
  <c r="ED29" i="28"/>
  <c r="EN34" i="31"/>
  <c r="FQ34" i="31" s="1"/>
  <c r="FQ18" i="31"/>
  <c r="FQ63" i="31"/>
  <c r="ED14" i="28"/>
  <c r="DK8" i="27"/>
  <c r="FQ69" i="31"/>
  <c r="FQ13" i="31"/>
  <c r="ED25" i="28"/>
  <c r="FQ54" i="31"/>
  <c r="EI12" i="27"/>
  <c r="EI21" i="27"/>
  <c r="EN28" i="31"/>
  <c r="FQ28" i="31" s="1"/>
  <c r="ED13" i="28"/>
  <c r="FQ55" i="31"/>
  <c r="EN32" i="31"/>
  <c r="FQ32" i="31" s="1"/>
  <c r="FQ65" i="31"/>
  <c r="EI20" i="27"/>
  <c r="EN53" i="31"/>
  <c r="FQ53" i="31" s="1"/>
  <c r="EN56" i="31"/>
  <c r="FQ56" i="31" s="1"/>
  <c r="EN4" i="31"/>
  <c r="FQ4" i="31" s="1"/>
  <c r="ED6" i="28"/>
  <c r="EN66" i="31"/>
  <c r="FQ66" i="31" s="1"/>
  <c r="EI16" i="27"/>
  <c r="EI17" i="27"/>
  <c r="ED40" i="28"/>
  <c r="EI8" i="27"/>
  <c r="EO9" i="27"/>
  <c r="ED23" i="28"/>
  <c r="EN35" i="31"/>
  <c r="FQ35" i="31" s="1"/>
  <c r="EI7" i="27"/>
  <c r="FQ64" i="31"/>
  <c r="FQ23" i="31"/>
  <c r="EN11" i="31"/>
  <c r="FQ11" i="31" s="1"/>
  <c r="ED36" i="28"/>
  <c r="EN21" i="31"/>
  <c r="FQ21" i="31" s="1"/>
  <c r="EI13" i="27"/>
  <c r="EN45" i="31"/>
  <c r="FQ45" i="31" s="1"/>
  <c r="EN33" i="31"/>
  <c r="FQ33" i="31" s="1"/>
  <c r="EN48" i="31"/>
  <c r="FQ48" i="31" s="1"/>
  <c r="DK22" i="27"/>
  <c r="EO22" i="27" s="1"/>
  <c r="DK15" i="27"/>
  <c r="EO15" i="27" s="1"/>
  <c r="DK12" i="27"/>
  <c r="DK3" i="27"/>
  <c r="DK14" i="27"/>
  <c r="EO14" i="27" s="1"/>
  <c r="DK6" i="27"/>
  <c r="EO6" i="27" s="1"/>
  <c r="DK5" i="27"/>
  <c r="DK17" i="27"/>
  <c r="DK13" i="27"/>
  <c r="DK19" i="27"/>
  <c r="EO19" i="27" s="1"/>
  <c r="DK7" i="27"/>
  <c r="DK4" i="27"/>
  <c r="EO4" i="27" s="1"/>
  <c r="DK21" i="27"/>
  <c r="EO21" i="27" s="1"/>
  <c r="DK16" i="27"/>
  <c r="EO16" i="27" s="1"/>
  <c r="DK11" i="27"/>
  <c r="EO11" i="27" s="1"/>
  <c r="DK20" i="27"/>
  <c r="DK10" i="27"/>
  <c r="BI6" i="28" l="1"/>
  <c r="BG15" i="28" s="1"/>
  <c r="BA15" i="28" s="1"/>
  <c r="BA3" i="29"/>
  <c r="AR3" i="29" s="1"/>
  <c r="BA9" i="29"/>
  <c r="AR9" i="29" s="1"/>
  <c r="BT41" i="28"/>
  <c r="CQ24" i="27"/>
  <c r="EO3" i="27"/>
  <c r="BG31" i="28"/>
  <c r="BA31" i="28" s="1"/>
  <c r="BG32" i="28"/>
  <c r="BA32" i="28" s="1"/>
  <c r="BG24" i="28"/>
  <c r="BA24" i="28" s="1"/>
  <c r="EO5" i="27"/>
  <c r="EO13" i="27"/>
  <c r="AR15" i="29"/>
  <c r="BL13" i="29" s="1"/>
  <c r="AL4" i="29" s="1"/>
  <c r="EO10" i="27"/>
  <c r="EO17" i="27"/>
  <c r="BK26" i="31"/>
  <c r="BE55" i="31" s="1"/>
  <c r="AS55" i="31" s="1"/>
  <c r="EO12" i="27"/>
  <c r="EO20" i="27"/>
  <c r="EO7" i="27"/>
  <c r="EO8" i="27"/>
  <c r="BG3" i="28" l="1"/>
  <c r="BG19" i="28"/>
  <c r="AX17" i="28" s="1"/>
  <c r="BG34" i="28"/>
  <c r="BG20" i="28"/>
  <c r="BG21" i="28"/>
  <c r="BG11" i="28"/>
  <c r="CR24" i="27"/>
  <c r="CR25" i="27" s="1"/>
  <c r="BA21" i="28"/>
  <c r="AX19" i="28"/>
  <c r="BA11" i="28"/>
  <c r="AX12" i="28"/>
  <c r="BA19" i="28"/>
  <c r="BA3" i="28"/>
  <c r="AX3" i="28"/>
  <c r="BA20" i="28"/>
  <c r="AX18" i="28"/>
  <c r="BA34" i="28"/>
  <c r="AX32" i="28"/>
  <c r="BE6" i="31"/>
  <c r="AS6" i="31" s="1"/>
  <c r="BE11" i="31"/>
  <c r="AS11" i="31" s="1"/>
  <c r="AL9" i="29"/>
  <c r="BE40" i="31"/>
  <c r="AS40" i="31" s="1"/>
  <c r="BE17" i="31"/>
  <c r="AS17" i="31" s="1"/>
  <c r="BE54" i="31"/>
  <c r="AS54" i="31" s="1"/>
  <c r="BE70" i="31"/>
  <c r="AS70" i="31" s="1"/>
  <c r="BE18" i="31"/>
  <c r="AS18" i="31" s="1"/>
  <c r="BP10" i="27"/>
  <c r="BJ10" i="27" s="1"/>
  <c r="BI10" i="27" s="1"/>
  <c r="AL3" i="29"/>
  <c r="BE47" i="31"/>
  <c r="AS47" i="31" s="1"/>
  <c r="BE44" i="31"/>
  <c r="AS44" i="31" s="1"/>
  <c r="BE27" i="31"/>
  <c r="AS27" i="31" s="1"/>
  <c r="BE60" i="31"/>
  <c r="AS60" i="31" s="1"/>
  <c r="BE43" i="31"/>
  <c r="AS43" i="31" s="1"/>
  <c r="BE38" i="31"/>
  <c r="AS38" i="31" s="1"/>
  <c r="BE19" i="31"/>
  <c r="AS19" i="31" s="1"/>
  <c r="BE24" i="31"/>
  <c r="AS24" i="31" s="1"/>
  <c r="BE32" i="31"/>
  <c r="AS32" i="31" s="1"/>
  <c r="BE23" i="31"/>
  <c r="AS23" i="31" s="1"/>
  <c r="AP70" i="31"/>
  <c r="AP48" i="31"/>
  <c r="AP41" i="31"/>
  <c r="CF70" i="31"/>
  <c r="CO70" i="31" s="1"/>
  <c r="CF69" i="31"/>
  <c r="CO69" i="31" s="1"/>
  <c r="CF68" i="31"/>
  <c r="CO68" i="31" s="1"/>
  <c r="CF67" i="31"/>
  <c r="CO67" i="31" s="1"/>
  <c r="CF66" i="31"/>
  <c r="CO66" i="31" s="1"/>
  <c r="CF65" i="31"/>
  <c r="CO65" i="31" s="1"/>
  <c r="CF64" i="31"/>
  <c r="CO64" i="31" s="1"/>
  <c r="CF63" i="31"/>
  <c r="CO63" i="31" s="1"/>
  <c r="CF62" i="31"/>
  <c r="CO62" i="31" s="1"/>
  <c r="CF61" i="31"/>
  <c r="CO61" i="31" s="1"/>
  <c r="CF60" i="31"/>
  <c r="CO60" i="31" s="1"/>
  <c r="CF59" i="31"/>
  <c r="CO59" i="31" s="1"/>
  <c r="CF58" i="31"/>
  <c r="CO58" i="31" s="1"/>
  <c r="CF57" i="31"/>
  <c r="CO57" i="31" s="1"/>
  <c r="CF56" i="31"/>
  <c r="CO56" i="31" s="1"/>
  <c r="CF55" i="31"/>
  <c r="CO55" i="31" s="1"/>
  <c r="CF54" i="31"/>
  <c r="CO54" i="31" s="1"/>
  <c r="CF53" i="31"/>
  <c r="CO53" i="31" s="1"/>
  <c r="CF52" i="31"/>
  <c r="CO52" i="31" s="1"/>
  <c r="CF51" i="31"/>
  <c r="CO51" i="31" s="1"/>
  <c r="CF50" i="31"/>
  <c r="CO50" i="31" s="1"/>
  <c r="CF49" i="31"/>
  <c r="CO49" i="31" s="1"/>
  <c r="CF48" i="31"/>
  <c r="CO48" i="31" s="1"/>
  <c r="CF47" i="31"/>
  <c r="CO47" i="31" s="1"/>
  <c r="CF46" i="31"/>
  <c r="CO46" i="31" s="1"/>
  <c r="CF45" i="31"/>
  <c r="CO45" i="31" s="1"/>
  <c r="CF44" i="31"/>
  <c r="CO44" i="31" s="1"/>
  <c r="CF43" i="31"/>
  <c r="CO43" i="31" s="1"/>
  <c r="CF41" i="31"/>
  <c r="CO41" i="31" s="1"/>
  <c r="CF40" i="31"/>
  <c r="CO40" i="31" s="1"/>
  <c r="CF39" i="31"/>
  <c r="CO39" i="31" s="1"/>
  <c r="CF38" i="31"/>
  <c r="CO38" i="31" s="1"/>
  <c r="CF37" i="31"/>
  <c r="CO37" i="31" s="1"/>
  <c r="CF36" i="31"/>
  <c r="CO36" i="31" s="1"/>
  <c r="CF35" i="31"/>
  <c r="CO35" i="31" s="1"/>
  <c r="CF34" i="31"/>
  <c r="CO34" i="31" s="1"/>
  <c r="CF33" i="31"/>
  <c r="CO33" i="31" s="1"/>
  <c r="CF32" i="31"/>
  <c r="CO32" i="31" s="1"/>
  <c r="CF31" i="31"/>
  <c r="CO31" i="31" s="1"/>
  <c r="CF30" i="31"/>
  <c r="CO30" i="31" s="1"/>
  <c r="CF29" i="31"/>
  <c r="CO29" i="31" s="1"/>
  <c r="CF28" i="31"/>
  <c r="CO28" i="31" s="1"/>
  <c r="CF27" i="31"/>
  <c r="CO27" i="31" s="1"/>
  <c r="CF26" i="31"/>
  <c r="CO26" i="31" s="1"/>
  <c r="CF25" i="31"/>
  <c r="CO25" i="31" s="1"/>
  <c r="CF24" i="31"/>
  <c r="CO24" i="31" s="1"/>
  <c r="CF23" i="31"/>
  <c r="CO23" i="31" s="1"/>
  <c r="CF22" i="31"/>
  <c r="CO22" i="31" s="1"/>
  <c r="CF21" i="31"/>
  <c r="CO21" i="31" s="1"/>
  <c r="CF20" i="31"/>
  <c r="CO20" i="31" s="1"/>
  <c r="CF19" i="31"/>
  <c r="CO19" i="31" s="1"/>
  <c r="CF18" i="31"/>
  <c r="CO18" i="31" s="1"/>
  <c r="CF17" i="31"/>
  <c r="CO17" i="31" s="1"/>
  <c r="CF16" i="31"/>
  <c r="CO16" i="31" s="1"/>
  <c r="CF15" i="31"/>
  <c r="CO15" i="31" s="1"/>
  <c r="CF14" i="31"/>
  <c r="CO14" i="31" s="1"/>
  <c r="CF13" i="31"/>
  <c r="CO13" i="31" s="1"/>
  <c r="CF12" i="31"/>
  <c r="CO12" i="31" s="1"/>
  <c r="CF11" i="31"/>
  <c r="CO11" i="31" s="1"/>
  <c r="CF10" i="31"/>
  <c r="CO10" i="31" s="1"/>
  <c r="CF9" i="31"/>
  <c r="CO9" i="31" s="1"/>
  <c r="CF8" i="31"/>
  <c r="CO8" i="31" s="1"/>
  <c r="CF7" i="31"/>
  <c r="CO7" i="31" s="1"/>
  <c r="CF6" i="31"/>
  <c r="CO6" i="31" s="1"/>
  <c r="CF5" i="31"/>
  <c r="CO5" i="31" s="1"/>
  <c r="CF4" i="31"/>
  <c r="CO4" i="31" s="1"/>
  <c r="CF3" i="31"/>
  <c r="CO3" i="31" s="1"/>
  <c r="AF71" i="31"/>
  <c r="AM13" i="30"/>
  <c r="CC11" i="30"/>
  <c r="CC10" i="30"/>
  <c r="CC9" i="30"/>
  <c r="CC8" i="30"/>
  <c r="CC7" i="30"/>
  <c r="CC6" i="30"/>
  <c r="CC5" i="30"/>
  <c r="CC4" i="30"/>
  <c r="CC3" i="30"/>
  <c r="CQ14" i="29"/>
  <c r="CS14" i="29" s="1"/>
  <c r="CQ13" i="29"/>
  <c r="CS13" i="29" s="1"/>
  <c r="CQ12" i="29"/>
  <c r="CS12" i="29" s="1"/>
  <c r="CQ11" i="29"/>
  <c r="CS11" i="29" s="1"/>
  <c r="CQ10" i="29"/>
  <c r="CS10" i="29" s="1"/>
  <c r="CQ9" i="29"/>
  <c r="CS9" i="29" s="1"/>
  <c r="CQ8" i="29"/>
  <c r="CS8" i="29" s="1"/>
  <c r="CQ7" i="29"/>
  <c r="CS7" i="29" s="1"/>
  <c r="CQ5" i="29"/>
  <c r="CS5" i="29" s="1"/>
  <c r="CQ4" i="29"/>
  <c r="CS4" i="29" s="1"/>
  <c r="CQ3" i="29"/>
  <c r="CS3" i="29" s="1"/>
  <c r="AU31" i="28"/>
  <c r="AU18" i="28"/>
  <c r="AU12" i="28"/>
  <c r="CI40" i="28"/>
  <c r="CN40" i="28" s="1"/>
  <c r="CI39" i="28"/>
  <c r="CN39" i="28" s="1"/>
  <c r="CI38" i="28"/>
  <c r="CN38" i="28" s="1"/>
  <c r="CI37" i="28"/>
  <c r="CN37" i="28" s="1"/>
  <c r="CI36" i="28"/>
  <c r="CN36" i="28" s="1"/>
  <c r="CI35" i="28"/>
  <c r="CN35" i="28" s="1"/>
  <c r="CI34" i="28"/>
  <c r="CN34" i="28" s="1"/>
  <c r="CI33" i="28"/>
  <c r="CN33" i="28" s="1"/>
  <c r="CI32" i="28"/>
  <c r="CN32" i="28" s="1"/>
  <c r="CI31" i="28"/>
  <c r="CN31" i="28" s="1"/>
  <c r="CI30" i="28"/>
  <c r="CN30" i="28" s="1"/>
  <c r="CI29" i="28"/>
  <c r="CN29" i="28" s="1"/>
  <c r="CI28" i="28"/>
  <c r="CN28" i="28" s="1"/>
  <c r="CI27" i="28"/>
  <c r="CN27" i="28" s="1"/>
  <c r="CI26" i="28"/>
  <c r="CN26" i="28" s="1"/>
  <c r="CI25" i="28"/>
  <c r="CN25" i="28" s="1"/>
  <c r="CI24" i="28"/>
  <c r="CN24" i="28" s="1"/>
  <c r="CI23" i="28"/>
  <c r="CN23" i="28" s="1"/>
  <c r="CI22" i="28"/>
  <c r="CN22" i="28" s="1"/>
  <c r="CI21" i="28"/>
  <c r="CN21" i="28" s="1"/>
  <c r="CI20" i="28"/>
  <c r="CN20" i="28" s="1"/>
  <c r="CI19" i="28"/>
  <c r="CN19" i="28" s="1"/>
  <c r="CI18" i="28"/>
  <c r="CN18" i="28" s="1"/>
  <c r="CI17" i="28"/>
  <c r="CN17" i="28" s="1"/>
  <c r="CI16" i="28"/>
  <c r="CN16" i="28" s="1"/>
  <c r="CI15" i="28"/>
  <c r="CN15" i="28" s="1"/>
  <c r="CI14" i="28"/>
  <c r="CN14" i="28" s="1"/>
  <c r="CI13" i="28"/>
  <c r="CN13" i="28" s="1"/>
  <c r="CI12" i="28"/>
  <c r="CN12" i="28" s="1"/>
  <c r="CI11" i="28"/>
  <c r="CN11" i="28" s="1"/>
  <c r="CI10" i="28"/>
  <c r="CN10" i="28" s="1"/>
  <c r="CI9" i="28"/>
  <c r="CN9" i="28" s="1"/>
  <c r="CI8" i="28"/>
  <c r="CN8" i="28" s="1"/>
  <c r="CI7" i="28"/>
  <c r="CN7" i="28" s="1"/>
  <c r="CI6" i="28"/>
  <c r="CN6" i="28" s="1"/>
  <c r="CI4" i="28"/>
  <c r="CN4" i="28" s="1"/>
  <c r="CI3" i="28"/>
  <c r="CN3" i="28" s="1"/>
  <c r="AF42" i="28"/>
  <c r="AL15" i="29" l="1"/>
  <c r="AU42" i="28"/>
  <c r="AU43" i="28" s="1"/>
  <c r="BA41" i="28"/>
  <c r="BH8" i="28" s="1"/>
  <c r="BU41" i="28"/>
  <c r="BU42" i="28" s="1"/>
  <c r="CS13" i="27"/>
  <c r="CS10" i="27"/>
  <c r="CS3" i="27"/>
  <c r="CS18" i="27"/>
  <c r="CS7" i="27"/>
  <c r="CS14" i="27"/>
  <c r="CS20" i="27"/>
  <c r="CS19" i="27"/>
  <c r="CS4" i="27"/>
  <c r="AX42" i="28"/>
  <c r="AS71" i="31"/>
  <c r="BK35" i="31" s="1"/>
  <c r="AN11" i="31" s="1"/>
  <c r="CG8" i="30"/>
  <c r="CF8" i="30"/>
  <c r="CG4" i="30"/>
  <c r="CF4" i="30"/>
  <c r="CG10" i="30"/>
  <c r="CF10" i="30"/>
  <c r="BJ3" i="27"/>
  <c r="BJ4" i="27"/>
  <c r="BJ14" i="27"/>
  <c r="BI14" i="27" s="1"/>
  <c r="BJ19" i="27"/>
  <c r="BJ13" i="27"/>
  <c r="BI13" i="27" s="1"/>
  <c r="CG3" i="30"/>
  <c r="CF3" i="30"/>
  <c r="CG5" i="30"/>
  <c r="CF5" i="30"/>
  <c r="CG6" i="30"/>
  <c r="CF6" i="30"/>
  <c r="CG9" i="30"/>
  <c r="CF9" i="30"/>
  <c r="CG11" i="30"/>
  <c r="CF11" i="30"/>
  <c r="CG7" i="30"/>
  <c r="CF7" i="30"/>
  <c r="AT42" i="28"/>
  <c r="AV43" i="28" s="1"/>
  <c r="CO72" i="31"/>
  <c r="CO71" i="31"/>
  <c r="CS18" i="29"/>
  <c r="CS17" i="29"/>
  <c r="CN42" i="28"/>
  <c r="CN41" i="28"/>
  <c r="AN38" i="31" l="1"/>
  <c r="AO38" i="31" s="1"/>
  <c r="AN43" i="31"/>
  <c r="AO43" i="31" s="1"/>
  <c r="AN24" i="31"/>
  <c r="BV17" i="28"/>
  <c r="BV30" i="28"/>
  <c r="AN6" i="31"/>
  <c r="AN70" i="31"/>
  <c r="BV32" i="28"/>
  <c r="BV19" i="28"/>
  <c r="BV12" i="28"/>
  <c r="CG12" i="30"/>
  <c r="CL4" i="30" s="1"/>
  <c r="CS24" i="27"/>
  <c r="AN17" i="31"/>
  <c r="AN40" i="31"/>
  <c r="AN23" i="31"/>
  <c r="AN19" i="31"/>
  <c r="AO19" i="31" s="1"/>
  <c r="AN55" i="31"/>
  <c r="AN47" i="31"/>
  <c r="BV24" i="28"/>
  <c r="BV31" i="28"/>
  <c r="BV35" i="28"/>
  <c r="BV11" i="28"/>
  <c r="BV21" i="28"/>
  <c r="BV34" i="28"/>
  <c r="BV15" i="28"/>
  <c r="BV20" i="28"/>
  <c r="AN32" i="31"/>
  <c r="AN44" i="31"/>
  <c r="AN27" i="31"/>
  <c r="BV3" i="28"/>
  <c r="AN60" i="31"/>
  <c r="BV18" i="28"/>
  <c r="BI19" i="27"/>
  <c r="BI4" i="27"/>
  <c r="BI3" i="27"/>
  <c r="BI24" i="27" s="1"/>
  <c r="BN24" i="27" s="1"/>
  <c r="AN54" i="31"/>
  <c r="AN18" i="31"/>
  <c r="AO18" i="31" s="1"/>
  <c r="CG13" i="30"/>
  <c r="CL5" i="30" s="1"/>
  <c r="CF13" i="30"/>
  <c r="CF12" i="30"/>
  <c r="CP19" i="28"/>
  <c r="CQ7" i="31"/>
  <c r="CQ29" i="31"/>
  <c r="CQ26" i="31"/>
  <c r="CQ60" i="31"/>
  <c r="CQ35" i="31"/>
  <c r="CQ8" i="31"/>
  <c r="CQ33" i="31"/>
  <c r="CQ40" i="31"/>
  <c r="CQ47" i="31"/>
  <c r="CQ65" i="31"/>
  <c r="CQ21" i="31"/>
  <c r="CQ43" i="31"/>
  <c r="CQ52" i="31"/>
  <c r="CQ50" i="31"/>
  <c r="CQ62" i="31"/>
  <c r="CQ25" i="31"/>
  <c r="CQ32" i="31"/>
  <c r="CQ39" i="31"/>
  <c r="CQ67" i="31"/>
  <c r="CQ41" i="31"/>
  <c r="CQ45" i="31"/>
  <c r="CQ31" i="31"/>
  <c r="CQ68" i="31"/>
  <c r="CQ6" i="31"/>
  <c r="CQ15" i="31"/>
  <c r="CQ36" i="31"/>
  <c r="CQ69" i="31"/>
  <c r="CQ19" i="31"/>
  <c r="CQ10" i="31"/>
  <c r="CQ16" i="31"/>
  <c r="CQ23" i="31"/>
  <c r="CQ4" i="31"/>
  <c r="CQ55" i="31"/>
  <c r="CQ58" i="31"/>
  <c r="CQ18" i="31"/>
  <c r="CQ11" i="31"/>
  <c r="CQ24" i="31"/>
  <c r="CQ61" i="31"/>
  <c r="CQ12" i="31"/>
  <c r="CQ28" i="31"/>
  <c r="CQ14" i="31"/>
  <c r="CQ3" i="31"/>
  <c r="CQ9" i="31"/>
  <c r="CQ54" i="31"/>
  <c r="CQ22" i="31"/>
  <c r="CQ53" i="31"/>
  <c r="CQ66" i="31"/>
  <c r="CQ30" i="31"/>
  <c r="CQ20" i="31"/>
  <c r="CQ34" i="31"/>
  <c r="CQ57" i="31"/>
  <c r="CQ64" i="31"/>
  <c r="CQ70" i="31"/>
  <c r="CQ38" i="31"/>
  <c r="CQ37" i="31"/>
  <c r="CQ59" i="31"/>
  <c r="CQ48" i="31"/>
  <c r="CQ13" i="31"/>
  <c r="CQ17" i="31"/>
  <c r="CQ46" i="31"/>
  <c r="CQ27" i="31"/>
  <c r="CQ51" i="31"/>
  <c r="CQ5" i="31"/>
  <c r="CQ44" i="31"/>
  <c r="CQ49" i="31"/>
  <c r="CQ56" i="31"/>
  <c r="CQ63" i="31"/>
  <c r="CL3" i="30"/>
  <c r="CL8" i="30"/>
  <c r="DV8" i="30" s="1"/>
  <c r="CL6" i="30"/>
  <c r="CL11" i="30"/>
  <c r="CL7" i="30"/>
  <c r="DV7" i="30" s="1"/>
  <c r="CL10" i="30"/>
  <c r="CV7" i="29"/>
  <c r="CV14" i="29"/>
  <c r="CV5" i="29"/>
  <c r="CV13" i="29"/>
  <c r="CV4" i="29"/>
  <c r="CV9" i="29"/>
  <c r="CV3" i="29"/>
  <c r="CV12" i="29"/>
  <c r="CV10" i="29"/>
  <c r="CV8" i="29"/>
  <c r="CV11" i="29"/>
  <c r="CP11" i="28"/>
  <c r="CP25" i="28"/>
  <c r="CP31" i="28"/>
  <c r="CP29" i="28"/>
  <c r="CP16" i="28"/>
  <c r="CP15" i="28"/>
  <c r="CP22" i="28"/>
  <c r="CP28" i="28"/>
  <c r="CP40" i="28"/>
  <c r="CP3" i="28"/>
  <c r="CP17" i="28"/>
  <c r="CP8" i="28"/>
  <c r="CP6" i="28"/>
  <c r="CP33" i="28"/>
  <c r="CP7" i="28"/>
  <c r="CP39" i="28"/>
  <c r="CP9" i="28"/>
  <c r="CP20" i="28"/>
  <c r="CP36" i="28"/>
  <c r="CP23" i="28"/>
  <c r="CP13" i="28"/>
  <c r="CP12" i="28"/>
  <c r="CP35" i="28"/>
  <c r="CP32" i="28"/>
  <c r="CP38" i="28"/>
  <c r="CP18" i="28"/>
  <c r="CP21" i="28"/>
  <c r="CP27" i="28"/>
  <c r="CP24" i="28"/>
  <c r="CP30" i="28"/>
  <c r="CP34" i="28"/>
  <c r="CP4" i="28"/>
  <c r="CP10" i="28"/>
  <c r="CP26" i="28"/>
  <c r="CP37" i="28"/>
  <c r="CP14" i="28"/>
  <c r="CL9" i="30" l="1"/>
  <c r="CK3" i="30"/>
  <c r="ED3" i="30" s="1"/>
  <c r="AN71" i="31"/>
  <c r="BV41" i="28"/>
  <c r="CK11" i="30"/>
  <c r="ED11" i="30" s="1"/>
  <c r="CK4" i="30"/>
  <c r="ED4" i="30" s="1"/>
  <c r="CK7" i="30"/>
  <c r="ED7" i="30" s="1"/>
  <c r="CK9" i="30"/>
  <c r="ED9" i="30" s="1"/>
  <c r="CK6" i="30"/>
  <c r="ED6" i="30" s="1"/>
  <c r="CK5" i="30"/>
  <c r="ED5" i="30" s="1"/>
  <c r="CK8" i="30"/>
  <c r="ED8" i="30" s="1"/>
  <c r="CK10" i="30"/>
  <c r="ED10" i="30" s="1"/>
  <c r="BJ10" i="30" l="1"/>
  <c r="AZ9" i="30" s="1"/>
  <c r="AT9" i="30" s="1"/>
  <c r="DC22" i="27"/>
  <c r="DH22" i="27" s="1"/>
  <c r="DC21" i="27"/>
  <c r="DH21" i="27" s="1"/>
  <c r="DC20" i="27"/>
  <c r="DH20" i="27" s="1"/>
  <c r="DC19" i="27"/>
  <c r="DH19" i="27" s="1"/>
  <c r="DC17" i="27"/>
  <c r="DH17" i="27" s="1"/>
  <c r="DC16" i="27"/>
  <c r="DH16" i="27" s="1"/>
  <c r="DC15" i="27"/>
  <c r="DH15" i="27" s="1"/>
  <c r="DC14" i="27"/>
  <c r="DH14" i="27" s="1"/>
  <c r="DC13" i="27"/>
  <c r="DH13" i="27" s="1"/>
  <c r="DC12" i="27"/>
  <c r="DH12" i="27" s="1"/>
  <c r="DC11" i="27"/>
  <c r="DH11" i="27" s="1"/>
  <c r="DC10" i="27"/>
  <c r="DH10" i="27" s="1"/>
  <c r="DC9" i="27"/>
  <c r="DH9" i="27" s="1"/>
  <c r="DC8" i="27"/>
  <c r="DH8" i="27" s="1"/>
  <c r="DC7" i="27"/>
  <c r="DH7" i="27" s="1"/>
  <c r="DC6" i="27"/>
  <c r="DH6" i="27" s="1"/>
  <c r="DC5" i="27"/>
  <c r="DH5" i="27" s="1"/>
  <c r="DC4" i="27"/>
  <c r="DH4" i="27" s="1"/>
  <c r="DC3" i="27"/>
  <c r="DH3" i="27" s="1"/>
  <c r="AZ4" i="30" l="1"/>
  <c r="AT4" i="30" s="1"/>
  <c r="DH25" i="27"/>
  <c r="DH24" i="27"/>
  <c r="BT71" i="31"/>
  <c r="BQ12" i="30"/>
  <c r="BV15" i="29"/>
  <c r="BP41" i="28"/>
  <c r="CH41" i="28" s="1"/>
  <c r="BW24" i="27"/>
  <c r="DB24" i="27" s="1"/>
  <c r="AT12" i="30" l="1"/>
  <c r="BH10" i="30" s="1"/>
  <c r="AO9" i="30" s="1"/>
  <c r="DJ11" i="27"/>
  <c r="DJ9" i="27"/>
  <c r="DJ4" i="27"/>
  <c r="DJ8" i="27"/>
  <c r="DJ19" i="27"/>
  <c r="DJ14" i="27"/>
  <c r="DJ20" i="27"/>
  <c r="DJ7" i="27"/>
  <c r="DJ17" i="27"/>
  <c r="DJ5" i="27"/>
  <c r="DJ12" i="27"/>
  <c r="DJ3" i="27"/>
  <c r="DJ21" i="27"/>
  <c r="DJ22" i="27"/>
  <c r="DJ16" i="27"/>
  <c r="DJ6" i="27"/>
  <c r="DJ13" i="27"/>
  <c r="DJ10" i="27"/>
  <c r="DJ15" i="27"/>
  <c r="AO4" i="30" l="1"/>
  <c r="AO13" i="30" s="1"/>
  <c r="EQ70" i="31"/>
  <c r="EV70" i="31" s="1"/>
  <c r="EQ69" i="31"/>
  <c r="EV69" i="31" s="1"/>
  <c r="EQ68" i="31"/>
  <c r="EV68" i="31" s="1"/>
  <c r="EQ67" i="31"/>
  <c r="EV67" i="31" s="1"/>
  <c r="EQ66" i="31"/>
  <c r="EV66" i="31" s="1"/>
  <c r="EQ65" i="31"/>
  <c r="EV65" i="31" s="1"/>
  <c r="EQ64" i="31"/>
  <c r="EV64" i="31" s="1"/>
  <c r="EQ63" i="31"/>
  <c r="EV63" i="31" s="1"/>
  <c r="EQ62" i="31"/>
  <c r="EV62" i="31" s="1"/>
  <c r="EQ61" i="31"/>
  <c r="EV61" i="31" s="1"/>
  <c r="EQ60" i="31"/>
  <c r="EV60" i="31" s="1"/>
  <c r="EQ59" i="31"/>
  <c r="EV59" i="31" s="1"/>
  <c r="EQ58" i="31"/>
  <c r="EV58" i="31" s="1"/>
  <c r="EQ57" i="31"/>
  <c r="EV57" i="31" s="1"/>
  <c r="EQ56" i="31"/>
  <c r="EV56" i="31" s="1"/>
  <c r="EQ55" i="31"/>
  <c r="EV55" i="31" s="1"/>
  <c r="EQ54" i="31"/>
  <c r="EV54" i="31" s="1"/>
  <c r="EQ53" i="31"/>
  <c r="EV53" i="31" s="1"/>
  <c r="EQ52" i="31"/>
  <c r="EV52" i="31" s="1"/>
  <c r="EQ51" i="31"/>
  <c r="EV51" i="31" s="1"/>
  <c r="EQ50" i="31"/>
  <c r="EV50" i="31" s="1"/>
  <c r="EQ49" i="31"/>
  <c r="EV49" i="31" s="1"/>
  <c r="EQ48" i="31"/>
  <c r="EV48" i="31" s="1"/>
  <c r="EQ47" i="31"/>
  <c r="EV47" i="31" s="1"/>
  <c r="EQ46" i="31"/>
  <c r="EV46" i="31" s="1"/>
  <c r="EQ45" i="31"/>
  <c r="EV45" i="31" s="1"/>
  <c r="EQ44" i="31"/>
  <c r="EV44" i="31" s="1"/>
  <c r="EQ43" i="31"/>
  <c r="EV43" i="31" s="1"/>
  <c r="EQ41" i="31"/>
  <c r="EV41" i="31" s="1"/>
  <c r="EQ40" i="31"/>
  <c r="EV40" i="31" s="1"/>
  <c r="EQ39" i="31"/>
  <c r="EV39" i="31" s="1"/>
  <c r="EQ38" i="31"/>
  <c r="EV38" i="31" s="1"/>
  <c r="EQ37" i="31"/>
  <c r="EV37" i="31" s="1"/>
  <c r="EQ36" i="31"/>
  <c r="EV36" i="31" s="1"/>
  <c r="EQ35" i="31"/>
  <c r="EV35" i="31" s="1"/>
  <c r="EQ34" i="31"/>
  <c r="EV34" i="31" s="1"/>
  <c r="EQ33" i="31"/>
  <c r="EV33" i="31" s="1"/>
  <c r="EQ32" i="31"/>
  <c r="EV32" i="31" s="1"/>
  <c r="EQ31" i="31"/>
  <c r="EV31" i="31" s="1"/>
  <c r="EQ30" i="31"/>
  <c r="EV30" i="31" s="1"/>
  <c r="EQ29" i="31"/>
  <c r="EV29" i="31" s="1"/>
  <c r="EQ28" i="31"/>
  <c r="EV28" i="31" s="1"/>
  <c r="EQ27" i="31"/>
  <c r="EV27" i="31" s="1"/>
  <c r="EQ26" i="31"/>
  <c r="EV26" i="31" s="1"/>
  <c r="EQ25" i="31"/>
  <c r="EV25" i="31" s="1"/>
  <c r="EQ24" i="31"/>
  <c r="EV24" i="31" s="1"/>
  <c r="EQ23" i="31"/>
  <c r="EV23" i="31" s="1"/>
  <c r="EQ22" i="31"/>
  <c r="EV22" i="31" s="1"/>
  <c r="EQ21" i="31"/>
  <c r="EV21" i="31" s="1"/>
  <c r="EQ20" i="31"/>
  <c r="EV20" i="31" s="1"/>
  <c r="EQ19" i="31"/>
  <c r="EV19" i="31" s="1"/>
  <c r="EQ18" i="31"/>
  <c r="EV18" i="31" s="1"/>
  <c r="EQ17" i="31"/>
  <c r="EV17" i="31" s="1"/>
  <c r="EQ16" i="31"/>
  <c r="EV16" i="31" s="1"/>
  <c r="EQ15" i="31"/>
  <c r="EV15" i="31" s="1"/>
  <c r="EQ14" i="31"/>
  <c r="EV14" i="31" s="1"/>
  <c r="EQ13" i="31"/>
  <c r="EV13" i="31" s="1"/>
  <c r="EQ12" i="31"/>
  <c r="EV12" i="31" s="1"/>
  <c r="EQ11" i="31"/>
  <c r="EV11" i="31" s="1"/>
  <c r="EQ10" i="31"/>
  <c r="EV10" i="31" s="1"/>
  <c r="EQ9" i="31"/>
  <c r="EV9" i="31" s="1"/>
  <c r="EQ8" i="31"/>
  <c r="EV8" i="31" s="1"/>
  <c r="EQ7" i="31"/>
  <c r="EV7" i="31" s="1"/>
  <c r="EQ6" i="31"/>
  <c r="EV6" i="31" s="1"/>
  <c r="EQ5" i="31"/>
  <c r="EV5" i="31" s="1"/>
  <c r="EQ4" i="31"/>
  <c r="EV4" i="31" s="1"/>
  <c r="EQ3" i="31"/>
  <c r="EV3" i="31" s="1"/>
  <c r="EV71" i="31" l="1"/>
  <c r="EV72" i="31"/>
  <c r="DE70" i="31"/>
  <c r="DV70" i="31" s="1"/>
  <c r="DE69" i="31"/>
  <c r="DV69" i="31" s="1"/>
  <c r="DE68" i="31"/>
  <c r="DV68" i="31" s="1"/>
  <c r="DE67" i="31"/>
  <c r="DV67" i="31" s="1"/>
  <c r="DE66" i="31"/>
  <c r="DV66" i="31" s="1"/>
  <c r="DE65" i="31"/>
  <c r="DV65" i="31" s="1"/>
  <c r="DE64" i="31"/>
  <c r="DV64" i="31" s="1"/>
  <c r="DE63" i="31"/>
  <c r="DV63" i="31" s="1"/>
  <c r="DE62" i="31"/>
  <c r="DV62" i="31" s="1"/>
  <c r="DE61" i="31"/>
  <c r="DV61" i="31" s="1"/>
  <c r="DE60" i="31"/>
  <c r="DV60" i="31" s="1"/>
  <c r="DE59" i="31"/>
  <c r="DV59" i="31" s="1"/>
  <c r="DE58" i="31"/>
  <c r="DV58" i="31" s="1"/>
  <c r="DE57" i="31"/>
  <c r="DV57" i="31" s="1"/>
  <c r="DE56" i="31"/>
  <c r="DV56" i="31" s="1"/>
  <c r="DE55" i="31"/>
  <c r="DV55" i="31" s="1"/>
  <c r="DE54" i="31"/>
  <c r="DV54" i="31" s="1"/>
  <c r="DE53" i="31"/>
  <c r="DV53" i="31" s="1"/>
  <c r="DE52" i="31"/>
  <c r="DV52" i="31" s="1"/>
  <c r="DE51" i="31"/>
  <c r="DV51" i="31" s="1"/>
  <c r="DE50" i="31"/>
  <c r="DV50" i="31" s="1"/>
  <c r="DE49" i="31"/>
  <c r="DV49" i="31" s="1"/>
  <c r="DE48" i="31"/>
  <c r="DV48" i="31" s="1"/>
  <c r="DE47" i="31"/>
  <c r="DV47" i="31" s="1"/>
  <c r="DE46" i="31"/>
  <c r="DV46" i="31" s="1"/>
  <c r="DE45" i="31"/>
  <c r="DV45" i="31" s="1"/>
  <c r="DE44" i="31"/>
  <c r="DV44" i="31" s="1"/>
  <c r="DE43" i="31"/>
  <c r="DV43" i="31" s="1"/>
  <c r="DE41" i="31"/>
  <c r="DV41" i="31" s="1"/>
  <c r="DE40" i="31"/>
  <c r="DV40" i="31" s="1"/>
  <c r="DE39" i="31"/>
  <c r="DV39" i="31" s="1"/>
  <c r="DE38" i="31"/>
  <c r="DV38" i="31" s="1"/>
  <c r="DE37" i="31"/>
  <c r="DV37" i="31" s="1"/>
  <c r="DE36" i="31"/>
  <c r="DV36" i="31" s="1"/>
  <c r="DE35" i="31"/>
  <c r="DV35" i="31" s="1"/>
  <c r="DE34" i="31"/>
  <c r="DV34" i="31" s="1"/>
  <c r="DE33" i="31"/>
  <c r="DV33" i="31" s="1"/>
  <c r="DE32" i="31"/>
  <c r="DV32" i="31" s="1"/>
  <c r="DE31" i="31"/>
  <c r="DV31" i="31" s="1"/>
  <c r="DE30" i="31"/>
  <c r="DV30" i="31" s="1"/>
  <c r="DE29" i="31"/>
  <c r="DV29" i="31" s="1"/>
  <c r="DE28" i="31"/>
  <c r="DV28" i="31" s="1"/>
  <c r="DE27" i="31"/>
  <c r="DV27" i="31" s="1"/>
  <c r="DE26" i="31"/>
  <c r="DV26" i="31" s="1"/>
  <c r="DE25" i="31"/>
  <c r="DV25" i="31" s="1"/>
  <c r="DE24" i="31"/>
  <c r="DV24" i="31" s="1"/>
  <c r="DE23" i="31"/>
  <c r="DV23" i="31" s="1"/>
  <c r="DE22" i="31"/>
  <c r="DV22" i="31" s="1"/>
  <c r="DE21" i="31"/>
  <c r="DV21" i="31" s="1"/>
  <c r="DE20" i="31"/>
  <c r="DV20" i="31" s="1"/>
  <c r="DE19" i="31"/>
  <c r="DV19" i="31" s="1"/>
  <c r="DE18" i="31"/>
  <c r="DV18" i="31" s="1"/>
  <c r="DE17" i="31"/>
  <c r="DV17" i="31" s="1"/>
  <c r="DE16" i="31"/>
  <c r="DV16" i="31" s="1"/>
  <c r="DE15" i="31"/>
  <c r="DV15" i="31" s="1"/>
  <c r="DE14" i="31"/>
  <c r="DV14" i="31" s="1"/>
  <c r="DE13" i="31"/>
  <c r="DV13" i="31" s="1"/>
  <c r="DE12" i="31"/>
  <c r="DV12" i="31" s="1"/>
  <c r="DE11" i="31"/>
  <c r="DV11" i="31" s="1"/>
  <c r="DE10" i="31"/>
  <c r="DV10" i="31" s="1"/>
  <c r="DE9" i="31"/>
  <c r="DV9" i="31" s="1"/>
  <c r="DE8" i="31"/>
  <c r="DV8" i="31" s="1"/>
  <c r="DE7" i="31"/>
  <c r="DV7" i="31" s="1"/>
  <c r="DE6" i="31"/>
  <c r="DV6" i="31" s="1"/>
  <c r="DE5" i="31"/>
  <c r="DV5" i="31" s="1"/>
  <c r="DE4" i="31"/>
  <c r="DV4" i="31" s="1"/>
  <c r="DE3" i="31"/>
  <c r="DV3" i="31" s="1"/>
  <c r="CG70" i="31"/>
  <c r="CR70" i="31" s="1"/>
  <c r="CG69" i="31"/>
  <c r="CR69" i="31" s="1"/>
  <c r="CG68" i="31"/>
  <c r="CR68" i="31" s="1"/>
  <c r="CG67" i="31"/>
  <c r="CR67" i="31" s="1"/>
  <c r="CG66" i="31"/>
  <c r="CR66" i="31" s="1"/>
  <c r="CG65" i="31"/>
  <c r="CR65" i="31" s="1"/>
  <c r="CG64" i="31"/>
  <c r="CR64" i="31" s="1"/>
  <c r="CG63" i="31"/>
  <c r="CR63" i="31" s="1"/>
  <c r="CG62" i="31"/>
  <c r="CR62" i="31" s="1"/>
  <c r="CG61" i="31"/>
  <c r="CR61" i="31" s="1"/>
  <c r="CG60" i="31"/>
  <c r="CR60" i="31" s="1"/>
  <c r="CG59" i="31"/>
  <c r="CR59" i="31" s="1"/>
  <c r="CG58" i="31"/>
  <c r="CR58" i="31" s="1"/>
  <c r="CG57" i="31"/>
  <c r="CR57" i="31" s="1"/>
  <c r="CG56" i="31"/>
  <c r="CR56" i="31" s="1"/>
  <c r="CG55" i="31"/>
  <c r="CR55" i="31" s="1"/>
  <c r="CG54" i="31"/>
  <c r="CR54" i="31" s="1"/>
  <c r="CG53" i="31"/>
  <c r="CR53" i="31" s="1"/>
  <c r="CG52" i="31"/>
  <c r="CR52" i="31" s="1"/>
  <c r="CG51" i="31"/>
  <c r="CR51" i="31" s="1"/>
  <c r="CG50" i="31"/>
  <c r="CR50" i="31" s="1"/>
  <c r="CG49" i="31"/>
  <c r="CR49" i="31" s="1"/>
  <c r="CG48" i="31"/>
  <c r="CR48" i="31" s="1"/>
  <c r="CG47" i="31"/>
  <c r="CR47" i="31" s="1"/>
  <c r="CG46" i="31"/>
  <c r="CR46" i="31" s="1"/>
  <c r="CG45" i="31"/>
  <c r="CR45" i="31" s="1"/>
  <c r="CG44" i="31"/>
  <c r="CR44" i="31" s="1"/>
  <c r="CG43" i="31"/>
  <c r="CR43" i="31" s="1"/>
  <c r="CG41" i="31"/>
  <c r="CR41" i="31" s="1"/>
  <c r="CG40" i="31"/>
  <c r="CR40" i="31" s="1"/>
  <c r="CG39" i="31"/>
  <c r="CR39" i="31" s="1"/>
  <c r="CG38" i="31"/>
  <c r="CR38" i="31" s="1"/>
  <c r="CG37" i="31"/>
  <c r="CR37" i="31" s="1"/>
  <c r="CG36" i="31"/>
  <c r="CR36" i="31" s="1"/>
  <c r="CG35" i="31"/>
  <c r="CR35" i="31" s="1"/>
  <c r="CG34" i="31"/>
  <c r="CR34" i="31" s="1"/>
  <c r="CG33" i="31"/>
  <c r="CR33" i="31" s="1"/>
  <c r="CG32" i="31"/>
  <c r="CR32" i="31" s="1"/>
  <c r="CG31" i="31"/>
  <c r="CR31" i="31" s="1"/>
  <c r="CG30" i="31"/>
  <c r="CR30" i="31" s="1"/>
  <c r="CG29" i="31"/>
  <c r="CR29" i="31" s="1"/>
  <c r="CG28" i="31"/>
  <c r="CR28" i="31" s="1"/>
  <c r="CG27" i="31"/>
  <c r="CR27" i="31" s="1"/>
  <c r="CG26" i="31"/>
  <c r="CR26" i="31" s="1"/>
  <c r="CG25" i="31"/>
  <c r="CR25" i="31" s="1"/>
  <c r="CG24" i="31"/>
  <c r="CR24" i="31" s="1"/>
  <c r="CG23" i="31"/>
  <c r="CR23" i="31" s="1"/>
  <c r="CG22" i="31"/>
  <c r="CR22" i="31" s="1"/>
  <c r="CG21" i="31"/>
  <c r="CR21" i="31" s="1"/>
  <c r="CG20" i="31"/>
  <c r="CR20" i="31" s="1"/>
  <c r="CG19" i="31"/>
  <c r="CR19" i="31" s="1"/>
  <c r="CG18" i="31"/>
  <c r="CR18" i="31" s="1"/>
  <c r="CG17" i="31"/>
  <c r="CR17" i="31" s="1"/>
  <c r="CG16" i="31"/>
  <c r="CR16" i="31" s="1"/>
  <c r="CG15" i="31"/>
  <c r="CR15" i="31" s="1"/>
  <c r="CG14" i="31"/>
  <c r="CR14" i="31" s="1"/>
  <c r="CG13" i="31"/>
  <c r="CR13" i="31" s="1"/>
  <c r="CG12" i="31"/>
  <c r="CR12" i="31" s="1"/>
  <c r="CG11" i="31"/>
  <c r="CR11" i="31" s="1"/>
  <c r="CG10" i="31"/>
  <c r="CR10" i="31" s="1"/>
  <c r="CG9" i="31"/>
  <c r="CR9" i="31" s="1"/>
  <c r="CG8" i="31"/>
  <c r="CR8" i="31" s="1"/>
  <c r="CG7" i="31"/>
  <c r="CR7" i="31" s="1"/>
  <c r="CG6" i="31"/>
  <c r="CR6" i="31" s="1"/>
  <c r="CG5" i="31"/>
  <c r="CR5" i="31" s="1"/>
  <c r="CG4" i="31"/>
  <c r="CR4" i="31" s="1"/>
  <c r="CG3" i="31"/>
  <c r="CR3" i="31" s="1"/>
  <c r="DK8" i="30"/>
  <c r="DK7" i="30"/>
  <c r="DH11" i="30"/>
  <c r="DK11" i="30" s="1"/>
  <c r="DH10" i="30"/>
  <c r="DK10" i="30" s="1"/>
  <c r="DH9" i="30"/>
  <c r="DK9" i="30" s="1"/>
  <c r="DH6" i="30"/>
  <c r="DK6" i="30" s="1"/>
  <c r="DH5" i="30"/>
  <c r="DK5" i="30" s="1"/>
  <c r="DH4" i="30"/>
  <c r="DK4" i="30" s="1"/>
  <c r="DH3" i="30"/>
  <c r="DK3" i="30" s="1"/>
  <c r="CE11" i="30"/>
  <c r="CI11" i="30" s="1"/>
  <c r="CE10" i="30"/>
  <c r="CI10" i="30" s="1"/>
  <c r="CE9" i="30"/>
  <c r="CI9" i="30" s="1"/>
  <c r="CE8" i="30"/>
  <c r="CI8" i="30" s="1"/>
  <c r="CE7" i="30"/>
  <c r="CI7" i="30" s="1"/>
  <c r="CE6" i="30"/>
  <c r="CI6" i="30" s="1"/>
  <c r="CE5" i="30"/>
  <c r="CI5" i="30" s="1"/>
  <c r="CE4" i="30"/>
  <c r="CI4" i="30" s="1"/>
  <c r="CE3" i="30"/>
  <c r="CI3" i="30" s="1"/>
  <c r="DR14" i="29"/>
  <c r="DS14" i="29" s="1"/>
  <c r="DR13" i="29"/>
  <c r="DS13" i="29" s="1"/>
  <c r="DR12" i="29"/>
  <c r="DS12" i="29" s="1"/>
  <c r="DR11" i="29"/>
  <c r="DS11" i="29" s="1"/>
  <c r="DR10" i="29"/>
  <c r="DS10" i="29" s="1"/>
  <c r="DR9" i="29"/>
  <c r="DS9" i="29" s="1"/>
  <c r="DR8" i="29"/>
  <c r="DS8" i="29" s="1"/>
  <c r="DR7" i="29"/>
  <c r="DS7" i="29" s="1"/>
  <c r="DR5" i="29"/>
  <c r="DS5" i="29" s="1"/>
  <c r="DR4" i="29"/>
  <c r="DS4" i="29" s="1"/>
  <c r="DR3" i="29"/>
  <c r="DS3" i="29" s="1"/>
  <c r="BX14" i="29"/>
  <c r="BY14" i="29" s="1"/>
  <c r="BX13" i="29"/>
  <c r="BY13" i="29" s="1"/>
  <c r="BX12" i="29"/>
  <c r="BY12" i="29" s="1"/>
  <c r="BX11" i="29"/>
  <c r="BY11" i="29" s="1"/>
  <c r="BX10" i="29"/>
  <c r="BY10" i="29" s="1"/>
  <c r="BX9" i="29"/>
  <c r="BY9" i="29" s="1"/>
  <c r="BX8" i="29"/>
  <c r="BY8" i="29" s="1"/>
  <c r="BX7" i="29"/>
  <c r="BY7" i="29" s="1"/>
  <c r="BX5" i="29"/>
  <c r="BY5" i="29" s="1"/>
  <c r="BX4" i="29"/>
  <c r="BY4" i="29" s="1"/>
  <c r="BX3" i="29"/>
  <c r="BY3" i="29" s="1"/>
  <c r="AZ19" i="28"/>
  <c r="CW12" i="30"/>
  <c r="DG15" i="29"/>
  <c r="FA16" i="31" l="1"/>
  <c r="DV71" i="31"/>
  <c r="FA70" i="31"/>
  <c r="FA22" i="31"/>
  <c r="FA27" i="31"/>
  <c r="FA67" i="31"/>
  <c r="FA30" i="31"/>
  <c r="FA64" i="31"/>
  <c r="FA9" i="31"/>
  <c r="FA46" i="31"/>
  <c r="FA10" i="31"/>
  <c r="FA47" i="31"/>
  <c r="FA6" i="31"/>
  <c r="FA38" i="31"/>
  <c r="FA54" i="31"/>
  <c r="FA5" i="31"/>
  <c r="FA31" i="31"/>
  <c r="FA52" i="31"/>
  <c r="FA25" i="31"/>
  <c r="DV72" i="31"/>
  <c r="FA35" i="31"/>
  <c r="FA58" i="31"/>
  <c r="FA39" i="31"/>
  <c r="FA4" i="31"/>
  <c r="FA41" i="31"/>
  <c r="FA40" i="31"/>
  <c r="FA32" i="31"/>
  <c r="FA37" i="31"/>
  <c r="FA65" i="31"/>
  <c r="FA60" i="31"/>
  <c r="FA33" i="31"/>
  <c r="FA20" i="31"/>
  <c r="FA34" i="31"/>
  <c r="FA49" i="31"/>
  <c r="FA45" i="31"/>
  <c r="FA57" i="31"/>
  <c r="FA21" i="31"/>
  <c r="FA59" i="31"/>
  <c r="FA17" i="31"/>
  <c r="FA56" i="31"/>
  <c r="FA3" i="31"/>
  <c r="FA36" i="31"/>
  <c r="FA12" i="31"/>
  <c r="FA69" i="31"/>
  <c r="FA24" i="31"/>
  <c r="FA55" i="31"/>
  <c r="FA43" i="31"/>
  <c r="FA18" i="31"/>
  <c r="FA7" i="31"/>
  <c r="FA29" i="31"/>
  <c r="FA48" i="31"/>
  <c r="FA63" i="31"/>
  <c r="FA23" i="31"/>
  <c r="FA14" i="31"/>
  <c r="FA28" i="31"/>
  <c r="FA26" i="31"/>
  <c r="FA51" i="31"/>
  <c r="FA15" i="31"/>
  <c r="FA53" i="31"/>
  <c r="FA50" i="31"/>
  <c r="FA66" i="31"/>
  <c r="FA19" i="31"/>
  <c r="FA61" i="31"/>
  <c r="FA11" i="31"/>
  <c r="FA68" i="31"/>
  <c r="FA8" i="31"/>
  <c r="FA44" i="31"/>
  <c r="FA62" i="31"/>
  <c r="FA13" i="31"/>
  <c r="CR72" i="31"/>
  <c r="CR71" i="31"/>
  <c r="DK13" i="30"/>
  <c r="DK12" i="30"/>
  <c r="CI13" i="30"/>
  <c r="CI12" i="30"/>
  <c r="DS18" i="29"/>
  <c r="DS17" i="29"/>
  <c r="BY18" i="29"/>
  <c r="BY17" i="29"/>
  <c r="AZ24" i="28"/>
  <c r="AR24" i="28" s="1"/>
  <c r="AZ21" i="28"/>
  <c r="AZ3" i="28"/>
  <c r="AZ32" i="28"/>
  <c r="AZ11" i="28"/>
  <c r="AZ34" i="28"/>
  <c r="AZ20" i="28"/>
  <c r="AZ15" i="28"/>
  <c r="AZ18" i="28"/>
  <c r="BP12" i="30"/>
  <c r="C7" i="30"/>
  <c r="R7" i="30"/>
  <c r="S7" i="30"/>
  <c r="C8" i="30"/>
  <c r="R8" i="30"/>
  <c r="S8" i="30"/>
  <c r="BU15" i="29"/>
  <c r="DD71" i="31"/>
  <c r="DY38" i="31" l="1"/>
  <c r="DY61" i="31"/>
  <c r="DY48" i="31"/>
  <c r="BD6" i="31"/>
  <c r="AX6" i="31" s="1"/>
  <c r="DY39" i="31"/>
  <c r="DY25" i="31"/>
  <c r="DY35" i="31"/>
  <c r="DY67" i="31"/>
  <c r="DY51" i="31"/>
  <c r="DY29" i="31"/>
  <c r="DY23" i="31"/>
  <c r="DY11" i="31"/>
  <c r="DY41" i="31"/>
  <c r="DY7" i="31"/>
  <c r="DY68" i="31"/>
  <c r="DY36" i="31"/>
  <c r="DY10" i="31"/>
  <c r="DY69" i="31"/>
  <c r="DY34" i="31"/>
  <c r="DY45" i="31"/>
  <c r="DY49" i="31"/>
  <c r="DY19" i="31"/>
  <c r="DY70" i="31"/>
  <c r="DY6" i="31"/>
  <c r="DY21" i="31"/>
  <c r="DY32" i="31"/>
  <c r="DY43" i="31"/>
  <c r="DY5" i="31"/>
  <c r="DY55" i="31"/>
  <c r="DY17" i="31"/>
  <c r="DY65" i="31"/>
  <c r="DY24" i="31"/>
  <c r="DY64" i="31"/>
  <c r="DY28" i="31"/>
  <c r="DY27" i="31"/>
  <c r="DY26" i="31"/>
  <c r="DY44" i="31"/>
  <c r="DY13" i="31"/>
  <c r="DY53" i="31"/>
  <c r="DY4" i="31"/>
  <c r="DY14" i="31"/>
  <c r="DY46" i="31"/>
  <c r="DY60" i="31"/>
  <c r="DY12" i="31"/>
  <c r="DY58" i="31"/>
  <c r="DY22" i="31"/>
  <c r="DY20" i="31"/>
  <c r="DY37" i="31"/>
  <c r="DY8" i="31"/>
  <c r="DY30" i="31"/>
  <c r="DY47" i="31"/>
  <c r="DY3" i="31"/>
  <c r="DY15" i="31"/>
  <c r="DY33" i="31"/>
  <c r="DY40" i="31"/>
  <c r="DY62" i="31"/>
  <c r="DY50" i="31"/>
  <c r="DY54" i="31"/>
  <c r="DY59" i="31"/>
  <c r="DY57" i="31"/>
  <c r="DY56" i="31"/>
  <c r="DY63" i="31"/>
  <c r="DY52" i="31"/>
  <c r="DY16" i="31"/>
  <c r="DY9" i="31"/>
  <c r="DY66" i="31"/>
  <c r="DY31" i="31"/>
  <c r="DY18" i="31"/>
  <c r="CS40" i="31"/>
  <c r="CS38" i="31"/>
  <c r="EB38" i="31" s="1"/>
  <c r="FH38" i="31" s="1"/>
  <c r="CS24" i="31"/>
  <c r="CS34" i="31"/>
  <c r="CS31" i="31"/>
  <c r="CS21" i="31"/>
  <c r="CS33" i="31"/>
  <c r="CS26" i="31"/>
  <c r="CS23" i="31"/>
  <c r="CS22" i="31"/>
  <c r="CS49" i="31"/>
  <c r="CS13" i="31"/>
  <c r="CS66" i="31"/>
  <c r="CS4" i="31"/>
  <c r="CS18" i="31"/>
  <c r="CS16" i="31"/>
  <c r="CS15" i="31"/>
  <c r="CS52" i="31"/>
  <c r="CS14" i="31"/>
  <c r="CS68" i="31"/>
  <c r="CS6" i="31"/>
  <c r="CS59" i="31"/>
  <c r="CS20" i="31"/>
  <c r="CS11" i="31"/>
  <c r="CS39" i="31"/>
  <c r="CS32" i="31"/>
  <c r="EB32" i="31" s="1"/>
  <c r="CS64" i="31"/>
  <c r="CS5" i="31"/>
  <c r="CS70" i="31"/>
  <c r="CS61" i="31"/>
  <c r="CS3" i="31"/>
  <c r="CS63" i="31"/>
  <c r="CS7" i="31"/>
  <c r="CS62" i="31"/>
  <c r="CS17" i="31"/>
  <c r="CS53" i="31"/>
  <c r="CS12" i="31"/>
  <c r="CS44" i="31"/>
  <c r="CS58" i="31"/>
  <c r="CS57" i="31"/>
  <c r="CS9" i="31"/>
  <c r="CS69" i="31"/>
  <c r="CS51" i="31"/>
  <c r="CS54" i="31"/>
  <c r="CS10" i="31"/>
  <c r="CS41" i="31"/>
  <c r="CS35" i="31"/>
  <c r="CS50" i="31"/>
  <c r="CS67" i="31"/>
  <c r="CS25" i="31"/>
  <c r="CS29" i="31"/>
  <c r="EB29" i="31" s="1"/>
  <c r="CS19" i="31"/>
  <c r="CS30" i="31"/>
  <c r="CS8" i="31"/>
  <c r="CS45" i="31"/>
  <c r="CS60" i="31"/>
  <c r="CS65" i="31"/>
  <c r="CS55" i="31"/>
  <c r="CS36" i="31"/>
  <c r="CS46" i="31"/>
  <c r="CS47" i="31"/>
  <c r="CS28" i="31"/>
  <c r="CS48" i="31"/>
  <c r="CS37" i="31"/>
  <c r="CS56" i="31"/>
  <c r="CS27" i="31"/>
  <c r="CS43" i="31"/>
  <c r="DN4" i="30"/>
  <c r="DN3" i="30"/>
  <c r="DN5" i="30"/>
  <c r="DN10" i="30"/>
  <c r="DN11" i="30"/>
  <c r="DN9" i="30"/>
  <c r="DN6" i="30"/>
  <c r="CJ9" i="30"/>
  <c r="CJ10" i="30"/>
  <c r="CJ3" i="30"/>
  <c r="CJ6" i="30"/>
  <c r="CJ4" i="30"/>
  <c r="CJ11" i="30"/>
  <c r="CJ5" i="30"/>
  <c r="DT7" i="29"/>
  <c r="DT13" i="29"/>
  <c r="DT5" i="29"/>
  <c r="DT4" i="29"/>
  <c r="DT12" i="29"/>
  <c r="DT3" i="29"/>
  <c r="DT8" i="29"/>
  <c r="DT9" i="29"/>
  <c r="DT10" i="29"/>
  <c r="DT14" i="29"/>
  <c r="DT11" i="29"/>
  <c r="BZ4" i="29"/>
  <c r="BZ11" i="29"/>
  <c r="BZ9" i="29"/>
  <c r="BZ7" i="29"/>
  <c r="BZ3" i="29"/>
  <c r="BZ14" i="29"/>
  <c r="BZ13" i="29"/>
  <c r="BZ10" i="29"/>
  <c r="BZ5" i="29"/>
  <c r="BZ8" i="29"/>
  <c r="BZ12" i="29"/>
  <c r="EP71" i="31"/>
  <c r="BS71" i="31"/>
  <c r="DF40" i="28"/>
  <c r="DH40" i="28" s="1"/>
  <c r="DF39" i="28"/>
  <c r="DH39" i="28" s="1"/>
  <c r="DF38" i="28"/>
  <c r="DH38" i="28" s="1"/>
  <c r="DF37" i="28"/>
  <c r="DH37" i="28" s="1"/>
  <c r="DF36" i="28"/>
  <c r="DH36" i="28" s="1"/>
  <c r="DF35" i="28"/>
  <c r="DH35" i="28" s="1"/>
  <c r="DF34" i="28"/>
  <c r="DH34" i="28" s="1"/>
  <c r="DF33" i="28"/>
  <c r="DH33" i="28" s="1"/>
  <c r="DF32" i="28"/>
  <c r="DH32" i="28" s="1"/>
  <c r="DF31" i="28"/>
  <c r="DH31" i="28" s="1"/>
  <c r="DF30" i="28"/>
  <c r="DH30" i="28" s="1"/>
  <c r="DF29" i="28"/>
  <c r="DH29" i="28" s="1"/>
  <c r="DF28" i="28"/>
  <c r="DH28" i="28" s="1"/>
  <c r="DF27" i="28"/>
  <c r="DH27" i="28" s="1"/>
  <c r="DF26" i="28"/>
  <c r="DH26" i="28" s="1"/>
  <c r="DF25" i="28"/>
  <c r="DH25" i="28" s="1"/>
  <c r="DF24" i="28"/>
  <c r="DH24" i="28" s="1"/>
  <c r="DF23" i="28"/>
  <c r="DH23" i="28" s="1"/>
  <c r="DF22" i="28"/>
  <c r="DH22" i="28" s="1"/>
  <c r="DF21" i="28"/>
  <c r="DH21" i="28" s="1"/>
  <c r="DF20" i="28"/>
  <c r="DH20" i="28" s="1"/>
  <c r="DF19" i="28"/>
  <c r="DH19" i="28" s="1"/>
  <c r="DF18" i="28"/>
  <c r="DH18" i="28" s="1"/>
  <c r="DF17" i="28"/>
  <c r="DH17" i="28" s="1"/>
  <c r="DF16" i="28"/>
  <c r="DH16" i="28" s="1"/>
  <c r="DF15" i="28"/>
  <c r="DH15" i="28" s="1"/>
  <c r="DF14" i="28"/>
  <c r="DH14" i="28" s="1"/>
  <c r="DF13" i="28"/>
  <c r="DH13" i="28" s="1"/>
  <c r="DF12" i="28"/>
  <c r="DH12" i="28" s="1"/>
  <c r="DF11" i="28"/>
  <c r="DH11" i="28" s="1"/>
  <c r="DF10" i="28"/>
  <c r="DH10" i="28" s="1"/>
  <c r="DF9" i="28"/>
  <c r="DH9" i="28" s="1"/>
  <c r="DF8" i="28"/>
  <c r="DH8" i="28" s="1"/>
  <c r="DF7" i="28"/>
  <c r="DH7" i="28" s="1"/>
  <c r="DF6" i="28"/>
  <c r="DH6" i="28" s="1"/>
  <c r="DF4" i="28"/>
  <c r="DH4" i="28" s="1"/>
  <c r="DF3" i="28"/>
  <c r="DH3" i="28" s="1"/>
  <c r="DB41" i="28"/>
  <c r="BQ40" i="28"/>
  <c r="BQ39" i="28"/>
  <c r="BQ38" i="28"/>
  <c r="BQ37" i="28"/>
  <c r="BQ36" i="28"/>
  <c r="BQ35" i="28"/>
  <c r="BQ34" i="28"/>
  <c r="BQ33" i="28"/>
  <c r="BQ32" i="28"/>
  <c r="BQ31" i="28"/>
  <c r="BQ30" i="28"/>
  <c r="BQ29" i="28"/>
  <c r="BQ28" i="28"/>
  <c r="BQ27" i="28"/>
  <c r="BQ26" i="28"/>
  <c r="BQ25" i="28"/>
  <c r="BQ24" i="28"/>
  <c r="BQ23" i="28"/>
  <c r="BQ22" i="28"/>
  <c r="BQ21" i="28"/>
  <c r="BQ20" i="28"/>
  <c r="BQ19" i="28"/>
  <c r="BQ18" i="28"/>
  <c r="BQ17" i="28"/>
  <c r="BQ16" i="28"/>
  <c r="BQ15" i="28"/>
  <c r="BQ14" i="28"/>
  <c r="BQ13" i="28"/>
  <c r="BQ12" i="28"/>
  <c r="BQ11" i="28"/>
  <c r="BQ10" i="28"/>
  <c r="BQ9" i="28"/>
  <c r="BQ8" i="28"/>
  <c r="BQ7" i="28"/>
  <c r="BQ6" i="28"/>
  <c r="BQ4" i="28"/>
  <c r="BQ3" i="28"/>
  <c r="EB69" i="31" l="1"/>
  <c r="FH69" i="31" s="1"/>
  <c r="EB70" i="31"/>
  <c r="FH70" i="31" s="1"/>
  <c r="EB18" i="31"/>
  <c r="EB44" i="31"/>
  <c r="EB63" i="31"/>
  <c r="FH63" i="31" s="1"/>
  <c r="EB48" i="31"/>
  <c r="EB11" i="31"/>
  <c r="EB36" i="31"/>
  <c r="FH36" i="31" s="1"/>
  <c r="EB3" i="31"/>
  <c r="FH3" i="31" s="1"/>
  <c r="EB26" i="31"/>
  <c r="FH26" i="31" s="1"/>
  <c r="EB54" i="31"/>
  <c r="FH54" i="31" s="1"/>
  <c r="EB53" i="31"/>
  <c r="FH53" i="31" s="1"/>
  <c r="EB28" i="31"/>
  <c r="FH28" i="31" s="1"/>
  <c r="EB19" i="31"/>
  <c r="FH19" i="31" s="1"/>
  <c r="EB68" i="31"/>
  <c r="FH68" i="31" s="1"/>
  <c r="EB14" i="31"/>
  <c r="FH14" i="31" s="1"/>
  <c r="EB50" i="31"/>
  <c r="FH50" i="31" s="1"/>
  <c r="EB23" i="31"/>
  <c r="FH23" i="31" s="1"/>
  <c r="EB47" i="31"/>
  <c r="BD17" i="31"/>
  <c r="AX17" i="31" s="1"/>
  <c r="BD70" i="31"/>
  <c r="AX70" i="31" s="1"/>
  <c r="EB27" i="31"/>
  <c r="FH27" i="31" s="1"/>
  <c r="EB31" i="31"/>
  <c r="FH31" i="31" s="1"/>
  <c r="EB39" i="31"/>
  <c r="FH39" i="31" s="1"/>
  <c r="BD22" i="31"/>
  <c r="AX22" i="31" s="1"/>
  <c r="EB60" i="31"/>
  <c r="FH60" i="31" s="1"/>
  <c r="BD12" i="31"/>
  <c r="AX12" i="31" s="1"/>
  <c r="BD40" i="31"/>
  <c r="AX40" i="31" s="1"/>
  <c r="BD43" i="31"/>
  <c r="AX43" i="31" s="1"/>
  <c r="BD27" i="31"/>
  <c r="AX27" i="31" s="1"/>
  <c r="EB61" i="31"/>
  <c r="FH61" i="31" s="1"/>
  <c r="EB52" i="31"/>
  <c r="FH52" i="31" s="1"/>
  <c r="BD33" i="31"/>
  <c r="AX33" i="31" s="1"/>
  <c r="FH48" i="31"/>
  <c r="FH29" i="31"/>
  <c r="EB25" i="31"/>
  <c r="FH25" i="31" s="1"/>
  <c r="FH44" i="31"/>
  <c r="FH32" i="31"/>
  <c r="FH18" i="31"/>
  <c r="EB34" i="31"/>
  <c r="BD23" i="31"/>
  <c r="AX23" i="31" s="1"/>
  <c r="FH47" i="31"/>
  <c r="EB67" i="31"/>
  <c r="FH67" i="31" s="1"/>
  <c r="EB4" i="31"/>
  <c r="FH4" i="31" s="1"/>
  <c r="BD11" i="31"/>
  <c r="AX11" i="31" s="1"/>
  <c r="BD69" i="31"/>
  <c r="AX69" i="31" s="1"/>
  <c r="FH11" i="31"/>
  <c r="BD5" i="31"/>
  <c r="AX5" i="31" s="1"/>
  <c r="DU11" i="30"/>
  <c r="BD59" i="31"/>
  <c r="AX59" i="31" s="1"/>
  <c r="BD55" i="31"/>
  <c r="AX55" i="31" s="1"/>
  <c r="EB51" i="31"/>
  <c r="FH51" i="31" s="1"/>
  <c r="EB35" i="31"/>
  <c r="FH35" i="31" s="1"/>
  <c r="EB46" i="31"/>
  <c r="FH46" i="31" s="1"/>
  <c r="EB37" i="31"/>
  <c r="FH37" i="31" s="1"/>
  <c r="EB9" i="31"/>
  <c r="FH9" i="31" s="1"/>
  <c r="EB17" i="31"/>
  <c r="EB20" i="31"/>
  <c r="FH20" i="31" s="1"/>
  <c r="EB15" i="31"/>
  <c r="FH15" i="31" s="1"/>
  <c r="EB33" i="31"/>
  <c r="FH33" i="31" s="1"/>
  <c r="EB55" i="31"/>
  <c r="EB41" i="31"/>
  <c r="FH41" i="31" s="1"/>
  <c r="EB57" i="31"/>
  <c r="FH57" i="31" s="1"/>
  <c r="EB5" i="31"/>
  <c r="FH5" i="31" s="1"/>
  <c r="EB59" i="31"/>
  <c r="FH59" i="31" s="1"/>
  <c r="EB65" i="31"/>
  <c r="FH65" i="31" s="1"/>
  <c r="EB10" i="31"/>
  <c r="EB58" i="31"/>
  <c r="FH58" i="31" s="1"/>
  <c r="EB7" i="31"/>
  <c r="FH7" i="31" s="1"/>
  <c r="EB64" i="31"/>
  <c r="FH64" i="31" s="1"/>
  <c r="EB6" i="31"/>
  <c r="EB16" i="31"/>
  <c r="FH16" i="31" s="1"/>
  <c r="EB22" i="31"/>
  <c r="FH22" i="31" s="1"/>
  <c r="EB43" i="31"/>
  <c r="FH43" i="31" s="1"/>
  <c r="EB45" i="31"/>
  <c r="FH45" i="31" s="1"/>
  <c r="EB12" i="31"/>
  <c r="FH12" i="31" s="1"/>
  <c r="EB24" i="31"/>
  <c r="EB56" i="31"/>
  <c r="FH56" i="31" s="1"/>
  <c r="EB8" i="31"/>
  <c r="FH8" i="31" s="1"/>
  <c r="EB66" i="31"/>
  <c r="FH66" i="31" s="1"/>
  <c r="EB30" i="31"/>
  <c r="EB13" i="31"/>
  <c r="FH13" i="31" s="1"/>
  <c r="EB40" i="31"/>
  <c r="FH40" i="31" s="1"/>
  <c r="EB62" i="31"/>
  <c r="FH62" i="31" s="1"/>
  <c r="EB49" i="31"/>
  <c r="FH49" i="31" s="1"/>
  <c r="EB21" i="31"/>
  <c r="FH21" i="31" s="1"/>
  <c r="DU5" i="30"/>
  <c r="DU4" i="30"/>
  <c r="DU6" i="30"/>
  <c r="DU9" i="30"/>
  <c r="AV4" i="30"/>
  <c r="AW4" i="30" s="1"/>
  <c r="DU3" i="30"/>
  <c r="AX5" i="30"/>
  <c r="AY5" i="30" s="1"/>
  <c r="DU10" i="30"/>
  <c r="EE13" i="29"/>
  <c r="EE7" i="29"/>
  <c r="EE14" i="29"/>
  <c r="EE12" i="29"/>
  <c r="EE9" i="29"/>
  <c r="BF5" i="29"/>
  <c r="AZ5" i="29" s="1"/>
  <c r="EE4" i="29"/>
  <c r="EE3" i="29"/>
  <c r="BE3" i="29"/>
  <c r="AY3" i="29" s="1"/>
  <c r="EE8" i="29"/>
  <c r="EE11" i="29"/>
  <c r="EE5" i="29"/>
  <c r="EE10" i="29"/>
  <c r="DH42" i="28"/>
  <c r="DH41" i="28"/>
  <c r="Z41" i="28"/>
  <c r="BO41" i="28"/>
  <c r="AK24" i="27"/>
  <c r="DT22" i="27"/>
  <c r="DU22" i="27" s="1"/>
  <c r="DT21" i="27"/>
  <c r="DU21" i="27" s="1"/>
  <c r="DT20" i="27"/>
  <c r="DU20" i="27" s="1"/>
  <c r="DT19" i="27"/>
  <c r="DU19" i="27" s="1"/>
  <c r="DT17" i="27"/>
  <c r="DU17" i="27" s="1"/>
  <c r="DT16" i="27"/>
  <c r="DU16" i="27" s="1"/>
  <c r="DT15" i="27"/>
  <c r="DU15" i="27" s="1"/>
  <c r="DT14" i="27"/>
  <c r="DU14" i="27" s="1"/>
  <c r="DT13" i="27"/>
  <c r="DU13" i="27" s="1"/>
  <c r="DT12" i="27"/>
  <c r="DU12" i="27" s="1"/>
  <c r="DT11" i="27"/>
  <c r="DU11" i="27" s="1"/>
  <c r="DT10" i="27"/>
  <c r="DU10" i="27" s="1"/>
  <c r="DT9" i="27"/>
  <c r="DU9" i="27" s="1"/>
  <c r="DT8" i="27"/>
  <c r="DU8" i="27" s="1"/>
  <c r="DT7" i="27"/>
  <c r="DU7" i="27" s="1"/>
  <c r="DT6" i="27"/>
  <c r="DU6" i="27" s="1"/>
  <c r="DT5" i="27"/>
  <c r="DU5" i="27" s="1"/>
  <c r="DT4" i="27"/>
  <c r="DU4" i="27" s="1"/>
  <c r="DT3" i="27"/>
  <c r="DU3" i="27" s="1"/>
  <c r="BY22" i="27"/>
  <c r="CA22" i="27" s="1"/>
  <c r="BY21" i="27"/>
  <c r="CA21" i="27" s="1"/>
  <c r="BY20" i="27"/>
  <c r="CA20" i="27" s="1"/>
  <c r="BY19" i="27"/>
  <c r="CA19" i="27" s="1"/>
  <c r="BY17" i="27"/>
  <c r="CA17" i="27" s="1"/>
  <c r="BY16" i="27"/>
  <c r="CA16" i="27" s="1"/>
  <c r="BY15" i="27"/>
  <c r="CA15" i="27" s="1"/>
  <c r="BY14" i="27"/>
  <c r="CA14" i="27" s="1"/>
  <c r="BY13" i="27"/>
  <c r="CA13" i="27" s="1"/>
  <c r="BY12" i="27"/>
  <c r="CA12" i="27" s="1"/>
  <c r="BY11" i="27"/>
  <c r="CA11" i="27" s="1"/>
  <c r="BY10" i="27"/>
  <c r="CA10" i="27" s="1"/>
  <c r="BY9" i="27"/>
  <c r="CA9" i="27" s="1"/>
  <c r="BY8" i="27"/>
  <c r="CA8" i="27" s="1"/>
  <c r="BY7" i="27"/>
  <c r="CA7" i="27" s="1"/>
  <c r="BY6" i="27"/>
  <c r="CA6" i="27" s="1"/>
  <c r="BY5" i="27"/>
  <c r="CA5" i="27" s="1"/>
  <c r="BY4" i="27"/>
  <c r="CA4" i="27" s="1"/>
  <c r="BY3" i="27"/>
  <c r="CA3" i="27" s="1"/>
  <c r="DM24" i="27"/>
  <c r="DB44" i="28" l="1"/>
  <c r="BP44" i="28"/>
  <c r="FH34" i="31"/>
  <c r="FH55" i="31"/>
  <c r="FH6" i="31"/>
  <c r="BC6" i="31"/>
  <c r="AW6" i="31" s="1"/>
  <c r="AX71" i="31"/>
  <c r="AM69" i="31" s="1"/>
  <c r="AK69" i="31" s="1"/>
  <c r="FH30" i="31"/>
  <c r="FH17" i="31"/>
  <c r="FH10" i="31"/>
  <c r="FH24" i="31"/>
  <c r="AV3" i="30"/>
  <c r="AW3" i="30" s="1"/>
  <c r="BB4" i="30"/>
  <c r="BF9" i="29"/>
  <c r="AZ9" i="29" s="1"/>
  <c r="BF13" i="29"/>
  <c r="AZ13" i="29" s="1"/>
  <c r="BE4" i="29"/>
  <c r="AY4" i="29" s="1"/>
  <c r="BC9" i="29"/>
  <c r="DI15" i="28"/>
  <c r="DI23" i="28"/>
  <c r="DI38" i="28"/>
  <c r="DI24" i="28"/>
  <c r="DI39" i="28"/>
  <c r="DI11" i="28"/>
  <c r="DI34" i="28"/>
  <c r="DI12" i="28"/>
  <c r="DI30" i="28"/>
  <c r="DI31" i="28"/>
  <c r="DI28" i="28"/>
  <c r="DI10" i="28"/>
  <c r="DI26" i="28"/>
  <c r="DI6" i="28"/>
  <c r="DI25" i="28"/>
  <c r="DI22" i="28"/>
  <c r="DI37" i="28"/>
  <c r="DI20" i="28"/>
  <c r="DI35" i="28"/>
  <c r="DI18" i="28"/>
  <c r="DI16" i="28"/>
  <c r="DI29" i="28"/>
  <c r="DI14" i="28"/>
  <c r="DI27" i="28"/>
  <c r="DI40" i="28"/>
  <c r="DI4" i="28"/>
  <c r="DI3" i="28"/>
  <c r="DI9" i="28"/>
  <c r="DI7" i="28"/>
  <c r="DI19" i="28"/>
  <c r="DI33" i="28"/>
  <c r="DI13" i="28"/>
  <c r="DI32" i="28"/>
  <c r="DI36" i="28"/>
  <c r="DI21" i="28"/>
  <c r="DI8" i="28"/>
  <c r="DI17" i="28"/>
  <c r="BO44" i="28"/>
  <c r="CA25" i="27"/>
  <c r="CA24" i="27"/>
  <c r="BC10" i="31" l="1"/>
  <c r="AW10" i="31" s="1"/>
  <c r="CO7" i="27"/>
  <c r="CO16" i="27"/>
  <c r="AM33" i="31"/>
  <c r="AK33" i="31" s="1"/>
  <c r="AM23" i="31"/>
  <c r="AK23" i="31" s="1"/>
  <c r="AM55" i="31"/>
  <c r="BC60" i="31"/>
  <c r="AW60" i="31" s="1"/>
  <c r="BC54" i="31"/>
  <c r="AW54" i="31" s="1"/>
  <c r="BC27" i="31"/>
  <c r="AW27" i="31" s="1"/>
  <c r="BC48" i="31"/>
  <c r="AW48" i="31" s="1"/>
  <c r="BC50" i="31"/>
  <c r="AW50" i="31" s="1"/>
  <c r="BC44" i="31"/>
  <c r="AW44" i="31" s="1"/>
  <c r="BC47" i="31"/>
  <c r="AW47" i="31" s="1"/>
  <c r="BC11" i="31"/>
  <c r="AW11" i="31" s="1"/>
  <c r="BC32" i="31"/>
  <c r="AW32" i="31" s="1"/>
  <c r="BC18" i="31"/>
  <c r="AW18" i="31" s="1"/>
  <c r="BC29" i="31"/>
  <c r="AW29" i="31" s="1"/>
  <c r="BB6" i="31"/>
  <c r="AV6" i="31" s="1"/>
  <c r="AY15" i="29"/>
  <c r="AJ3" i="29" s="1"/>
  <c r="BC24" i="31"/>
  <c r="AW24" i="31" s="1"/>
  <c r="BC17" i="31"/>
  <c r="AW17" i="31" s="1"/>
  <c r="BC55" i="31"/>
  <c r="AW55" i="31" s="1"/>
  <c r="AZ15" i="29"/>
  <c r="AK5" i="29" s="1"/>
  <c r="BC30" i="31"/>
  <c r="AW30" i="31" s="1"/>
  <c r="AM40" i="31"/>
  <c r="AK40" i="31" s="1"/>
  <c r="AM12" i="31"/>
  <c r="AK12" i="31" s="1"/>
  <c r="AM43" i="31"/>
  <c r="AK43" i="31" s="1"/>
  <c r="AM6" i="31"/>
  <c r="AM27" i="31"/>
  <c r="AM22" i="31"/>
  <c r="AK22" i="31" s="1"/>
  <c r="AM17" i="31"/>
  <c r="AM70" i="31"/>
  <c r="AK70" i="31" s="1"/>
  <c r="BC34" i="31"/>
  <c r="AW34" i="31" s="1"/>
  <c r="AW12" i="30"/>
  <c r="AG4" i="30" s="1"/>
  <c r="AF4" i="30" s="1"/>
  <c r="AM5" i="31"/>
  <c r="AY12" i="30"/>
  <c r="AH5" i="30" s="1"/>
  <c r="AF5" i="30" s="1"/>
  <c r="AM59" i="31"/>
  <c r="AK59" i="31" s="1"/>
  <c r="AM11" i="31"/>
  <c r="BB3" i="30"/>
  <c r="AI3" i="30"/>
  <c r="AI4" i="30"/>
  <c r="BC3" i="29"/>
  <c r="BC5" i="29"/>
  <c r="BD7" i="28"/>
  <c r="BF7" i="28" s="1"/>
  <c r="CO12" i="27"/>
  <c r="CO20" i="27"/>
  <c r="CO5" i="27"/>
  <c r="CO15" i="27"/>
  <c r="CO13" i="27"/>
  <c r="BF13" i="27" s="1"/>
  <c r="BD13" i="27" s="1"/>
  <c r="DX14" i="27"/>
  <c r="BG14" i="27" s="1"/>
  <c r="BE14" i="27" s="1"/>
  <c r="CO17" i="27"/>
  <c r="CO3" i="27"/>
  <c r="BF3" i="27" s="1"/>
  <c r="CO21" i="27"/>
  <c r="CO22" i="27"/>
  <c r="CO8" i="27"/>
  <c r="CO4" i="27"/>
  <c r="BF4" i="27" s="1"/>
  <c r="BD4" i="27" s="1"/>
  <c r="CO9" i="27"/>
  <c r="CO14" i="27"/>
  <c r="CO19" i="27"/>
  <c r="BF19" i="27" s="1"/>
  <c r="BD19" i="27" s="1"/>
  <c r="CO10" i="27"/>
  <c r="BF10" i="27" s="1"/>
  <c r="BD10" i="27" s="1"/>
  <c r="CO6" i="27"/>
  <c r="CO11" i="27"/>
  <c r="BV24" i="27"/>
  <c r="BD3" i="27" l="1"/>
  <c r="BD24" i="27" s="1"/>
  <c r="BF24" i="27"/>
  <c r="BB55" i="31"/>
  <c r="AV55" i="31" s="1"/>
  <c r="BB17" i="31"/>
  <c r="AV17" i="31" s="1"/>
  <c r="BB24" i="31"/>
  <c r="AV24" i="31" s="1"/>
  <c r="AG3" i="30"/>
  <c r="AG12" i="30" s="1"/>
  <c r="AK9" i="29"/>
  <c r="AI9" i="29" s="1"/>
  <c r="AJ4" i="29"/>
  <c r="AI4" i="29" s="1"/>
  <c r="AI5" i="29"/>
  <c r="AF3" i="30"/>
  <c r="AW71" i="31"/>
  <c r="AL47" i="31" s="1"/>
  <c r="AK47" i="31" s="1"/>
  <c r="AK13" i="29"/>
  <c r="AI13" i="29" s="1"/>
  <c r="BB70" i="31"/>
  <c r="AV70" i="31" s="1"/>
  <c r="BB23" i="31"/>
  <c r="AV23" i="31" s="1"/>
  <c r="BB54" i="31"/>
  <c r="AV54" i="31" s="1"/>
  <c r="BB22" i="31"/>
  <c r="AV22" i="31" s="1"/>
  <c r="BB27" i="31"/>
  <c r="AV27" i="31" s="1"/>
  <c r="BB18" i="31"/>
  <c r="AV18" i="31" s="1"/>
  <c r="BB47" i="31"/>
  <c r="AV47" i="31" s="1"/>
  <c r="BB60" i="31"/>
  <c r="AV60" i="31" s="1"/>
  <c r="BB40" i="31"/>
  <c r="AV40" i="31" s="1"/>
  <c r="BB43" i="31"/>
  <c r="AV43" i="31" s="1"/>
  <c r="BB11" i="31"/>
  <c r="AV11" i="31" s="1"/>
  <c r="BB32" i="31"/>
  <c r="AV32" i="31" s="1"/>
  <c r="BB12" i="31"/>
  <c r="AV12" i="31" s="1"/>
  <c r="AI3" i="29"/>
  <c r="DX7" i="27"/>
  <c r="EH7" i="27" s="1"/>
  <c r="DX15" i="27"/>
  <c r="AK5" i="31"/>
  <c r="AM71" i="31"/>
  <c r="BB10" i="31"/>
  <c r="AV10" i="31" s="1"/>
  <c r="BD31" i="28"/>
  <c r="BF31" i="28" s="1"/>
  <c r="BD20" i="28"/>
  <c r="BF20" i="28" s="1"/>
  <c r="BD22" i="28"/>
  <c r="BF22" i="28" s="1"/>
  <c r="BD17" i="28"/>
  <c r="BF17" i="28" s="1"/>
  <c r="BD3" i="28"/>
  <c r="BF3" i="28" s="1"/>
  <c r="BD11" i="28"/>
  <c r="BF11" i="28" s="1"/>
  <c r="BD6" i="28"/>
  <c r="BF6" i="28" s="1"/>
  <c r="DX8" i="27"/>
  <c r="EH8" i="27" s="1"/>
  <c r="DX6" i="27"/>
  <c r="EH6" i="27" s="1"/>
  <c r="DX9" i="27"/>
  <c r="DX22" i="27"/>
  <c r="EH22" i="27" s="1"/>
  <c r="DX10" i="27"/>
  <c r="EH10" i="27" s="1"/>
  <c r="BB10" i="27" s="1"/>
  <c r="BC10" i="27" s="1"/>
  <c r="DX20" i="27"/>
  <c r="EH20" i="27" s="1"/>
  <c r="DX17" i="27"/>
  <c r="EH17" i="27" s="1"/>
  <c r="DX4" i="27"/>
  <c r="DX5" i="27"/>
  <c r="EH5" i="27" s="1"/>
  <c r="DX3" i="27"/>
  <c r="EH3" i="27" s="1"/>
  <c r="BB3" i="27" s="1"/>
  <c r="DX13" i="27"/>
  <c r="EH13" i="27" s="1"/>
  <c r="BB13" i="27" s="1"/>
  <c r="BC13" i="27" s="1"/>
  <c r="DX11" i="27"/>
  <c r="EH11" i="27" s="1"/>
  <c r="DX19" i="27"/>
  <c r="EH14" i="27"/>
  <c r="BB14" i="27" s="1"/>
  <c r="BC14" i="27" s="1"/>
  <c r="EH15" i="27"/>
  <c r="DX16" i="27"/>
  <c r="EH16" i="27" s="1"/>
  <c r="DX12" i="27"/>
  <c r="EH12" i="27" s="1"/>
  <c r="DX21" i="27"/>
  <c r="EH21" i="27" s="1"/>
  <c r="CX70" i="31"/>
  <c r="CY70" i="31" s="1"/>
  <c r="DA70" i="31" s="1"/>
  <c r="CX69" i="31"/>
  <c r="CY69" i="31" s="1"/>
  <c r="DA69" i="31" s="1"/>
  <c r="CX68" i="31"/>
  <c r="CY68" i="31" s="1"/>
  <c r="DA68" i="31" s="1"/>
  <c r="CX67" i="31"/>
  <c r="CY67" i="31" s="1"/>
  <c r="DA67" i="31" s="1"/>
  <c r="CX66" i="31"/>
  <c r="CY66" i="31" s="1"/>
  <c r="DA66" i="31" s="1"/>
  <c r="CX65" i="31"/>
  <c r="CY65" i="31" s="1"/>
  <c r="DA65" i="31" s="1"/>
  <c r="CX64" i="31"/>
  <c r="CY64" i="31" s="1"/>
  <c r="DA64" i="31" s="1"/>
  <c r="CX63" i="31"/>
  <c r="CY63" i="31" s="1"/>
  <c r="DA63" i="31" s="1"/>
  <c r="CX62" i="31"/>
  <c r="CY62" i="31" s="1"/>
  <c r="DA62" i="31" s="1"/>
  <c r="CX61" i="31"/>
  <c r="CY61" i="31" s="1"/>
  <c r="DA61" i="31" s="1"/>
  <c r="CX60" i="31"/>
  <c r="CY60" i="31" s="1"/>
  <c r="DA60" i="31" s="1"/>
  <c r="CX59" i="31"/>
  <c r="CY59" i="31" s="1"/>
  <c r="DA59" i="31" s="1"/>
  <c r="CX58" i="31"/>
  <c r="CY58" i="31" s="1"/>
  <c r="DA58" i="31" s="1"/>
  <c r="CX57" i="31"/>
  <c r="CY57" i="31" s="1"/>
  <c r="DA57" i="31" s="1"/>
  <c r="CX56" i="31"/>
  <c r="CY56" i="31" s="1"/>
  <c r="DA56" i="31" s="1"/>
  <c r="CX55" i="31"/>
  <c r="CY55" i="31" s="1"/>
  <c r="DA55" i="31" s="1"/>
  <c r="CX54" i="31"/>
  <c r="CY54" i="31" s="1"/>
  <c r="DA54" i="31" s="1"/>
  <c r="CX53" i="31"/>
  <c r="CY53" i="31" s="1"/>
  <c r="DA53" i="31" s="1"/>
  <c r="CX52" i="31"/>
  <c r="CY52" i="31" s="1"/>
  <c r="DA52" i="31" s="1"/>
  <c r="CX51" i="31"/>
  <c r="CY51" i="31" s="1"/>
  <c r="DA51" i="31" s="1"/>
  <c r="CX50" i="31"/>
  <c r="CY50" i="31" s="1"/>
  <c r="DA50" i="31" s="1"/>
  <c r="CX49" i="31"/>
  <c r="CY49" i="31" s="1"/>
  <c r="DA49" i="31" s="1"/>
  <c r="CX48" i="31"/>
  <c r="CY48" i="31" s="1"/>
  <c r="DA48" i="31" s="1"/>
  <c r="CX47" i="31"/>
  <c r="CY47" i="31" s="1"/>
  <c r="DA47" i="31" s="1"/>
  <c r="CX46" i="31"/>
  <c r="CY46" i="31" s="1"/>
  <c r="DA46" i="31" s="1"/>
  <c r="CX45" i="31"/>
  <c r="CY45" i="31" s="1"/>
  <c r="DA45" i="31" s="1"/>
  <c r="CX44" i="31"/>
  <c r="CY44" i="31" s="1"/>
  <c r="DA44" i="31" s="1"/>
  <c r="CX43" i="31"/>
  <c r="CY43" i="31" s="1"/>
  <c r="DA43" i="31" s="1"/>
  <c r="CX41" i="31"/>
  <c r="CY41" i="31" s="1"/>
  <c r="DA41" i="31" s="1"/>
  <c r="CX40" i="31"/>
  <c r="CY40" i="31" s="1"/>
  <c r="DA40" i="31" s="1"/>
  <c r="CX39" i="31"/>
  <c r="CY39" i="31" s="1"/>
  <c r="DA39" i="31" s="1"/>
  <c r="CX38" i="31"/>
  <c r="CY38" i="31" s="1"/>
  <c r="DA38" i="31" s="1"/>
  <c r="CX37" i="31"/>
  <c r="CY37" i="31" s="1"/>
  <c r="DA37" i="31" s="1"/>
  <c r="CX36" i="31"/>
  <c r="CY36" i="31" s="1"/>
  <c r="DA36" i="31" s="1"/>
  <c r="CX35" i="31"/>
  <c r="CY35" i="31" s="1"/>
  <c r="DA35" i="31" s="1"/>
  <c r="CX34" i="31"/>
  <c r="CY34" i="31" s="1"/>
  <c r="DA34" i="31" s="1"/>
  <c r="CX33" i="31"/>
  <c r="CY33" i="31" s="1"/>
  <c r="DA33" i="31" s="1"/>
  <c r="CX32" i="31"/>
  <c r="CY32" i="31" s="1"/>
  <c r="DA32" i="31" s="1"/>
  <c r="CX31" i="31"/>
  <c r="CY31" i="31" s="1"/>
  <c r="DA31" i="31" s="1"/>
  <c r="CX30" i="31"/>
  <c r="CY30" i="31" s="1"/>
  <c r="DA30" i="31" s="1"/>
  <c r="CX29" i="31"/>
  <c r="CY29" i="31" s="1"/>
  <c r="DA29" i="31" s="1"/>
  <c r="CX28" i="31"/>
  <c r="CY28" i="31" s="1"/>
  <c r="DA28" i="31" s="1"/>
  <c r="CX27" i="31"/>
  <c r="CY27" i="31" s="1"/>
  <c r="DA27" i="31" s="1"/>
  <c r="CX26" i="31"/>
  <c r="CY26" i="31" s="1"/>
  <c r="DA26" i="31" s="1"/>
  <c r="CX25" i="31"/>
  <c r="CY25" i="31" s="1"/>
  <c r="DA25" i="31" s="1"/>
  <c r="CX24" i="31"/>
  <c r="CY24" i="31" s="1"/>
  <c r="DA24" i="31" s="1"/>
  <c r="CX23" i="31"/>
  <c r="CY23" i="31" s="1"/>
  <c r="DA23" i="31" s="1"/>
  <c r="CX22" i="31"/>
  <c r="CY22" i="31" s="1"/>
  <c r="DA22" i="31" s="1"/>
  <c r="CX21" i="31"/>
  <c r="CY21" i="31" s="1"/>
  <c r="DA21" i="31" s="1"/>
  <c r="CX20" i="31"/>
  <c r="CY20" i="31" s="1"/>
  <c r="DA20" i="31" s="1"/>
  <c r="CX19" i="31"/>
  <c r="CY19" i="31" s="1"/>
  <c r="DA19" i="31" s="1"/>
  <c r="CX18" i="31"/>
  <c r="CY18" i="31" s="1"/>
  <c r="DA18" i="31" s="1"/>
  <c r="CX17" i="31"/>
  <c r="CY17" i="31" s="1"/>
  <c r="DA17" i="31" s="1"/>
  <c r="CX16" i="31"/>
  <c r="CY16" i="31" s="1"/>
  <c r="DA16" i="31" s="1"/>
  <c r="CX15" i="31"/>
  <c r="CY15" i="31" s="1"/>
  <c r="DA15" i="31" s="1"/>
  <c r="CX14" i="31"/>
  <c r="CY14" i="31" s="1"/>
  <c r="DA14" i="31" s="1"/>
  <c r="CX13" i="31"/>
  <c r="CY13" i="31" s="1"/>
  <c r="DA13" i="31" s="1"/>
  <c r="CX12" i="31"/>
  <c r="CY12" i="31" s="1"/>
  <c r="DA12" i="31" s="1"/>
  <c r="CX11" i="31"/>
  <c r="CY11" i="31" s="1"/>
  <c r="DA11" i="31" s="1"/>
  <c r="CX10" i="31"/>
  <c r="CY10" i="31" s="1"/>
  <c r="DA10" i="31" s="1"/>
  <c r="CX9" i="31"/>
  <c r="CY9" i="31" s="1"/>
  <c r="DA9" i="31" s="1"/>
  <c r="CX8" i="31"/>
  <c r="CY8" i="31" s="1"/>
  <c r="DA8" i="31" s="1"/>
  <c r="CX7" i="31"/>
  <c r="CY7" i="31" s="1"/>
  <c r="DA7" i="31" s="1"/>
  <c r="CX6" i="31"/>
  <c r="CY6" i="31" s="1"/>
  <c r="DA6" i="31" s="1"/>
  <c r="CX5" i="31"/>
  <c r="CY5" i="31" s="1"/>
  <c r="DA5" i="31" s="1"/>
  <c r="CX4" i="31"/>
  <c r="CY4" i="31" s="1"/>
  <c r="DA4" i="31" s="1"/>
  <c r="CX3" i="31"/>
  <c r="CY3" i="31" s="1"/>
  <c r="DA3" i="31" s="1"/>
  <c r="CL22" i="27"/>
  <c r="CM22" i="27" s="1"/>
  <c r="CL21" i="27"/>
  <c r="CM21" i="27" s="1"/>
  <c r="CL20" i="27"/>
  <c r="CM20" i="27" s="1"/>
  <c r="CL19" i="27"/>
  <c r="CM19" i="27" s="1"/>
  <c r="CL17" i="27"/>
  <c r="CM17" i="27" s="1"/>
  <c r="CL16" i="27"/>
  <c r="CM16" i="27" s="1"/>
  <c r="CL15" i="27"/>
  <c r="CM15" i="27" s="1"/>
  <c r="CL14" i="27"/>
  <c r="CM14" i="27" s="1"/>
  <c r="CL13" i="27"/>
  <c r="CM13" i="27" s="1"/>
  <c r="CL12" i="27"/>
  <c r="CM12" i="27" s="1"/>
  <c r="CL11" i="27"/>
  <c r="CM11" i="27" s="1"/>
  <c r="CL10" i="27"/>
  <c r="CM10" i="27" s="1"/>
  <c r="CL9" i="27"/>
  <c r="CM9" i="27" s="1"/>
  <c r="CL8" i="27"/>
  <c r="CM8" i="27" s="1"/>
  <c r="CL7" i="27"/>
  <c r="CM7" i="27" s="1"/>
  <c r="CL6" i="27"/>
  <c r="CM6" i="27" s="1"/>
  <c r="CL5" i="27"/>
  <c r="CM5" i="27" s="1"/>
  <c r="CL4" i="27"/>
  <c r="CM4" i="27" s="1"/>
  <c r="CL3" i="27"/>
  <c r="CM3" i="27" s="1"/>
  <c r="BC3" i="27" l="1"/>
  <c r="BC24" i="27" s="1"/>
  <c r="BB24" i="27"/>
  <c r="EH4" i="27"/>
  <c r="BB4" i="27" s="1"/>
  <c r="BC4" i="27" s="1"/>
  <c r="BG4" i="27"/>
  <c r="EH9" i="27"/>
  <c r="BG9" i="27"/>
  <c r="BE9" i="27" s="1"/>
  <c r="EH19" i="27"/>
  <c r="BB19" i="27" s="1"/>
  <c r="BC19" i="27" s="1"/>
  <c r="BG19" i="27"/>
  <c r="BE19" i="27" s="1"/>
  <c r="AL27" i="31"/>
  <c r="AK27" i="31" s="1"/>
  <c r="AL34" i="31"/>
  <c r="AK34" i="31" s="1"/>
  <c r="AL60" i="31"/>
  <c r="AK60" i="31" s="1"/>
  <c r="AJ15" i="29"/>
  <c r="AL17" i="31"/>
  <c r="AK17" i="31" s="1"/>
  <c r="AL18" i="31"/>
  <c r="AK18" i="31" s="1"/>
  <c r="AL24" i="31"/>
  <c r="AK24" i="31" s="1"/>
  <c r="AL50" i="31"/>
  <c r="AK50" i="31" s="1"/>
  <c r="AL55" i="31"/>
  <c r="AK55" i="31" s="1"/>
  <c r="AL29" i="31"/>
  <c r="AK29" i="31" s="1"/>
  <c r="AL44" i="31"/>
  <c r="AK44" i="31" s="1"/>
  <c r="AH12" i="30"/>
  <c r="AF12" i="30"/>
  <c r="AL10" i="31"/>
  <c r="AK10" i="31" s="1"/>
  <c r="AL6" i="31"/>
  <c r="AL11" i="31"/>
  <c r="AK11" i="31" s="1"/>
  <c r="AL30" i="31"/>
  <c r="AK30" i="31" s="1"/>
  <c r="AL54" i="31"/>
  <c r="AK54" i="31" s="1"/>
  <c r="AL32" i="31"/>
  <c r="AK32" i="31" s="1"/>
  <c r="AL48" i="31"/>
  <c r="AK48" i="31" s="1"/>
  <c r="AK15" i="29"/>
  <c r="AV71" i="31"/>
  <c r="AJ70" i="31" s="1"/>
  <c r="BF41" i="28"/>
  <c r="AQ7" i="28" s="1"/>
  <c r="AO7" i="28" s="1"/>
  <c r="DA71" i="31"/>
  <c r="DA72" i="31"/>
  <c r="CM25" i="27"/>
  <c r="CY72" i="31"/>
  <c r="CY71" i="31"/>
  <c r="CM24" i="27"/>
  <c r="BG44" i="31"/>
  <c r="AU44" i="31" s="1"/>
  <c r="DC71" i="31"/>
  <c r="AB71" i="31"/>
  <c r="BG24" i="27" l="1"/>
  <c r="BE4" i="27"/>
  <c r="BE24" i="27" s="1"/>
  <c r="DD72" i="31"/>
  <c r="BT74" i="31"/>
  <c r="AJ43" i="31"/>
  <c r="AJ47" i="31"/>
  <c r="AJ60" i="31"/>
  <c r="AJ11" i="31"/>
  <c r="AJ32" i="31"/>
  <c r="AJ18" i="31"/>
  <c r="AJ40" i="31"/>
  <c r="AJ24" i="31"/>
  <c r="AJ6" i="31"/>
  <c r="AJ55" i="31"/>
  <c r="AJ17" i="31"/>
  <c r="AJ22" i="31"/>
  <c r="AJ12" i="31"/>
  <c r="AJ10" i="31"/>
  <c r="AJ23" i="31"/>
  <c r="AJ27" i="31"/>
  <c r="AK6" i="31"/>
  <c r="AK71" i="31" s="1"/>
  <c r="AL71" i="31"/>
  <c r="AJ54" i="31"/>
  <c r="AQ6" i="28"/>
  <c r="AO6" i="28" s="1"/>
  <c r="AQ31" i="28"/>
  <c r="AO31" i="28" s="1"/>
  <c r="AQ20" i="28"/>
  <c r="AQ22" i="28"/>
  <c r="AO22" i="28" s="1"/>
  <c r="AQ3" i="28"/>
  <c r="AQ17" i="28"/>
  <c r="AO17" i="28" s="1"/>
  <c r="AQ11" i="28"/>
  <c r="AO11" i="28" s="1"/>
  <c r="BS74" i="31"/>
  <c r="EP72" i="31"/>
  <c r="CZ38" i="31"/>
  <c r="DB38" i="31"/>
  <c r="DB57" i="31"/>
  <c r="DB72" i="31"/>
  <c r="DB66" i="31"/>
  <c r="DB4" i="31"/>
  <c r="DB65" i="31"/>
  <c r="DB33" i="31"/>
  <c r="DB56" i="31"/>
  <c r="DB8" i="31"/>
  <c r="DB59" i="31"/>
  <c r="DB58" i="31"/>
  <c r="DB43" i="31"/>
  <c r="DB25" i="31"/>
  <c r="DB48" i="31"/>
  <c r="DB61" i="31"/>
  <c r="DB53" i="31"/>
  <c r="DB46" i="31"/>
  <c r="DB29" i="31"/>
  <c r="DB13" i="31"/>
  <c r="DB20" i="31"/>
  <c r="DB68" i="31"/>
  <c r="DB37" i="31"/>
  <c r="DB6" i="31"/>
  <c r="DB12" i="31"/>
  <c r="DB45" i="31"/>
  <c r="DB71" i="31"/>
  <c r="DB21" i="31"/>
  <c r="DB67" i="31"/>
  <c r="DB52" i="31"/>
  <c r="DB28" i="31"/>
  <c r="DB5" i="31"/>
  <c r="DB60" i="31"/>
  <c r="DB36" i="31"/>
  <c r="DB51" i="31"/>
  <c r="DB50" i="31"/>
  <c r="DB11" i="31"/>
  <c r="DB17" i="31"/>
  <c r="DB40" i="31"/>
  <c r="DB70" i="31"/>
  <c r="DB30" i="31"/>
  <c r="DB44" i="31"/>
  <c r="DB34" i="31"/>
  <c r="DB39" i="31"/>
  <c r="DB10" i="31"/>
  <c r="DB32" i="31"/>
  <c r="DB63" i="31"/>
  <c r="DB22" i="31"/>
  <c r="DB35" i="31"/>
  <c r="DB26" i="31"/>
  <c r="DB15" i="31"/>
  <c r="DB55" i="31"/>
  <c r="DB24" i="31"/>
  <c r="DB31" i="31"/>
  <c r="DB14" i="31"/>
  <c r="DB47" i="31"/>
  <c r="DB64" i="31"/>
  <c r="DB27" i="31"/>
  <c r="DB18" i="31"/>
  <c r="DB49" i="31"/>
  <c r="DB23" i="31"/>
  <c r="DB16" i="31"/>
  <c r="DB69" i="31"/>
  <c r="DB54" i="31"/>
  <c r="DB19" i="31"/>
  <c r="DB3" i="31"/>
  <c r="DB41" i="31"/>
  <c r="DB9" i="31"/>
  <c r="DB62" i="31"/>
  <c r="DB7" i="31"/>
  <c r="CN4" i="27"/>
  <c r="CN21" i="27"/>
  <c r="CN17" i="27"/>
  <c r="CZ29" i="31"/>
  <c r="CZ12" i="31"/>
  <c r="CZ25" i="31"/>
  <c r="CZ4" i="31"/>
  <c r="CZ67" i="31"/>
  <c r="CZ5" i="31"/>
  <c r="CZ51" i="31"/>
  <c r="CZ54" i="31"/>
  <c r="CZ26" i="31"/>
  <c r="CZ64" i="31"/>
  <c r="CZ30" i="31"/>
  <c r="CZ66" i="31"/>
  <c r="CZ13" i="31"/>
  <c r="CZ60" i="31"/>
  <c r="CZ49" i="31"/>
  <c r="CZ44" i="31"/>
  <c r="CZ14" i="31"/>
  <c r="CZ18" i="31"/>
  <c r="CZ56" i="31"/>
  <c r="CZ70" i="31"/>
  <c r="CZ40" i="31"/>
  <c r="CZ23" i="31"/>
  <c r="CZ21" i="31"/>
  <c r="CZ6" i="31"/>
  <c r="CZ41" i="31"/>
  <c r="CZ35" i="31"/>
  <c r="CZ47" i="31"/>
  <c r="CZ11" i="31"/>
  <c r="CZ48" i="31"/>
  <c r="CZ61" i="31"/>
  <c r="CZ45" i="31"/>
  <c r="CZ36" i="31"/>
  <c r="CZ15" i="31"/>
  <c r="CZ3" i="31"/>
  <c r="CZ63" i="31"/>
  <c r="CZ59" i="31"/>
  <c r="CZ34" i="31"/>
  <c r="CZ9" i="31"/>
  <c r="CZ10" i="31"/>
  <c r="CZ27" i="31"/>
  <c r="CZ65" i="31"/>
  <c r="CZ53" i="31"/>
  <c r="CZ17" i="31"/>
  <c r="CZ62" i="31"/>
  <c r="CZ19" i="31"/>
  <c r="CZ58" i="31"/>
  <c r="CZ57" i="31"/>
  <c r="CZ32" i="31"/>
  <c r="CZ46" i="31"/>
  <c r="CZ28" i="31"/>
  <c r="CZ22" i="31"/>
  <c r="CZ50" i="31"/>
  <c r="CZ33" i="31"/>
  <c r="CZ24" i="31"/>
  <c r="CZ8" i="31"/>
  <c r="CZ68" i="31"/>
  <c r="CZ52" i="31"/>
  <c r="CZ31" i="31"/>
  <c r="CZ37" i="31"/>
  <c r="CZ7" i="31"/>
  <c r="CZ20" i="31"/>
  <c r="CZ55" i="31"/>
  <c r="CZ39" i="31"/>
  <c r="CZ43" i="31"/>
  <c r="CZ69" i="31"/>
  <c r="CZ16" i="31"/>
  <c r="BG18" i="31"/>
  <c r="AU18" i="31" s="1"/>
  <c r="BG30" i="31"/>
  <c r="AU30" i="31" s="1"/>
  <c r="BG34" i="31"/>
  <c r="BG22" i="31"/>
  <c r="AU22" i="31" s="1"/>
  <c r="CN8" i="27"/>
  <c r="CN20" i="27"/>
  <c r="CN3" i="27"/>
  <c r="CN12" i="27"/>
  <c r="CN22" i="27"/>
  <c r="CN19" i="27"/>
  <c r="CN6" i="27"/>
  <c r="CN7" i="27"/>
  <c r="CN13" i="27"/>
  <c r="CN15" i="27"/>
  <c r="CN9" i="27"/>
  <c r="CN11" i="27"/>
  <c r="CN5" i="27"/>
  <c r="CN16" i="27"/>
  <c r="CN14" i="27"/>
  <c r="CN10" i="27"/>
  <c r="BG55" i="31"/>
  <c r="AU55" i="31" s="1"/>
  <c r="AT5" i="29"/>
  <c r="AR32" i="28"/>
  <c r="AO4" i="27" l="1"/>
  <c r="AJ71" i="31"/>
  <c r="AQ41" i="28"/>
  <c r="AN3" i="27"/>
  <c r="AL19" i="27"/>
  <c r="BG47" i="31"/>
  <c r="AU47" i="31" s="1"/>
  <c r="BG17" i="31"/>
  <c r="AU17" i="31" s="1"/>
  <c r="BG6" i="31"/>
  <c r="AU6" i="31" s="1"/>
  <c r="BG60" i="31"/>
  <c r="AU60" i="31" s="1"/>
  <c r="BG12" i="31"/>
  <c r="AU12" i="31" s="1"/>
  <c r="BG23" i="31"/>
  <c r="AU23" i="31" s="1"/>
  <c r="BG32" i="31"/>
  <c r="AU32" i="31" s="1"/>
  <c r="BG10" i="31"/>
  <c r="AU10" i="31" s="1"/>
  <c r="AU34" i="31"/>
  <c r="BG11" i="31"/>
  <c r="AU11" i="31" s="1"/>
  <c r="BG24" i="31"/>
  <c r="AU24" i="31" s="1"/>
  <c r="BG54" i="31"/>
  <c r="AU54" i="31" s="1"/>
  <c r="BG27" i="31"/>
  <c r="AU27" i="31" s="1"/>
  <c r="AT9" i="29"/>
  <c r="AT3" i="29"/>
  <c r="AR18" i="28"/>
  <c r="AR19" i="28"/>
  <c r="AR20" i="28"/>
  <c r="AR11" i="28"/>
  <c r="AR34" i="28"/>
  <c r="AR15" i="28"/>
  <c r="AR21" i="28"/>
  <c r="AR3" i="28"/>
  <c r="L9" i="34" l="1"/>
  <c r="O9" i="34" s="1"/>
  <c r="AL3" i="27"/>
  <c r="AL14" i="27"/>
  <c r="AL13" i="27"/>
  <c r="AL10" i="27"/>
  <c r="AL4" i="27"/>
  <c r="AO14" i="27"/>
  <c r="AM14" i="27" s="1"/>
  <c r="AO19" i="27"/>
  <c r="AO9" i="27"/>
  <c r="AM9" i="27" s="1"/>
  <c r="AN19" i="27"/>
  <c r="AN4" i="27"/>
  <c r="AM4" i="27" s="1"/>
  <c r="AN13" i="27"/>
  <c r="AM13" i="27" s="1"/>
  <c r="AN10" i="27"/>
  <c r="AM10" i="27" s="1"/>
  <c r="AM3" i="27"/>
  <c r="AT15" i="29"/>
  <c r="AH5" i="29" s="1"/>
  <c r="AI12" i="30"/>
  <c r="AU71" i="31"/>
  <c r="AR41" i="28"/>
  <c r="AG19" i="27"/>
  <c r="G21" i="34" l="1"/>
  <c r="I21" i="34" s="1"/>
  <c r="G20" i="34"/>
  <c r="AL24" i="27"/>
  <c r="AM19" i="27"/>
  <c r="AM24" i="27" s="1"/>
  <c r="AI32" i="28"/>
  <c r="AI24" i="28"/>
  <c r="AA3" i="30"/>
  <c r="AO24" i="27"/>
  <c r="AN24" i="27"/>
  <c r="AH3" i="29"/>
  <c r="AI30" i="31"/>
  <c r="AI18" i="31"/>
  <c r="AI44" i="31"/>
  <c r="AI22" i="31"/>
  <c r="AI3" i="28"/>
  <c r="AG14" i="27"/>
  <c r="AI21" i="28"/>
  <c r="AI11" i="28"/>
  <c r="AI15" i="28"/>
  <c r="AG10" i="27"/>
  <c r="AI20" i="28"/>
  <c r="AG13" i="27"/>
  <c r="AI11" i="31"/>
  <c r="AH9" i="29"/>
  <c r="AI19" i="28"/>
  <c r="AG4" i="27"/>
  <c r="AI34" i="28"/>
  <c r="AI18" i="28"/>
  <c r="AI24" i="31"/>
  <c r="AI17" i="31"/>
  <c r="AI55" i="31"/>
  <c r="AI47" i="31"/>
  <c r="AI12" i="31"/>
  <c r="AI6" i="31"/>
  <c r="AI54" i="31"/>
  <c r="AI34" i="31"/>
  <c r="AI23" i="31"/>
  <c r="AI27" i="31"/>
  <c r="AI32" i="31"/>
  <c r="AI10" i="31"/>
  <c r="AI60" i="31"/>
  <c r="DL24" i="27"/>
  <c r="BU24" i="27"/>
  <c r="DA41" i="28"/>
  <c r="DP8" i="28"/>
  <c r="BN41" i="28"/>
  <c r="DF15" i="29"/>
  <c r="V15" i="29"/>
  <c r="BT15" i="29"/>
  <c r="CV12" i="30"/>
  <c r="BO12" i="30"/>
  <c r="BQ15" i="30" l="1"/>
  <c r="BV18" i="29"/>
  <c r="I20" i="34"/>
  <c r="G25" i="34"/>
  <c r="L5" i="34"/>
  <c r="O5" i="34" s="1"/>
  <c r="BW26" i="27"/>
  <c r="BP15" i="30"/>
  <c r="CW15" i="30"/>
  <c r="BU18" i="29"/>
  <c r="DG18" i="29"/>
  <c r="AA4" i="30"/>
  <c r="AA12" i="30" s="1"/>
  <c r="BV26" i="27"/>
  <c r="BX18" i="27" s="1"/>
  <c r="DM26" i="27"/>
  <c r="AH15" i="29"/>
  <c r="AG24" i="27"/>
  <c r="AI41" i="28"/>
  <c r="AI71" i="31"/>
  <c r="BT18" i="29"/>
  <c r="BU26" i="27"/>
  <c r="DL26" i="27"/>
  <c r="DS18" i="27" s="1"/>
  <c r="BN44" i="28"/>
  <c r="DA44" i="28"/>
  <c r="DF18" i="29"/>
  <c r="CV15" i="30"/>
  <c r="BO15" i="30"/>
  <c r="O11" i="34" l="1"/>
  <c r="O12" i="34" s="1"/>
  <c r="BX23" i="27"/>
  <c r="DS23" i="27"/>
  <c r="I25" i="34"/>
  <c r="I29" i="34" s="1"/>
  <c r="I30" i="34" s="1"/>
  <c r="DE3" i="28"/>
  <c r="DG3" i="28" s="1"/>
  <c r="DE25" i="28"/>
  <c r="DG25" i="28" s="1"/>
  <c r="DE37" i="28"/>
  <c r="DG37" i="28" s="1"/>
  <c r="DE4" i="28"/>
  <c r="DE26" i="28"/>
  <c r="DG26" i="28" s="1"/>
  <c r="DE38" i="28"/>
  <c r="DG38" i="28" s="1"/>
  <c r="DE6" i="28"/>
  <c r="DG6" i="28" s="1"/>
  <c r="DE15" i="28"/>
  <c r="DG15" i="28" s="1"/>
  <c r="DE27" i="28"/>
  <c r="DG27" i="28" s="1"/>
  <c r="DE39" i="28"/>
  <c r="DG39" i="28" s="1"/>
  <c r="DE7" i="28"/>
  <c r="DE16" i="28"/>
  <c r="DE28" i="28"/>
  <c r="DE40" i="28"/>
  <c r="DG40" i="28" s="1"/>
  <c r="DE31" i="28"/>
  <c r="DE8" i="28"/>
  <c r="DG8" i="28" s="1"/>
  <c r="DE17" i="28"/>
  <c r="DG17" i="28" s="1"/>
  <c r="DE29" i="28"/>
  <c r="DG29" i="28" s="1"/>
  <c r="DE19" i="28"/>
  <c r="DG19" i="28" s="1"/>
  <c r="DE32" i="28"/>
  <c r="DG32" i="28" s="1"/>
  <c r="DE9" i="28"/>
  <c r="DG9" i="28" s="1"/>
  <c r="DE18" i="28"/>
  <c r="DG18" i="28" s="1"/>
  <c r="DE30" i="28"/>
  <c r="DE10" i="28"/>
  <c r="DE11" i="28"/>
  <c r="DG11" i="28" s="1"/>
  <c r="DE20" i="28"/>
  <c r="DE12" i="28"/>
  <c r="DG12" i="28" s="1"/>
  <c r="DE21" i="28"/>
  <c r="DG21" i="28" s="1"/>
  <c r="DE13" i="28"/>
  <c r="DG13" i="28" s="1"/>
  <c r="DE22" i="28"/>
  <c r="DG22" i="28" s="1"/>
  <c r="DE34" i="28"/>
  <c r="DG34" i="28" s="1"/>
  <c r="DE23" i="28"/>
  <c r="DG23" i="28" s="1"/>
  <c r="DE35" i="28"/>
  <c r="DG35" i="28" s="1"/>
  <c r="DE14" i="28"/>
  <c r="DG14" i="28" s="1"/>
  <c r="DE36" i="28"/>
  <c r="DE33" i="28"/>
  <c r="DG33" i="28" s="1"/>
  <c r="DE24" i="28"/>
  <c r="DQ9" i="29"/>
  <c r="DV9" i="29" s="1"/>
  <c r="DQ8" i="29"/>
  <c r="DV8" i="29" s="1"/>
  <c r="DQ10" i="29"/>
  <c r="DV10" i="29" s="1"/>
  <c r="DQ7" i="29"/>
  <c r="DV7" i="29" s="1"/>
  <c r="DQ14" i="29"/>
  <c r="DV14" i="29" s="1"/>
  <c r="DQ5" i="29"/>
  <c r="DV5" i="29" s="1"/>
  <c r="DQ13" i="29"/>
  <c r="DV13" i="29" s="1"/>
  <c r="DQ4" i="29"/>
  <c r="DV4" i="29" s="1"/>
  <c r="DQ12" i="29"/>
  <c r="DV12" i="29" s="1"/>
  <c r="DQ3" i="29"/>
  <c r="DV3" i="29" s="1"/>
  <c r="DQ11" i="29"/>
  <c r="DV11" i="29" s="1"/>
  <c r="CD4" i="30"/>
  <c r="CH4" i="30" s="1"/>
  <c r="CD3" i="30"/>
  <c r="CH3" i="30" s="1"/>
  <c r="CD5" i="30"/>
  <c r="CH5" i="30" s="1"/>
  <c r="CD11" i="30"/>
  <c r="CH11" i="30" s="1"/>
  <c r="CD6" i="30"/>
  <c r="CH6" i="30" s="1"/>
  <c r="CD10" i="30"/>
  <c r="CH10" i="30" s="1"/>
  <c r="CD9" i="30"/>
  <c r="CH9" i="30" s="1"/>
  <c r="BX22" i="27"/>
  <c r="BZ22" i="27" s="1"/>
  <c r="BX13" i="27"/>
  <c r="BZ13" i="27" s="1"/>
  <c r="BX9" i="27"/>
  <c r="BZ9" i="27" s="1"/>
  <c r="BX21" i="27"/>
  <c r="BZ21" i="27" s="1"/>
  <c r="BX8" i="27"/>
  <c r="BX7" i="27"/>
  <c r="BX5" i="27"/>
  <c r="BX10" i="27"/>
  <c r="BZ10" i="27" s="1"/>
  <c r="BX3" i="27"/>
  <c r="BZ3" i="27" s="1"/>
  <c r="BX20" i="27"/>
  <c r="BZ20" i="27" s="1"/>
  <c r="BX12" i="27"/>
  <c r="BZ12" i="27" s="1"/>
  <c r="BX19" i="27"/>
  <c r="BZ19" i="27" s="1"/>
  <c r="BX6" i="27"/>
  <c r="BZ6" i="27" s="1"/>
  <c r="BX17" i="27"/>
  <c r="BZ17" i="27" s="1"/>
  <c r="BX14" i="27"/>
  <c r="BZ14" i="27" s="1"/>
  <c r="BX16" i="27"/>
  <c r="BZ16" i="27" s="1"/>
  <c r="BX15" i="27"/>
  <c r="BZ15" i="27" s="1"/>
  <c r="BX11" i="27"/>
  <c r="BX4" i="27"/>
  <c r="BZ4" i="27" s="1"/>
  <c r="DG3" i="30"/>
  <c r="DJ3" i="30" s="1"/>
  <c r="DG11" i="30"/>
  <c r="DJ11" i="30" s="1"/>
  <c r="DG10" i="30"/>
  <c r="DJ10" i="30" s="1"/>
  <c r="DG9" i="30"/>
  <c r="DJ9" i="30" s="1"/>
  <c r="DG6" i="30"/>
  <c r="DJ6" i="30" s="1"/>
  <c r="DG4" i="30"/>
  <c r="DJ4" i="30" s="1"/>
  <c r="DG5" i="30"/>
  <c r="DJ5" i="30" s="1"/>
  <c r="DG24" i="28"/>
  <c r="DG16" i="28"/>
  <c r="DG4" i="28"/>
  <c r="DG31" i="28"/>
  <c r="DG10" i="28"/>
  <c r="DG30" i="28"/>
  <c r="DG36" i="28"/>
  <c r="DG28" i="28"/>
  <c r="DG20" i="28"/>
  <c r="DG7" i="28"/>
  <c r="BW12" i="29"/>
  <c r="CT12" i="29" s="1"/>
  <c r="BW3" i="29"/>
  <c r="CT3" i="29" s="1"/>
  <c r="BW5" i="29"/>
  <c r="CT5" i="29" s="1"/>
  <c r="BW11" i="29"/>
  <c r="CT11" i="29" s="1"/>
  <c r="BW14" i="29"/>
  <c r="CT14" i="29" s="1"/>
  <c r="BW10" i="29"/>
  <c r="CT10" i="29" s="1"/>
  <c r="BW9" i="29"/>
  <c r="CT9" i="29" s="1"/>
  <c r="BW8" i="29"/>
  <c r="CT8" i="29" s="1"/>
  <c r="BW4" i="29"/>
  <c r="CT4" i="29" s="1"/>
  <c r="BW7" i="29"/>
  <c r="CT7" i="29" s="1"/>
  <c r="BW13" i="29"/>
  <c r="CT13" i="29" s="1"/>
  <c r="BR33" i="28"/>
  <c r="BR25" i="28"/>
  <c r="BR17" i="28"/>
  <c r="BR12" i="28"/>
  <c r="BR3" i="28"/>
  <c r="BR35" i="28"/>
  <c r="BR18" i="28"/>
  <c r="BR40" i="28"/>
  <c r="BR32" i="28"/>
  <c r="BR24" i="28"/>
  <c r="BR16" i="28"/>
  <c r="BR11" i="28"/>
  <c r="BR6" i="28"/>
  <c r="BR39" i="28"/>
  <c r="BR31" i="28"/>
  <c r="BR23" i="28"/>
  <c r="BR15" i="28"/>
  <c r="BR10" i="28"/>
  <c r="BR27" i="28"/>
  <c r="BR34" i="28"/>
  <c r="BR4" i="28"/>
  <c r="BR38" i="28"/>
  <c r="BR30" i="28"/>
  <c r="BR22" i="28"/>
  <c r="BR9" i="28"/>
  <c r="BR19" i="28"/>
  <c r="BR13" i="28"/>
  <c r="BR37" i="28"/>
  <c r="BR29" i="28"/>
  <c r="BR21" i="28"/>
  <c r="BR8" i="28"/>
  <c r="BR26" i="28"/>
  <c r="BR36" i="28"/>
  <c r="BR28" i="28"/>
  <c r="BR20" i="28"/>
  <c r="BR14" i="28"/>
  <c r="BR7" i="28"/>
  <c r="BZ5" i="27"/>
  <c r="BZ11" i="27"/>
  <c r="BZ7" i="27"/>
  <c r="BZ8" i="27"/>
  <c r="DS20" i="27"/>
  <c r="DW20" i="27" s="1"/>
  <c r="DS19" i="27"/>
  <c r="DW19" i="27" s="1"/>
  <c r="DS6" i="27"/>
  <c r="DW6" i="27" s="1"/>
  <c r="DS5" i="27"/>
  <c r="DW5" i="27" s="1"/>
  <c r="DS17" i="27"/>
  <c r="DW17" i="27" s="1"/>
  <c r="DS12" i="27"/>
  <c r="DW12" i="27" s="1"/>
  <c r="DS16" i="27"/>
  <c r="DW16" i="27" s="1"/>
  <c r="DS15" i="27"/>
  <c r="DW15" i="27" s="1"/>
  <c r="DS11" i="27"/>
  <c r="DW11" i="27" s="1"/>
  <c r="DS4" i="27"/>
  <c r="DW4" i="27" s="1"/>
  <c r="DS9" i="27"/>
  <c r="DW9" i="27" s="1"/>
  <c r="DS14" i="27"/>
  <c r="DW14" i="27" s="1"/>
  <c r="DS10" i="27"/>
  <c r="DW10" i="27" s="1"/>
  <c r="DS3" i="27"/>
  <c r="DW3" i="27" s="1"/>
  <c r="DS13" i="27"/>
  <c r="DW13" i="27" s="1"/>
  <c r="DS22" i="27"/>
  <c r="DW22" i="27" s="1"/>
  <c r="DS21" i="27"/>
  <c r="DW21" i="27" s="1"/>
  <c r="DS8" i="27"/>
  <c r="DW8" i="27" s="1"/>
  <c r="DS7" i="27"/>
  <c r="DW7" i="27" s="1"/>
  <c r="EO71" i="31"/>
  <c r="P6" i="34" l="1"/>
  <c r="P9" i="34"/>
  <c r="P5" i="34"/>
  <c r="P11" i="34" s="1"/>
  <c r="I31" i="34"/>
  <c r="I32" i="34"/>
  <c r="CK32" i="28"/>
  <c r="CJ32" i="28"/>
  <c r="CK26" i="28"/>
  <c r="CJ26" i="28"/>
  <c r="CK9" i="28"/>
  <c r="CJ9" i="28"/>
  <c r="CK10" i="28"/>
  <c r="CJ10" i="28"/>
  <c r="CK24" i="28"/>
  <c r="CJ24" i="28"/>
  <c r="CK25" i="28"/>
  <c r="CJ25" i="28"/>
  <c r="CK22" i="28"/>
  <c r="CJ22" i="28"/>
  <c r="CK7" i="28"/>
  <c r="CJ7" i="28"/>
  <c r="CK21" i="28"/>
  <c r="CJ21" i="28"/>
  <c r="CK30" i="28"/>
  <c r="CJ30" i="28"/>
  <c r="CK31" i="28"/>
  <c r="CJ31" i="28"/>
  <c r="CK18" i="28"/>
  <c r="CJ18" i="28"/>
  <c r="CK15" i="28"/>
  <c r="CJ15" i="28"/>
  <c r="CK14" i="28"/>
  <c r="CJ14" i="28"/>
  <c r="CK29" i="28"/>
  <c r="CJ29" i="28"/>
  <c r="CK38" i="28"/>
  <c r="CJ38" i="28"/>
  <c r="CK39" i="28"/>
  <c r="CJ39" i="28"/>
  <c r="CK35" i="28"/>
  <c r="CJ35" i="28"/>
  <c r="CK20" i="28"/>
  <c r="CJ20" i="28"/>
  <c r="CK37" i="28"/>
  <c r="CJ37" i="28"/>
  <c r="CK4" i="28"/>
  <c r="CJ4" i="28"/>
  <c r="CK6" i="28"/>
  <c r="CJ6" i="28"/>
  <c r="CK3" i="28"/>
  <c r="CJ3" i="28"/>
  <c r="CK33" i="28"/>
  <c r="CJ33" i="28"/>
  <c r="CK23" i="28"/>
  <c r="CJ23" i="28"/>
  <c r="CK28" i="28"/>
  <c r="CJ28" i="28"/>
  <c r="CK13" i="28"/>
  <c r="CJ13" i="28"/>
  <c r="CK34" i="28"/>
  <c r="CJ34" i="28"/>
  <c r="CK11" i="28"/>
  <c r="CJ11" i="28"/>
  <c r="CK12" i="28"/>
  <c r="CJ12" i="28"/>
  <c r="CK8" i="28"/>
  <c r="CJ8" i="28"/>
  <c r="CK40" i="28"/>
  <c r="CJ40" i="28"/>
  <c r="CK36" i="28"/>
  <c r="CJ36" i="28"/>
  <c r="CK19" i="28"/>
  <c r="CJ19" i="28"/>
  <c r="CK27" i="28"/>
  <c r="CJ27" i="28"/>
  <c r="CK16" i="28"/>
  <c r="CJ16" i="28"/>
  <c r="CK17" i="28"/>
  <c r="CJ17" i="28"/>
  <c r="DG42" i="28"/>
  <c r="DJ12" i="30"/>
  <c r="CH13" i="30"/>
  <c r="CT18" i="29"/>
  <c r="CT17" i="29"/>
  <c r="DG41" i="28"/>
  <c r="DJ13" i="30"/>
  <c r="CH12" i="30"/>
  <c r="DV17" i="29"/>
  <c r="DV18" i="29"/>
  <c r="BZ24" i="27"/>
  <c r="BZ25" i="27"/>
  <c r="CW11" i="29" l="1"/>
  <c r="DX13" i="29"/>
  <c r="EF13" i="29" s="1"/>
  <c r="CK41" i="28"/>
  <c r="CK42" i="28"/>
  <c r="CJ41" i="28"/>
  <c r="CJ42" i="28"/>
  <c r="CM9" i="30"/>
  <c r="CM6" i="30"/>
  <c r="CM11" i="30"/>
  <c r="CM10" i="30"/>
  <c r="CM3" i="30"/>
  <c r="CM4" i="30"/>
  <c r="DM3" i="30"/>
  <c r="DV3" i="30" s="1"/>
  <c r="DM5" i="30"/>
  <c r="DV5" i="30" s="1"/>
  <c r="DM9" i="30"/>
  <c r="DV9" i="30" s="1"/>
  <c r="DM4" i="30"/>
  <c r="DV4" i="30" s="1"/>
  <c r="DM11" i="30"/>
  <c r="DV11" i="30" s="1"/>
  <c r="DM6" i="30"/>
  <c r="DV6" i="30" s="1"/>
  <c r="DM10" i="30"/>
  <c r="DV10" i="30" s="1"/>
  <c r="CM5" i="30"/>
  <c r="DL40" i="28"/>
  <c r="DV40" i="28" s="1"/>
  <c r="DL19" i="28"/>
  <c r="DV19" i="28" s="1"/>
  <c r="DL36" i="28"/>
  <c r="DV36" i="28" s="1"/>
  <c r="DL23" i="28"/>
  <c r="DV23" i="28" s="1"/>
  <c r="DL31" i="28"/>
  <c r="DV31" i="28" s="1"/>
  <c r="DL33" i="28"/>
  <c r="DV33" i="28" s="1"/>
  <c r="DL18" i="28"/>
  <c r="DV18" i="28" s="1"/>
  <c r="DL3" i="28"/>
  <c r="DV3" i="28" s="1"/>
  <c r="DL9" i="28"/>
  <c r="DV9" i="28" s="1"/>
  <c r="DL24" i="28"/>
  <c r="DV24" i="28" s="1"/>
  <c r="DL17" i="28"/>
  <c r="DV17" i="28" s="1"/>
  <c r="DL11" i="28"/>
  <c r="DV11" i="28" s="1"/>
  <c r="DL35" i="28"/>
  <c r="DV35" i="28" s="1"/>
  <c r="DL27" i="28"/>
  <c r="DV27" i="28" s="1"/>
  <c r="DL8" i="28"/>
  <c r="DV8" i="28" s="1"/>
  <c r="DL15" i="28"/>
  <c r="DV15" i="28" s="1"/>
  <c r="DL38" i="28"/>
  <c r="DV38" i="28" s="1"/>
  <c r="DL28" i="28"/>
  <c r="DV28" i="28" s="1"/>
  <c r="DL39" i="28"/>
  <c r="DV39" i="28" s="1"/>
  <c r="DL4" i="28"/>
  <c r="DV4" i="28" s="1"/>
  <c r="DL25" i="28"/>
  <c r="DV25" i="28" s="1"/>
  <c r="DL14" i="28"/>
  <c r="DV14" i="28" s="1"/>
  <c r="DL34" i="28"/>
  <c r="DV34" i="28" s="1"/>
  <c r="DL16" i="28"/>
  <c r="DV16" i="28" s="1"/>
  <c r="DL32" i="28"/>
  <c r="DV32" i="28" s="1"/>
  <c r="DL21" i="28"/>
  <c r="DV21" i="28" s="1"/>
  <c r="DL29" i="28"/>
  <c r="DV29" i="28" s="1"/>
  <c r="DL30" i="28"/>
  <c r="DV30" i="28" s="1"/>
  <c r="DL13" i="28"/>
  <c r="DV13" i="28" s="1"/>
  <c r="DL10" i="28"/>
  <c r="DV10" i="28" s="1"/>
  <c r="DL7" i="28"/>
  <c r="DV7" i="28" s="1"/>
  <c r="DL22" i="28"/>
  <c r="DV22" i="28" s="1"/>
  <c r="DL37" i="28"/>
  <c r="DV37" i="28" s="1"/>
  <c r="DL26" i="28"/>
  <c r="DV26" i="28" s="1"/>
  <c r="CW7" i="29"/>
  <c r="CW5" i="29"/>
  <c r="CW13" i="29"/>
  <c r="CW12" i="29"/>
  <c r="CW14" i="29"/>
  <c r="CW10" i="29"/>
  <c r="CW3" i="29"/>
  <c r="CW9" i="29"/>
  <c r="CW8" i="29"/>
  <c r="CW4" i="29"/>
  <c r="DL20" i="28"/>
  <c r="DV20" i="28" s="1"/>
  <c r="DL12" i="28"/>
  <c r="DV12" i="28" s="1"/>
  <c r="DX11" i="29"/>
  <c r="EF11" i="29" s="1"/>
  <c r="DX4" i="29"/>
  <c r="EF4" i="29" s="1"/>
  <c r="DX12" i="29"/>
  <c r="EF12" i="29" s="1"/>
  <c r="DX9" i="29"/>
  <c r="EF9" i="29" s="1"/>
  <c r="DX8" i="29"/>
  <c r="EF8" i="29" s="1"/>
  <c r="DX5" i="29"/>
  <c r="EF5" i="29" s="1"/>
  <c r="DX10" i="29"/>
  <c r="EF10" i="29" s="1"/>
  <c r="DX3" i="29"/>
  <c r="EF3" i="29" s="1"/>
  <c r="DX7" i="29"/>
  <c r="EF7" i="29" s="1"/>
  <c r="DX14" i="29"/>
  <c r="EF14" i="29" s="1"/>
  <c r="DL6" i="28"/>
  <c r="DV6" i="28" s="1"/>
  <c r="CB16" i="27"/>
  <c r="DZ13" i="27"/>
  <c r="EJ13" i="27" s="1"/>
  <c r="CB11" i="27"/>
  <c r="DZ11" i="27"/>
  <c r="EJ11" i="27" s="1"/>
  <c r="CB3" i="27"/>
  <c r="CB12" i="27"/>
  <c r="CB7" i="27"/>
  <c r="CB8" i="27"/>
  <c r="CB22" i="27"/>
  <c r="CB4" i="27"/>
  <c r="CB5" i="27"/>
  <c r="CB10" i="27"/>
  <c r="CB19" i="27"/>
  <c r="CB6" i="27"/>
  <c r="CB21" i="27"/>
  <c r="CB15" i="27"/>
  <c r="CB17" i="27"/>
  <c r="CB13" i="27"/>
  <c r="CB14" i="27"/>
  <c r="CB20" i="27"/>
  <c r="DZ12" i="27"/>
  <c r="EJ12" i="27" s="1"/>
  <c r="DZ15" i="27"/>
  <c r="EJ15" i="27" s="1"/>
  <c r="DZ16" i="27"/>
  <c r="EJ16" i="27" s="1"/>
  <c r="DZ20" i="27"/>
  <c r="EJ20" i="27" s="1"/>
  <c r="DZ22" i="27"/>
  <c r="EJ22" i="27" s="1"/>
  <c r="DZ3" i="27"/>
  <c r="EJ3" i="27" s="1"/>
  <c r="DZ21" i="27"/>
  <c r="EJ21" i="27" s="1"/>
  <c r="DZ14" i="27"/>
  <c r="EJ14" i="27" s="1"/>
  <c r="DZ9" i="27"/>
  <c r="EJ9" i="27" s="1"/>
  <c r="DZ5" i="27"/>
  <c r="EJ5" i="27" s="1"/>
  <c r="DZ17" i="27"/>
  <c r="EJ17" i="27" s="1"/>
  <c r="DZ4" i="27"/>
  <c r="EJ4" i="27" s="1"/>
  <c r="CB9" i="27"/>
  <c r="DZ10" i="27"/>
  <c r="EJ10" i="27" s="1"/>
  <c r="DZ19" i="27"/>
  <c r="EJ19" i="27" s="1"/>
  <c r="DZ6" i="27"/>
  <c r="EJ6" i="27" s="1"/>
  <c r="DZ8" i="27"/>
  <c r="EJ8" i="27" s="1"/>
  <c r="DZ7" i="27"/>
  <c r="EJ7" i="27" s="1"/>
  <c r="CK70" i="31"/>
  <c r="CK69" i="31"/>
  <c r="CK68" i="31"/>
  <c r="CK67" i="31"/>
  <c r="CK66" i="31"/>
  <c r="CK65" i="31"/>
  <c r="CK64" i="31"/>
  <c r="CK63" i="31"/>
  <c r="CK62" i="31"/>
  <c r="CK61" i="31"/>
  <c r="CK60" i="31"/>
  <c r="CK59" i="31"/>
  <c r="CK58" i="31"/>
  <c r="CK57" i="31"/>
  <c r="CK56" i="31"/>
  <c r="CK55" i="31"/>
  <c r="CK54" i="31"/>
  <c r="CK53" i="31"/>
  <c r="CK52" i="31"/>
  <c r="CK51" i="31"/>
  <c r="CK50" i="31"/>
  <c r="CK49" i="31"/>
  <c r="CK48" i="31"/>
  <c r="CK47" i="31"/>
  <c r="CK46" i="31"/>
  <c r="CK45" i="31"/>
  <c r="CK44" i="31"/>
  <c r="CK43" i="31"/>
  <c r="CK41" i="31"/>
  <c r="CK40" i="31"/>
  <c r="CK39" i="31"/>
  <c r="CK38" i="31"/>
  <c r="CK37" i="31"/>
  <c r="CK36" i="31"/>
  <c r="CK35" i="31"/>
  <c r="CK34" i="31"/>
  <c r="CK33" i="31"/>
  <c r="CK32" i="31"/>
  <c r="CK31" i="31"/>
  <c r="CK30" i="31"/>
  <c r="CK29" i="31"/>
  <c r="CK28" i="31"/>
  <c r="CK27" i="31"/>
  <c r="CK26" i="31"/>
  <c r="CK25" i="31"/>
  <c r="CK24" i="31"/>
  <c r="CK23" i="31"/>
  <c r="CK22" i="31"/>
  <c r="CK21" i="31"/>
  <c r="CK20" i="31"/>
  <c r="CK19" i="31"/>
  <c r="CK18" i="31"/>
  <c r="CK17" i="31"/>
  <c r="CK16" i="31"/>
  <c r="CK15" i="31"/>
  <c r="CK14" i="31"/>
  <c r="CK13" i="31"/>
  <c r="CK12" i="31"/>
  <c r="CK11" i="31"/>
  <c r="CK10" i="31"/>
  <c r="CK9" i="31"/>
  <c r="CK8" i="31"/>
  <c r="CK7" i="31"/>
  <c r="CK6" i="31"/>
  <c r="CK5" i="31"/>
  <c r="CK4" i="31"/>
  <c r="CK3" i="31"/>
  <c r="BP71" i="31"/>
  <c r="BJ14" i="30" l="1"/>
  <c r="BA9" i="30" s="1"/>
  <c r="AU9" i="30" s="1"/>
  <c r="BO15" i="29"/>
  <c r="BB9" i="29" s="1"/>
  <c r="AS9" i="29" s="1"/>
  <c r="BI9" i="28"/>
  <c r="BB21" i="28" s="1"/>
  <c r="AY21" i="28" s="1"/>
  <c r="BP7" i="27"/>
  <c r="BH14" i="27" s="1"/>
  <c r="DY11" i="29"/>
  <c r="CL27" i="28"/>
  <c r="DT27" i="28" s="1"/>
  <c r="CQ18" i="28"/>
  <c r="DY3" i="29"/>
  <c r="DY13" i="29"/>
  <c r="DO5" i="30"/>
  <c r="DO4" i="30"/>
  <c r="CL13" i="28"/>
  <c r="DT13" i="28" s="1"/>
  <c r="CL19" i="28"/>
  <c r="CL28" i="28"/>
  <c r="DT28" i="28" s="1"/>
  <c r="CL12" i="28"/>
  <c r="DT12" i="28" s="1"/>
  <c r="CL3" i="28"/>
  <c r="CL36" i="28"/>
  <c r="DT36" i="28" s="1"/>
  <c r="CL25" i="28"/>
  <c r="DT25" i="28" s="1"/>
  <c r="CL22" i="28"/>
  <c r="DT22" i="28" s="1"/>
  <c r="CL30" i="28"/>
  <c r="DT30" i="28" s="1"/>
  <c r="CL31" i="28"/>
  <c r="DT31" i="28" s="1"/>
  <c r="CL32" i="28"/>
  <c r="CL8" i="28"/>
  <c r="CL14" i="28"/>
  <c r="DT14" i="28" s="1"/>
  <c r="CL29" i="28"/>
  <c r="DT29" i="28" s="1"/>
  <c r="CL10" i="28"/>
  <c r="DT10" i="28" s="1"/>
  <c r="CL24" i="28"/>
  <c r="CL35" i="28"/>
  <c r="DT35" i="28" s="1"/>
  <c r="CL7" i="28"/>
  <c r="DT7" i="28" s="1"/>
  <c r="CL21" i="28"/>
  <c r="CL37" i="28"/>
  <c r="DT37" i="28" s="1"/>
  <c r="CL33" i="28"/>
  <c r="DT33" i="28" s="1"/>
  <c r="CL4" i="28"/>
  <c r="DT4" i="28" s="1"/>
  <c r="CL18" i="28"/>
  <c r="CL15" i="28"/>
  <c r="CL16" i="28"/>
  <c r="DT16" i="28" s="1"/>
  <c r="CL34" i="28"/>
  <c r="CL23" i="28"/>
  <c r="DT23" i="28" s="1"/>
  <c r="CL38" i="28"/>
  <c r="DT38" i="28" s="1"/>
  <c r="CL39" i="28"/>
  <c r="DT39" i="28" s="1"/>
  <c r="CL17" i="28"/>
  <c r="DT17" i="28" s="1"/>
  <c r="CL40" i="28"/>
  <c r="DT40" i="28" s="1"/>
  <c r="CL11" i="28"/>
  <c r="DT11" i="28" s="1"/>
  <c r="CL6" i="28"/>
  <c r="DT6" i="28" s="1"/>
  <c r="CL20" i="28"/>
  <c r="CL26" i="28"/>
  <c r="DT26" i="28" s="1"/>
  <c r="CL9" i="28"/>
  <c r="DT9" i="28" s="1"/>
  <c r="CQ30" i="28"/>
  <c r="DM30" i="28" s="1"/>
  <c r="CQ14" i="28"/>
  <c r="DM14" i="28" s="1"/>
  <c r="CQ33" i="28"/>
  <c r="DM33" i="28" s="1"/>
  <c r="CQ34" i="28"/>
  <c r="DM34" i="28" s="1"/>
  <c r="CQ27" i="28"/>
  <c r="DM27" i="28" s="1"/>
  <c r="CQ40" i="28"/>
  <c r="DM40" i="28" s="1"/>
  <c r="CQ23" i="28"/>
  <c r="DM23" i="28" s="1"/>
  <c r="CQ26" i="28"/>
  <c r="DM26" i="28" s="1"/>
  <c r="CQ21" i="28"/>
  <c r="DM21" i="28" s="1"/>
  <c r="CQ28" i="28"/>
  <c r="DM28" i="28" s="1"/>
  <c r="CQ8" i="28"/>
  <c r="DM8" i="28" s="1"/>
  <c r="CQ17" i="28"/>
  <c r="DM17" i="28" s="1"/>
  <c r="CQ38" i="28"/>
  <c r="DM38" i="28" s="1"/>
  <c r="CQ4" i="28"/>
  <c r="DM4" i="28" s="1"/>
  <c r="CQ13" i="28"/>
  <c r="DM13" i="28" s="1"/>
  <c r="CQ19" i="28"/>
  <c r="DM19" i="28" s="1"/>
  <c r="CQ9" i="28"/>
  <c r="DM9" i="28" s="1"/>
  <c r="CQ35" i="28"/>
  <c r="DM35" i="28" s="1"/>
  <c r="CQ25" i="28"/>
  <c r="DM25" i="28" s="1"/>
  <c r="CQ12" i="28"/>
  <c r="DM12" i="28" s="1"/>
  <c r="CQ36" i="28"/>
  <c r="DM36" i="28" s="1"/>
  <c r="CQ31" i="28"/>
  <c r="DM31" i="28" s="1"/>
  <c r="CQ7" i="28"/>
  <c r="DM7" i="28" s="1"/>
  <c r="CQ15" i="28"/>
  <c r="DM15" i="28" s="1"/>
  <c r="CQ3" i="28"/>
  <c r="DM3" i="28" s="1"/>
  <c r="CQ32" i="28"/>
  <c r="DM32" i="28" s="1"/>
  <c r="CQ11" i="28"/>
  <c r="DM11" i="28" s="1"/>
  <c r="CQ29" i="28"/>
  <c r="DM29" i="28" s="1"/>
  <c r="CQ16" i="28"/>
  <c r="DM16" i="28" s="1"/>
  <c r="CQ6" i="28"/>
  <c r="DM6" i="28" s="1"/>
  <c r="CQ39" i="28"/>
  <c r="DM39" i="28" s="1"/>
  <c r="CQ24" i="28"/>
  <c r="DM24" i="28" s="1"/>
  <c r="CQ37" i="28"/>
  <c r="DM37" i="28" s="1"/>
  <c r="CQ22" i="28"/>
  <c r="DM22" i="28" s="1"/>
  <c r="CQ20" i="28"/>
  <c r="DM20" i="28" s="1"/>
  <c r="CQ10" i="28"/>
  <c r="DM10" i="28" s="1"/>
  <c r="DM18" i="28"/>
  <c r="EA13" i="27"/>
  <c r="DY10" i="29"/>
  <c r="DY14" i="29"/>
  <c r="DO3" i="30"/>
  <c r="DY12" i="29"/>
  <c r="DO10" i="30"/>
  <c r="DY4" i="29"/>
  <c r="DY5" i="29"/>
  <c r="DO11" i="30"/>
  <c r="DY8" i="29"/>
  <c r="DY7" i="29"/>
  <c r="DO6" i="30"/>
  <c r="DY9" i="29"/>
  <c r="DO9" i="30"/>
  <c r="EA16" i="27"/>
  <c r="EA4" i="27"/>
  <c r="EA14" i="27"/>
  <c r="EA12" i="27"/>
  <c r="EA20" i="27"/>
  <c r="EA10" i="27"/>
  <c r="EA9" i="27"/>
  <c r="EA5" i="27"/>
  <c r="EA3" i="27"/>
  <c r="EA17" i="27"/>
  <c r="EA15" i="27"/>
  <c r="EA22" i="27"/>
  <c r="EA21" i="27"/>
  <c r="EA8" i="27"/>
  <c r="EA11" i="27"/>
  <c r="EA6" i="27"/>
  <c r="EA7" i="27"/>
  <c r="EA19" i="27"/>
  <c r="CK72" i="31"/>
  <c r="CK71" i="31"/>
  <c r="FE70" i="31"/>
  <c r="FE69" i="31"/>
  <c r="FE68" i="31"/>
  <c r="FE67" i="31"/>
  <c r="FE66" i="31"/>
  <c r="FE65" i="31"/>
  <c r="FE64" i="31"/>
  <c r="FE63" i="31"/>
  <c r="FE62" i="31"/>
  <c r="FE61" i="31"/>
  <c r="FE60" i="31"/>
  <c r="FE59" i="31"/>
  <c r="FE58" i="31"/>
  <c r="FE57" i="31"/>
  <c r="FE56" i="31"/>
  <c r="FE55" i="31"/>
  <c r="FE54" i="31"/>
  <c r="FE53" i="31"/>
  <c r="FE52" i="31"/>
  <c r="FE51" i="31"/>
  <c r="FE50" i="31"/>
  <c r="FE49" i="31"/>
  <c r="FE48" i="31"/>
  <c r="FE47" i="31"/>
  <c r="FE46" i="31"/>
  <c r="FE45" i="31"/>
  <c r="FE44" i="31"/>
  <c r="FE43" i="31"/>
  <c r="FE41" i="31"/>
  <c r="FE40" i="31"/>
  <c r="FE39" i="31"/>
  <c r="FE38" i="31"/>
  <c r="FE37" i="31"/>
  <c r="FE36" i="31"/>
  <c r="FE35" i="31"/>
  <c r="FE34" i="31"/>
  <c r="FE33" i="31"/>
  <c r="FE32" i="31"/>
  <c r="FE31" i="31"/>
  <c r="FE30" i="31"/>
  <c r="FE29" i="31"/>
  <c r="FE27" i="31"/>
  <c r="FE26" i="31"/>
  <c r="FE24" i="31"/>
  <c r="FE23" i="31"/>
  <c r="FE22" i="31"/>
  <c r="FE21" i="31"/>
  <c r="FE20" i="31"/>
  <c r="FE19" i="31"/>
  <c r="FE18" i="31"/>
  <c r="FE17" i="31"/>
  <c r="FE16" i="31"/>
  <c r="FE15" i="31"/>
  <c r="FE14" i="31"/>
  <c r="FE13" i="31"/>
  <c r="FE12" i="31"/>
  <c r="FE11" i="31"/>
  <c r="FE10" i="31"/>
  <c r="FE9" i="31"/>
  <c r="FE7" i="31"/>
  <c r="FE6" i="31"/>
  <c r="FE5" i="31"/>
  <c r="FE4" i="31"/>
  <c r="FE3" i="31"/>
  <c r="CL70" i="31"/>
  <c r="CL69" i="31"/>
  <c r="CL68" i="31"/>
  <c r="CL67" i="31"/>
  <c r="CL66" i="31"/>
  <c r="CL65" i="31"/>
  <c r="CL64" i="31"/>
  <c r="CL63" i="31"/>
  <c r="CL62" i="31"/>
  <c r="CL61" i="31"/>
  <c r="CL60" i="31"/>
  <c r="CL59" i="31"/>
  <c r="CL58" i="31"/>
  <c r="CL57" i="31"/>
  <c r="CL56" i="31"/>
  <c r="CL55" i="31"/>
  <c r="CL54" i="31"/>
  <c r="CL53" i="31"/>
  <c r="CL52" i="31"/>
  <c r="CL51" i="31"/>
  <c r="CL50" i="31"/>
  <c r="CL49" i="31"/>
  <c r="CL48" i="31"/>
  <c r="CL47" i="31"/>
  <c r="CL46" i="31"/>
  <c r="CL45" i="31"/>
  <c r="CL44" i="31"/>
  <c r="CL43" i="31"/>
  <c r="CL41" i="31"/>
  <c r="CL40" i="31"/>
  <c r="CL39" i="31"/>
  <c r="CL38" i="31"/>
  <c r="CL37" i="31"/>
  <c r="CL36" i="31"/>
  <c r="CL35" i="31"/>
  <c r="CL34" i="31"/>
  <c r="CL33" i="31"/>
  <c r="CL32" i="31"/>
  <c r="CL31" i="31"/>
  <c r="CL30" i="31"/>
  <c r="CL29" i="31"/>
  <c r="CL27" i="31"/>
  <c r="CL26" i="31"/>
  <c r="CL24" i="31"/>
  <c r="CL23" i="31"/>
  <c r="CL22" i="31"/>
  <c r="CL21" i="31"/>
  <c r="CL20" i="31"/>
  <c r="CL19" i="31"/>
  <c r="CL18" i="31"/>
  <c r="CL17" i="31"/>
  <c r="CL16" i="31"/>
  <c r="CL15" i="31"/>
  <c r="CL14" i="31"/>
  <c r="CL13" i="31"/>
  <c r="CL12" i="31"/>
  <c r="CL11" i="31"/>
  <c r="CL10" i="31"/>
  <c r="CL9" i="31"/>
  <c r="CL7" i="31"/>
  <c r="CL6" i="31"/>
  <c r="CL5" i="31"/>
  <c r="CL4" i="31"/>
  <c r="CL3" i="31"/>
  <c r="CP11" i="30"/>
  <c r="CP10" i="30"/>
  <c r="CP9" i="30"/>
  <c r="CP5" i="30"/>
  <c r="CP4" i="30"/>
  <c r="CP3" i="30"/>
  <c r="DR11" i="30"/>
  <c r="DR10" i="30"/>
  <c r="DR9" i="30"/>
  <c r="DR5" i="30"/>
  <c r="DR4" i="30"/>
  <c r="DR3" i="30"/>
  <c r="EB14" i="29"/>
  <c r="EB13" i="29"/>
  <c r="EB12" i="29"/>
  <c r="EB11" i="29"/>
  <c r="EB10" i="29"/>
  <c r="EB9" i="29"/>
  <c r="EB8" i="29"/>
  <c r="EB7" i="29"/>
  <c r="EB5" i="29"/>
  <c r="EB4" i="29"/>
  <c r="EB3" i="29"/>
  <c r="BH4" i="27" l="1"/>
  <c r="AS4" i="27" s="1"/>
  <c r="BH10" i="27"/>
  <c r="BH19" i="27"/>
  <c r="AS19" i="27" s="1"/>
  <c r="BH13" i="27"/>
  <c r="BH3" i="27"/>
  <c r="BA4" i="30"/>
  <c r="AU4" i="30" s="1"/>
  <c r="AU12" i="30" s="1"/>
  <c r="BH13" i="30" s="1"/>
  <c r="AN9" i="30" s="1"/>
  <c r="AQ9" i="30" s="1"/>
  <c r="BB3" i="29"/>
  <c r="AS3" i="29" s="1"/>
  <c r="BB4" i="29"/>
  <c r="AS4" i="29" s="1"/>
  <c r="BB3" i="28"/>
  <c r="AY3" i="28" s="1"/>
  <c r="BB20" i="28"/>
  <c r="AY20" i="28" s="1"/>
  <c r="BB15" i="28"/>
  <c r="AY15" i="28" s="1"/>
  <c r="BB19" i="28"/>
  <c r="AY19" i="28" s="1"/>
  <c r="BB24" i="28"/>
  <c r="AY24" i="28" s="1"/>
  <c r="BB32" i="28"/>
  <c r="AY32" i="28" s="1"/>
  <c r="BB11" i="28"/>
  <c r="AY11" i="28" s="1"/>
  <c r="BB17" i="28"/>
  <c r="AY17" i="28" s="1"/>
  <c r="BB34" i="28"/>
  <c r="AY34" i="28" s="1"/>
  <c r="DT18" i="28"/>
  <c r="DT24" i="28"/>
  <c r="DT21" i="28"/>
  <c r="DT8" i="28"/>
  <c r="DT20" i="28"/>
  <c r="DT34" i="28"/>
  <c r="DT32" i="28"/>
  <c r="DT15" i="28"/>
  <c r="DT19" i="28"/>
  <c r="DT3" i="28"/>
  <c r="BC3" i="28"/>
  <c r="BE3" i="28" s="1"/>
  <c r="EB17" i="29"/>
  <c r="CU11" i="31"/>
  <c r="CU18" i="31"/>
  <c r="CU8" i="31"/>
  <c r="CU4" i="31"/>
  <c r="CU12" i="31"/>
  <c r="CU20" i="31"/>
  <c r="CU30" i="31"/>
  <c r="CU38" i="31"/>
  <c r="CU6" i="31"/>
  <c r="CU9" i="31"/>
  <c r="CU16" i="31"/>
  <c r="CU24" i="31"/>
  <c r="CU34" i="31"/>
  <c r="CU43" i="31"/>
  <c r="CU50" i="31"/>
  <c r="CU58" i="31"/>
  <c r="CU66" i="31"/>
  <c r="CU7" i="31"/>
  <c r="CU10" i="31"/>
  <c r="CU17" i="31"/>
  <c r="CU26" i="31"/>
  <c r="CU35" i="31"/>
  <c r="CU44" i="31"/>
  <c r="CU51" i="31"/>
  <c r="CU59" i="31"/>
  <c r="CU67" i="31"/>
  <c r="CU3" i="31"/>
  <c r="CU19" i="31"/>
  <c r="CU54" i="31"/>
  <c r="CU62" i="31"/>
  <c r="CU70" i="31"/>
  <c r="CU5" i="31"/>
  <c r="CU13" i="31"/>
  <c r="CU21" i="31"/>
  <c r="CU31" i="31"/>
  <c r="CU39" i="31"/>
  <c r="CU47" i="31"/>
  <c r="CU55" i="31"/>
  <c r="CU63" i="31"/>
  <c r="CU25" i="31"/>
  <c r="CU27" i="31"/>
  <c r="CU36" i="31"/>
  <c r="CU45" i="31"/>
  <c r="CU52" i="31"/>
  <c r="CU60" i="31"/>
  <c r="CU68" i="31"/>
  <c r="CU29" i="31"/>
  <c r="CU37" i="31"/>
  <c r="CU46" i="31"/>
  <c r="CU53" i="31"/>
  <c r="CU61" i="31"/>
  <c r="CU69" i="31"/>
  <c r="CU14" i="31"/>
  <c r="CU22" i="31"/>
  <c r="CU32" i="31"/>
  <c r="CU40" i="31"/>
  <c r="CU48" i="31"/>
  <c r="CU56" i="31"/>
  <c r="CU64" i="31"/>
  <c r="CU15" i="31"/>
  <c r="CU23" i="31"/>
  <c r="CU33" i="31"/>
  <c r="CU41" i="31"/>
  <c r="CU49" i="31"/>
  <c r="CU57" i="31"/>
  <c r="CU65" i="31"/>
  <c r="CU28" i="31"/>
  <c r="CP13" i="30"/>
  <c r="CL73" i="31"/>
  <c r="EB16" i="29"/>
  <c r="CP14" i="30"/>
  <c r="DR14" i="30"/>
  <c r="FE73" i="31"/>
  <c r="DR13" i="30"/>
  <c r="FE72" i="31"/>
  <c r="CL72" i="31"/>
  <c r="AN4" i="30" l="1"/>
  <c r="AQ4" i="30" s="1"/>
  <c r="AS15" i="29"/>
  <c r="BL15" i="29" s="1"/>
  <c r="AG9" i="29" s="1"/>
  <c r="AM9" i="29" s="1"/>
  <c r="AY41" i="28"/>
  <c r="BN17" i="27"/>
  <c r="BC8" i="28"/>
  <c r="BE8" i="28" s="1"/>
  <c r="BC32" i="28"/>
  <c r="BE32" i="28" s="1"/>
  <c r="BC18" i="28"/>
  <c r="BE18" i="28" s="1"/>
  <c r="BC21" i="28"/>
  <c r="BE21" i="28" s="1"/>
  <c r="BC34" i="28"/>
  <c r="BE34" i="28" s="1"/>
  <c r="BC24" i="28"/>
  <c r="BE24" i="28" s="1"/>
  <c r="BC19" i="28"/>
  <c r="BE19" i="28" s="1"/>
  <c r="BC20" i="28"/>
  <c r="BE20" i="28" s="1"/>
  <c r="BC15" i="28"/>
  <c r="BE15" i="28" s="1"/>
  <c r="ED13" i="29"/>
  <c r="DT10" i="30"/>
  <c r="CR10" i="30"/>
  <c r="CR4" i="30"/>
  <c r="DT9" i="30"/>
  <c r="FG55" i="31"/>
  <c r="FG53" i="31"/>
  <c r="FG54" i="31"/>
  <c r="FG37" i="31"/>
  <c r="FG19" i="31"/>
  <c r="ED11" i="29"/>
  <c r="ED10" i="29"/>
  <c r="DT11" i="30"/>
  <c r="ED9" i="29"/>
  <c r="ED12" i="29"/>
  <c r="ED8" i="29"/>
  <c r="CR11" i="30"/>
  <c r="FG67" i="31"/>
  <c r="DT5" i="30"/>
  <c r="FG51" i="31"/>
  <c r="ED3" i="29"/>
  <c r="ED14" i="29"/>
  <c r="ED4" i="29"/>
  <c r="ED7" i="29"/>
  <c r="CR3" i="30"/>
  <c r="ED5" i="29"/>
  <c r="CR5" i="30"/>
  <c r="CR9" i="30"/>
  <c r="FG3" i="31"/>
  <c r="FG39" i="31"/>
  <c r="FG26" i="31"/>
  <c r="FG52" i="31"/>
  <c r="DT4" i="30"/>
  <c r="FG11" i="31"/>
  <c r="FG22" i="31"/>
  <c r="FG21" i="31"/>
  <c r="FG69" i="31"/>
  <c r="FG4" i="31"/>
  <c r="FG18" i="31"/>
  <c r="FG47" i="31"/>
  <c r="FG29" i="31"/>
  <c r="FG20" i="31"/>
  <c r="FG31" i="31"/>
  <c r="FG12" i="31"/>
  <c r="FG44" i="31"/>
  <c r="FG45" i="31"/>
  <c r="FG14" i="31"/>
  <c r="FG13" i="31"/>
  <c r="FG61" i="31"/>
  <c r="DT3" i="30"/>
  <c r="FG68" i="31"/>
  <c r="FG59" i="31"/>
  <c r="FG36" i="31"/>
  <c r="FG6" i="31"/>
  <c r="FG70" i="31"/>
  <c r="FG5" i="31"/>
  <c r="FG64" i="31"/>
  <c r="FG56" i="31"/>
  <c r="FG48" i="31"/>
  <c r="FG40" i="31"/>
  <c r="FG32" i="31"/>
  <c r="FG23" i="31"/>
  <c r="FG15" i="31"/>
  <c r="FG7" i="31"/>
  <c r="FG57" i="31"/>
  <c r="FG16" i="31"/>
  <c r="FG33" i="31"/>
  <c r="FG17" i="31"/>
  <c r="FG24" i="31"/>
  <c r="FG66" i="31"/>
  <c r="FG58" i="31"/>
  <c r="FG50" i="31"/>
  <c r="FG43" i="31"/>
  <c r="FG34" i="31"/>
  <c r="FG10" i="31"/>
  <c r="FG65" i="31"/>
  <c r="FG41" i="31"/>
  <c r="FG49" i="31"/>
  <c r="FG9" i="31"/>
  <c r="FG35" i="31"/>
  <c r="FG38" i="31"/>
  <c r="FG60" i="31"/>
  <c r="FG30" i="31"/>
  <c r="FG27" i="31"/>
  <c r="FG63" i="31"/>
  <c r="FG62" i="31"/>
  <c r="FG46" i="31"/>
  <c r="CV14" i="31"/>
  <c r="EI14" i="31" s="1"/>
  <c r="CV37" i="31"/>
  <c r="EI37" i="31" s="1"/>
  <c r="CV60" i="31"/>
  <c r="EI60" i="31" s="1"/>
  <c r="CV54" i="31"/>
  <c r="EI54" i="31" s="1"/>
  <c r="CV48" i="31"/>
  <c r="EI48" i="31" s="1"/>
  <c r="CV36" i="31"/>
  <c r="EI36" i="31" s="1"/>
  <c r="CV23" i="31"/>
  <c r="EI23" i="31" s="1"/>
  <c r="CV5" i="31"/>
  <c r="EI5" i="31" s="1"/>
  <c r="CV61" i="31"/>
  <c r="EI61" i="31" s="1"/>
  <c r="CV55" i="31"/>
  <c r="EI55" i="31" s="1"/>
  <c r="CV49" i="31"/>
  <c r="EI49" i="31" s="1"/>
  <c r="CV44" i="31"/>
  <c r="EI44" i="31" s="1"/>
  <c r="CV31" i="31"/>
  <c r="EI31" i="31" s="1"/>
  <c r="CV24" i="31"/>
  <c r="EI24" i="31" s="1"/>
  <c r="CV18" i="31"/>
  <c r="EI18" i="31" s="1"/>
  <c r="CV12" i="31"/>
  <c r="EI12" i="31" s="1"/>
  <c r="CV6" i="31"/>
  <c r="EI6" i="31" s="1"/>
  <c r="CV66" i="31"/>
  <c r="EI66" i="31" s="1"/>
  <c r="CV43" i="31"/>
  <c r="EI43" i="31" s="1"/>
  <c r="CV30" i="31"/>
  <c r="EI30" i="31" s="1"/>
  <c r="CV17" i="31"/>
  <c r="EI17" i="31" s="1"/>
  <c r="CV67" i="31"/>
  <c r="EI67" i="31" s="1"/>
  <c r="CV22" i="31"/>
  <c r="EI22" i="31" s="1"/>
  <c r="CV16" i="31"/>
  <c r="EI16" i="31" s="1"/>
  <c r="CV11" i="31"/>
  <c r="EI11" i="31" s="1"/>
  <c r="CV4" i="31"/>
  <c r="EI4" i="31" s="1"/>
  <c r="CV21" i="31"/>
  <c r="EI21" i="31" s="1"/>
  <c r="CV15" i="31"/>
  <c r="EI15" i="31" s="1"/>
  <c r="CV10" i="31"/>
  <c r="EI10" i="31" s="1"/>
  <c r="CV3" i="31"/>
  <c r="EI3" i="31" s="1"/>
  <c r="CV20" i="31"/>
  <c r="EI20" i="31" s="1"/>
  <c r="CV9" i="31"/>
  <c r="EI9" i="31" s="1"/>
  <c r="CV68" i="31"/>
  <c r="EI68" i="31" s="1"/>
  <c r="CV62" i="31"/>
  <c r="EI62" i="31" s="1"/>
  <c r="CV56" i="31"/>
  <c r="EI56" i="31" s="1"/>
  <c r="CV50" i="31"/>
  <c r="EI50" i="31" s="1"/>
  <c r="CV45" i="31"/>
  <c r="EI45" i="31" s="1"/>
  <c r="CV38" i="31"/>
  <c r="EI38" i="31" s="1"/>
  <c r="CV32" i="31"/>
  <c r="EI32" i="31" s="1"/>
  <c r="CV19" i="31"/>
  <c r="EI19" i="31" s="1"/>
  <c r="CV13" i="31"/>
  <c r="EI13" i="31" s="1"/>
  <c r="CV7" i="31"/>
  <c r="EI7" i="31" s="1"/>
  <c r="CV35" i="31"/>
  <c r="EI35" i="31" s="1"/>
  <c r="CV57" i="31"/>
  <c r="EI57" i="31" s="1"/>
  <c r="CV65" i="31"/>
  <c r="EI65" i="31" s="1"/>
  <c r="CV29" i="31"/>
  <c r="EI29" i="31" s="1"/>
  <c r="CV40" i="31"/>
  <c r="EI40" i="31" s="1"/>
  <c r="CV51" i="31"/>
  <c r="EI51" i="31" s="1"/>
  <c r="CV59" i="31"/>
  <c r="EI59" i="31" s="1"/>
  <c r="CV70" i="31"/>
  <c r="EI70" i="31" s="1"/>
  <c r="CV34" i="31"/>
  <c r="EI34" i="31" s="1"/>
  <c r="CV46" i="31"/>
  <c r="EI46" i="31" s="1"/>
  <c r="CV53" i="31"/>
  <c r="EI53" i="31" s="1"/>
  <c r="CV64" i="31"/>
  <c r="EI64" i="31" s="1"/>
  <c r="CV27" i="31"/>
  <c r="EI27" i="31" s="1"/>
  <c r="CV39" i="31"/>
  <c r="EI39" i="31" s="1"/>
  <c r="CV47" i="31"/>
  <c r="EI47" i="31" s="1"/>
  <c r="CV58" i="31"/>
  <c r="EI58" i="31" s="1"/>
  <c r="CV69" i="31"/>
  <c r="EI69" i="31" s="1"/>
  <c r="CV33" i="31"/>
  <c r="EI33" i="31" s="1"/>
  <c r="CV26" i="31"/>
  <c r="EI26" i="31" s="1"/>
  <c r="CV41" i="31"/>
  <c r="EI41" i="31" s="1"/>
  <c r="CV52" i="31"/>
  <c r="EI52" i="31" s="1"/>
  <c r="CV63" i="31"/>
  <c r="EI63" i="31" s="1"/>
  <c r="AS3" i="27" l="1"/>
  <c r="AN13" i="30"/>
  <c r="AG3" i="29"/>
  <c r="AG4" i="29"/>
  <c r="BE41" i="28"/>
  <c r="AP3" i="28" s="1"/>
  <c r="AO3" i="28" s="1"/>
  <c r="AD70" i="31"/>
  <c r="AD58" i="31"/>
  <c r="AD59" i="31"/>
  <c r="AD49" i="31"/>
  <c r="AD54" i="31"/>
  <c r="AD22" i="31"/>
  <c r="X3" i="30"/>
  <c r="X10" i="30"/>
  <c r="X11" i="30"/>
  <c r="X5" i="30"/>
  <c r="X4" i="30"/>
  <c r="X9" i="30"/>
  <c r="AD53" i="31"/>
  <c r="AD26" i="31"/>
  <c r="AD18" i="31"/>
  <c r="AD15" i="31"/>
  <c r="AD52" i="31"/>
  <c r="AD35" i="31"/>
  <c r="AD67" i="31"/>
  <c r="AD33" i="31"/>
  <c r="AD7" i="31"/>
  <c r="AD47" i="31"/>
  <c r="AD29" i="31"/>
  <c r="AD20" i="31"/>
  <c r="AD46" i="31"/>
  <c r="AD45" i="31"/>
  <c r="AD36" i="31"/>
  <c r="AD34" i="31"/>
  <c r="AD66" i="31"/>
  <c r="AD55" i="31"/>
  <c r="AD48" i="31"/>
  <c r="AD16" i="31"/>
  <c r="AD12" i="31"/>
  <c r="AD23" i="31"/>
  <c r="AD5" i="31"/>
  <c r="AD50" i="31"/>
  <c r="AD31" i="31"/>
  <c r="AD51" i="31"/>
  <c r="AD62" i="31"/>
  <c r="AD4" i="31"/>
  <c r="AD41" i="31"/>
  <c r="AD6" i="31"/>
  <c r="AD61" i="31"/>
  <c r="AD60" i="31"/>
  <c r="AD37" i="31"/>
  <c r="AD64" i="31"/>
  <c r="AD9" i="31"/>
  <c r="AD14" i="31"/>
  <c r="AD57" i="31"/>
  <c r="AD38" i="31"/>
  <c r="AD3" i="31"/>
  <c r="AD32" i="31"/>
  <c r="AD69" i="31"/>
  <c r="AD17" i="31"/>
  <c r="AD56" i="31"/>
  <c r="AD21" i="31"/>
  <c r="AD30" i="31"/>
  <c r="AD44" i="31"/>
  <c r="AD39" i="31"/>
  <c r="AD13" i="31"/>
  <c r="AD43" i="31"/>
  <c r="AD65" i="31"/>
  <c r="AD10" i="31"/>
  <c r="AD24" i="31"/>
  <c r="AD63" i="31"/>
  <c r="AD27" i="31"/>
  <c r="AD40" i="31"/>
  <c r="AD19" i="31"/>
  <c r="AD68" i="31"/>
  <c r="AD11" i="31"/>
  <c r="AL4" i="28"/>
  <c r="AS24" i="27" l="1"/>
  <c r="AS25" i="27" s="1"/>
  <c r="AG15" i="29"/>
  <c r="BC9" i="30"/>
  <c r="AP18" i="28"/>
  <c r="AO18" i="28" s="1"/>
  <c r="AP24" i="28"/>
  <c r="AO24" i="28" s="1"/>
  <c r="AP21" i="28"/>
  <c r="AO21" i="28" s="1"/>
  <c r="AP34" i="28"/>
  <c r="AO34" i="28" s="1"/>
  <c r="AP19" i="28"/>
  <c r="AO19" i="28" s="1"/>
  <c r="AP20" i="28"/>
  <c r="AO20" i="28" s="1"/>
  <c r="AP15" i="28"/>
  <c r="AO15" i="28" s="1"/>
  <c r="AP8" i="28"/>
  <c r="AP32" i="28"/>
  <c r="AO32" i="28" s="1"/>
  <c r="DP40" i="28"/>
  <c r="DP39" i="28"/>
  <c r="DP38" i="28"/>
  <c r="DP37" i="28"/>
  <c r="DP36" i="28"/>
  <c r="DP35" i="28"/>
  <c r="DP34" i="28"/>
  <c r="DP33" i="28"/>
  <c r="DP32" i="28"/>
  <c r="DP31" i="28"/>
  <c r="DP30" i="28"/>
  <c r="DP29" i="28"/>
  <c r="DP28" i="28"/>
  <c r="DP27" i="28"/>
  <c r="DP26" i="28"/>
  <c r="DP24" i="28"/>
  <c r="DP23" i="28"/>
  <c r="DP22" i="28"/>
  <c r="DP21" i="28"/>
  <c r="DP20" i="28"/>
  <c r="DP19" i="28"/>
  <c r="DP18" i="28"/>
  <c r="DP17" i="28"/>
  <c r="DP16" i="28"/>
  <c r="DP15" i="28"/>
  <c r="DP14" i="28"/>
  <c r="DP13" i="28"/>
  <c r="DP12" i="28"/>
  <c r="DP11" i="28"/>
  <c r="DP10" i="28"/>
  <c r="DP9" i="28"/>
  <c r="DP7" i="28"/>
  <c r="DP6" i="28"/>
  <c r="DP4" i="28"/>
  <c r="DP3" i="28"/>
  <c r="AP41" i="28" l="1"/>
  <c r="AO8" i="28"/>
  <c r="AO41" i="28" s="1"/>
  <c r="BC4" i="30"/>
  <c r="DP43" i="28"/>
  <c r="DP42" i="28"/>
  <c r="ED22" i="27"/>
  <c r="ED21" i="27"/>
  <c r="ED20" i="27"/>
  <c r="ED19" i="27"/>
  <c r="ED17" i="27"/>
  <c r="ED16" i="27"/>
  <c r="ED15" i="27"/>
  <c r="ED14" i="27"/>
  <c r="ED13" i="27"/>
  <c r="ED12" i="27"/>
  <c r="ED11" i="27"/>
  <c r="ED10" i="27"/>
  <c r="ED9" i="27"/>
  <c r="ED8" i="27"/>
  <c r="ED7" i="27"/>
  <c r="ED5" i="27"/>
  <c r="ED4" i="27"/>
  <c r="ED3" i="27"/>
  <c r="CE22" i="27"/>
  <c r="CE21" i="27"/>
  <c r="CE20" i="27"/>
  <c r="CE19" i="27"/>
  <c r="CE17" i="27"/>
  <c r="CE16" i="27"/>
  <c r="CE15" i="27"/>
  <c r="CE14" i="27"/>
  <c r="CE13" i="27"/>
  <c r="CE12" i="27"/>
  <c r="CE11" i="27"/>
  <c r="CE10" i="27"/>
  <c r="CE9" i="27"/>
  <c r="CE8" i="27"/>
  <c r="CE7" i="27"/>
  <c r="CE5" i="27"/>
  <c r="CE4" i="27"/>
  <c r="CE3" i="27"/>
  <c r="DR3" i="28" l="1"/>
  <c r="AB3" i="28" s="1"/>
  <c r="DR6" i="28"/>
  <c r="AB6" i="28" s="1"/>
  <c r="DR9" i="28"/>
  <c r="AB9" i="28" s="1"/>
  <c r="DR34" i="28"/>
  <c r="AB34" i="28" s="1"/>
  <c r="DR38" i="28"/>
  <c r="AB38" i="28" s="1"/>
  <c r="DR29" i="28"/>
  <c r="AB29" i="28" s="1"/>
  <c r="DR37" i="28"/>
  <c r="AB37" i="28" s="1"/>
  <c r="DR28" i="28"/>
  <c r="AB28" i="28" s="1"/>
  <c r="DR17" i="28"/>
  <c r="AB17" i="28" s="1"/>
  <c r="DR13" i="28"/>
  <c r="AB13" i="28" s="1"/>
  <c r="DR31" i="28"/>
  <c r="AB31" i="28" s="1"/>
  <c r="DR26" i="28"/>
  <c r="AB26" i="28" s="1"/>
  <c r="DR7" i="28"/>
  <c r="AB7" i="28" s="1"/>
  <c r="DR23" i="28"/>
  <c r="AB23" i="28" s="1"/>
  <c r="DR35" i="28"/>
  <c r="AB35" i="28" s="1"/>
  <c r="DR20" i="28"/>
  <c r="AB20" i="28" s="1"/>
  <c r="DR11" i="28"/>
  <c r="AB11" i="28" s="1"/>
  <c r="DR14" i="28"/>
  <c r="AB14" i="28" s="1"/>
  <c r="DR40" i="28"/>
  <c r="AB40" i="28" s="1"/>
  <c r="DR16" i="28"/>
  <c r="AB16" i="28" s="1"/>
  <c r="DR33" i="28"/>
  <c r="AB33" i="28" s="1"/>
  <c r="DR24" i="28"/>
  <c r="AB24" i="28" s="1"/>
  <c r="DR10" i="28"/>
  <c r="AB10" i="28" s="1"/>
  <c r="DR39" i="28"/>
  <c r="AB39" i="28" s="1"/>
  <c r="DR30" i="28"/>
  <c r="AB30" i="28" s="1"/>
  <c r="DR19" i="28"/>
  <c r="AB19" i="28" s="1"/>
  <c r="DR21" i="28"/>
  <c r="AB21" i="28" s="1"/>
  <c r="DR4" i="28"/>
  <c r="AB4" i="28" s="1"/>
  <c r="DR22" i="28"/>
  <c r="AB22" i="28" s="1"/>
  <c r="DR32" i="28"/>
  <c r="AB32" i="28" s="1"/>
  <c r="DR27" i="28"/>
  <c r="AB27" i="28" s="1"/>
  <c r="DR36" i="28"/>
  <c r="AB36" i="28" s="1"/>
  <c r="DR12" i="28"/>
  <c r="AB12" i="28" s="1"/>
  <c r="DR8" i="28"/>
  <c r="AB8" i="28" s="1"/>
  <c r="DR15" i="28"/>
  <c r="AB15" i="28" s="1"/>
  <c r="DR18" i="28"/>
  <c r="AB18" i="28" s="1"/>
  <c r="ED25" i="27"/>
  <c r="ED26" i="27"/>
  <c r="CE26" i="27"/>
  <c r="CE25" i="27"/>
  <c r="EK71" i="31"/>
  <c r="CT12" i="30"/>
  <c r="DD15" i="29"/>
  <c r="CX41" i="28"/>
  <c r="CJ24" i="27"/>
  <c r="AS3" i="28" l="1"/>
  <c r="EG19" i="27"/>
  <c r="EG13" i="27"/>
  <c r="EG11" i="27"/>
  <c r="EG17" i="27"/>
  <c r="EG10" i="27"/>
  <c r="EG4" i="27"/>
  <c r="EG16" i="27"/>
  <c r="EG7" i="27"/>
  <c r="EG20" i="27"/>
  <c r="EG8" i="27"/>
  <c r="EG14" i="27"/>
  <c r="EG9" i="27"/>
  <c r="EG21" i="27"/>
  <c r="EG12" i="27"/>
  <c r="EG3" i="27"/>
  <c r="EG15" i="27"/>
  <c r="EG5" i="27"/>
  <c r="EG22" i="27"/>
  <c r="CH7" i="27"/>
  <c r="CH20" i="27"/>
  <c r="CH19" i="27"/>
  <c r="CH14" i="27"/>
  <c r="CH11" i="27"/>
  <c r="CH8" i="27"/>
  <c r="CH16" i="27"/>
  <c r="CH13" i="27"/>
  <c r="CH22" i="27"/>
  <c r="CH3" i="27"/>
  <c r="CH17" i="27"/>
  <c r="CH10" i="27"/>
  <c r="CH4" i="27"/>
  <c r="CH21" i="27"/>
  <c r="CH12" i="27"/>
  <c r="CH15" i="27"/>
  <c r="CH5" i="27"/>
  <c r="CH9" i="27"/>
  <c r="AA16" i="27" l="1"/>
  <c r="AA12" i="27"/>
  <c r="AA20" i="27"/>
  <c r="AA5" i="27"/>
  <c r="AA22" i="27"/>
  <c r="AA14" i="27"/>
  <c r="AA21" i="27"/>
  <c r="AA15" i="27"/>
  <c r="AA4" i="27"/>
  <c r="AA10" i="27"/>
  <c r="AA13" i="27"/>
  <c r="AA19" i="27"/>
  <c r="AA17" i="27"/>
  <c r="AA3" i="27"/>
  <c r="AA8" i="27"/>
  <c r="AA7" i="27"/>
  <c r="AA9" i="27"/>
  <c r="AA11" i="27"/>
  <c r="CZ14" i="29"/>
  <c r="CZ13" i="29"/>
  <c r="CZ12" i="29"/>
  <c r="CZ11" i="29"/>
  <c r="CZ10" i="29"/>
  <c r="CZ9" i="29"/>
  <c r="CZ8" i="29"/>
  <c r="CZ7" i="29"/>
  <c r="CZ5" i="29"/>
  <c r="CZ4" i="29"/>
  <c r="CZ3" i="29"/>
  <c r="CZ17" i="29" l="1"/>
  <c r="CZ18" i="29"/>
  <c r="DB10" i="29" l="1"/>
  <c r="X10" i="29" s="1"/>
  <c r="DB4" i="29"/>
  <c r="X4" i="29" s="1"/>
  <c r="DB14" i="29"/>
  <c r="X14" i="29" s="1"/>
  <c r="DB11" i="29"/>
  <c r="X11" i="29" s="1"/>
  <c r="DB9" i="29"/>
  <c r="DB8" i="29"/>
  <c r="DB12" i="29"/>
  <c r="DB7" i="29"/>
  <c r="DB5" i="29"/>
  <c r="DB3" i="29"/>
  <c r="DB13" i="29"/>
  <c r="BM71" i="31"/>
  <c r="BN64" i="31"/>
  <c r="BN63" i="31"/>
  <c r="BN62" i="31"/>
  <c r="BN61" i="31"/>
  <c r="BN60" i="31"/>
  <c r="BN59" i="31"/>
  <c r="BN58" i="31"/>
  <c r="BN57" i="31"/>
  <c r="BN56" i="31"/>
  <c r="BN55" i="31"/>
  <c r="BN54" i="31"/>
  <c r="BN53" i="31"/>
  <c r="BN52" i="31"/>
  <c r="BN51" i="31"/>
  <c r="BN50" i="31"/>
  <c r="BN49" i="31"/>
  <c r="BN48" i="31"/>
  <c r="BN47" i="31"/>
  <c r="BN46" i="31"/>
  <c r="BN45" i="31"/>
  <c r="BN44" i="31"/>
  <c r="BN43" i="31"/>
  <c r="BN41" i="31"/>
  <c r="BN40" i="31"/>
  <c r="BN39" i="31"/>
  <c r="BN38" i="31"/>
  <c r="BN37" i="31"/>
  <c r="BN36" i="31"/>
  <c r="BN35" i="31"/>
  <c r="BN34" i="31"/>
  <c r="BN33" i="31"/>
  <c r="BN32" i="31"/>
  <c r="BN31" i="31"/>
  <c r="BN30" i="31"/>
  <c r="BN29" i="31"/>
  <c r="BN27" i="31"/>
  <c r="BN26" i="31"/>
  <c r="BN24" i="31"/>
  <c r="BN23" i="31"/>
  <c r="BN22" i="31"/>
  <c r="BN21" i="31"/>
  <c r="BN20" i="31"/>
  <c r="BN19" i="31"/>
  <c r="BN18" i="31"/>
  <c r="BN17" i="31"/>
  <c r="BN16" i="31"/>
  <c r="BN15" i="31"/>
  <c r="BN14" i="31"/>
  <c r="BN13" i="31"/>
  <c r="BN12" i="31"/>
  <c r="BN11" i="31"/>
  <c r="BN10" i="31"/>
  <c r="BN9" i="31"/>
  <c r="BN7" i="31"/>
  <c r="BN6" i="31"/>
  <c r="BN5" i="31"/>
  <c r="BN4" i="31"/>
  <c r="BN3" i="31"/>
  <c r="BL12" i="30"/>
  <c r="BM11" i="30"/>
  <c r="BM10" i="30"/>
  <c r="BM9" i="30"/>
  <c r="BM5" i="30"/>
  <c r="BM4" i="30"/>
  <c r="BM3" i="30"/>
  <c r="BQ15" i="29"/>
  <c r="BR14" i="29"/>
  <c r="BR13" i="29"/>
  <c r="BR12" i="29"/>
  <c r="BR11" i="29"/>
  <c r="BR10" i="29"/>
  <c r="BR9" i="29"/>
  <c r="BR8" i="29"/>
  <c r="BR7" i="29"/>
  <c r="BR5" i="29"/>
  <c r="BR4" i="29"/>
  <c r="BR3" i="29"/>
  <c r="U4" i="29" l="1"/>
  <c r="U10" i="29"/>
  <c r="U11" i="29"/>
  <c r="U14" i="29"/>
  <c r="X12" i="29"/>
  <c r="U12" i="29"/>
  <c r="X13" i="29"/>
  <c r="U13" i="29"/>
  <c r="X8" i="29"/>
  <c r="U8" i="29"/>
  <c r="X3" i="29"/>
  <c r="U3" i="29"/>
  <c r="X9" i="29"/>
  <c r="U9" i="29"/>
  <c r="X5" i="29"/>
  <c r="U5" i="29"/>
  <c r="U7" i="29"/>
  <c r="X7" i="29"/>
  <c r="DS40" i="28"/>
  <c r="DS39" i="28"/>
  <c r="DS38" i="28"/>
  <c r="DS37" i="28"/>
  <c r="DS36" i="28"/>
  <c r="DS35" i="28"/>
  <c r="DS34" i="28"/>
  <c r="DS33" i="28"/>
  <c r="DS32" i="28"/>
  <c r="DS31" i="28"/>
  <c r="DS30" i="28"/>
  <c r="DS29" i="28"/>
  <c r="DS28" i="28"/>
  <c r="DS27" i="28"/>
  <c r="DS26" i="28"/>
  <c r="DS24" i="28"/>
  <c r="DS23" i="28"/>
  <c r="DS22" i="28"/>
  <c r="DS21" i="28"/>
  <c r="DS20" i="28"/>
  <c r="DS19" i="28"/>
  <c r="DS18" i="28"/>
  <c r="DS17" i="28"/>
  <c r="DS16" i="28"/>
  <c r="DS15" i="28"/>
  <c r="DS14" i="28"/>
  <c r="DS13" i="28"/>
  <c r="DS12" i="28"/>
  <c r="DS11" i="28"/>
  <c r="DS10" i="28"/>
  <c r="DS9" i="28"/>
  <c r="DS8" i="28"/>
  <c r="DS7" i="28"/>
  <c r="DS6" i="28"/>
  <c r="DS4" i="28"/>
  <c r="DS3" i="28"/>
  <c r="BK41" i="28"/>
  <c r="BL40" i="28"/>
  <c r="BL39" i="28"/>
  <c r="BL38" i="28"/>
  <c r="BL37" i="28"/>
  <c r="BL36" i="28"/>
  <c r="BL35" i="28"/>
  <c r="BL34" i="28"/>
  <c r="BL33" i="28"/>
  <c r="BL32" i="28"/>
  <c r="BL31" i="28"/>
  <c r="BL30" i="28"/>
  <c r="BL29" i="28"/>
  <c r="BL28" i="28"/>
  <c r="BL27" i="28"/>
  <c r="BL26" i="28"/>
  <c r="BL24" i="28"/>
  <c r="BL23" i="28"/>
  <c r="BL22" i="28"/>
  <c r="BL21" i="28"/>
  <c r="BL20" i="28"/>
  <c r="BL19" i="28"/>
  <c r="BL18" i="28"/>
  <c r="BL17" i="28"/>
  <c r="BL16" i="28"/>
  <c r="BL15" i="28"/>
  <c r="BL14" i="28"/>
  <c r="BL13" i="28"/>
  <c r="BL12" i="28"/>
  <c r="BL11" i="28"/>
  <c r="BL10" i="28"/>
  <c r="BL9" i="28"/>
  <c r="BL8" i="28"/>
  <c r="BL7" i="28"/>
  <c r="BL6" i="28"/>
  <c r="BL4" i="28"/>
  <c r="BL3" i="28"/>
  <c r="BR24" i="27"/>
  <c r="BS22" i="27"/>
  <c r="BS21" i="27"/>
  <c r="BS20" i="27"/>
  <c r="BS19" i="27"/>
  <c r="BS17" i="27"/>
  <c r="BS16" i="27"/>
  <c r="BS15" i="27"/>
  <c r="BS14" i="27"/>
  <c r="BS13" i="27"/>
  <c r="BS12" i="27"/>
  <c r="BS11" i="27"/>
  <c r="BS10" i="27"/>
  <c r="BS9" i="27"/>
  <c r="BS8" i="27"/>
  <c r="BS7" i="27"/>
  <c r="BS5" i="27"/>
  <c r="BS4" i="27"/>
  <c r="BS3" i="27"/>
  <c r="BO2" i="29" l="1"/>
  <c r="BN2" i="29"/>
  <c r="BL41" i="28"/>
  <c r="CW71" i="31"/>
  <c r="EF70" i="31"/>
  <c r="EF69" i="31"/>
  <c r="EF68" i="31"/>
  <c r="EF67" i="31"/>
  <c r="EF66" i="31"/>
  <c r="EF65" i="31"/>
  <c r="EF64" i="31"/>
  <c r="EF63" i="31"/>
  <c r="EF62" i="31"/>
  <c r="EF61" i="31"/>
  <c r="EF60" i="31"/>
  <c r="EF59" i="31"/>
  <c r="EF58" i="31"/>
  <c r="EF57" i="31"/>
  <c r="EF56" i="31"/>
  <c r="EF55" i="31"/>
  <c r="EF54" i="31"/>
  <c r="EF53" i="31"/>
  <c r="EF52" i="31"/>
  <c r="EF51" i="31"/>
  <c r="EF50" i="31"/>
  <c r="EF49" i="31"/>
  <c r="EF48" i="31"/>
  <c r="EF47" i="31"/>
  <c r="EF46" i="31"/>
  <c r="EF45" i="31"/>
  <c r="EF44" i="31"/>
  <c r="EF43" i="31"/>
  <c r="EF41" i="31"/>
  <c r="EF40" i="31"/>
  <c r="EF39" i="31"/>
  <c r="EF38" i="31"/>
  <c r="EF37" i="31"/>
  <c r="EF36" i="31"/>
  <c r="EF35" i="31"/>
  <c r="EF34" i="31"/>
  <c r="EF33" i="31"/>
  <c r="EF32" i="31"/>
  <c r="EF31" i="31"/>
  <c r="EF30" i="31"/>
  <c r="EF29" i="31"/>
  <c r="EF27" i="31"/>
  <c r="EF26" i="31"/>
  <c r="EF24" i="31"/>
  <c r="EF23" i="31"/>
  <c r="EF22" i="31"/>
  <c r="EF21" i="31"/>
  <c r="EF20" i="31"/>
  <c r="EF19" i="31"/>
  <c r="EF18" i="31"/>
  <c r="EF17" i="31"/>
  <c r="EF16" i="31"/>
  <c r="EF15" i="31"/>
  <c r="EF14" i="31"/>
  <c r="EF13" i="31"/>
  <c r="EF12" i="31"/>
  <c r="EF11" i="31"/>
  <c r="EF10" i="31"/>
  <c r="EF9" i="31"/>
  <c r="EF7" i="31"/>
  <c r="EF6" i="31"/>
  <c r="EF5" i="31"/>
  <c r="EF4" i="31"/>
  <c r="EF3" i="31"/>
  <c r="FD70" i="31"/>
  <c r="FD69" i="31"/>
  <c r="FD68" i="31"/>
  <c r="FD67" i="31"/>
  <c r="FD66" i="31"/>
  <c r="FD65" i="31"/>
  <c r="FD64" i="31"/>
  <c r="FD63" i="31"/>
  <c r="FD62" i="31"/>
  <c r="FD61" i="31"/>
  <c r="FD60" i="31"/>
  <c r="FD59" i="31"/>
  <c r="FD58" i="31"/>
  <c r="FD57" i="31"/>
  <c r="FD56" i="31"/>
  <c r="FD55" i="31"/>
  <c r="FD54" i="31"/>
  <c r="FD53" i="31"/>
  <c r="FD52" i="31"/>
  <c r="FD51" i="31"/>
  <c r="FD50" i="31"/>
  <c r="FD49" i="31"/>
  <c r="FD48" i="31"/>
  <c r="FD47" i="31"/>
  <c r="FD46" i="31"/>
  <c r="FD45" i="31"/>
  <c r="FD44" i="31"/>
  <c r="FD43" i="31"/>
  <c r="FD41" i="31"/>
  <c r="FD40" i="31"/>
  <c r="FD39" i="31"/>
  <c r="FD38" i="31"/>
  <c r="FD37" i="31"/>
  <c r="FD36" i="31"/>
  <c r="FD35" i="31"/>
  <c r="FD34" i="31"/>
  <c r="FD33" i="31"/>
  <c r="FD32" i="31"/>
  <c r="FD31" i="31"/>
  <c r="FD30" i="31"/>
  <c r="FD29" i="31"/>
  <c r="FD27" i="31"/>
  <c r="FD26" i="31"/>
  <c r="FD24" i="31"/>
  <c r="FD23" i="31"/>
  <c r="FD22" i="31"/>
  <c r="FD21" i="31"/>
  <c r="FD20" i="31"/>
  <c r="FD19" i="31"/>
  <c r="FD18" i="31"/>
  <c r="FD17" i="31"/>
  <c r="FD16" i="31"/>
  <c r="FD15" i="31"/>
  <c r="FD14" i="31"/>
  <c r="FD13" i="31"/>
  <c r="FD12" i="31"/>
  <c r="FD11" i="31"/>
  <c r="FD10" i="31"/>
  <c r="FD9" i="31"/>
  <c r="FD7" i="31"/>
  <c r="FD6" i="31"/>
  <c r="FD5" i="31"/>
  <c r="FD4" i="31"/>
  <c r="FD3" i="31"/>
  <c r="EJ71" i="31"/>
  <c r="BR70" i="31"/>
  <c r="BR69" i="31"/>
  <c r="BR68" i="31"/>
  <c r="BR67" i="31"/>
  <c r="BR66" i="31"/>
  <c r="BR65" i="31"/>
  <c r="BR64" i="31"/>
  <c r="BR63" i="31"/>
  <c r="BR62" i="31"/>
  <c r="BR61" i="31"/>
  <c r="BR60" i="31"/>
  <c r="BR59" i="31"/>
  <c r="BR58" i="31"/>
  <c r="BR57" i="31"/>
  <c r="BR56" i="31"/>
  <c r="BR55" i="31"/>
  <c r="BR54" i="31"/>
  <c r="BR53" i="31"/>
  <c r="BR52" i="31"/>
  <c r="BR51" i="31"/>
  <c r="BR50" i="31"/>
  <c r="BR49" i="31"/>
  <c r="BR48" i="31"/>
  <c r="BR47" i="31"/>
  <c r="BR46" i="31"/>
  <c r="BR45" i="31"/>
  <c r="BR44" i="31"/>
  <c r="BR43" i="31"/>
  <c r="BR41" i="31"/>
  <c r="BR40" i="31"/>
  <c r="BR39" i="31"/>
  <c r="BR38" i="31"/>
  <c r="BR37" i="31"/>
  <c r="BR36" i="31"/>
  <c r="BR35" i="31"/>
  <c r="BR34" i="31"/>
  <c r="BR33" i="31"/>
  <c r="BR32" i="31"/>
  <c r="BR31" i="31"/>
  <c r="BR30" i="31"/>
  <c r="BR29" i="31"/>
  <c r="BR27" i="31"/>
  <c r="BR26" i="31"/>
  <c r="BR24" i="31"/>
  <c r="BR23" i="31"/>
  <c r="BR22" i="31"/>
  <c r="BR21" i="31"/>
  <c r="BR20" i="31"/>
  <c r="BR19" i="31"/>
  <c r="BR18" i="31"/>
  <c r="BR17" i="31"/>
  <c r="BR16" i="31"/>
  <c r="BR15" i="31"/>
  <c r="BR14" i="31"/>
  <c r="BR13" i="31"/>
  <c r="BR12" i="31"/>
  <c r="BR11" i="31"/>
  <c r="BR10" i="31"/>
  <c r="BR9" i="31"/>
  <c r="BR7" i="31"/>
  <c r="BR6" i="31"/>
  <c r="BR5" i="31"/>
  <c r="BR4" i="31"/>
  <c r="BR3" i="31"/>
  <c r="BL71" i="31"/>
  <c r="CS12" i="30"/>
  <c r="DQ11" i="30"/>
  <c r="DQ10" i="30"/>
  <c r="DQ9" i="30"/>
  <c r="DQ5" i="30"/>
  <c r="DQ4" i="30"/>
  <c r="DQ3" i="30"/>
  <c r="BK12" i="30"/>
  <c r="BL13" i="30" s="1"/>
  <c r="CO11" i="30"/>
  <c r="CO10" i="30"/>
  <c r="CO9" i="30"/>
  <c r="CO5" i="30"/>
  <c r="CO4" i="30"/>
  <c r="CO3" i="30"/>
  <c r="DC15" i="29"/>
  <c r="BP15" i="29"/>
  <c r="BQ16" i="29" s="1"/>
  <c r="EA14" i="29"/>
  <c r="EA13" i="29"/>
  <c r="EA12" i="29"/>
  <c r="EA11" i="29"/>
  <c r="EA10" i="29"/>
  <c r="EA9" i="29"/>
  <c r="EA8" i="29"/>
  <c r="EA7" i="29"/>
  <c r="EA5" i="29"/>
  <c r="EA4" i="29"/>
  <c r="EA3" i="29"/>
  <c r="CY14" i="29"/>
  <c r="CY13" i="29"/>
  <c r="CY12" i="29"/>
  <c r="CY11" i="29"/>
  <c r="CY10" i="29"/>
  <c r="CY9" i="29"/>
  <c r="CY8" i="29"/>
  <c r="CY7" i="29"/>
  <c r="CY5" i="29"/>
  <c r="CY4" i="29"/>
  <c r="CY3" i="29"/>
  <c r="DO40" i="28"/>
  <c r="DO39" i="28"/>
  <c r="DO38" i="28"/>
  <c r="DO37" i="28"/>
  <c r="DO36" i="28"/>
  <c r="DO35" i="28"/>
  <c r="DO34" i="28"/>
  <c r="DO33" i="28"/>
  <c r="DO32" i="28"/>
  <c r="DO31" i="28"/>
  <c r="DO30" i="28"/>
  <c r="DO29" i="28"/>
  <c r="DO28" i="28"/>
  <c r="DO27" i="28"/>
  <c r="DO26" i="28"/>
  <c r="DO24" i="28"/>
  <c r="DO23" i="28"/>
  <c r="DO22" i="28"/>
  <c r="DO21" i="28"/>
  <c r="DO20" i="28"/>
  <c r="DO19" i="28"/>
  <c r="DO18" i="28"/>
  <c r="DO17" i="28"/>
  <c r="DO16" i="28"/>
  <c r="DO15" i="28"/>
  <c r="DO14" i="28"/>
  <c r="DO13" i="28"/>
  <c r="DO12" i="28"/>
  <c r="DO11" i="28"/>
  <c r="DO10" i="28"/>
  <c r="DO9" i="28"/>
  <c r="DO8" i="28"/>
  <c r="DO7" i="28"/>
  <c r="DO6" i="28"/>
  <c r="DO4" i="28"/>
  <c r="DO3" i="28"/>
  <c r="CS40" i="28"/>
  <c r="CS39" i="28"/>
  <c r="CS38" i="28"/>
  <c r="CS37" i="28"/>
  <c r="CS36" i="28"/>
  <c r="CS35" i="28"/>
  <c r="CS34" i="28"/>
  <c r="CS33" i="28"/>
  <c r="CS32" i="28"/>
  <c r="CS31" i="28"/>
  <c r="CS30" i="28"/>
  <c r="CS29" i="28"/>
  <c r="CS28" i="28"/>
  <c r="CS27" i="28"/>
  <c r="CS26" i="28"/>
  <c r="CS24" i="28"/>
  <c r="CS23" i="28"/>
  <c r="CS22" i="28"/>
  <c r="CS21" i="28"/>
  <c r="CS20" i="28"/>
  <c r="CS19" i="28"/>
  <c r="CS18" i="28"/>
  <c r="CS17" i="28"/>
  <c r="CS16" i="28"/>
  <c r="CS15" i="28"/>
  <c r="CS14" i="28"/>
  <c r="CS13" i="28"/>
  <c r="CS12" i="28"/>
  <c r="CS11" i="28"/>
  <c r="CS10" i="28"/>
  <c r="CS9" i="28"/>
  <c r="CS8" i="28"/>
  <c r="CS7" i="28"/>
  <c r="CS6" i="28"/>
  <c r="CS4" i="28"/>
  <c r="CS3" i="28"/>
  <c r="CW41" i="28"/>
  <c r="BJ41" i="28"/>
  <c r="BK42" i="28" s="1"/>
  <c r="CI24" i="27"/>
  <c r="BQ24" i="27"/>
  <c r="EC22" i="27"/>
  <c r="EC21" i="27"/>
  <c r="EC20" i="27"/>
  <c r="EC19" i="27"/>
  <c r="EC17" i="27"/>
  <c r="EC16" i="27"/>
  <c r="EC15" i="27"/>
  <c r="EC14" i="27"/>
  <c r="EC13" i="27"/>
  <c r="EC12" i="27"/>
  <c r="EC11" i="27"/>
  <c r="EC10" i="27"/>
  <c r="EC9" i="27"/>
  <c r="EC8" i="27"/>
  <c r="EC7" i="27"/>
  <c r="EC5" i="27"/>
  <c r="EC4" i="27"/>
  <c r="EC3" i="27"/>
  <c r="CD22" i="27"/>
  <c r="CD21" i="27"/>
  <c r="CD20" i="27"/>
  <c r="CD19" i="27"/>
  <c r="CD17" i="27"/>
  <c r="CD16" i="27"/>
  <c r="CD15" i="27"/>
  <c r="CD14" i="27"/>
  <c r="CD13" i="27"/>
  <c r="CD12" i="27"/>
  <c r="CD11" i="27"/>
  <c r="CD10" i="27"/>
  <c r="CD9" i="27"/>
  <c r="CD8" i="27"/>
  <c r="CD7" i="27"/>
  <c r="CD5" i="27"/>
  <c r="CD4" i="27"/>
  <c r="CD3" i="27"/>
  <c r="EC26" i="27" l="1"/>
  <c r="BD3" i="29"/>
  <c r="BD4" i="29"/>
  <c r="CY18" i="29"/>
  <c r="CY17" i="29"/>
  <c r="AX3" i="29"/>
  <c r="AX4" i="29"/>
  <c r="BD5" i="29"/>
  <c r="AX5" i="29"/>
  <c r="CD26" i="27"/>
  <c r="CD25" i="27"/>
  <c r="EC25" i="27"/>
  <c r="CW72" i="31"/>
  <c r="BM72" i="31"/>
  <c r="BS25" i="27"/>
  <c r="BS24" i="27"/>
  <c r="BM2" i="29"/>
  <c r="EF10" i="27" l="1"/>
  <c r="CG7" i="27"/>
  <c r="CG8" i="27"/>
  <c r="CG12" i="27"/>
  <c r="CG17" i="27"/>
  <c r="CG9" i="27"/>
  <c r="CG5" i="27"/>
  <c r="CG10" i="27"/>
  <c r="CG19" i="27"/>
  <c r="CG21" i="27"/>
  <c r="CG13" i="27"/>
  <c r="CG4" i="27"/>
  <c r="CG3" i="27"/>
  <c r="CG15" i="27"/>
  <c r="CG20" i="27"/>
  <c r="CG11" i="27"/>
  <c r="CG22" i="27"/>
  <c r="CG14" i="27"/>
  <c r="CG16" i="27"/>
  <c r="EF19" i="27"/>
  <c r="EF4" i="27"/>
  <c r="EF3" i="27"/>
  <c r="EF8" i="27"/>
  <c r="EF15" i="27"/>
  <c r="EF21" i="27"/>
  <c r="EF11" i="27"/>
  <c r="EF16" i="27"/>
  <c r="EF20" i="27"/>
  <c r="EF13" i="27"/>
  <c r="EF12" i="27"/>
  <c r="EF14" i="27"/>
  <c r="EF5" i="27"/>
  <c r="EF7" i="27"/>
  <c r="EF22" i="27"/>
  <c r="EF17" i="27"/>
  <c r="EF9" i="27"/>
  <c r="AS24" i="28"/>
  <c r="AS20" i="28"/>
  <c r="AS19" i="28"/>
  <c r="AS18" i="28"/>
  <c r="AS15" i="28"/>
  <c r="AS11" i="28"/>
  <c r="AS12" i="28"/>
  <c r="AS32" i="28"/>
  <c r="AS31" i="28"/>
  <c r="W10" i="27" l="1"/>
  <c r="W15" i="27"/>
  <c r="W7" i="27"/>
  <c r="W20" i="27"/>
  <c r="W11" i="27"/>
  <c r="W12" i="27"/>
  <c r="W19" i="27"/>
  <c r="W21" i="27"/>
  <c r="W17" i="27"/>
  <c r="W14" i="27"/>
  <c r="W3" i="27"/>
  <c r="W8" i="27"/>
  <c r="W22" i="27"/>
  <c r="W4" i="27"/>
  <c r="W5" i="27"/>
  <c r="W16" i="27"/>
  <c r="W13" i="27"/>
  <c r="W9" i="27"/>
  <c r="W5" i="33"/>
  <c r="BO2" i="27" l="1"/>
  <c r="AI3" i="27" s="1"/>
  <c r="AI13" i="27" l="1"/>
  <c r="AI4" i="27"/>
  <c r="AI19" i="27"/>
  <c r="AI10" i="27"/>
  <c r="BA55" i="31"/>
  <c r="BA60" i="31" l="1"/>
  <c r="BA54" i="31"/>
  <c r="BA47" i="31"/>
  <c r="BA40" i="31"/>
  <c r="BA34" i="31"/>
  <c r="BA32" i="31"/>
  <c r="BA27" i="31"/>
  <c r="BA24" i="31"/>
  <c r="BA23" i="31"/>
  <c r="BA17" i="31"/>
  <c r="BA12" i="31"/>
  <c r="BA11" i="31"/>
  <c r="BA10" i="31"/>
  <c r="BA6" i="31"/>
  <c r="BA5" i="31"/>
  <c r="AK9" i="30" l="1"/>
  <c r="AK4" i="30"/>
  <c r="AV4" i="29"/>
  <c r="AW9" i="29"/>
  <c r="S6" i="30"/>
  <c r="L12" i="30"/>
  <c r="F12" i="30"/>
  <c r="AV5" i="29"/>
  <c r="AV3" i="29"/>
  <c r="K15" i="29"/>
  <c r="E15" i="29"/>
  <c r="AN23" i="28"/>
  <c r="R41" i="28"/>
  <c r="O43" i="28"/>
  <c r="L41" i="28"/>
  <c r="O24" i="27"/>
  <c r="I24" i="27"/>
  <c r="AS41" i="28" l="1"/>
  <c r="AV15" i="29"/>
  <c r="AI24" i="27"/>
  <c r="AE9" i="30"/>
  <c r="AE4" i="30"/>
  <c r="AW5" i="29"/>
  <c r="AW3" i="29"/>
  <c r="AN32" i="28"/>
  <c r="AN24" i="28"/>
  <c r="AN20" i="28"/>
  <c r="AN19" i="28"/>
  <c r="AN18" i="28"/>
  <c r="AN15" i="28"/>
  <c r="AN12" i="28"/>
  <c r="AN11" i="28"/>
  <c r="AN3" i="28"/>
  <c r="AF19" i="27"/>
  <c r="AF13" i="27"/>
  <c r="AF10" i="27"/>
  <c r="AF7" i="27"/>
  <c r="AF4" i="27"/>
  <c r="AF3" i="27"/>
  <c r="AN41" i="28" l="1"/>
  <c r="AF24" i="27"/>
  <c r="AW15" i="29"/>
  <c r="R6" i="30" l="1"/>
  <c r="M12" i="30"/>
  <c r="G12" i="30"/>
  <c r="L15" i="29"/>
  <c r="F15" i="29"/>
  <c r="P34" i="28" l="1"/>
  <c r="S41" i="28"/>
  <c r="M41" i="28"/>
  <c r="U71" i="31"/>
  <c r="O71" i="31"/>
  <c r="L71" i="31"/>
  <c r="C33" i="31"/>
  <c r="P33" i="31" s="1"/>
  <c r="C32" i="31"/>
  <c r="C26" i="31"/>
  <c r="I71" i="31"/>
  <c r="C40" i="28"/>
  <c r="T40" i="28" s="1"/>
  <c r="C39" i="28"/>
  <c r="T39" i="28" s="1"/>
  <c r="C38" i="28"/>
  <c r="T38" i="28" s="1"/>
  <c r="C37" i="28"/>
  <c r="T37" i="28" s="1"/>
  <c r="C36" i="28"/>
  <c r="T36" i="28" s="1"/>
  <c r="C35" i="28"/>
  <c r="T35" i="28" s="1"/>
  <c r="C34" i="28"/>
  <c r="T34" i="28" s="1"/>
  <c r="C33" i="28"/>
  <c r="T33" i="28" s="1"/>
  <c r="C32" i="28"/>
  <c r="AM32" i="28" s="1"/>
  <c r="C31" i="28"/>
  <c r="C30" i="28"/>
  <c r="T30" i="28" s="1"/>
  <c r="C29" i="28"/>
  <c r="T29" i="28" s="1"/>
  <c r="C28" i="28"/>
  <c r="T28" i="28" s="1"/>
  <c r="C27" i="28"/>
  <c r="T27" i="28" s="1"/>
  <c r="C26" i="28"/>
  <c r="T26" i="28" s="1"/>
  <c r="C24" i="28"/>
  <c r="AM24" i="28" s="1"/>
  <c r="C23" i="28"/>
  <c r="C22" i="28"/>
  <c r="T22" i="28" s="1"/>
  <c r="C21" i="28"/>
  <c r="T21" i="28" s="1"/>
  <c r="C20" i="28"/>
  <c r="C19" i="28"/>
  <c r="AM19" i="28" s="1"/>
  <c r="C18" i="28"/>
  <c r="AM18" i="28" s="1"/>
  <c r="C17" i="28"/>
  <c r="T17" i="28" s="1"/>
  <c r="C16" i="28"/>
  <c r="T16" i="28" s="1"/>
  <c r="C15" i="28"/>
  <c r="C14" i="28"/>
  <c r="T14" i="28" s="1"/>
  <c r="C13" i="28"/>
  <c r="T13" i="28" s="1"/>
  <c r="C12" i="28"/>
  <c r="C11" i="28"/>
  <c r="AM11" i="28" s="1"/>
  <c r="C10" i="28"/>
  <c r="T10" i="28" s="1"/>
  <c r="C9" i="28"/>
  <c r="T9" i="28" s="1"/>
  <c r="C8" i="28"/>
  <c r="T8" i="28" s="1"/>
  <c r="C7" i="28"/>
  <c r="T7" i="28" s="1"/>
  <c r="C6" i="28"/>
  <c r="T6" i="28" s="1"/>
  <c r="C4" i="28"/>
  <c r="K41" i="28"/>
  <c r="C3" i="28"/>
  <c r="AM3" i="28" s="1"/>
  <c r="C3" i="31"/>
  <c r="P3" i="31" s="1"/>
  <c r="C4" i="31"/>
  <c r="P4" i="31" s="1"/>
  <c r="C5" i="31"/>
  <c r="C6" i="31"/>
  <c r="C7" i="31"/>
  <c r="P7" i="31" s="1"/>
  <c r="C9" i="31"/>
  <c r="C10" i="31"/>
  <c r="C11" i="31"/>
  <c r="C12" i="31"/>
  <c r="C13" i="31"/>
  <c r="V13" i="31" s="1"/>
  <c r="C14" i="31"/>
  <c r="P14" i="31" s="1"/>
  <c r="C15" i="31"/>
  <c r="P15" i="31" s="1"/>
  <c r="C16" i="31"/>
  <c r="V16" i="31" s="1"/>
  <c r="C17" i="31"/>
  <c r="C18" i="31"/>
  <c r="P18" i="31" s="1"/>
  <c r="C19" i="31"/>
  <c r="C20" i="31"/>
  <c r="V20" i="31" s="1"/>
  <c r="C21" i="31"/>
  <c r="C22" i="31"/>
  <c r="V22" i="31" s="1"/>
  <c r="C23" i="31"/>
  <c r="C24" i="31"/>
  <c r="C27" i="31"/>
  <c r="C29" i="31"/>
  <c r="V29" i="31" s="1"/>
  <c r="C30" i="31"/>
  <c r="V30" i="31" s="1"/>
  <c r="C31" i="31"/>
  <c r="V31" i="31" s="1"/>
  <c r="C34" i="31"/>
  <c r="C35" i="31"/>
  <c r="V35" i="31" s="1"/>
  <c r="C36" i="31"/>
  <c r="V36" i="31" s="1"/>
  <c r="C37" i="31"/>
  <c r="M37" i="31" s="1"/>
  <c r="C38" i="31"/>
  <c r="C39" i="31"/>
  <c r="P39" i="31" s="1"/>
  <c r="C40" i="31"/>
  <c r="C41" i="31"/>
  <c r="V41" i="31" s="1"/>
  <c r="C43" i="31"/>
  <c r="P43" i="31" s="1"/>
  <c r="C44" i="31"/>
  <c r="P44" i="31" s="1"/>
  <c r="C45" i="31"/>
  <c r="P45" i="31" s="1"/>
  <c r="C46" i="31"/>
  <c r="V46" i="31" s="1"/>
  <c r="C47" i="31"/>
  <c r="C48" i="31"/>
  <c r="C49" i="31"/>
  <c r="V49" i="31" s="1"/>
  <c r="C50" i="31"/>
  <c r="V50" i="31" s="1"/>
  <c r="C51" i="31"/>
  <c r="V51" i="31" s="1"/>
  <c r="C52" i="31"/>
  <c r="V52" i="31" s="1"/>
  <c r="C53" i="31"/>
  <c r="V53" i="31" s="1"/>
  <c r="C54" i="31"/>
  <c r="C55" i="31"/>
  <c r="C56" i="31"/>
  <c r="V56" i="31" s="1"/>
  <c r="C57" i="31"/>
  <c r="V57" i="31" s="1"/>
  <c r="C58" i="31"/>
  <c r="V58" i="31" s="1"/>
  <c r="C59" i="31"/>
  <c r="V59" i="31" s="1"/>
  <c r="C60" i="31"/>
  <c r="C61" i="31"/>
  <c r="V61" i="31" s="1"/>
  <c r="C62" i="31"/>
  <c r="V62" i="31" s="1"/>
  <c r="C63" i="31"/>
  <c r="V63" i="31" s="1"/>
  <c r="C64" i="31"/>
  <c r="V64" i="31" s="1"/>
  <c r="C65" i="31"/>
  <c r="V65" i="31" s="1"/>
  <c r="C66" i="31"/>
  <c r="V66" i="31" s="1"/>
  <c r="C67" i="31"/>
  <c r="V67" i="31" s="1"/>
  <c r="C68" i="31"/>
  <c r="V68" i="31" s="1"/>
  <c r="C69" i="31"/>
  <c r="V69" i="31" s="1"/>
  <c r="C70" i="31"/>
  <c r="D71" i="31"/>
  <c r="E71" i="31"/>
  <c r="F71" i="31"/>
  <c r="G71" i="31"/>
  <c r="H71" i="31"/>
  <c r="J71" i="31"/>
  <c r="M17" i="27"/>
  <c r="P24" i="27"/>
  <c r="J24" i="27"/>
  <c r="AH48" i="31" l="1"/>
  <c r="T20" i="28"/>
  <c r="AM20" i="28"/>
  <c r="T12" i="28"/>
  <c r="AM12" i="28"/>
  <c r="T31" i="28"/>
  <c r="AM31" i="28"/>
  <c r="T4" i="28"/>
  <c r="T15" i="28"/>
  <c r="AM15" i="28"/>
  <c r="V55" i="31"/>
  <c r="AH55" i="31"/>
  <c r="AH47" i="31"/>
  <c r="AH54" i="31"/>
  <c r="AH27" i="31"/>
  <c r="AH6" i="31"/>
  <c r="AH32" i="31"/>
  <c r="AH5" i="31"/>
  <c r="AH40" i="31"/>
  <c r="AH60" i="31"/>
  <c r="AH12" i="31"/>
  <c r="AH17" i="31"/>
  <c r="V15" i="31"/>
  <c r="AH11" i="31"/>
  <c r="AH23" i="31"/>
  <c r="AH10" i="31"/>
  <c r="P24" i="31"/>
  <c r="AH24" i="31"/>
  <c r="V34" i="31"/>
  <c r="AH34" i="31"/>
  <c r="V38" i="31"/>
  <c r="P9" i="31"/>
  <c r="P21" i="31"/>
  <c r="V26" i="31"/>
  <c r="V24" i="31"/>
  <c r="V47" i="31"/>
  <c r="M32" i="31"/>
  <c r="P19" i="31"/>
  <c r="V33" i="31"/>
  <c r="V54" i="31"/>
  <c r="V27" i="31"/>
  <c r="P6" i="31"/>
  <c r="V21" i="31"/>
  <c r="V60" i="31"/>
  <c r="P12" i="31"/>
  <c r="V37" i="31"/>
  <c r="V17" i="31"/>
  <c r="P5" i="31"/>
  <c r="P11" i="31"/>
  <c r="P37" i="31"/>
  <c r="V70" i="31"/>
  <c r="V14" i="31"/>
  <c r="V23" i="31"/>
  <c r="P10" i="31"/>
  <c r="P46" i="31"/>
  <c r="V48" i="31"/>
  <c r="P40" i="31"/>
  <c r="N23" i="28"/>
  <c r="T23" i="28"/>
  <c r="N18" i="28"/>
  <c r="T18" i="28"/>
  <c r="N19" i="28"/>
  <c r="T19" i="28"/>
  <c r="N3" i="28"/>
  <c r="T3" i="28"/>
  <c r="N11" i="28"/>
  <c r="T11" i="28"/>
  <c r="N24" i="28"/>
  <c r="T24" i="28"/>
  <c r="N32" i="28"/>
  <c r="T32" i="28"/>
  <c r="U6" i="28"/>
  <c r="N6" i="28"/>
  <c r="U35" i="28"/>
  <c r="N35" i="28"/>
  <c r="N7" i="28"/>
  <c r="N14" i="28"/>
  <c r="U20" i="28"/>
  <c r="N20" i="28"/>
  <c r="N28" i="28"/>
  <c r="U13" i="28"/>
  <c r="N13" i="28"/>
  <c r="U8" i="28"/>
  <c r="N8" i="28"/>
  <c r="U21" i="28"/>
  <c r="N21" i="28"/>
  <c r="U29" i="28"/>
  <c r="N29" i="28"/>
  <c r="N36" i="28"/>
  <c r="U4" i="28"/>
  <c r="N4" i="28"/>
  <c r="U9" i="28"/>
  <c r="N9" i="28"/>
  <c r="U22" i="28"/>
  <c r="N22" i="28"/>
  <c r="U30" i="28"/>
  <c r="N30" i="28"/>
  <c r="U37" i="28"/>
  <c r="N37" i="28"/>
  <c r="U34" i="28"/>
  <c r="N34" i="28"/>
  <c r="U10" i="28"/>
  <c r="N10" i="28"/>
  <c r="AK15" i="28"/>
  <c r="N15" i="28"/>
  <c r="U31" i="28"/>
  <c r="N31" i="28"/>
  <c r="U38" i="28"/>
  <c r="N38" i="28"/>
  <c r="U16" i="28"/>
  <c r="N16" i="28"/>
  <c r="U39" i="28"/>
  <c r="N39" i="28"/>
  <c r="U27" i="28"/>
  <c r="N27" i="28"/>
  <c r="AK12" i="28"/>
  <c r="N12" i="28"/>
  <c r="U17" i="28"/>
  <c r="N17" i="28"/>
  <c r="U26" i="28"/>
  <c r="N26" i="28"/>
  <c r="N33" i="28"/>
  <c r="N40" i="28"/>
  <c r="M22" i="27"/>
  <c r="M7" i="27"/>
  <c r="M9" i="27"/>
  <c r="M10" i="27"/>
  <c r="U18" i="28"/>
  <c r="AK18" i="28"/>
  <c r="U19" i="28"/>
  <c r="AK19" i="28"/>
  <c r="AK20" i="28"/>
  <c r="U23" i="28"/>
  <c r="AK23" i="28"/>
  <c r="U36" i="28"/>
  <c r="U11" i="28"/>
  <c r="AK11" i="28"/>
  <c r="U24" i="28"/>
  <c r="AK24" i="28"/>
  <c r="U32" i="28"/>
  <c r="AK32" i="28"/>
  <c r="M13" i="27"/>
  <c r="P13" i="31"/>
  <c r="P49" i="31"/>
  <c r="M19" i="27"/>
  <c r="U7" i="28"/>
  <c r="P29" i="31"/>
  <c r="V40" i="31"/>
  <c r="U28" i="28"/>
  <c r="P10" i="28"/>
  <c r="P30" i="31"/>
  <c r="P15" i="28"/>
  <c r="P41" i="31"/>
  <c r="M47" i="31"/>
  <c r="V12" i="31"/>
  <c r="U14" i="28"/>
  <c r="P23" i="28"/>
  <c r="P38" i="28"/>
  <c r="P16" i="28"/>
  <c r="P32" i="28"/>
  <c r="P6" i="28"/>
  <c r="P19" i="28"/>
  <c r="P35" i="28"/>
  <c r="P7" i="28"/>
  <c r="P14" i="28"/>
  <c r="P20" i="28"/>
  <c r="P28" i="28"/>
  <c r="P24" i="28"/>
  <c r="P8" i="28"/>
  <c r="P21" i="28"/>
  <c r="P29" i="28"/>
  <c r="P36" i="28"/>
  <c r="P9" i="28"/>
  <c r="P22" i="28"/>
  <c r="P30" i="28"/>
  <c r="P37" i="28"/>
  <c r="P31" i="28"/>
  <c r="P11" i="28"/>
  <c r="P39" i="28"/>
  <c r="P3" i="28"/>
  <c r="P12" i="28"/>
  <c r="P17" i="28"/>
  <c r="P26" i="28"/>
  <c r="P33" i="28"/>
  <c r="P40" i="28"/>
  <c r="P4" i="28"/>
  <c r="P13" i="28"/>
  <c r="P18" i="28"/>
  <c r="P27" i="28"/>
  <c r="U15" i="28"/>
  <c r="U3" i="28"/>
  <c r="U12" i="28"/>
  <c r="U33" i="28"/>
  <c r="U40" i="28"/>
  <c r="M14" i="27"/>
  <c r="M21" i="27"/>
  <c r="P20" i="31"/>
  <c r="P16" i="31"/>
  <c r="P38" i="31"/>
  <c r="V19" i="31"/>
  <c r="V39" i="31"/>
  <c r="V44" i="31"/>
  <c r="P17" i="31"/>
  <c r="P31" i="31"/>
  <c r="P47" i="31"/>
  <c r="P22" i="31"/>
  <c r="V18" i="31"/>
  <c r="V45" i="31"/>
  <c r="C71" i="31"/>
  <c r="P32" i="31"/>
  <c r="P48" i="31"/>
  <c r="P23" i="31"/>
  <c r="V32" i="31"/>
  <c r="V43" i="31"/>
  <c r="M26" i="31"/>
  <c r="P34" i="31"/>
  <c r="P50" i="31"/>
  <c r="M35" i="31"/>
  <c r="P26" i="31"/>
  <c r="P35" i="31"/>
  <c r="P51" i="31"/>
  <c r="M36" i="31"/>
  <c r="P27" i="31"/>
  <c r="P36" i="31"/>
  <c r="M8" i="27"/>
  <c r="M20" i="27"/>
  <c r="M11" i="27"/>
  <c r="M15" i="27"/>
  <c r="M4" i="27"/>
  <c r="M12" i="27"/>
  <c r="M16" i="27"/>
  <c r="M3" i="27"/>
  <c r="M5" i="27"/>
  <c r="E12" i="30"/>
  <c r="D12" i="30"/>
  <c r="C3" i="30"/>
  <c r="N3" i="30" s="1"/>
  <c r="C11" i="30"/>
  <c r="N11" i="30" s="1"/>
  <c r="C10" i="30"/>
  <c r="N10" i="30" s="1"/>
  <c r="C9" i="30"/>
  <c r="AJ9" i="30" s="1"/>
  <c r="C6" i="30"/>
  <c r="C5" i="30"/>
  <c r="N5" i="30" s="1"/>
  <c r="C4" i="30"/>
  <c r="AJ4" i="30" s="1"/>
  <c r="C22" i="27"/>
  <c r="C21" i="27"/>
  <c r="C20" i="27"/>
  <c r="C19" i="27"/>
  <c r="C17" i="27"/>
  <c r="C16" i="27"/>
  <c r="C15" i="27"/>
  <c r="C14" i="27"/>
  <c r="C13" i="27"/>
  <c r="C12" i="27"/>
  <c r="C11" i="27"/>
  <c r="C10" i="27"/>
  <c r="C9" i="27"/>
  <c r="C8" i="27"/>
  <c r="C7" i="27"/>
  <c r="Q7" i="27" s="1"/>
  <c r="C5" i="27"/>
  <c r="C4" i="27"/>
  <c r="C3" i="27"/>
  <c r="C5" i="29"/>
  <c r="C4" i="29"/>
  <c r="C3" i="29"/>
  <c r="D15" i="29"/>
  <c r="C11" i="29"/>
  <c r="M11" i="29" s="1"/>
  <c r="C10" i="29"/>
  <c r="M10" i="29" s="1"/>
  <c r="C9" i="29"/>
  <c r="M9" i="29" s="1"/>
  <c r="C7" i="29"/>
  <c r="M7" i="29" s="1"/>
  <c r="C14" i="29"/>
  <c r="M14" i="29" s="1"/>
  <c r="C13" i="29"/>
  <c r="M13" i="29" s="1"/>
  <c r="C12" i="29"/>
  <c r="M12" i="29" s="1"/>
  <c r="C8" i="29"/>
  <c r="M8" i="29" s="1"/>
  <c r="J41" i="28"/>
  <c r="I41" i="28"/>
  <c r="H41" i="28"/>
  <c r="G41" i="28"/>
  <c r="F41" i="28"/>
  <c r="E41" i="28"/>
  <c r="D41" i="28"/>
  <c r="H24" i="27"/>
  <c r="G24" i="27"/>
  <c r="F24" i="27"/>
  <c r="E24" i="27"/>
  <c r="D24" i="27"/>
  <c r="V71" i="31" l="1"/>
  <c r="C73" i="31"/>
  <c r="AE19" i="27"/>
  <c r="AH19" i="27"/>
  <c r="AE10" i="27"/>
  <c r="AH10" i="27"/>
  <c r="AE3" i="27"/>
  <c r="AH3" i="27"/>
  <c r="AE13" i="27"/>
  <c r="AH13" i="27"/>
  <c r="AE4" i="27"/>
  <c r="AH4" i="27"/>
  <c r="AU5" i="29"/>
  <c r="AF5" i="29"/>
  <c r="AJ12" i="30"/>
  <c r="AB9" i="30" s="1"/>
  <c r="AF4" i="29"/>
  <c r="AU4" i="29"/>
  <c r="AF3" i="29"/>
  <c r="AU3" i="29"/>
  <c r="M5" i="29"/>
  <c r="AE5" i="29"/>
  <c r="N4" i="30"/>
  <c r="AD4" i="30"/>
  <c r="AM41" i="28"/>
  <c r="M3" i="29"/>
  <c r="AE3" i="29"/>
  <c r="N9" i="30"/>
  <c r="AD9" i="30"/>
  <c r="M4" i="29"/>
  <c r="AE4" i="29"/>
  <c r="AH71" i="31"/>
  <c r="BA3" i="31" s="1"/>
  <c r="Z4" i="30"/>
  <c r="I4" i="30"/>
  <c r="H4" i="30"/>
  <c r="I3" i="30"/>
  <c r="H3" i="30"/>
  <c r="H11" i="30"/>
  <c r="I11" i="30"/>
  <c r="I5" i="30"/>
  <c r="H5" i="30"/>
  <c r="I10" i="30"/>
  <c r="H10" i="30"/>
  <c r="Z9" i="30"/>
  <c r="I9" i="30"/>
  <c r="H9" i="30"/>
  <c r="H10" i="29"/>
  <c r="G10" i="29"/>
  <c r="H11" i="29"/>
  <c r="G11" i="29"/>
  <c r="H12" i="29"/>
  <c r="G12" i="29"/>
  <c r="Z3" i="29"/>
  <c r="H3" i="29"/>
  <c r="G3" i="29"/>
  <c r="Z9" i="29"/>
  <c r="H9" i="29"/>
  <c r="G9" i="29"/>
  <c r="G8" i="29"/>
  <c r="H8" i="29"/>
  <c r="H4" i="29"/>
  <c r="G4" i="29"/>
  <c r="H13" i="29"/>
  <c r="G13" i="29"/>
  <c r="G14" i="29"/>
  <c r="H14" i="29"/>
  <c r="Z5" i="29"/>
  <c r="G5" i="29"/>
  <c r="H5" i="29"/>
  <c r="G7" i="29"/>
  <c r="H7" i="29"/>
  <c r="T43" i="28"/>
  <c r="W19" i="28" s="1"/>
  <c r="N43" i="28"/>
  <c r="Q22" i="28" s="1"/>
  <c r="K9" i="27"/>
  <c r="Q9" i="27"/>
  <c r="Q19" i="27"/>
  <c r="Q10" i="27"/>
  <c r="K20" i="27"/>
  <c r="Q20" i="27"/>
  <c r="Q3" i="27"/>
  <c r="K21" i="27"/>
  <c r="Q21" i="27"/>
  <c r="Q4" i="27"/>
  <c r="K14" i="27"/>
  <c r="Q14" i="27"/>
  <c r="K22" i="27"/>
  <c r="Q22" i="27"/>
  <c r="K11" i="27"/>
  <c r="Q11" i="27"/>
  <c r="K12" i="27"/>
  <c r="Q12" i="27"/>
  <c r="K15" i="27"/>
  <c r="Q15" i="27"/>
  <c r="Q13" i="27"/>
  <c r="K5" i="27"/>
  <c r="Q5" i="27"/>
  <c r="K16" i="27"/>
  <c r="Q16" i="27"/>
  <c r="K8" i="27"/>
  <c r="Q8" i="27"/>
  <c r="K17" i="27"/>
  <c r="Q17" i="27"/>
  <c r="K4" i="27"/>
  <c r="K19" i="27"/>
  <c r="K10" i="27"/>
  <c r="K3" i="27"/>
  <c r="K13" i="27"/>
  <c r="K7" i="27"/>
  <c r="AK41" i="28"/>
  <c r="P71" i="31"/>
  <c r="N8" i="29"/>
  <c r="O4" i="30"/>
  <c r="N12" i="29"/>
  <c r="N3" i="29"/>
  <c r="N11" i="29"/>
  <c r="O5" i="30"/>
  <c r="N13" i="29"/>
  <c r="N4" i="29"/>
  <c r="N14" i="29"/>
  <c r="C15" i="29"/>
  <c r="N5" i="29"/>
  <c r="O9" i="30"/>
  <c r="N9" i="29"/>
  <c r="N10" i="29"/>
  <c r="C12" i="30"/>
  <c r="N7" i="29"/>
  <c r="P41" i="28"/>
  <c r="U43" i="28"/>
  <c r="V40" i="28" s="1"/>
  <c r="M71" i="31"/>
  <c r="C41" i="28"/>
  <c r="M13" i="31"/>
  <c r="M19" i="31"/>
  <c r="M33" i="31"/>
  <c r="M41" i="31"/>
  <c r="M49" i="31"/>
  <c r="M57" i="31"/>
  <c r="P57" i="31"/>
  <c r="M20" i="31"/>
  <c r="M34" i="31"/>
  <c r="M43" i="31"/>
  <c r="M50" i="31"/>
  <c r="M58" i="31"/>
  <c r="P58" i="31"/>
  <c r="M65" i="31"/>
  <c r="P65" i="31"/>
  <c r="M14" i="31"/>
  <c r="M21" i="31"/>
  <c r="M44" i="31"/>
  <c r="M51" i="31"/>
  <c r="M59" i="31"/>
  <c r="P59" i="31"/>
  <c r="M66" i="31"/>
  <c r="P66" i="31"/>
  <c r="M15" i="31"/>
  <c r="M22" i="31"/>
  <c r="M27" i="31"/>
  <c r="M45" i="31"/>
  <c r="P52" i="31"/>
  <c r="M52" i="31"/>
  <c r="P60" i="31"/>
  <c r="M60" i="31"/>
  <c r="P67" i="31"/>
  <c r="M67" i="31"/>
  <c r="M23" i="31"/>
  <c r="M29" i="31"/>
  <c r="M46" i="31"/>
  <c r="P53" i="31"/>
  <c r="M53" i="31"/>
  <c r="M61" i="31"/>
  <c r="P61" i="31"/>
  <c r="P68" i="31"/>
  <c r="M68" i="31"/>
  <c r="M16" i="31"/>
  <c r="M30" i="31"/>
  <c r="M38" i="31"/>
  <c r="P54" i="31"/>
  <c r="M54" i="31"/>
  <c r="P62" i="31"/>
  <c r="M62" i="31"/>
  <c r="M69" i="31"/>
  <c r="P69" i="31"/>
  <c r="M24" i="27"/>
  <c r="M17" i="31"/>
  <c r="M31" i="31"/>
  <c r="M39" i="31"/>
  <c r="P55" i="31"/>
  <c r="M55" i="31"/>
  <c r="M63" i="31"/>
  <c r="P63" i="31"/>
  <c r="M70" i="31"/>
  <c r="P70" i="31"/>
  <c r="M12" i="31"/>
  <c r="M18" i="31"/>
  <c r="M24" i="31"/>
  <c r="M40" i="31"/>
  <c r="M48" i="31"/>
  <c r="P56" i="31"/>
  <c r="M56" i="31"/>
  <c r="P64" i="31"/>
  <c r="M64" i="31"/>
  <c r="R7" i="27"/>
  <c r="V10" i="31"/>
  <c r="M10" i="31"/>
  <c r="V9" i="31"/>
  <c r="M9" i="31"/>
  <c r="R8" i="27"/>
  <c r="R17" i="27"/>
  <c r="V3" i="31"/>
  <c r="M3" i="31"/>
  <c r="R16" i="27"/>
  <c r="M4" i="31"/>
  <c r="V4" i="31"/>
  <c r="V11" i="31"/>
  <c r="M11" i="31"/>
  <c r="R5" i="27"/>
  <c r="R19" i="27"/>
  <c r="R10" i="27"/>
  <c r="R3" i="27"/>
  <c r="R11" i="27"/>
  <c r="R13" i="27"/>
  <c r="R21" i="27"/>
  <c r="M5" i="31"/>
  <c r="V5" i="31"/>
  <c r="R4" i="27"/>
  <c r="R14" i="27"/>
  <c r="R22" i="27"/>
  <c r="M6" i="31"/>
  <c r="V6" i="31"/>
  <c r="R9" i="27"/>
  <c r="R20" i="27"/>
  <c r="R12" i="27"/>
  <c r="R15" i="27"/>
  <c r="C24" i="27"/>
  <c r="V7" i="31"/>
  <c r="M7" i="31"/>
  <c r="AE24" i="27" l="1"/>
  <c r="AB4" i="27" s="1"/>
  <c r="BA71" i="31"/>
  <c r="N12" i="30"/>
  <c r="C14" i="30"/>
  <c r="C43" i="28"/>
  <c r="Q24" i="27"/>
  <c r="M15" i="29"/>
  <c r="C17" i="29"/>
  <c r="AB4" i="30"/>
  <c r="M16" i="29"/>
  <c r="AF15" i="29"/>
  <c r="BK3" i="29" s="1"/>
  <c r="AA3" i="29" s="1"/>
  <c r="AU15" i="29"/>
  <c r="AH24" i="27"/>
  <c r="AC3" i="27" s="1"/>
  <c r="N13" i="30"/>
  <c r="P11" i="30" s="1"/>
  <c r="AE15" i="29"/>
  <c r="BJ3" i="29" s="1"/>
  <c r="AD12" i="30"/>
  <c r="Y9" i="30" s="1"/>
  <c r="AC9" i="30" s="1"/>
  <c r="Z12" i="30"/>
  <c r="H12" i="30"/>
  <c r="I12" i="30"/>
  <c r="I14" i="30"/>
  <c r="K10" i="30" s="1"/>
  <c r="R10" i="30" s="1"/>
  <c r="H14" i="30"/>
  <c r="J9" i="30" s="1"/>
  <c r="Z15" i="29"/>
  <c r="H16" i="29"/>
  <c r="J8" i="29" s="1"/>
  <c r="G15" i="29"/>
  <c r="H15" i="29"/>
  <c r="G16" i="29"/>
  <c r="I5" i="29" s="1"/>
  <c r="W3" i="28"/>
  <c r="W11" i="28"/>
  <c r="W32" i="28"/>
  <c r="W23" i="28"/>
  <c r="W12" i="28"/>
  <c r="W17" i="28"/>
  <c r="W38" i="28"/>
  <c r="W39" i="28"/>
  <c r="W22" i="28"/>
  <c r="Y22" i="28" s="1"/>
  <c r="W7" i="28"/>
  <c r="W9" i="28"/>
  <c r="W33" i="28"/>
  <c r="W26" i="28"/>
  <c r="W8" i="28"/>
  <c r="W40" i="28"/>
  <c r="W36" i="28"/>
  <c r="W6" i="28"/>
  <c r="W31" i="28"/>
  <c r="W4" i="28"/>
  <c r="W13" i="28"/>
  <c r="W29" i="28"/>
  <c r="W21" i="28"/>
  <c r="W27" i="28"/>
  <c r="W30" i="28"/>
  <c r="W28" i="28"/>
  <c r="W34" i="28"/>
  <c r="W16" i="28"/>
  <c r="W14" i="28"/>
  <c r="W10" i="28"/>
  <c r="W20" i="28"/>
  <c r="W15" i="28"/>
  <c r="W37" i="28"/>
  <c r="W35" i="28"/>
  <c r="W18" i="28"/>
  <c r="W24" i="28"/>
  <c r="N41" i="28"/>
  <c r="T41" i="28"/>
  <c r="Q26" i="28"/>
  <c r="Q28" i="28"/>
  <c r="Q33" i="28"/>
  <c r="Q29" i="28"/>
  <c r="Q13" i="28"/>
  <c r="Q9" i="28"/>
  <c r="Q7" i="28"/>
  <c r="Q21" i="28"/>
  <c r="Q8" i="28"/>
  <c r="Q30" i="28"/>
  <c r="Q20" i="28"/>
  <c r="Q34" i="28"/>
  <c r="Q15" i="28"/>
  <c r="Q27" i="28"/>
  <c r="Q38" i="28"/>
  <c r="Q39" i="28"/>
  <c r="Q40" i="28"/>
  <c r="Q12" i="28"/>
  <c r="Q6" i="28"/>
  <c r="Q36" i="28"/>
  <c r="Q37" i="28"/>
  <c r="Q18" i="28"/>
  <c r="Q19" i="28"/>
  <c r="Y19" i="28" s="1"/>
  <c r="Q23" i="28"/>
  <c r="Q3" i="28"/>
  <c r="Q11" i="28"/>
  <c r="Q24" i="28"/>
  <c r="Q32" i="28"/>
  <c r="Q16" i="28"/>
  <c r="Q10" i="28"/>
  <c r="Q35" i="28"/>
  <c r="Q14" i="28"/>
  <c r="Q4" i="28"/>
  <c r="Q31" i="28"/>
  <c r="Q17" i="28"/>
  <c r="V12" i="28"/>
  <c r="X12" i="28" s="1"/>
  <c r="V15" i="28"/>
  <c r="X15" i="28" s="1"/>
  <c r="T7" i="27"/>
  <c r="N3" i="27"/>
  <c r="K24" i="27"/>
  <c r="V33" i="28"/>
  <c r="X33" i="28" s="1"/>
  <c r="BH4" i="29"/>
  <c r="N15" i="29"/>
  <c r="O13" i="30"/>
  <c r="Q9" i="30" s="1"/>
  <c r="P73" i="31"/>
  <c r="V3" i="28"/>
  <c r="X3" i="28" s="1"/>
  <c r="N16" i="29"/>
  <c r="O5" i="29" s="1"/>
  <c r="O12" i="30"/>
  <c r="X40" i="28"/>
  <c r="U41" i="28"/>
  <c r="V22" i="28"/>
  <c r="V9" i="28"/>
  <c r="X9" i="28" s="1"/>
  <c r="V39" i="28"/>
  <c r="X39" i="28" s="1"/>
  <c r="V6" i="28"/>
  <c r="V29" i="28"/>
  <c r="V38" i="28"/>
  <c r="X38" i="28" s="1"/>
  <c r="V20" i="28"/>
  <c r="X20" i="28" s="1"/>
  <c r="V26" i="28"/>
  <c r="X26" i="28" s="1"/>
  <c r="V35" i="28"/>
  <c r="X35" i="28" s="1"/>
  <c r="V18" i="28"/>
  <c r="V7" i="28"/>
  <c r="V14" i="28"/>
  <c r="V8" i="28"/>
  <c r="V37" i="28"/>
  <c r="V10" i="28"/>
  <c r="V30" i="28"/>
  <c r="X30" i="28" s="1"/>
  <c r="V28" i="28"/>
  <c r="V19" i="28"/>
  <c r="V13" i="28"/>
  <c r="X13" i="28" s="1"/>
  <c r="V11" i="28"/>
  <c r="X11" i="28" s="1"/>
  <c r="V21" i="28"/>
  <c r="X21" i="28" s="1"/>
  <c r="V23" i="28"/>
  <c r="X23" i="28" s="1"/>
  <c r="V34" i="28"/>
  <c r="V16" i="28"/>
  <c r="V36" i="28"/>
  <c r="X36" i="28" s="1"/>
  <c r="V4" i="28"/>
  <c r="V31" i="28"/>
  <c r="X31" i="28" s="1"/>
  <c r="V24" i="28"/>
  <c r="X24" i="28" s="1"/>
  <c r="V17" i="28"/>
  <c r="X17" i="28" s="1"/>
  <c r="V27" i="28"/>
  <c r="X27" i="28" s="1"/>
  <c r="V32" i="28"/>
  <c r="X32" i="28" s="1"/>
  <c r="V73" i="31"/>
  <c r="M73" i="31"/>
  <c r="R46" i="31"/>
  <c r="R45" i="31"/>
  <c r="R39" i="31"/>
  <c r="R16" i="31"/>
  <c r="R15" i="31"/>
  <c r="R14" i="31"/>
  <c r="R43" i="31"/>
  <c r="R41" i="31"/>
  <c r="R13" i="31"/>
  <c r="R7" i="31"/>
  <c r="R24" i="31"/>
  <c r="R68" i="31"/>
  <c r="R67" i="31"/>
  <c r="R4" i="31"/>
  <c r="R70" i="31"/>
  <c r="R69" i="31"/>
  <c r="R35" i="31"/>
  <c r="R18" i="31"/>
  <c r="R62" i="31"/>
  <c r="R40" i="31"/>
  <c r="R30" i="31"/>
  <c r="R61" i="31"/>
  <c r="R29" i="31"/>
  <c r="R27" i="31"/>
  <c r="R59" i="31"/>
  <c r="R58" i="31"/>
  <c r="R26" i="31"/>
  <c r="R57" i="31"/>
  <c r="R32" i="31"/>
  <c r="R48" i="31"/>
  <c r="R31" i="31"/>
  <c r="R36" i="31"/>
  <c r="R65" i="31"/>
  <c r="R34" i="31"/>
  <c r="R55" i="31"/>
  <c r="R60" i="31"/>
  <c r="R71" i="31"/>
  <c r="R12" i="31"/>
  <c r="R47" i="31"/>
  <c r="R54" i="31"/>
  <c r="R53" i="31"/>
  <c r="R52" i="31"/>
  <c r="R49" i="31"/>
  <c r="R44" i="31"/>
  <c r="R56" i="31"/>
  <c r="R63" i="31"/>
  <c r="R38" i="31"/>
  <c r="R37" i="31"/>
  <c r="R66" i="31"/>
  <c r="R33" i="31"/>
  <c r="R11" i="31"/>
  <c r="R9" i="31"/>
  <c r="R10" i="31"/>
  <c r="R64" i="31"/>
  <c r="R17" i="31"/>
  <c r="R23" i="31"/>
  <c r="R22" i="31"/>
  <c r="R51" i="31"/>
  <c r="R21" i="31"/>
  <c r="R50" i="31"/>
  <c r="R20" i="31"/>
  <c r="R19" i="31"/>
  <c r="R24" i="27"/>
  <c r="R5" i="31"/>
  <c r="S14" i="27"/>
  <c r="U14" i="27" s="1"/>
  <c r="R3" i="31"/>
  <c r="R6" i="31"/>
  <c r="BL3" i="29" l="1"/>
  <c r="AC3" i="29" s="1"/>
  <c r="Y33" i="28"/>
  <c r="AB19" i="27"/>
  <c r="AB3" i="27"/>
  <c r="AD3" i="27" s="1"/>
  <c r="AB10" i="27"/>
  <c r="AB13" i="27"/>
  <c r="AC5" i="29"/>
  <c r="AA4" i="29"/>
  <c r="X4" i="31"/>
  <c r="N24" i="31"/>
  <c r="AC10" i="27"/>
  <c r="AC19" i="27"/>
  <c r="AC4" i="27"/>
  <c r="AD4" i="27" s="1"/>
  <c r="AC13" i="27"/>
  <c r="AC4" i="29"/>
  <c r="AA5" i="29"/>
  <c r="AJ18" i="28"/>
  <c r="AL18" i="28" s="1"/>
  <c r="AJ3" i="28"/>
  <c r="AL3" i="28" s="1"/>
  <c r="P4" i="30"/>
  <c r="P3" i="30"/>
  <c r="P9" i="30"/>
  <c r="S9" i="30" s="1"/>
  <c r="P5" i="30"/>
  <c r="Y28" i="28"/>
  <c r="Y5" i="29"/>
  <c r="Y4" i="29"/>
  <c r="Y32" i="28"/>
  <c r="AJ32" i="28"/>
  <c r="AL32" i="28" s="1"/>
  <c r="AJ19" i="28"/>
  <c r="AL19" i="28" s="1"/>
  <c r="Y31" i="28"/>
  <c r="AJ24" i="28"/>
  <c r="AL24" i="28" s="1"/>
  <c r="Y20" i="28"/>
  <c r="AJ11" i="28"/>
  <c r="AL11" i="28" s="1"/>
  <c r="T22" i="27"/>
  <c r="T16" i="27"/>
  <c r="T13" i="27"/>
  <c r="Y3" i="29"/>
  <c r="AA17" i="29" s="1"/>
  <c r="AE17" i="29" s="1"/>
  <c r="AJ20" i="28"/>
  <c r="AL20" i="28" s="1"/>
  <c r="AJ31" i="28"/>
  <c r="AL31" i="28" s="1"/>
  <c r="AJ12" i="28"/>
  <c r="AL12" i="28" s="1"/>
  <c r="AJ15" i="28"/>
  <c r="AL15" i="28" s="1"/>
  <c r="Y7" i="28"/>
  <c r="Y6" i="28"/>
  <c r="Y34" i="28"/>
  <c r="Y9" i="28"/>
  <c r="Y4" i="30"/>
  <c r="Y12" i="30" s="1"/>
  <c r="Y23" i="28"/>
  <c r="T21" i="27"/>
  <c r="Q17" i="31"/>
  <c r="Q16" i="31"/>
  <c r="Q63" i="31"/>
  <c r="Q33" i="31"/>
  <c r="Q62" i="31"/>
  <c r="Q6" i="31"/>
  <c r="Q57" i="31"/>
  <c r="Q5" i="31"/>
  <c r="Q56" i="31"/>
  <c r="Q20" i="31"/>
  <c r="Q30" i="31"/>
  <c r="Q24" i="31"/>
  <c r="Q65" i="31"/>
  <c r="Q68" i="31"/>
  <c r="Q32" i="31"/>
  <c r="Q48" i="31"/>
  <c r="Q19" i="31"/>
  <c r="Q11" i="31"/>
  <c r="Q23" i="31"/>
  <c r="Q18" i="31"/>
  <c r="Q14" i="31"/>
  <c r="Q52" i="31"/>
  <c r="Q40" i="31"/>
  <c r="Q35" i="31"/>
  <c r="Q61" i="31"/>
  <c r="Q22" i="31"/>
  <c r="Q9" i="31"/>
  <c r="Q64" i="31"/>
  <c r="Q27" i="31"/>
  <c r="Q49" i="31"/>
  <c r="Q45" i="31"/>
  <c r="N67" i="31"/>
  <c r="N57" i="31"/>
  <c r="N66" i="31"/>
  <c r="N16" i="31"/>
  <c r="Q70" i="31"/>
  <c r="Q54" i="31"/>
  <c r="Q60" i="31"/>
  <c r="Q58" i="31"/>
  <c r="Q26" i="31"/>
  <c r="Q50" i="31"/>
  <c r="Q31" i="31"/>
  <c r="Q29" i="31"/>
  <c r="Q7" i="31"/>
  <c r="Q10" i="31"/>
  <c r="Q46" i="31"/>
  <c r="N10" i="31"/>
  <c r="X10" i="31"/>
  <c r="Q53" i="31"/>
  <c r="Q59" i="31"/>
  <c r="Q47" i="31"/>
  <c r="Q38" i="31"/>
  <c r="Q21" i="31"/>
  <c r="Q37" i="31"/>
  <c r="Q39" i="31"/>
  <c r="N61" i="31"/>
  <c r="N7" i="31"/>
  <c r="X6" i="31"/>
  <c r="N11" i="31"/>
  <c r="Q69" i="31"/>
  <c r="Q55" i="31"/>
  <c r="Q51" i="31"/>
  <c r="Q34" i="31"/>
  <c r="Q4" i="31"/>
  <c r="Q13" i="31"/>
  <c r="Q3" i="31"/>
  <c r="Q15" i="31"/>
  <c r="Q44" i="31"/>
  <c r="N55" i="31"/>
  <c r="Q67" i="31"/>
  <c r="X9" i="31"/>
  <c r="N6" i="31"/>
  <c r="Q66" i="31"/>
  <c r="Q36" i="31"/>
  <c r="Q12" i="31"/>
  <c r="Q43" i="31"/>
  <c r="Q41" i="31"/>
  <c r="J5" i="30"/>
  <c r="J4" i="30"/>
  <c r="J10" i="30"/>
  <c r="S10" i="30" s="1"/>
  <c r="J3" i="30"/>
  <c r="J11" i="30"/>
  <c r="S11" i="30" s="1"/>
  <c r="K5" i="30"/>
  <c r="K3" i="30"/>
  <c r="K11" i="30"/>
  <c r="R11" i="30" s="1"/>
  <c r="K9" i="30"/>
  <c r="R9" i="30" s="1"/>
  <c r="Q5" i="30"/>
  <c r="K4" i="30"/>
  <c r="Q4" i="30"/>
  <c r="I13" i="29"/>
  <c r="J11" i="29"/>
  <c r="J9" i="29"/>
  <c r="I14" i="29"/>
  <c r="J13" i="29"/>
  <c r="I11" i="29"/>
  <c r="I8" i="29"/>
  <c r="J10" i="29"/>
  <c r="J12" i="29"/>
  <c r="J3" i="29"/>
  <c r="I9" i="29"/>
  <c r="J7" i="29"/>
  <c r="I3" i="29"/>
  <c r="I4" i="29"/>
  <c r="I7" i="29"/>
  <c r="I12" i="29"/>
  <c r="I10" i="29"/>
  <c r="J14" i="29"/>
  <c r="J4" i="29"/>
  <c r="J5" i="29"/>
  <c r="Q5" i="29" s="1"/>
  <c r="Y12" i="28"/>
  <c r="Y15" i="28"/>
  <c r="Y17" i="28"/>
  <c r="Y14" i="28"/>
  <c r="Y29" i="28"/>
  <c r="Y24" i="28"/>
  <c r="Y36" i="28"/>
  <c r="Y11" i="28"/>
  <c r="Y4" i="28"/>
  <c r="Y3" i="28"/>
  <c r="Y18" i="28"/>
  <c r="Y30" i="28"/>
  <c r="Y35" i="28"/>
  <c r="Y13" i="28"/>
  <c r="W41" i="28"/>
  <c r="Y40" i="28"/>
  <c r="Y10" i="28"/>
  <c r="Y39" i="28"/>
  <c r="Y16" i="28"/>
  <c r="Y38" i="28"/>
  <c r="Y8" i="28"/>
  <c r="Y26" i="28"/>
  <c r="Y37" i="28"/>
  <c r="Y27" i="28"/>
  <c r="Y21" i="28"/>
  <c r="Q41" i="28"/>
  <c r="T17" i="27"/>
  <c r="T15" i="27"/>
  <c r="T11" i="27"/>
  <c r="T19" i="27"/>
  <c r="T4" i="27"/>
  <c r="T20" i="27"/>
  <c r="T14" i="27"/>
  <c r="T12" i="27"/>
  <c r="T9" i="27"/>
  <c r="T5" i="27"/>
  <c r="T10" i="27"/>
  <c r="T3" i="27"/>
  <c r="T8" i="27"/>
  <c r="N14" i="27"/>
  <c r="N16" i="27"/>
  <c r="N11" i="27"/>
  <c r="N17" i="27"/>
  <c r="N21" i="27"/>
  <c r="N9" i="27"/>
  <c r="N20" i="27"/>
  <c r="N15" i="27"/>
  <c r="N22" i="27"/>
  <c r="N8" i="27"/>
  <c r="N12" i="27"/>
  <c r="N5" i="27"/>
  <c r="N19" i="27"/>
  <c r="N7" i="27"/>
  <c r="V7" i="27" s="1"/>
  <c r="N4" i="27"/>
  <c r="N13" i="27"/>
  <c r="N10" i="27"/>
  <c r="O10" i="29"/>
  <c r="O4" i="29"/>
  <c r="O9" i="29"/>
  <c r="O3" i="29"/>
  <c r="N39" i="31"/>
  <c r="S3" i="27"/>
  <c r="U3" i="27" s="1"/>
  <c r="X6" i="28"/>
  <c r="O13" i="29"/>
  <c r="O12" i="29"/>
  <c r="X11" i="31"/>
  <c r="N21" i="31"/>
  <c r="N53" i="31"/>
  <c r="O11" i="29"/>
  <c r="N54" i="31"/>
  <c r="N22" i="31"/>
  <c r="N3" i="31"/>
  <c r="O7" i="29"/>
  <c r="N52" i="31"/>
  <c r="V41" i="28"/>
  <c r="N51" i="31"/>
  <c r="N5" i="31"/>
  <c r="O8" i="29"/>
  <c r="Q8" i="29" s="1"/>
  <c r="O14" i="29"/>
  <c r="X7" i="28"/>
  <c r="X28" i="28"/>
  <c r="X34" i="28"/>
  <c r="X37" i="28"/>
  <c r="X4" i="28"/>
  <c r="X19" i="28"/>
  <c r="X22" i="28"/>
  <c r="X18" i="28"/>
  <c r="X14" i="28"/>
  <c r="X8" i="28"/>
  <c r="X16" i="28"/>
  <c r="X10" i="28"/>
  <c r="X29" i="28"/>
  <c r="S17" i="27"/>
  <c r="U17" i="27" s="1"/>
  <c r="S9" i="27"/>
  <c r="U9" i="27" s="1"/>
  <c r="S8" i="27"/>
  <c r="U8" i="27" s="1"/>
  <c r="S16" i="27"/>
  <c r="U16" i="27" s="1"/>
  <c r="S5" i="27"/>
  <c r="U5" i="27" s="1"/>
  <c r="S13" i="27"/>
  <c r="U13" i="27" s="1"/>
  <c r="S19" i="27"/>
  <c r="U19" i="27" s="1"/>
  <c r="S22" i="27"/>
  <c r="U22" i="27" s="1"/>
  <c r="S20" i="27"/>
  <c r="U20" i="27" s="1"/>
  <c r="S12" i="27"/>
  <c r="U12" i="27" s="1"/>
  <c r="S10" i="27"/>
  <c r="U10" i="27" s="1"/>
  <c r="S4" i="27"/>
  <c r="U4" i="27" s="1"/>
  <c r="S7" i="27"/>
  <c r="U7" i="27" s="1"/>
  <c r="S21" i="27"/>
  <c r="U21" i="27" s="1"/>
  <c r="S11" i="27"/>
  <c r="U11" i="27" s="1"/>
  <c r="N33" i="31"/>
  <c r="N49" i="31"/>
  <c r="N46" i="31"/>
  <c r="N30" i="31"/>
  <c r="N20" i="31"/>
  <c r="X33" i="31"/>
  <c r="X24" i="31"/>
  <c r="X57" i="31"/>
  <c r="X16" i="31"/>
  <c r="X22" i="31"/>
  <c r="X20" i="31"/>
  <c r="X53" i="31"/>
  <c r="X47" i="31"/>
  <c r="X31" i="31"/>
  <c r="X35" i="31"/>
  <c r="X15" i="31"/>
  <c r="X41" i="31"/>
  <c r="X29" i="31"/>
  <c r="X46" i="31"/>
  <c r="X60" i="31"/>
  <c r="X23" i="31"/>
  <c r="X65" i="31"/>
  <c r="X69" i="31"/>
  <c r="X67" i="31"/>
  <c r="X30" i="31"/>
  <c r="X58" i="31"/>
  <c r="X37" i="31"/>
  <c r="X62" i="31"/>
  <c r="X36" i="31"/>
  <c r="X49" i="31"/>
  <c r="X52" i="31"/>
  <c r="X14" i="31"/>
  <c r="X50" i="31"/>
  <c r="X21" i="31"/>
  <c r="X64" i="31"/>
  <c r="X70" i="31"/>
  <c r="X26" i="31"/>
  <c r="X54" i="31"/>
  <c r="X13" i="31"/>
  <c r="X17" i="31"/>
  <c r="X66" i="31"/>
  <c r="X56" i="31"/>
  <c r="X63" i="31"/>
  <c r="X12" i="31"/>
  <c r="X59" i="31"/>
  <c r="X34" i="31"/>
  <c r="X48" i="31"/>
  <c r="X55" i="31"/>
  <c r="X38" i="31"/>
  <c r="X61" i="31"/>
  <c r="X51" i="31"/>
  <c r="X27" i="31"/>
  <c r="X68" i="31"/>
  <c r="X40" i="31"/>
  <c r="X44" i="31"/>
  <c r="X32" i="31"/>
  <c r="X39" i="31"/>
  <c r="X18" i="31"/>
  <c r="X43" i="31"/>
  <c r="X45" i="31"/>
  <c r="X19" i="31"/>
  <c r="N14" i="31"/>
  <c r="N45" i="31"/>
  <c r="N17" i="31"/>
  <c r="N12" i="31"/>
  <c r="N59" i="31"/>
  <c r="N69" i="31"/>
  <c r="X3" i="31"/>
  <c r="N15" i="31"/>
  <c r="N43" i="31"/>
  <c r="N68" i="31"/>
  <c r="N41" i="31"/>
  <c r="N70" i="31"/>
  <c r="N64" i="31"/>
  <c r="N13" i="31"/>
  <c r="X7" i="31"/>
  <c r="N23" i="31"/>
  <c r="N40" i="31"/>
  <c r="N18" i="31"/>
  <c r="N50" i="31"/>
  <c r="N60" i="31"/>
  <c r="N44" i="31"/>
  <c r="N4" i="31"/>
  <c r="N58" i="31"/>
  <c r="N9" i="31"/>
  <c r="X5" i="31"/>
  <c r="N63" i="31"/>
  <c r="N27" i="31"/>
  <c r="N31" i="31"/>
  <c r="N34" i="31"/>
  <c r="N56" i="31"/>
  <c r="N65" i="31"/>
  <c r="N38" i="31"/>
  <c r="N29" i="31"/>
  <c r="N37" i="31"/>
  <c r="N32" i="31"/>
  <c r="N47" i="31"/>
  <c r="N36" i="31"/>
  <c r="N35" i="31"/>
  <c r="N26" i="31"/>
  <c r="N62" i="31"/>
  <c r="N19" i="31"/>
  <c r="N48" i="31"/>
  <c r="R73" i="31"/>
  <c r="S15" i="27"/>
  <c r="U15" i="27" s="1"/>
  <c r="AM4" i="29" l="1"/>
  <c r="AM5" i="29"/>
  <c r="AM3" i="29"/>
  <c r="Q13" i="29"/>
  <c r="T24" i="31"/>
  <c r="Q11" i="29"/>
  <c r="V8" i="27"/>
  <c r="AD13" i="27"/>
  <c r="V20" i="27"/>
  <c r="V17" i="27"/>
  <c r="AD19" i="27"/>
  <c r="AD10" i="27"/>
  <c r="AC24" i="27"/>
  <c r="AC15" i="29"/>
  <c r="AD5" i="29"/>
  <c r="Q4" i="29"/>
  <c r="AA18" i="29"/>
  <c r="AE18" i="29" s="1"/>
  <c r="AA19" i="29"/>
  <c r="AE19" i="29" s="1"/>
  <c r="S3" i="30"/>
  <c r="S5" i="30"/>
  <c r="T55" i="31"/>
  <c r="Y55" i="31" s="1"/>
  <c r="S40" i="31"/>
  <c r="T7" i="31"/>
  <c r="T6" i="31"/>
  <c r="AC4" i="30"/>
  <c r="S4" i="30"/>
  <c r="V22" i="27"/>
  <c r="AD3" i="29"/>
  <c r="T17" i="31"/>
  <c r="AD4" i="29"/>
  <c r="T60" i="31"/>
  <c r="T44" i="31"/>
  <c r="Q3" i="29"/>
  <c r="Q14" i="29"/>
  <c r="T47" i="31"/>
  <c r="T48" i="31"/>
  <c r="T15" i="31"/>
  <c r="AJ41" i="28"/>
  <c r="V11" i="27"/>
  <c r="V13" i="27"/>
  <c r="V16" i="27"/>
  <c r="V5" i="27"/>
  <c r="V21" i="27"/>
  <c r="V10" i="27"/>
  <c r="S58" i="31"/>
  <c r="T45" i="31"/>
  <c r="T69" i="31"/>
  <c r="T57" i="31"/>
  <c r="T13" i="31"/>
  <c r="T35" i="31"/>
  <c r="T33" i="31"/>
  <c r="T63" i="31"/>
  <c r="T56" i="31"/>
  <c r="T18" i="31"/>
  <c r="T32" i="31"/>
  <c r="T22" i="31"/>
  <c r="T16" i="31"/>
  <c r="T62" i="31"/>
  <c r="T49" i="31"/>
  <c r="T26" i="31"/>
  <c r="T64" i="31"/>
  <c r="T65" i="31"/>
  <c r="T40" i="31"/>
  <c r="T3" i="31"/>
  <c r="T5" i="31"/>
  <c r="T54" i="31"/>
  <c r="T61" i="31"/>
  <c r="T38" i="31"/>
  <c r="T53" i="31"/>
  <c r="T27" i="31"/>
  <c r="T70" i="31"/>
  <c r="T12" i="31"/>
  <c r="T10" i="31"/>
  <c r="T36" i="31"/>
  <c r="T52" i="31"/>
  <c r="T29" i="31"/>
  <c r="T4" i="31"/>
  <c r="Q71" i="31"/>
  <c r="T66" i="31"/>
  <c r="Y24" i="31"/>
  <c r="T37" i="31"/>
  <c r="T9" i="31"/>
  <c r="T23" i="31"/>
  <c r="T43" i="31"/>
  <c r="T14" i="31"/>
  <c r="T20" i="31"/>
  <c r="T11" i="31"/>
  <c r="T68" i="31"/>
  <c r="T19" i="31"/>
  <c r="T58" i="31"/>
  <c r="T30" i="31"/>
  <c r="S29" i="31"/>
  <c r="T51" i="31"/>
  <c r="T50" i="31"/>
  <c r="T34" i="31"/>
  <c r="T41" i="31"/>
  <c r="T59" i="31"/>
  <c r="T31" i="31"/>
  <c r="T39" i="31"/>
  <c r="T21" i="31"/>
  <c r="T46" i="31"/>
  <c r="T67" i="31"/>
  <c r="Y15" i="29"/>
  <c r="Q12" i="30"/>
  <c r="J12" i="30"/>
  <c r="R5" i="30"/>
  <c r="R4" i="30"/>
  <c r="R3" i="30"/>
  <c r="K12" i="30"/>
  <c r="Q7" i="29"/>
  <c r="Q9" i="29"/>
  <c r="Q12" i="29"/>
  <c r="Q10" i="29"/>
  <c r="I15" i="29"/>
  <c r="J15" i="29"/>
  <c r="Y41" i="28"/>
  <c r="V15" i="27"/>
  <c r="V9" i="27"/>
  <c r="V19" i="27"/>
  <c r="T24" i="27"/>
  <c r="N24" i="27"/>
  <c r="V4" i="27"/>
  <c r="V12" i="27"/>
  <c r="V14" i="27"/>
  <c r="V3" i="27"/>
  <c r="U24" i="27"/>
  <c r="AB24" i="27"/>
  <c r="S49" i="31"/>
  <c r="S17" i="31"/>
  <c r="O15" i="29"/>
  <c r="S5" i="31"/>
  <c r="S39" i="31"/>
  <c r="S37" i="31"/>
  <c r="S68" i="31"/>
  <c r="X41" i="28"/>
  <c r="S24" i="27"/>
  <c r="S15" i="31"/>
  <c r="N71" i="31"/>
  <c r="X71" i="31"/>
  <c r="S20" i="31"/>
  <c r="S3" i="31"/>
  <c r="S31" i="31"/>
  <c r="S10" i="31"/>
  <c r="S51" i="31"/>
  <c r="S66" i="31"/>
  <c r="S35" i="31"/>
  <c r="S43" i="31"/>
  <c r="S61" i="31"/>
  <c r="S70" i="31"/>
  <c r="S4" i="31"/>
  <c r="S7" i="31"/>
  <c r="S44" i="31"/>
  <c r="S62" i="31"/>
  <c r="S45" i="31"/>
  <c r="S26" i="31"/>
  <c r="S69" i="31"/>
  <c r="S55" i="31"/>
  <c r="S64" i="31"/>
  <c r="S53" i="31"/>
  <c r="S47" i="31"/>
  <c r="S19" i="31"/>
  <c r="S16" i="31"/>
  <c r="S18" i="31"/>
  <c r="S33" i="31"/>
  <c r="S60" i="31"/>
  <c r="S63" i="31"/>
  <c r="S48" i="31"/>
  <c r="S11" i="31"/>
  <c r="S52" i="31"/>
  <c r="S14" i="31"/>
  <c r="S54" i="31"/>
  <c r="S21" i="31"/>
  <c r="S50" i="31"/>
  <c r="S65" i="31"/>
  <c r="S46" i="31"/>
  <c r="S34" i="31"/>
  <c r="S67" i="31"/>
  <c r="S36" i="31"/>
  <c r="S41" i="31"/>
  <c r="S30" i="31"/>
  <c r="S12" i="31"/>
  <c r="S38" i="31"/>
  <c r="S24" i="31"/>
  <c r="S56" i="31"/>
  <c r="S13" i="31"/>
  <c r="S59" i="31"/>
  <c r="S6" i="31"/>
  <c r="S23" i="31"/>
  <c r="S22" i="31"/>
  <c r="S27" i="31"/>
  <c r="S32" i="31"/>
  <c r="S9" i="31"/>
  <c r="S57" i="31"/>
  <c r="AM15" i="29" l="1"/>
  <c r="AM16" i="29" s="1"/>
  <c r="AO4" i="29" s="1"/>
  <c r="AN4" i="29" s="1"/>
  <c r="AO9" i="29"/>
  <c r="AO3" i="29"/>
  <c r="AO5" i="29"/>
  <c r="Y21" i="31"/>
  <c r="Y43" i="31"/>
  <c r="Y29" i="31"/>
  <c r="Y53" i="31"/>
  <c r="Y32" i="31"/>
  <c r="Y69" i="31"/>
  <c r="Y39" i="31"/>
  <c r="Y23" i="31"/>
  <c r="Y52" i="31"/>
  <c r="Y38" i="31"/>
  <c r="Y64" i="31"/>
  <c r="Y18" i="31"/>
  <c r="Y45" i="31"/>
  <c r="Y44" i="31"/>
  <c r="Y6" i="31"/>
  <c r="Y30" i="31"/>
  <c r="Y31" i="31"/>
  <c r="Y58" i="31"/>
  <c r="Y9" i="31"/>
  <c r="Y61" i="31"/>
  <c r="Y26" i="31"/>
  <c r="Y56" i="31"/>
  <c r="Y60" i="31"/>
  <c r="Y7" i="31"/>
  <c r="Y59" i="31"/>
  <c r="Y19" i="31"/>
  <c r="Y37" i="31"/>
  <c r="Y36" i="31"/>
  <c r="Y54" i="31"/>
  <c r="Y49" i="31"/>
  <c r="Y63" i="31"/>
  <c r="Y41" i="31"/>
  <c r="Y68" i="31"/>
  <c r="Y10" i="31"/>
  <c r="Y5" i="31"/>
  <c r="Y62" i="31"/>
  <c r="Y33" i="31"/>
  <c r="Y15" i="31"/>
  <c r="Y17" i="31"/>
  <c r="Y67" i="31"/>
  <c r="Y66" i="31"/>
  <c r="Y12" i="31"/>
  <c r="Y3" i="31"/>
  <c r="Y16" i="31"/>
  <c r="Y35" i="31"/>
  <c r="Y48" i="31"/>
  <c r="Y11" i="31"/>
  <c r="Y46" i="31"/>
  <c r="Y50" i="31"/>
  <c r="Y20" i="31"/>
  <c r="Y70" i="31"/>
  <c r="AY70" i="31" s="1"/>
  <c r="AY71" i="31" s="1"/>
  <c r="Y40" i="31"/>
  <c r="Y13" i="31"/>
  <c r="Y47" i="31"/>
  <c r="Y34" i="31"/>
  <c r="Y51" i="31"/>
  <c r="Y14" i="31"/>
  <c r="Y4" i="31"/>
  <c r="Y27" i="31"/>
  <c r="Y65" i="31"/>
  <c r="Y22" i="31"/>
  <c r="Y57" i="31"/>
  <c r="Q15" i="29"/>
  <c r="T71" i="31"/>
  <c r="R12" i="30"/>
  <c r="V24" i="27"/>
  <c r="S71" i="31"/>
  <c r="AN5" i="29" l="1"/>
  <c r="AN3" i="29"/>
  <c r="AN9" i="29"/>
  <c r="AN15" i="29" s="1"/>
  <c r="AN16" i="29" s="1"/>
  <c r="AP4" i="29" s="1"/>
  <c r="AO15" i="29"/>
  <c r="Y71" i="31"/>
  <c r="P3" i="29"/>
  <c r="R3" i="29" s="1"/>
  <c r="P9" i="29"/>
  <c r="R9" i="29" s="1"/>
  <c r="P10" i="29"/>
  <c r="R10" i="29" s="1"/>
  <c r="P11" i="29"/>
  <c r="R11" i="29" s="1"/>
  <c r="P7" i="29"/>
  <c r="R7" i="29" s="1"/>
  <c r="P8" i="29"/>
  <c r="R8" i="29" s="1"/>
  <c r="P12" i="29"/>
  <c r="R12" i="29" s="1"/>
  <c r="P4" i="29"/>
  <c r="R4" i="29" s="1"/>
  <c r="P13" i="29"/>
  <c r="R13" i="29" s="1"/>
  <c r="P5" i="29"/>
  <c r="R5" i="29" s="1"/>
  <c r="P14" i="29"/>
  <c r="R14" i="29" s="1"/>
  <c r="AP9" i="29" l="1"/>
  <c r="AP3" i="29"/>
  <c r="AP5" i="29"/>
  <c r="R15" i="29"/>
  <c r="P15" i="29"/>
  <c r="BP72" i="31"/>
  <c r="DC72" i="31"/>
  <c r="DU42" i="31" s="1"/>
  <c r="EO72" i="31"/>
  <c r="EU42" i="31" s="1"/>
  <c r="BP74" i="31"/>
  <c r="CB15" i="29" l="1"/>
  <c r="CB16" i="29" s="1"/>
  <c r="CH56" i="31"/>
  <c r="CJ56" i="31" s="1"/>
  <c r="CH42" i="31"/>
  <c r="AP15" i="29"/>
  <c r="DU3" i="31"/>
  <c r="DX3" i="31" s="1"/>
  <c r="DU11" i="31"/>
  <c r="DX11" i="31" s="1"/>
  <c r="DU18" i="31"/>
  <c r="DX18" i="31" s="1"/>
  <c r="DU26" i="31"/>
  <c r="DU34" i="31"/>
  <c r="DX34" i="31" s="1"/>
  <c r="DU43" i="31"/>
  <c r="DX43" i="31" s="1"/>
  <c r="DU50" i="31"/>
  <c r="DX50" i="31" s="1"/>
  <c r="DU58" i="31"/>
  <c r="DX58" i="31" s="1"/>
  <c r="DU65" i="31"/>
  <c r="DX65" i="31" s="1"/>
  <c r="DU4" i="31"/>
  <c r="DU19" i="31"/>
  <c r="DX19" i="31" s="1"/>
  <c r="DU27" i="31"/>
  <c r="DX27" i="31" s="1"/>
  <c r="DU35" i="31"/>
  <c r="DX35" i="31" s="1"/>
  <c r="DU44" i="31"/>
  <c r="DX44" i="31" s="1"/>
  <c r="DU51" i="31"/>
  <c r="DX51" i="31" s="1"/>
  <c r="DU59" i="31"/>
  <c r="DX59" i="31" s="1"/>
  <c r="DU66" i="31"/>
  <c r="DX66" i="31" s="1"/>
  <c r="DU5" i="31"/>
  <c r="DX5" i="31" s="1"/>
  <c r="DU12" i="31"/>
  <c r="DX12" i="31" s="1"/>
  <c r="DU20" i="31"/>
  <c r="DX20" i="31" s="1"/>
  <c r="DU28" i="31"/>
  <c r="DX28" i="31" s="1"/>
  <c r="DU36" i="31"/>
  <c r="DX36" i="31" s="1"/>
  <c r="DU45" i="31"/>
  <c r="DX45" i="31" s="1"/>
  <c r="DU52" i="31"/>
  <c r="DU60" i="31"/>
  <c r="DU67" i="31"/>
  <c r="DX67" i="31" s="1"/>
  <c r="DU6" i="31"/>
  <c r="DX6" i="31" s="1"/>
  <c r="DU13" i="31"/>
  <c r="DX13" i="31" s="1"/>
  <c r="DU21" i="31"/>
  <c r="DX21" i="31" s="1"/>
  <c r="DU29" i="31"/>
  <c r="DX29" i="31" s="1"/>
  <c r="DU37" i="31"/>
  <c r="DX37" i="31" s="1"/>
  <c r="DU46" i="31"/>
  <c r="DX46" i="31" s="1"/>
  <c r="DU53" i="31"/>
  <c r="DX53" i="31" s="1"/>
  <c r="DU61" i="31"/>
  <c r="DX61" i="31" s="1"/>
  <c r="DU68" i="31"/>
  <c r="DX68" i="31" s="1"/>
  <c r="DU7" i="31"/>
  <c r="DU14" i="31"/>
  <c r="DX14" i="31" s="1"/>
  <c r="DU22" i="31"/>
  <c r="DX22" i="31" s="1"/>
  <c r="DU30" i="31"/>
  <c r="DX30" i="31" s="1"/>
  <c r="DU38" i="31"/>
  <c r="DX38" i="31" s="1"/>
  <c r="DU54" i="31"/>
  <c r="DX54" i="31" s="1"/>
  <c r="DU62" i="31"/>
  <c r="DX62" i="31" s="1"/>
  <c r="DU69" i="31"/>
  <c r="DX69" i="31" s="1"/>
  <c r="DU25" i="31"/>
  <c r="DX25" i="31" s="1"/>
  <c r="DU57" i="31"/>
  <c r="DX57" i="31" s="1"/>
  <c r="DU8" i="31"/>
  <c r="DX8" i="31" s="1"/>
  <c r="DU15" i="31"/>
  <c r="DX15" i="31" s="1"/>
  <c r="DU23" i="31"/>
  <c r="DX23" i="31" s="1"/>
  <c r="DU31" i="31"/>
  <c r="DX31" i="31" s="1"/>
  <c r="DU39" i="31"/>
  <c r="DX39" i="31" s="1"/>
  <c r="DU47" i="31"/>
  <c r="DX47" i="31" s="1"/>
  <c r="DU55" i="31"/>
  <c r="DX55" i="31" s="1"/>
  <c r="DU63" i="31"/>
  <c r="DX63" i="31" s="1"/>
  <c r="DU70" i="31"/>
  <c r="DX70" i="31" s="1"/>
  <c r="DU17" i="31"/>
  <c r="DX17" i="31" s="1"/>
  <c r="DU33" i="31"/>
  <c r="DX33" i="31" s="1"/>
  <c r="DU41" i="31"/>
  <c r="DX41" i="31" s="1"/>
  <c r="DU9" i="31"/>
  <c r="DX9" i="31" s="1"/>
  <c r="DU16" i="31"/>
  <c r="DX16" i="31" s="1"/>
  <c r="DU24" i="31"/>
  <c r="DX24" i="31" s="1"/>
  <c r="DU32" i="31"/>
  <c r="DX32" i="31" s="1"/>
  <c r="DU40" i="31"/>
  <c r="DX40" i="31" s="1"/>
  <c r="DU48" i="31"/>
  <c r="DX48" i="31" s="1"/>
  <c r="DU56" i="31"/>
  <c r="DX56" i="31" s="1"/>
  <c r="DU64" i="31"/>
  <c r="DX64" i="31" s="1"/>
  <c r="DU10" i="31"/>
  <c r="DX10" i="31" s="1"/>
  <c r="DU49" i="31"/>
  <c r="DX49" i="31" s="1"/>
  <c r="DX26" i="31"/>
  <c r="DX7" i="31"/>
  <c r="DX4" i="31"/>
  <c r="DX60" i="31"/>
  <c r="DX52" i="31"/>
  <c r="EU69" i="31"/>
  <c r="EX69" i="31" s="1"/>
  <c r="EU62" i="31"/>
  <c r="EX62" i="31" s="1"/>
  <c r="EU54" i="31"/>
  <c r="EX54" i="31" s="1"/>
  <c r="EU38" i="31"/>
  <c r="EX38" i="31" s="1"/>
  <c r="EU30" i="31"/>
  <c r="EX30" i="31" s="1"/>
  <c r="EU22" i="31"/>
  <c r="EX22" i="31" s="1"/>
  <c r="EU14" i="31"/>
  <c r="EX14" i="31" s="1"/>
  <c r="EU7" i="31"/>
  <c r="EX7" i="31" s="1"/>
  <c r="EU70" i="31"/>
  <c r="EX70" i="31" s="1"/>
  <c r="EU68" i="31"/>
  <c r="EX68" i="31" s="1"/>
  <c r="EU61" i="31"/>
  <c r="EX61" i="31" s="1"/>
  <c r="EU53" i="31"/>
  <c r="EX53" i="31" s="1"/>
  <c r="EU46" i="31"/>
  <c r="EX46" i="31" s="1"/>
  <c r="EU37" i="31"/>
  <c r="EX37" i="31" s="1"/>
  <c r="EU29" i="31"/>
  <c r="EX29" i="31" s="1"/>
  <c r="EU21" i="31"/>
  <c r="EX21" i="31" s="1"/>
  <c r="EU13" i="31"/>
  <c r="EX13" i="31" s="1"/>
  <c r="EU6" i="31"/>
  <c r="EX6" i="31" s="1"/>
  <c r="EU65" i="31"/>
  <c r="EX65" i="31" s="1"/>
  <c r="EU58" i="31"/>
  <c r="EX58" i="31" s="1"/>
  <c r="EU43" i="31"/>
  <c r="EX43" i="31" s="1"/>
  <c r="EU26" i="31"/>
  <c r="EX26" i="31" s="1"/>
  <c r="EU11" i="31"/>
  <c r="EX11" i="31" s="1"/>
  <c r="EU55" i="31"/>
  <c r="EX55" i="31" s="1"/>
  <c r="EU39" i="31"/>
  <c r="EX39" i="31" s="1"/>
  <c r="EU23" i="31"/>
  <c r="EX23" i="31" s="1"/>
  <c r="EU67" i="31"/>
  <c r="EX67" i="31" s="1"/>
  <c r="EU60" i="31"/>
  <c r="EX60" i="31" s="1"/>
  <c r="EU52" i="31"/>
  <c r="EX52" i="31" s="1"/>
  <c r="EU45" i="31"/>
  <c r="EX45" i="31" s="1"/>
  <c r="EU36" i="31"/>
  <c r="EX36" i="31" s="1"/>
  <c r="EU28" i="31"/>
  <c r="EX28" i="31" s="1"/>
  <c r="EU20" i="31"/>
  <c r="EX20" i="31" s="1"/>
  <c r="EU12" i="31"/>
  <c r="EX12" i="31" s="1"/>
  <c r="EU5" i="31"/>
  <c r="EX5" i="31" s="1"/>
  <c r="EU66" i="31"/>
  <c r="EX66" i="31" s="1"/>
  <c r="EU59" i="31"/>
  <c r="EX59" i="31" s="1"/>
  <c r="EU51" i="31"/>
  <c r="EX51" i="31" s="1"/>
  <c r="EU44" i="31"/>
  <c r="EX44" i="31" s="1"/>
  <c r="EU35" i="31"/>
  <c r="EX35" i="31" s="1"/>
  <c r="EU27" i="31"/>
  <c r="EX27" i="31" s="1"/>
  <c r="EU19" i="31"/>
  <c r="EX19" i="31" s="1"/>
  <c r="EU4" i="31"/>
  <c r="EX4" i="31" s="1"/>
  <c r="EU50" i="31"/>
  <c r="EX50" i="31" s="1"/>
  <c r="EU34" i="31"/>
  <c r="EX34" i="31" s="1"/>
  <c r="EU18" i="31"/>
  <c r="EX18" i="31" s="1"/>
  <c r="EU3" i="31"/>
  <c r="EX3" i="31" s="1"/>
  <c r="EU47" i="31"/>
  <c r="EX47" i="31" s="1"/>
  <c r="EU8" i="31"/>
  <c r="EX8" i="31" s="1"/>
  <c r="EU57" i="31"/>
  <c r="EX57" i="31" s="1"/>
  <c r="EU49" i="31"/>
  <c r="EX49" i="31" s="1"/>
  <c r="EU41" i="31"/>
  <c r="EX41" i="31" s="1"/>
  <c r="EU33" i="31"/>
  <c r="EX33" i="31" s="1"/>
  <c r="EU25" i="31"/>
  <c r="EX25" i="31" s="1"/>
  <c r="EU17" i="31"/>
  <c r="EX17" i="31" s="1"/>
  <c r="EU10" i="31"/>
  <c r="EX10" i="31" s="1"/>
  <c r="EU64" i="31"/>
  <c r="EX64" i="31" s="1"/>
  <c r="EU56" i="31"/>
  <c r="EX56" i="31" s="1"/>
  <c r="EU48" i="31"/>
  <c r="EX48" i="31" s="1"/>
  <c r="EU40" i="31"/>
  <c r="EX40" i="31" s="1"/>
  <c r="EU32" i="31"/>
  <c r="EX32" i="31" s="1"/>
  <c r="EU24" i="31"/>
  <c r="EX24" i="31" s="1"/>
  <c r="EU16" i="31"/>
  <c r="EX16" i="31" s="1"/>
  <c r="EU9" i="31"/>
  <c r="EX9" i="31" s="1"/>
  <c r="EU63" i="31"/>
  <c r="EX63" i="31" s="1"/>
  <c r="EU31" i="31"/>
  <c r="EX31" i="31" s="1"/>
  <c r="EU15" i="31"/>
  <c r="EX15" i="31" s="1"/>
  <c r="CH25" i="31"/>
  <c r="CJ25" i="31" s="1"/>
  <c r="CH22" i="31"/>
  <c r="CJ22" i="31" s="1"/>
  <c r="CH47" i="31"/>
  <c r="CJ47" i="31" s="1"/>
  <c r="CH37" i="31"/>
  <c r="CJ37" i="31" s="1"/>
  <c r="CH24" i="31"/>
  <c r="CJ24" i="31" s="1"/>
  <c r="CH6" i="31"/>
  <c r="CJ6" i="31" s="1"/>
  <c r="CH59" i="31"/>
  <c r="CJ59" i="31" s="1"/>
  <c r="CH19" i="31"/>
  <c r="CJ19" i="31" s="1"/>
  <c r="CH67" i="31"/>
  <c r="CJ67" i="31" s="1"/>
  <c r="CH23" i="31"/>
  <c r="CJ23" i="31" s="1"/>
  <c r="CH62" i="31"/>
  <c r="CJ62" i="31" s="1"/>
  <c r="CH20" i="31"/>
  <c r="CJ20" i="31" s="1"/>
  <c r="CH70" i="31"/>
  <c r="CJ70" i="31" s="1"/>
  <c r="CH33" i="31"/>
  <c r="CJ33" i="31" s="1"/>
  <c r="CH10" i="31"/>
  <c r="CJ10" i="31" s="1"/>
  <c r="CH64" i="31"/>
  <c r="CJ64" i="31" s="1"/>
  <c r="CH7" i="31"/>
  <c r="CJ7" i="31" s="1"/>
  <c r="CH13" i="31"/>
  <c r="CJ13" i="31" s="1"/>
  <c r="CH54" i="31"/>
  <c r="CJ54" i="31" s="1"/>
  <c r="CH32" i="31"/>
  <c r="CJ32" i="31" s="1"/>
  <c r="CH44" i="31"/>
  <c r="CJ44" i="31" s="1"/>
  <c r="CH43" i="31"/>
  <c r="CJ43" i="31" s="1"/>
  <c r="CH60" i="31"/>
  <c r="CJ60" i="31" s="1"/>
  <c r="CH16" i="31"/>
  <c r="CJ16" i="31" s="1"/>
  <c r="CH26" i="31"/>
  <c r="CJ26" i="31" s="1"/>
  <c r="CH4" i="31"/>
  <c r="CJ4" i="31" s="1"/>
  <c r="CH15" i="31"/>
  <c r="CJ15" i="31" s="1"/>
  <c r="CH12" i="31"/>
  <c r="CJ12" i="31" s="1"/>
  <c r="CH46" i="31"/>
  <c r="CJ46" i="31" s="1"/>
  <c r="CH27" i="31"/>
  <c r="CJ27" i="31" s="1"/>
  <c r="CH48" i="31"/>
  <c r="CJ48" i="31" s="1"/>
  <c r="CH3" i="31"/>
  <c r="CJ3" i="31" s="1"/>
  <c r="CH18" i="31"/>
  <c r="CJ18" i="31" s="1"/>
  <c r="CH45" i="31"/>
  <c r="CJ45" i="31" s="1"/>
  <c r="CH52" i="31"/>
  <c r="CJ52" i="31" s="1"/>
  <c r="CH61" i="31"/>
  <c r="CJ61" i="31" s="1"/>
  <c r="CH68" i="31"/>
  <c r="CJ68" i="31" s="1"/>
  <c r="CH53" i="31"/>
  <c r="CJ53" i="31" s="1"/>
  <c r="CH31" i="31"/>
  <c r="CJ31" i="31" s="1"/>
  <c r="CH69" i="31"/>
  <c r="CJ69" i="31" s="1"/>
  <c r="CH11" i="31"/>
  <c r="CJ11" i="31" s="1"/>
  <c r="CH57" i="31"/>
  <c r="CJ57" i="31" s="1"/>
  <c r="CH14" i="31"/>
  <c r="CJ14" i="31" s="1"/>
  <c r="CH51" i="31"/>
  <c r="CJ51" i="31" s="1"/>
  <c r="CH17" i="31"/>
  <c r="CJ17" i="31" s="1"/>
  <c r="CH63" i="31"/>
  <c r="CJ63" i="31" s="1"/>
  <c r="CH66" i="31"/>
  <c r="CJ66" i="31" s="1"/>
  <c r="CH35" i="31"/>
  <c r="CJ35" i="31" s="1"/>
  <c r="CH28" i="31"/>
  <c r="CJ28" i="31" s="1"/>
  <c r="CH8" i="31"/>
  <c r="CJ8" i="31" s="1"/>
  <c r="CH5" i="31"/>
  <c r="CJ5" i="31" s="1"/>
  <c r="CH29" i="31"/>
  <c r="CJ29" i="31" s="1"/>
  <c r="CH34" i="31"/>
  <c r="CJ34" i="31" s="1"/>
  <c r="CH40" i="31"/>
  <c r="CJ40" i="31" s="1"/>
  <c r="CH55" i="31"/>
  <c r="CJ55" i="31" s="1"/>
  <c r="CH9" i="31"/>
  <c r="CJ9" i="31" s="1"/>
  <c r="CH30" i="31"/>
  <c r="CJ30" i="31" s="1"/>
  <c r="CH41" i="31"/>
  <c r="CJ41" i="31" s="1"/>
  <c r="CH36" i="31"/>
  <c r="CJ36" i="31" s="1"/>
  <c r="CH39" i="31"/>
  <c r="CJ39" i="31" s="1"/>
  <c r="CH65" i="31"/>
  <c r="CJ65" i="31" s="1"/>
  <c r="CH21" i="31"/>
  <c r="CJ21" i="31" s="1"/>
  <c r="CH49" i="31"/>
  <c r="CJ49" i="31" s="1"/>
  <c r="CH50" i="31"/>
  <c r="CJ50" i="31" s="1"/>
  <c r="CH38" i="31"/>
  <c r="CJ38" i="31" s="1"/>
  <c r="CH58" i="31"/>
  <c r="CJ58" i="31" s="1"/>
  <c r="CC5" i="29" l="1"/>
  <c r="DX71" i="31"/>
  <c r="CJ71" i="31"/>
  <c r="EX72" i="31"/>
  <c r="EX71" i="31"/>
  <c r="DX72" i="31"/>
  <c r="CJ72" i="31"/>
  <c r="CC15" i="29" l="1"/>
  <c r="EA30" i="31"/>
  <c r="EC30" i="31" s="1"/>
  <c r="EZ7" i="31"/>
  <c r="CT56" i="31"/>
  <c r="EA56" i="31"/>
  <c r="EC56" i="31" s="1"/>
  <c r="EZ54" i="31"/>
  <c r="EZ68" i="31"/>
  <c r="CT70" i="31"/>
  <c r="CT36" i="31"/>
  <c r="EZ53" i="31"/>
  <c r="CT11" i="31"/>
  <c r="CT14" i="31"/>
  <c r="CT39" i="31"/>
  <c r="CT68" i="31"/>
  <c r="CT58" i="31"/>
  <c r="CT63" i="31"/>
  <c r="CT35" i="31"/>
  <c r="CT28" i="31"/>
  <c r="CT6" i="31"/>
  <c r="CT17" i="31"/>
  <c r="CT52" i="31"/>
  <c r="CT40" i="31"/>
  <c r="CT5" i="31"/>
  <c r="EZ19" i="31"/>
  <c r="EZ57" i="31"/>
  <c r="CT30" i="31"/>
  <c r="CT45" i="31"/>
  <c r="CT34" i="31"/>
  <c r="CT25" i="31"/>
  <c r="CT21" i="31"/>
  <c r="CT47" i="31"/>
  <c r="CT50" i="31"/>
  <c r="EZ67" i="31"/>
  <c r="CT18" i="31"/>
  <c r="CT46" i="31"/>
  <c r="CT57" i="31"/>
  <c r="EZ6" i="31"/>
  <c r="EZ9" i="31"/>
  <c r="EZ56" i="31"/>
  <c r="CT37" i="31"/>
  <c r="CT38" i="31"/>
  <c r="CT32" i="31"/>
  <c r="CT54" i="31"/>
  <c r="CT65" i="31"/>
  <c r="CT19" i="31"/>
  <c r="CT22" i="31"/>
  <c r="CT23" i="31"/>
  <c r="CT24" i="31"/>
  <c r="CT29" i="31"/>
  <c r="CT49" i="31"/>
  <c r="CT53" i="31"/>
  <c r="CT69" i="31"/>
  <c r="EZ64" i="31"/>
  <c r="EZ23" i="31"/>
  <c r="EZ63" i="31"/>
  <c r="CT60" i="31"/>
  <c r="CT9" i="31"/>
  <c r="EZ59" i="31"/>
  <c r="CT62" i="31"/>
  <c r="CT20" i="31"/>
  <c r="CT12" i="31"/>
  <c r="CT59" i="31"/>
  <c r="CT67" i="31"/>
  <c r="CT10" i="31"/>
  <c r="CT64" i="31"/>
  <c r="CT7" i="31"/>
  <c r="EZ61" i="31"/>
  <c r="EZ26" i="31"/>
  <c r="CT13" i="31"/>
  <c r="CT4" i="31"/>
  <c r="CT61" i="31"/>
  <c r="CT33" i="31"/>
  <c r="CT48" i="31"/>
  <c r="CT43" i="31"/>
  <c r="CT31" i="31"/>
  <c r="CT16" i="31"/>
  <c r="CT8" i="31"/>
  <c r="CT26" i="31"/>
  <c r="CT41" i="31"/>
  <c r="CT51" i="31"/>
  <c r="CT44" i="31"/>
  <c r="CT66" i="31"/>
  <c r="CT27" i="31"/>
  <c r="CT55" i="31"/>
  <c r="CT3" i="31"/>
  <c r="CT15" i="31"/>
  <c r="EZ4" i="31"/>
  <c r="EZ37" i="31"/>
  <c r="EZ43" i="31"/>
  <c r="EZ52" i="31"/>
  <c r="EZ29" i="31"/>
  <c r="EZ50" i="31"/>
  <c r="EZ66" i="31"/>
  <c r="EZ22" i="31"/>
  <c r="EA15" i="31"/>
  <c r="EC15" i="31" s="1"/>
  <c r="EA32" i="31"/>
  <c r="EC32" i="31" s="1"/>
  <c r="EA12" i="31"/>
  <c r="EC12" i="31" s="1"/>
  <c r="EA50" i="31"/>
  <c r="EC50" i="31" s="1"/>
  <c r="EA23" i="31"/>
  <c r="EC23" i="31" s="1"/>
  <c r="EA34" i="31"/>
  <c r="EC34" i="31" s="1"/>
  <c r="EZ14" i="31"/>
  <c r="EA22" i="31"/>
  <c r="EC22" i="31" s="1"/>
  <c r="EA11" i="31"/>
  <c r="EC11" i="31" s="1"/>
  <c r="EA43" i="31"/>
  <c r="EC43" i="31" s="1"/>
  <c r="FI43" i="31" s="1"/>
  <c r="EA67" i="31"/>
  <c r="EC67" i="31" s="1"/>
  <c r="FI67" i="31" s="1"/>
  <c r="EA14" i="31"/>
  <c r="EC14" i="31" s="1"/>
  <c r="EA64" i="31"/>
  <c r="EC64" i="31" s="1"/>
  <c r="FI64" i="31" s="1"/>
  <c r="EA5" i="31"/>
  <c r="EC5" i="31" s="1"/>
  <c r="EZ16" i="31"/>
  <c r="EA49" i="31"/>
  <c r="EC49" i="31" s="1"/>
  <c r="EA68" i="31"/>
  <c r="EC68" i="31" s="1"/>
  <c r="EA46" i="31"/>
  <c r="EC46" i="31" s="1"/>
  <c r="EA57" i="31"/>
  <c r="EA24" i="31"/>
  <c r="EC24" i="31" s="1"/>
  <c r="EA47" i="31"/>
  <c r="EC47" i="31" s="1"/>
  <c r="EA37" i="31"/>
  <c r="EC37" i="31" s="1"/>
  <c r="FI37" i="31" s="1"/>
  <c r="EZ45" i="31"/>
  <c r="EA3" i="31"/>
  <c r="EC3" i="31" s="1"/>
  <c r="EA35" i="31"/>
  <c r="EC35" i="31" s="1"/>
  <c r="EA25" i="31"/>
  <c r="EC25" i="31" s="1"/>
  <c r="EA45" i="31"/>
  <c r="EC45" i="31" s="1"/>
  <c r="EZ33" i="31"/>
  <c r="EA21" i="31"/>
  <c r="EC21" i="31" s="1"/>
  <c r="EZ3" i="31"/>
  <c r="EZ70" i="31"/>
  <c r="EA18" i="31"/>
  <c r="EC18" i="31" s="1"/>
  <c r="EZ32" i="31"/>
  <c r="EA36" i="31"/>
  <c r="EC36" i="31" s="1"/>
  <c r="EZ25" i="31"/>
  <c r="EA9" i="31"/>
  <c r="EC9" i="31" s="1"/>
  <c r="FI9" i="31" s="1"/>
  <c r="EZ13" i="31"/>
  <c r="EA65" i="31"/>
  <c r="EC65" i="31" s="1"/>
  <c r="EA17" i="31"/>
  <c r="EC17" i="31" s="1"/>
  <c r="EZ69" i="31"/>
  <c r="EA55" i="31"/>
  <c r="EC55" i="31" s="1"/>
  <c r="EZ39" i="31"/>
  <c r="EA29" i="31"/>
  <c r="EC29" i="31" s="1"/>
  <c r="EZ20" i="31"/>
  <c r="EA26" i="31"/>
  <c r="EC26" i="31" s="1"/>
  <c r="EA59" i="31"/>
  <c r="EC59" i="31" s="1"/>
  <c r="EZ12" i="31"/>
  <c r="EA13" i="31"/>
  <c r="EC13" i="31" s="1"/>
  <c r="EZ65" i="31"/>
  <c r="EA6" i="31"/>
  <c r="EC6" i="31" s="1"/>
  <c r="EZ38" i="31"/>
  <c r="EZ31" i="31"/>
  <c r="EA60" i="31"/>
  <c r="EC60" i="31" s="1"/>
  <c r="EZ49" i="31"/>
  <c r="EA69" i="31"/>
  <c r="EC69" i="31" s="1"/>
  <c r="EZ51" i="31"/>
  <c r="EA70" i="31"/>
  <c r="EC70" i="31" s="1"/>
  <c r="EZ11" i="31"/>
  <c r="EA16" i="31"/>
  <c r="EC16" i="31" s="1"/>
  <c r="FI16" i="31" s="1"/>
  <c r="EZ21" i="31"/>
  <c r="EZ24" i="31"/>
  <c r="EZ27" i="31"/>
  <c r="EA48" i="31"/>
  <c r="EC48" i="31" s="1"/>
  <c r="EA41" i="31"/>
  <c r="EC41" i="31" s="1"/>
  <c r="EA27" i="31"/>
  <c r="EC27" i="31" s="1"/>
  <c r="EZ48" i="31"/>
  <c r="EA7" i="31"/>
  <c r="EC7" i="31" s="1"/>
  <c r="FI7" i="31" s="1"/>
  <c r="EZ34" i="31"/>
  <c r="EA8" i="31"/>
  <c r="EC8" i="31" s="1"/>
  <c r="EZ36" i="31"/>
  <c r="EA63" i="31"/>
  <c r="EC63" i="31" s="1"/>
  <c r="FI63" i="31" s="1"/>
  <c r="EZ55" i="31"/>
  <c r="EA44" i="31"/>
  <c r="EC44" i="31" s="1"/>
  <c r="EZ47" i="31"/>
  <c r="EA4" i="31"/>
  <c r="EC4" i="31" s="1"/>
  <c r="FI4" i="31" s="1"/>
  <c r="EZ8" i="31"/>
  <c r="EA19" i="31"/>
  <c r="EC19" i="31" s="1"/>
  <c r="EZ5" i="31"/>
  <c r="EA51" i="31"/>
  <c r="EC51" i="31" s="1"/>
  <c r="EZ58" i="31"/>
  <c r="EA66" i="31"/>
  <c r="EZ30" i="31"/>
  <c r="EZ15" i="31"/>
  <c r="EA52" i="31"/>
  <c r="EC52" i="31" s="1"/>
  <c r="EZ41" i="31"/>
  <c r="EA62" i="31"/>
  <c r="EC62" i="31" s="1"/>
  <c r="EZ44" i="31"/>
  <c r="EA53" i="31"/>
  <c r="EC53" i="31" s="1"/>
  <c r="EZ28" i="31"/>
  <c r="EA10" i="31"/>
  <c r="EC10" i="31" s="1"/>
  <c r="EA28" i="31"/>
  <c r="EC28" i="31" s="1"/>
  <c r="EZ17" i="31"/>
  <c r="EA38" i="31"/>
  <c r="EC38" i="31" s="1"/>
  <c r="EA39" i="31"/>
  <c r="EC39" i="31" s="1"/>
  <c r="EA20" i="31"/>
  <c r="EZ10" i="31"/>
  <c r="EA31" i="31"/>
  <c r="EC31" i="31" s="1"/>
  <c r="FI31" i="31" s="1"/>
  <c r="EZ60" i="31"/>
  <c r="EA40" i="31"/>
  <c r="EC40" i="31" s="1"/>
  <c r="EZ46" i="31"/>
  <c r="EA33" i="31"/>
  <c r="EC33" i="31" s="1"/>
  <c r="EA58" i="31"/>
  <c r="EC58" i="31" s="1"/>
  <c r="EZ40" i="31"/>
  <c r="EA61" i="31"/>
  <c r="EC61" i="31" s="1"/>
  <c r="EZ18" i="31"/>
  <c r="EA54" i="31"/>
  <c r="EC54" i="31" s="1"/>
  <c r="FI54" i="31" s="1"/>
  <c r="EZ35" i="31"/>
  <c r="EZ62" i="31"/>
  <c r="FI59" i="31" l="1"/>
  <c r="FI61" i="31"/>
  <c r="FI53" i="31"/>
  <c r="FI45" i="31"/>
  <c r="FI22" i="31"/>
  <c r="FI19" i="31"/>
  <c r="FI27" i="31"/>
  <c r="FI23" i="31"/>
  <c r="FI51" i="31"/>
  <c r="FI58" i="31"/>
  <c r="FI50" i="31"/>
  <c r="FI70" i="31"/>
  <c r="FI3" i="31"/>
  <c r="FI14" i="31"/>
  <c r="FI52" i="31"/>
  <c r="FI6" i="31"/>
  <c r="FI68" i="31"/>
  <c r="FI38" i="31"/>
  <c r="FI44" i="31"/>
  <c r="FI26" i="31"/>
  <c r="FI29" i="31"/>
  <c r="FI41" i="31"/>
  <c r="FI33" i="31"/>
  <c r="FI39" i="31"/>
  <c r="FI69" i="31"/>
  <c r="FI60" i="31"/>
  <c r="FI21" i="31"/>
  <c r="FI5" i="31"/>
  <c r="FI34" i="31"/>
  <c r="FI28" i="31"/>
  <c r="FI47" i="31"/>
  <c r="FI10" i="31"/>
  <c r="FI24" i="31"/>
  <c r="ED66" i="31"/>
  <c r="FB66" i="31" s="1"/>
  <c r="EC66" i="31"/>
  <c r="FI66" i="31" s="1"/>
  <c r="FI36" i="31"/>
  <c r="FI25" i="31"/>
  <c r="ED57" i="31"/>
  <c r="EC57" i="31"/>
  <c r="FI57" i="31" s="1"/>
  <c r="FI12" i="31"/>
  <c r="ED20" i="31"/>
  <c r="FB20" i="31" s="1"/>
  <c r="EC20" i="31"/>
  <c r="FI20" i="31" s="1"/>
  <c r="FI55" i="31"/>
  <c r="FI35" i="31"/>
  <c r="FI46" i="31"/>
  <c r="FI32" i="31"/>
  <c r="FI56" i="31"/>
  <c r="FI48" i="31"/>
  <c r="FI13" i="31"/>
  <c r="FI18" i="31"/>
  <c r="FI11" i="31"/>
  <c r="FI15" i="31"/>
  <c r="FI62" i="31"/>
  <c r="FI17" i="31"/>
  <c r="FI49" i="31"/>
  <c r="FI40" i="31"/>
  <c r="FI8" i="31"/>
  <c r="FI65" i="31"/>
  <c r="FI30" i="31"/>
  <c r="ED30" i="31"/>
  <c r="FB30" i="31" s="1"/>
  <c r="ED65" i="31"/>
  <c r="FB65" i="31" s="1"/>
  <c r="ED46" i="31"/>
  <c r="ED43" i="31"/>
  <c r="FB43" i="31" s="1"/>
  <c r="ED69" i="31"/>
  <c r="FB69" i="31" s="1"/>
  <c r="ED53" i="31"/>
  <c r="ED34" i="31"/>
  <c r="FB34" i="31" s="1"/>
  <c r="ED12" i="31"/>
  <c r="FB12" i="31" s="1"/>
  <c r="ED5" i="31"/>
  <c r="FB5" i="31" s="1"/>
  <c r="ED44" i="31"/>
  <c r="ED39" i="31"/>
  <c r="FB39" i="31" s="1"/>
  <c r="ED70" i="31"/>
  <c r="FB70" i="31" s="1"/>
  <c r="ED45" i="31"/>
  <c r="FB45" i="31" s="1"/>
  <c r="ED62" i="31"/>
  <c r="FB62" i="31" s="1"/>
  <c r="ED17" i="31"/>
  <c r="FB17" i="31" s="1"/>
  <c r="ED24" i="31"/>
  <c r="FB24" i="31" s="1"/>
  <c r="ED25" i="31"/>
  <c r="FB25" i="31" s="1"/>
  <c r="ED9" i="31"/>
  <c r="FB9" i="31" s="1"/>
  <c r="ED29" i="31"/>
  <c r="FB29" i="31" s="1"/>
  <c r="ED50" i="31"/>
  <c r="FB50" i="31" s="1"/>
  <c r="ED16" i="31"/>
  <c r="FB16" i="31" s="1"/>
  <c r="ED68" i="31"/>
  <c r="FB68" i="31" s="1"/>
  <c r="ED22" i="31"/>
  <c r="FB22" i="31" s="1"/>
  <c r="ED40" i="31"/>
  <c r="FB40" i="31" s="1"/>
  <c r="ED67" i="31"/>
  <c r="FB67" i="31" s="1"/>
  <c r="ED31" i="31"/>
  <c r="FB31" i="31" s="1"/>
  <c r="ED58" i="31"/>
  <c r="FB58" i="31" s="1"/>
  <c r="ED49" i="31"/>
  <c r="FB49" i="31" s="1"/>
  <c r="ED56" i="31"/>
  <c r="FB56" i="31" s="1"/>
  <c r="ED23" i="31"/>
  <c r="FB23" i="31" s="1"/>
  <c r="ED47" i="31"/>
  <c r="FB47" i="31" s="1"/>
  <c r="ED55" i="31"/>
  <c r="FB55" i="31" s="1"/>
  <c r="ED27" i="31"/>
  <c r="FB27" i="31" s="1"/>
  <c r="ED19" i="31"/>
  <c r="FB19" i="31" s="1"/>
  <c r="ED59" i="31"/>
  <c r="FB59" i="31" s="1"/>
  <c r="ED36" i="31"/>
  <c r="FB36" i="31" s="1"/>
  <c r="ED4" i="31"/>
  <c r="FB4" i="31" s="1"/>
  <c r="ED10" i="31"/>
  <c r="FB10" i="31" s="1"/>
  <c r="ED35" i="31"/>
  <c r="FB35" i="31" s="1"/>
  <c r="ED3" i="31"/>
  <c r="FB3" i="31" s="1"/>
  <c r="FB57" i="31"/>
  <c r="FB53" i="31"/>
  <c r="ED15" i="31"/>
  <c r="FB15" i="31" s="1"/>
  <c r="ED7" i="31"/>
  <c r="FB7" i="31" s="1"/>
  <c r="ED32" i="31"/>
  <c r="FB32" i="31" s="1"/>
  <c r="ED6" i="31"/>
  <c r="FB6" i="31" s="1"/>
  <c r="ED14" i="31"/>
  <c r="FB14" i="31" s="1"/>
  <c r="ED41" i="31"/>
  <c r="FB41" i="31" s="1"/>
  <c r="ED64" i="31"/>
  <c r="FB64" i="31" s="1"/>
  <c r="FB46" i="31"/>
  <c r="ED28" i="31"/>
  <c r="FB28" i="31" s="1"/>
  <c r="ED37" i="31"/>
  <c r="FB37" i="31" s="1"/>
  <c r="ED26" i="31"/>
  <c r="FB26" i="31" s="1"/>
  <c r="ED21" i="31"/>
  <c r="FB21" i="31" s="1"/>
  <c r="ED38" i="31"/>
  <c r="FB38" i="31" s="1"/>
  <c r="ED60" i="31"/>
  <c r="FB60" i="31" s="1"/>
  <c r="ED8" i="31"/>
  <c r="FB8" i="31" s="1"/>
  <c r="ED52" i="31"/>
  <c r="FB52" i="31" s="1"/>
  <c r="ED11" i="31"/>
  <c r="FB11" i="31" s="1"/>
  <c r="FB44" i="31"/>
  <c r="ED33" i="31"/>
  <c r="FB33" i="31" s="1"/>
  <c r="ED18" i="31"/>
  <c r="FB18" i="31" s="1"/>
  <c r="ED51" i="31"/>
  <c r="FB51" i="31" s="1"/>
  <c r="ED13" i="31"/>
  <c r="FB13" i="31" s="1"/>
  <c r="ED48" i="31"/>
  <c r="FB48" i="31" s="1"/>
  <c r="ED63" i="31"/>
  <c r="FB63" i="31" s="1"/>
  <c r="ED54" i="31"/>
  <c r="FB54" i="31" s="1"/>
  <c r="ED61" i="31"/>
  <c r="FB61" i="31" s="1"/>
  <c r="BK29" i="31" l="1"/>
  <c r="BF34" i="31" s="1"/>
  <c r="AT34" i="31" s="1"/>
  <c r="BF17" i="31" l="1"/>
  <c r="AT17" i="31" s="1"/>
  <c r="BF24" i="31"/>
  <c r="AT24" i="31" s="1"/>
  <c r="BF60" i="31"/>
  <c r="AT60" i="31" s="1"/>
  <c r="BF55" i="31"/>
  <c r="AT55" i="31" s="1"/>
  <c r="BF30" i="31"/>
  <c r="AT30" i="31" s="1"/>
  <c r="BF40" i="31"/>
  <c r="AT40" i="31" s="1"/>
  <c r="BF47" i="31"/>
  <c r="AT47" i="31" s="1"/>
  <c r="BF10" i="31"/>
  <c r="AT10" i="31" s="1"/>
  <c r="BF11" i="31"/>
  <c r="AT11" i="31" s="1"/>
  <c r="BF54" i="31"/>
  <c r="AT54" i="31" s="1"/>
  <c r="BF27" i="31"/>
  <c r="AT27" i="31" s="1"/>
  <c r="BF6" i="31"/>
  <c r="AT6" i="31" s="1"/>
  <c r="BF44" i="31"/>
  <c r="AT44" i="31" s="1"/>
  <c r="BF23" i="31"/>
  <c r="AT23" i="31" s="1"/>
  <c r="BF12" i="31"/>
  <c r="AT12" i="31" s="1"/>
  <c r="BF29" i="31"/>
  <c r="AT29" i="31" s="1"/>
  <c r="BF32" i="31"/>
  <c r="AT32" i="31" s="1"/>
  <c r="AT71" i="31" l="1"/>
  <c r="BK32" i="31" s="1"/>
  <c r="AG34" i="31" s="1"/>
  <c r="AP34" i="31" s="1"/>
  <c r="AG29" i="31" l="1"/>
  <c r="AP29" i="31" s="1"/>
  <c r="AG11" i="31"/>
  <c r="AP11" i="31" s="1"/>
  <c r="AG27" i="31"/>
  <c r="AP27" i="31" s="1"/>
  <c r="AG54" i="31"/>
  <c r="AP54" i="31" s="1"/>
  <c r="AG47" i="31"/>
  <c r="AP47" i="31" s="1"/>
  <c r="AG23" i="31"/>
  <c r="AP23" i="31" s="1"/>
  <c r="AG17" i="31"/>
  <c r="AP17" i="31" s="1"/>
  <c r="AG32" i="31"/>
  <c r="AP32" i="31" s="1"/>
  <c r="AG30" i="31"/>
  <c r="AP30" i="31" s="1"/>
  <c r="AG55" i="31"/>
  <c r="AP55" i="31" s="1"/>
  <c r="AG6" i="31"/>
  <c r="AG24" i="31"/>
  <c r="AP24" i="31" s="1"/>
  <c r="AG44" i="31"/>
  <c r="AP44" i="31" s="1"/>
  <c r="AG12" i="31"/>
  <c r="AP12" i="31" s="1"/>
  <c r="AG10" i="31"/>
  <c r="AP10" i="31" s="1"/>
  <c r="AG60" i="31"/>
  <c r="AP60" i="31" s="1"/>
  <c r="AG40" i="31"/>
  <c r="AP40" i="31" s="1"/>
  <c r="AG71" i="31" l="1"/>
  <c r="AP6" i="31"/>
  <c r="AP71" i="31" s="1"/>
  <c r="AP72" i="31" l="1"/>
  <c r="AR60" i="31" l="1"/>
  <c r="AO60" i="31" s="1"/>
  <c r="AR27" i="31"/>
  <c r="AO27" i="31" s="1"/>
  <c r="AR24" i="31"/>
  <c r="AO24" i="31" s="1"/>
  <c r="AR17" i="31"/>
  <c r="AO17" i="31" s="1"/>
  <c r="AR55" i="31"/>
  <c r="AO55" i="31" s="1"/>
  <c r="AR54" i="31"/>
  <c r="AO54" i="31" s="1"/>
  <c r="AR23" i="31"/>
  <c r="AO23" i="31" s="1"/>
  <c r="AR48" i="31"/>
  <c r="AO48" i="31" s="1"/>
  <c r="AR47" i="31"/>
  <c r="AO47" i="31" s="1"/>
  <c r="AR44" i="31"/>
  <c r="AO44" i="31" s="1"/>
  <c r="AR11" i="31"/>
  <c r="AO11" i="31" s="1"/>
  <c r="AR41" i="31"/>
  <c r="AO41" i="31" s="1"/>
  <c r="AR10" i="31"/>
  <c r="AO10" i="31" s="1"/>
  <c r="AR6" i="31"/>
  <c r="AO6" i="31" s="1"/>
  <c r="AR40" i="31"/>
  <c r="AO40" i="31" s="1"/>
  <c r="AR34" i="31"/>
  <c r="AO34" i="31" s="1"/>
  <c r="AR32" i="31"/>
  <c r="AO32" i="31" s="1"/>
  <c r="AR30" i="31"/>
  <c r="AO30" i="31" s="1"/>
  <c r="AR70" i="31"/>
  <c r="AO70" i="31" s="1"/>
  <c r="AR29" i="31"/>
  <c r="AO29" i="31" s="1"/>
  <c r="AR12" i="31"/>
  <c r="AO12" i="31" s="1"/>
  <c r="AO71" i="31" l="1"/>
  <c r="AO72" i="31" s="1"/>
  <c r="AQ54" i="31" s="1"/>
  <c r="AR71" i="31"/>
  <c r="AQ70" i="31" l="1"/>
  <c r="AQ40" i="31"/>
  <c r="AQ30" i="31"/>
  <c r="AQ34" i="31"/>
  <c r="AQ6" i="31"/>
  <c r="AQ29" i="31"/>
  <c r="AQ12" i="31"/>
  <c r="AQ44" i="31"/>
  <c r="AQ27" i="31"/>
  <c r="AQ17" i="31"/>
  <c r="AQ60" i="31"/>
  <c r="AQ23" i="31"/>
  <c r="AQ55" i="31"/>
  <c r="AQ11" i="31"/>
  <c r="AQ32" i="31"/>
  <c r="AQ10" i="31"/>
  <c r="AQ48" i="31"/>
  <c r="AQ24" i="31"/>
  <c r="AQ19" i="31"/>
  <c r="AQ18" i="31"/>
  <c r="AQ43" i="31"/>
  <c r="AQ47" i="31"/>
  <c r="AQ41" i="31"/>
  <c r="AQ13" i="30"/>
  <c r="AQ14" i="30" s="1"/>
  <c r="BW71" i="31" l="1"/>
  <c r="BW72" i="31" s="1"/>
  <c r="AQ71" i="31"/>
  <c r="AR9" i="30"/>
  <c r="AR4" i="30"/>
  <c r="BX47" i="31" l="1"/>
  <c r="BX5" i="31"/>
  <c r="AP9" i="30"/>
  <c r="BX34" i="31"/>
  <c r="BX43" i="31"/>
  <c r="BX40" i="31"/>
  <c r="BX10" i="31"/>
  <c r="BX22" i="31"/>
  <c r="BX67" i="31"/>
  <c r="BX58" i="31"/>
  <c r="BX69" i="31"/>
  <c r="BX54" i="31"/>
  <c r="BX29" i="31"/>
  <c r="BX38" i="31"/>
  <c r="BX44" i="31"/>
  <c r="BX23" i="31"/>
  <c r="BX12" i="31"/>
  <c r="BX6" i="31"/>
  <c r="BX48" i="31"/>
  <c r="BX11" i="31"/>
  <c r="BX19" i="31"/>
  <c r="BX30" i="31"/>
  <c r="BX27" i="31"/>
  <c r="BX41" i="31"/>
  <c r="BX17" i="31"/>
  <c r="BX55" i="31"/>
  <c r="BX32" i="31"/>
  <c r="BX18" i="31"/>
  <c r="BX70" i="31"/>
  <c r="BX24" i="31"/>
  <c r="BX60" i="31"/>
  <c r="AR13" i="30"/>
  <c r="AP4" i="30"/>
  <c r="BX71" i="31" l="1"/>
  <c r="AP13" i="30"/>
  <c r="AP14" i="30" s="1"/>
  <c r="AS9" i="30" s="1"/>
  <c r="AS4" i="30" l="1"/>
  <c r="AS13" i="30" l="1"/>
  <c r="BT13" i="30" l="1"/>
  <c r="BT14" i="30" s="1"/>
  <c r="BU4" i="30" s="1"/>
  <c r="BU5" i="30" l="1"/>
  <c r="BU9" i="30"/>
  <c r="BU13" i="30" l="1"/>
</calcChain>
</file>

<file path=xl/sharedStrings.xml><?xml version="1.0" encoding="utf-8"?>
<sst xmlns="http://schemas.openxmlformats.org/spreadsheetml/2006/main" count="5330" uniqueCount="623">
  <si>
    <t>VVŠ</t>
  </si>
  <si>
    <t>Program, podprogram, prvok</t>
  </si>
  <si>
    <t>Množina oblasti výskumu_počet zamestnancov</t>
  </si>
  <si>
    <t>Pracovisko VVŠ</t>
  </si>
  <si>
    <t>M</t>
  </si>
  <si>
    <t>UK</t>
  </si>
  <si>
    <t>077 12 01</t>
  </si>
  <si>
    <t>M1_PRIR_ počet 296</t>
  </si>
  <si>
    <t>Prírodovedecká fakulta UK</t>
  </si>
  <si>
    <t>M1_PRIR_ počet 174</t>
  </si>
  <si>
    <t>Fakulta matematiky, fyziky a informatiky UK</t>
  </si>
  <si>
    <t>STU</t>
  </si>
  <si>
    <t>M1_PRIR_ počet 100</t>
  </si>
  <si>
    <t>Fakulta chemickej a potravinárskej technológie</t>
  </si>
  <si>
    <t>Stavebná fakulta</t>
  </si>
  <si>
    <t>UPJŠ</t>
  </si>
  <si>
    <t>M1_PRIR_ počet 158</t>
  </si>
  <si>
    <t>Prírodovedecká fakulta</t>
  </si>
  <si>
    <t>M1_PRIR_ počet 13</t>
  </si>
  <si>
    <t>Celouniverzitné pracovisko UPJŠ</t>
  </si>
  <si>
    <t>TVU</t>
  </si>
  <si>
    <t>077</t>
  </si>
  <si>
    <t>Pedagogická fakulta</t>
  </si>
  <si>
    <t>UCM</t>
  </si>
  <si>
    <t>Fakulta prírodných vied</t>
  </si>
  <si>
    <t>TUAD</t>
  </si>
  <si>
    <t>M1_PRIR_ počet 41</t>
  </si>
  <si>
    <t>FunGlass - Centrum pre  funkcionalizované sklá</t>
  </si>
  <si>
    <t>TUKE</t>
  </si>
  <si>
    <t>M2_TECH_ počet 118</t>
  </si>
  <si>
    <t>Strojnícka fakulta</t>
  </si>
  <si>
    <t>UKF</t>
  </si>
  <si>
    <t>M2_TECH_ počet 34</t>
  </si>
  <si>
    <t>M2_TECH_ počet 167</t>
  </si>
  <si>
    <t>Fakulta elektrotechniky a informatiky</t>
  </si>
  <si>
    <t>M2_TECH_ počet 129</t>
  </si>
  <si>
    <t>TUZVO</t>
  </si>
  <si>
    <t>M2_TECH_ počet 48</t>
  </si>
  <si>
    <t>Drevárska fakulta</t>
  </si>
  <si>
    <t>M2_TECH_ počet 35</t>
  </si>
  <si>
    <t>Fakulta ekológie a environmentalistiky</t>
  </si>
  <si>
    <t>M2_TECH_ počet 65</t>
  </si>
  <si>
    <t>Fakulta výrobných technológií</t>
  </si>
  <si>
    <t>M2_TECH_ počet 103</t>
  </si>
  <si>
    <t>Fakulta baníctva, ekológie, riadenia a geotechnológií</t>
  </si>
  <si>
    <t>M2_TECH_ počet 61</t>
  </si>
  <si>
    <t>ŽU</t>
  </si>
  <si>
    <t>Celouniverzitné pracovisko ŽU</t>
  </si>
  <si>
    <t>PU</t>
  </si>
  <si>
    <t>Fakulta humanitných a prírodných vied</t>
  </si>
  <si>
    <t>M2_TECH_ počet 25</t>
  </si>
  <si>
    <t>Prírodovedecká fakulta UPJŠ</t>
  </si>
  <si>
    <t>M3_LEK_ počet 224</t>
  </si>
  <si>
    <t>Jesseniova lekárska fakulta UK</t>
  </si>
  <si>
    <t>M3_LEK_ počet 452</t>
  </si>
  <si>
    <t>Lekárska fakulta UK</t>
  </si>
  <si>
    <t>M3_LEK_ počet 46</t>
  </si>
  <si>
    <t>Fakulta zdravotníctva a sociálnej práce</t>
  </si>
  <si>
    <t>Fakulta zdravotníckych vied</t>
  </si>
  <si>
    <t>M3_LEK_ počet 97</t>
  </si>
  <si>
    <t>Farmaceutická fakulta UK</t>
  </si>
  <si>
    <t>SPU</t>
  </si>
  <si>
    <t>M4_POL_ počet 91</t>
  </si>
  <si>
    <t>Fakulta agrobiológie a potravinových zdrojov</t>
  </si>
  <si>
    <t>Fakulta záhradníctva a krajinného inžinierstva</t>
  </si>
  <si>
    <t>M4_POL_ počet 75</t>
  </si>
  <si>
    <t>Lesnícka fakulta</t>
  </si>
  <si>
    <t>M5_SPOL_ počet 22</t>
  </si>
  <si>
    <t>Fakulta riadenia a informatiky</t>
  </si>
  <si>
    <t>M5_SPOL_ počet 74</t>
  </si>
  <si>
    <t>Fakulta managementu UK</t>
  </si>
  <si>
    <t>M5_SPOL_ počet 59</t>
  </si>
  <si>
    <t>Fakulta telesnej výchovy a športu UK</t>
  </si>
  <si>
    <t>M5_SPOL_ počet 48</t>
  </si>
  <si>
    <t>Fakulta sociálnych a ekonomických vied UK</t>
  </si>
  <si>
    <t>M5_SPOL_ počet 19</t>
  </si>
  <si>
    <t>Ústav manažmentu STU</t>
  </si>
  <si>
    <t>EU</t>
  </si>
  <si>
    <t>M5_SPOL_ počet 75</t>
  </si>
  <si>
    <t>Fakulta podnikového manažmentu</t>
  </si>
  <si>
    <t>M5_SPOL_ počet 65</t>
  </si>
  <si>
    <t>Obchodná fakulta</t>
  </si>
  <si>
    <t>M5_SPOL</t>
  </si>
  <si>
    <t>M5_SPOL_ počet 92</t>
  </si>
  <si>
    <t>Národohospodárska fakulta</t>
  </si>
  <si>
    <t>M5_SPOL_ počet 29</t>
  </si>
  <si>
    <t>Fakulta ekonomiky a manažmentu</t>
  </si>
  <si>
    <t>Fakulta európskych štúdií a regionálneho rozvoja</t>
  </si>
  <si>
    <t>M5_SPOL_ počet 32</t>
  </si>
  <si>
    <t>M5_SPOL_ počet 44</t>
  </si>
  <si>
    <t>Fakulta bezpečnostného inžinierstva</t>
  </si>
  <si>
    <t>M5_SPOL_ počet 63</t>
  </si>
  <si>
    <t>Ekonomická fakulta</t>
  </si>
  <si>
    <t>M5_SPOL_ počet 41</t>
  </si>
  <si>
    <t>Fakulta prevádzky a ekonomiky dopravy a spojov</t>
  </si>
  <si>
    <t>M5_SPOL_ počet 34</t>
  </si>
  <si>
    <t>Filozofická fakulta</t>
  </si>
  <si>
    <t>M5_SPOL_ počet 25</t>
  </si>
  <si>
    <t>M5_SPOL_ počet 91</t>
  </si>
  <si>
    <t>UMB</t>
  </si>
  <si>
    <t>M5_SPOL_ počet 96</t>
  </si>
  <si>
    <t>M5_SPOL_ počet 14</t>
  </si>
  <si>
    <t>M5_SPOL_ počet 39</t>
  </si>
  <si>
    <t>Právnická fakulta</t>
  </si>
  <si>
    <t>M5_SPOL_ počet 27</t>
  </si>
  <si>
    <t>Fakulta sociálnych vied a zdravotníctva</t>
  </si>
  <si>
    <t>M5_SPOL_ počet 67</t>
  </si>
  <si>
    <t>Fakulta manažmentu</t>
  </si>
  <si>
    <t>Pravoslávna bohoslovecká fakulta</t>
  </si>
  <si>
    <t>M5_SPOL_ počet 24</t>
  </si>
  <si>
    <t>Fakulta športu</t>
  </si>
  <si>
    <t>KU</t>
  </si>
  <si>
    <t>Teologická fakulta</t>
  </si>
  <si>
    <t>M5_SPOL_ počet 26</t>
  </si>
  <si>
    <t>Fakulta sociálno-ekonomických vzťahov</t>
  </si>
  <si>
    <t>UJS</t>
  </si>
  <si>
    <t>M5_SPOL_ počet 18</t>
  </si>
  <si>
    <t>Fakulta ekonómie a informatiky</t>
  </si>
  <si>
    <t>M6_HUM_ počet 183</t>
  </si>
  <si>
    <t>Filozofická fakulta UK</t>
  </si>
  <si>
    <t>M6_HUM_ počet 16</t>
  </si>
  <si>
    <t>Rímskokatolícka bohoslovecká fakulta UK</t>
  </si>
  <si>
    <t>M6_HUM_ počet 19</t>
  </si>
  <si>
    <t>M6_HUM_ počet 13</t>
  </si>
  <si>
    <t>Fakulta humanitných vied</t>
  </si>
  <si>
    <t>M6_HUM_ počet 18</t>
  </si>
  <si>
    <t>Fakulta stredoeurópskych štúdií</t>
  </si>
  <si>
    <t>M6_HUM_</t>
  </si>
  <si>
    <t>M6_HUM_ počet 164</t>
  </si>
  <si>
    <t>M6_HUM_ počet 17</t>
  </si>
  <si>
    <t>Gréckokatolícka teologická fakulta</t>
  </si>
  <si>
    <t>M6_HUM_ počet 10</t>
  </si>
  <si>
    <t>M6_HUM_ počet 68</t>
  </si>
  <si>
    <t>M6_HUM_ počet 21</t>
  </si>
  <si>
    <t>M6_HUM_ počet 7</t>
  </si>
  <si>
    <t>M6_HUM_ počet 9</t>
  </si>
  <si>
    <t>VŠMU</t>
  </si>
  <si>
    <t>M6_UM_ počet 115</t>
  </si>
  <si>
    <t>VŠVU</t>
  </si>
  <si>
    <t>M6_UM_ počet 116</t>
  </si>
  <si>
    <t>AU</t>
  </si>
  <si>
    <t>M6_UM_ počet 82</t>
  </si>
  <si>
    <t>M6_UM_ počet 29</t>
  </si>
  <si>
    <t xml:space="preserve">M6_UM_ </t>
  </si>
  <si>
    <t>kod skoly</t>
  </si>
  <si>
    <t>VS_NAZOV</t>
  </si>
  <si>
    <t>FAKULTA_NAZOV / sucasti</t>
  </si>
  <si>
    <t>odbor vedy</t>
  </si>
  <si>
    <t>počet</t>
  </si>
  <si>
    <t>Univerzita Komenského v Bratislave</t>
  </si>
  <si>
    <t>Právnická fakulta UK</t>
  </si>
  <si>
    <t>pedagogické vedy</t>
  </si>
  <si>
    <t>humanitné vedy</t>
  </si>
  <si>
    <t>historické vedy a etnológia</t>
  </si>
  <si>
    <t>umenie</t>
  </si>
  <si>
    <t>projektovanie, inžinierstvo, technológie a vodné hospodárstvo</t>
  </si>
  <si>
    <t>spoločenské a behaviorálne vedy</t>
  </si>
  <si>
    <t>právo a medzinárodné vzťahy</t>
  </si>
  <si>
    <t>ekonómia a manažment</t>
  </si>
  <si>
    <t>fyzika</t>
  </si>
  <si>
    <t>vedy o Zemi a vesmíre</t>
  </si>
  <si>
    <t>environmentalistika a ekológia</t>
  </si>
  <si>
    <t>metalurgické a montánne vedy</t>
  </si>
  <si>
    <t>chémia, chemická technológia a biotechnológie</t>
  </si>
  <si>
    <t>vedy o živej prírode</t>
  </si>
  <si>
    <t>strojárstvo</t>
  </si>
  <si>
    <t>elektrotechnika a elektroenergetika</t>
  </si>
  <si>
    <t>informatické vedy, automatizácia a telekomunikácie</t>
  </si>
  <si>
    <t>inžinierstvo a technológie</t>
  </si>
  <si>
    <t>lekárske, farmaceutické a nelekárske zdravotnícke vedy</t>
  </si>
  <si>
    <t>poľnohospodárske a lesnícke vedy</t>
  </si>
  <si>
    <t>veterinárske vedy</t>
  </si>
  <si>
    <t>vedy o športe</t>
  </si>
  <si>
    <t>dopravné služby</t>
  </si>
  <si>
    <t>bezpečnostné služby</t>
  </si>
  <si>
    <t>matematika a štatistika</t>
  </si>
  <si>
    <t>Pedagogická fakulta UK</t>
  </si>
  <si>
    <t>Evanjelická bohoslovecká fakulta UK</t>
  </si>
  <si>
    <t>Rímskokatolícka cyrilometodská bohoslovecká fakulta UK</t>
  </si>
  <si>
    <t>Vedecký park UK</t>
  </si>
  <si>
    <t>Slovenská technická univerzita v Bratislave</t>
  </si>
  <si>
    <t>Fakulta architektúry</t>
  </si>
  <si>
    <t>Materiálovotechnologická fakulta so sídlom v Trnave</t>
  </si>
  <si>
    <t>Stavebná fakulta STU v Bratislave</t>
  </si>
  <si>
    <t>Strojnícka fakulta Slovenskej technickej univerzity v Bratislave</t>
  </si>
  <si>
    <t>Fakulta informatiky a informačných technológií</t>
  </si>
  <si>
    <t>Ekonomická univerzita v Bratislave</t>
  </si>
  <si>
    <t>Podnikovohospodárska fakulta v Košiciach</t>
  </si>
  <si>
    <t>Fakulta hospodárskej informatiky</t>
  </si>
  <si>
    <t>Fakulta aplikovaných jazykov</t>
  </si>
  <si>
    <t>Fakulta medzinárodných vzťahov</t>
  </si>
  <si>
    <t>Slovenská poľnohospodárska univerzita v Nitre</t>
  </si>
  <si>
    <t>Technická fakulta</t>
  </si>
  <si>
    <t>Fakulta biotechnológie a potravinárstva</t>
  </si>
  <si>
    <t>Výskumné centrum AgroBioTech</t>
  </si>
  <si>
    <t>Technická univerzita vo Zvolene</t>
  </si>
  <si>
    <t>Ústav cudzích jazykov</t>
  </si>
  <si>
    <t>Fakulta techniky</t>
  </si>
  <si>
    <t>Vysoká škola výtvarných umení v Bratislave</t>
  </si>
  <si>
    <t>Pracoviská VŠVU</t>
  </si>
  <si>
    <t>Vysoká škola múzických umení v Bratislave</t>
  </si>
  <si>
    <t>Hudobná a tanečná fakulta VŠMU</t>
  </si>
  <si>
    <t>Divadelná fakulta VŠMU</t>
  </si>
  <si>
    <t>Filmová a televízna fakulta VŠMU</t>
  </si>
  <si>
    <t>Univerzita veterinárskeho lekárstva a farmácie v Košiciach</t>
  </si>
  <si>
    <t>Pracoviská UVLF</t>
  </si>
  <si>
    <t>Univerzitná veterinárna nemocnica</t>
  </si>
  <si>
    <t>Technická univerzita v Košiciach</t>
  </si>
  <si>
    <t>Letecká fakulta</t>
  </si>
  <si>
    <t>Fakulta materiálov, metalurgie a recyklácie</t>
  </si>
  <si>
    <t>Fakulta umení</t>
  </si>
  <si>
    <t>Ústav jazykov, spoločenských vied a akademického športu</t>
  </si>
  <si>
    <t>Žilinská univerzita v Žiline</t>
  </si>
  <si>
    <t>Fakulta elektrotechniky a informačných technológií</t>
  </si>
  <si>
    <t>Univerzita Pavla Jozefa Šafárika v Košiciach</t>
  </si>
  <si>
    <t>Lekárska fakulta, Košice</t>
  </si>
  <si>
    <t>Fakulta verejnej správy</t>
  </si>
  <si>
    <t>Trnavská univerzita v Trnave</t>
  </si>
  <si>
    <t>Ústav dejín Trnavskej univerzity</t>
  </si>
  <si>
    <t>Univerzita Mateja Bela v Banskej Bystrici</t>
  </si>
  <si>
    <t>Fakulta politických vied a medzinárodných vzťahov</t>
  </si>
  <si>
    <t>Univerzita Konštantína Filozofa v Nitre</t>
  </si>
  <si>
    <t>Pedagogická fakulta UKF</t>
  </si>
  <si>
    <t>Prešovská univerzita v Prešove</t>
  </si>
  <si>
    <t>Fakulta zdravotníckych odborov</t>
  </si>
  <si>
    <t>Centrum jazykov a kultúr národnostných menšín</t>
  </si>
  <si>
    <t>Centrum celoživotného a kompetenčného vzdelávania</t>
  </si>
  <si>
    <t>Akadémia umení</t>
  </si>
  <si>
    <t>Fakulta výtvarných umení</t>
  </si>
  <si>
    <t>Fakulta dramatických umení</t>
  </si>
  <si>
    <t>Fakulta múzických umení</t>
  </si>
  <si>
    <t>Trenčianska univerzita Alexandra Dubčeka v Trenčíne</t>
  </si>
  <si>
    <t>Fakulta zdravotníctva</t>
  </si>
  <si>
    <t>Fakulta špeciálnej techniky</t>
  </si>
  <si>
    <t>FunGlass - Centrum pre funkčné a povrchovo funkcionalizované sklá</t>
  </si>
  <si>
    <t>Fakulta priemyselných technológií v Púchove</t>
  </si>
  <si>
    <t>CUP Katedra politológie (organizačne pod rektorátom)</t>
  </si>
  <si>
    <t>Univerzita sv. Cyrila a Metoda v Trnave</t>
  </si>
  <si>
    <t>Fakulta sociálnych  vied</t>
  </si>
  <si>
    <t>Fakulta masmediálnej komunikácie</t>
  </si>
  <si>
    <t>Inštitút manažmentu</t>
  </si>
  <si>
    <t>Katolícka univerzita v Ružomberku</t>
  </si>
  <si>
    <t>Univerzita J. Selyeho</t>
  </si>
  <si>
    <t xml:space="preserve"> </t>
  </si>
  <si>
    <t xml:space="preserve">  </t>
  </si>
  <si>
    <t>Reformovaná teologická fakulta</t>
  </si>
  <si>
    <t>60% (publikácie)</t>
  </si>
  <si>
    <t>zostatok bez umenia 25</t>
  </si>
  <si>
    <t>publikácie2022-2024</t>
  </si>
  <si>
    <t>publik_podiel26</t>
  </si>
  <si>
    <t>granty2022-2024</t>
  </si>
  <si>
    <t>granty_podiel26</t>
  </si>
  <si>
    <t>final_podiel26</t>
  </si>
  <si>
    <t>alokácie26</t>
  </si>
  <si>
    <t>granty</t>
  </si>
  <si>
    <t>M1_PRIR</t>
  </si>
  <si>
    <t>M2_TECH</t>
  </si>
  <si>
    <t>M3_LEK</t>
  </si>
  <si>
    <t>M4_POL</t>
  </si>
  <si>
    <t>M6_HUM</t>
  </si>
  <si>
    <t>spolu</t>
  </si>
  <si>
    <t>M1</t>
  </si>
  <si>
    <t>M2</t>
  </si>
  <si>
    <t>M3</t>
  </si>
  <si>
    <t>M4</t>
  </si>
  <si>
    <t>M5</t>
  </si>
  <si>
    <t>M6</t>
  </si>
  <si>
    <t>SPOLU</t>
  </si>
  <si>
    <t>váha 100%</t>
  </si>
  <si>
    <t>váha 60%</t>
  </si>
  <si>
    <t>váha 40%</t>
  </si>
  <si>
    <t>ALOKÁCIA 2026</t>
  </si>
  <si>
    <t>výkon_exc21</t>
  </si>
  <si>
    <t>výkon_exc22</t>
  </si>
  <si>
    <t>zam2019</t>
  </si>
  <si>
    <t>výkon_index22</t>
  </si>
  <si>
    <t>výkon_index_21</t>
  </si>
  <si>
    <t>výkon_pub/zam22</t>
  </si>
  <si>
    <t>výkon_pub/zam21</t>
  </si>
  <si>
    <t>%podiel_zam21</t>
  </si>
  <si>
    <t>%podiel_zam22</t>
  </si>
  <si>
    <t>objem_zahr_granty_22</t>
  </si>
  <si>
    <t>objem_zahr_granty_21</t>
  </si>
  <si>
    <t>výkon_zg/zam22</t>
  </si>
  <si>
    <t>výkon_zg/zam21</t>
  </si>
  <si>
    <t>výkon_podiel21</t>
  </si>
  <si>
    <t>výkon_podiel22</t>
  </si>
  <si>
    <t>výkon_model22</t>
  </si>
  <si>
    <t>výkon_model21</t>
  </si>
  <si>
    <t>zam2021</t>
  </si>
  <si>
    <t>final23</t>
  </si>
  <si>
    <t>výkon_22_correct</t>
  </si>
  <si>
    <t>suma</t>
  </si>
  <si>
    <t>suma_correct</t>
  </si>
  <si>
    <t>korekcia2022</t>
  </si>
  <si>
    <t>váha_zam_22</t>
  </si>
  <si>
    <t>podiel_exc21</t>
  </si>
  <si>
    <t>suma23</t>
  </si>
  <si>
    <t>váha_zam_22_correct</t>
  </si>
  <si>
    <t>podiel_exc_22</t>
  </si>
  <si>
    <t>zam2023</t>
  </si>
  <si>
    <t>suma22</t>
  </si>
  <si>
    <t>suma23revA</t>
  </si>
  <si>
    <t>suma23revB</t>
  </si>
  <si>
    <t>suma23index</t>
  </si>
  <si>
    <t>suma23granty</t>
  </si>
  <si>
    <t>váha_zam23</t>
  </si>
  <si>
    <t>suma24</t>
  </si>
  <si>
    <t>suma23finA</t>
  </si>
  <si>
    <t>suma24aver</t>
  </si>
  <si>
    <t>suma23fin</t>
  </si>
  <si>
    <t>suma24fin</t>
  </si>
  <si>
    <t>váha_zam23fin</t>
  </si>
  <si>
    <t>podiel_exc23</t>
  </si>
  <si>
    <t>podiel_exc_22_correct</t>
  </si>
  <si>
    <t>alokácia</t>
  </si>
  <si>
    <t>počet_zam</t>
  </si>
  <si>
    <t>podiel_exc23rev</t>
  </si>
  <si>
    <t>váha_zam23rev</t>
  </si>
  <si>
    <t>váha_zam_index</t>
  </si>
  <si>
    <t>váha_zam_granty</t>
  </si>
  <si>
    <t>podiel_exc_index</t>
  </si>
  <si>
    <t>podiel_exc_granty</t>
  </si>
  <si>
    <t>podiel_exc23fin</t>
  </si>
  <si>
    <t>váha_zam24</t>
  </si>
  <si>
    <t>podiel_exc24</t>
  </si>
  <si>
    <t>alokácia_correct22</t>
  </si>
  <si>
    <t>vyk_index</t>
  </si>
  <si>
    <t>vyk_index_correct</t>
  </si>
  <si>
    <t>rozdiel</t>
  </si>
  <si>
    <t>fit_index</t>
  </si>
  <si>
    <t>index23</t>
  </si>
  <si>
    <t>index23rev</t>
  </si>
  <si>
    <t>index23fin</t>
  </si>
  <si>
    <t>fit_index23a</t>
  </si>
  <si>
    <t>fit_index23rev</t>
  </si>
  <si>
    <t>res_index23a</t>
  </si>
  <si>
    <t>res_index23rev</t>
  </si>
  <si>
    <t>z_index23a</t>
  </si>
  <si>
    <t>fit_index_correct</t>
  </si>
  <si>
    <t>res_index</t>
  </si>
  <si>
    <t>res_index_correct</t>
  </si>
  <si>
    <t>z_pub_index</t>
  </si>
  <si>
    <t>z_pub_index_formula</t>
  </si>
  <si>
    <t>z_pub_correct</t>
  </si>
  <si>
    <t>vyk_grant</t>
  </si>
  <si>
    <t>vyk_grant_correct</t>
  </si>
  <si>
    <t>fit_grant</t>
  </si>
  <si>
    <t>fit_index23b</t>
  </si>
  <si>
    <t>res_index23b</t>
  </si>
  <si>
    <t>z_index23b</t>
  </si>
  <si>
    <t>z_index23rev</t>
  </si>
  <si>
    <t>suma25fin</t>
  </si>
  <si>
    <t>suma26</t>
  </si>
  <si>
    <t>suma26aver</t>
  </si>
  <si>
    <t>suma26fin</t>
  </si>
  <si>
    <t>váha_zam26</t>
  </si>
  <si>
    <t>podiel_exc26</t>
  </si>
  <si>
    <t>index22</t>
  </si>
  <si>
    <t>index24</t>
  </si>
  <si>
    <t>index26fin</t>
  </si>
  <si>
    <t>index24fin</t>
  </si>
  <si>
    <t>fit_index23fin</t>
  </si>
  <si>
    <t>fit_index24</t>
  </si>
  <si>
    <t>res_index23fin</t>
  </si>
  <si>
    <t>res_index24</t>
  </si>
  <si>
    <t>z_index23fin</t>
  </si>
  <si>
    <t>z_index24</t>
  </si>
  <si>
    <t>granty23</t>
  </si>
  <si>
    <t>granty23rev</t>
  </si>
  <si>
    <t>granty22</t>
  </si>
  <si>
    <t>granty24</t>
  </si>
  <si>
    <t>granty26fin</t>
  </si>
  <si>
    <t>granty24fin</t>
  </si>
  <si>
    <t>fit_granty23</t>
  </si>
  <si>
    <t>fit_granty23rev</t>
  </si>
  <si>
    <t>res_granty23rev</t>
  </si>
  <si>
    <t>fit_granty24</t>
  </si>
  <si>
    <t>res_granty23</t>
  </si>
  <si>
    <t>z_granty23rev</t>
  </si>
  <si>
    <t>res_granty24</t>
  </si>
  <si>
    <t>z_granty23</t>
  </si>
  <si>
    <t>fit_grant_correct</t>
  </si>
  <si>
    <t>res_grant</t>
  </si>
  <si>
    <t>res_grant_correct</t>
  </si>
  <si>
    <t>z_grant</t>
  </si>
  <si>
    <t>z_grant_formula</t>
  </si>
  <si>
    <t>z_grant_correct</t>
  </si>
  <si>
    <t>final23rev</t>
  </si>
  <si>
    <t>z_granty24</t>
  </si>
  <si>
    <t>final23fin</t>
  </si>
  <si>
    <t>final25</t>
  </si>
  <si>
    <t>final24</t>
  </si>
  <si>
    <t>výkon_exc_26</t>
  </si>
  <si>
    <t>suma/zam22</t>
  </si>
  <si>
    <t>výkon23</t>
  </si>
  <si>
    <t>suma/zam_26</t>
  </si>
  <si>
    <t>Materiálovo-technologická fakulta</t>
  </si>
  <si>
    <t>výkon23fin</t>
  </si>
  <si>
    <t>výkon24</t>
  </si>
  <si>
    <t>alokácia23fin</t>
  </si>
  <si>
    <t>suma/zam23fin</t>
  </si>
  <si>
    <t>alokácia24</t>
  </si>
  <si>
    <t>prir</t>
  </si>
  <si>
    <t>suma/zam24</t>
  </si>
  <si>
    <t>mean_res_pub</t>
  </si>
  <si>
    <t>mean_res_g</t>
  </si>
  <si>
    <t>pomer(simple)</t>
  </si>
  <si>
    <t>pomer/zam</t>
  </si>
  <si>
    <t>SD</t>
  </si>
  <si>
    <t>simple</t>
  </si>
  <si>
    <t>pomer (simple)</t>
  </si>
  <si>
    <t>pomer(model)</t>
  </si>
  <si>
    <t>pomer/model</t>
  </si>
  <si>
    <t>model</t>
  </si>
  <si>
    <t>pomer (model)</t>
  </si>
  <si>
    <t>SICHEL</t>
  </si>
  <si>
    <t>TWEEDIE</t>
  </si>
  <si>
    <t>výkon_index21</t>
  </si>
  <si>
    <t>výkon_model22_correct</t>
  </si>
  <si>
    <t>suma_correct_fin</t>
  </si>
  <si>
    <t>váha_zam21</t>
  </si>
  <si>
    <t>váha_zam22</t>
  </si>
  <si>
    <t>suma23revBpub</t>
  </si>
  <si>
    <t>suma23revBgra</t>
  </si>
  <si>
    <t>podiel_exc22</t>
  </si>
  <si>
    <t>podiel_exc23pub</t>
  </si>
  <si>
    <t>podiel_exc23gra</t>
  </si>
  <si>
    <t>váha_zam23pub</t>
  </si>
  <si>
    <t>váha_zam23gra</t>
  </si>
  <si>
    <t>fit_index23</t>
  </si>
  <si>
    <t>suma26ave</t>
  </si>
  <si>
    <t>res_index23</t>
  </si>
  <si>
    <t>z_index23</t>
  </si>
  <si>
    <t>z_pub_index_correct</t>
  </si>
  <si>
    <t>výk_model22_correct</t>
  </si>
  <si>
    <t>výkon_exc24</t>
  </si>
  <si>
    <t>Fakulta managementu</t>
  </si>
  <si>
    <t>publikácie</t>
  </si>
  <si>
    <t>výkon_exc23fin</t>
  </si>
  <si>
    <t>Fakulta prírodných vied UMB</t>
  </si>
  <si>
    <t>Fakulta prírodných vied UKF</t>
  </si>
  <si>
    <t>Fakulta prírodných vied UCM</t>
  </si>
  <si>
    <t>Pedagogická fakulta KU</t>
  </si>
  <si>
    <t>podiel/zam.</t>
  </si>
  <si>
    <t>pomer</t>
  </si>
  <si>
    <t>výk_exc22_correct</t>
  </si>
  <si>
    <t>výk_exc_22_correct_fin</t>
  </si>
  <si>
    <t>výkon_model22_correct_fin</t>
  </si>
  <si>
    <t>váha_zam22_correct</t>
  </si>
  <si>
    <t>váha_zam22_correct_fin</t>
  </si>
  <si>
    <t>podiel_exc22_correct</t>
  </si>
  <si>
    <t>podiel_exc_23</t>
  </si>
  <si>
    <t>podiel_exc_22_correct_fin</t>
  </si>
  <si>
    <t>suma/zam22_correct</t>
  </si>
  <si>
    <t>suma/zam22_correct_fin</t>
  </si>
  <si>
    <t>suma/zamest.</t>
  </si>
  <si>
    <t>výk_exc23fin</t>
  </si>
  <si>
    <t>sumy</t>
  </si>
  <si>
    <t>%</t>
  </si>
  <si>
    <t>rozdiely</t>
  </si>
  <si>
    <t>výkon_model_22_correct</t>
  </si>
  <si>
    <t>z_final23</t>
  </si>
  <si>
    <t>z_final23rev</t>
  </si>
  <si>
    <t>z_final23fin</t>
  </si>
  <si>
    <t>z_final24</t>
  </si>
  <si>
    <t>mean_res_p</t>
  </si>
  <si>
    <t>váha 75%</t>
  </si>
  <si>
    <t>váha 25%</t>
  </si>
  <si>
    <t>ALOKÁCIA 2025</t>
  </si>
  <si>
    <t>výk22_exc</t>
  </si>
  <si>
    <t>výkon_indx/zam21</t>
  </si>
  <si>
    <t>%podiel_mono_zam21</t>
  </si>
  <si>
    <t>výkon_mono21</t>
  </si>
  <si>
    <t>podiel</t>
  </si>
  <si>
    <t>% podiel</t>
  </si>
  <si>
    <t>výkon_publikácie</t>
  </si>
  <si>
    <t>%podiel</t>
  </si>
  <si>
    <t>objem_zahr_granty</t>
  </si>
  <si>
    <t>výkon_total</t>
  </si>
  <si>
    <t>výkon_final</t>
  </si>
  <si>
    <t>index_2023</t>
  </si>
  <si>
    <t>fit_index_model23</t>
  </si>
  <si>
    <t>res_index_model23</t>
  </si>
  <si>
    <t>z_pub_index_model23</t>
  </si>
  <si>
    <t>vyk_mon</t>
  </si>
  <si>
    <t>res_index23c</t>
  </si>
  <si>
    <t>z_index23c</t>
  </si>
  <si>
    <t>vyk_mon23</t>
  </si>
  <si>
    <t>mon23rev</t>
  </si>
  <si>
    <t>fit_mon23rev</t>
  </si>
  <si>
    <t>mon22</t>
  </si>
  <si>
    <t>mon23</t>
  </si>
  <si>
    <t>mon24</t>
  </si>
  <si>
    <t>mon26fin</t>
  </si>
  <si>
    <t>res_mon25</t>
  </si>
  <si>
    <t>z_mon25</t>
  </si>
  <si>
    <t>mon24fin</t>
  </si>
  <si>
    <t>fit_mon24</t>
  </si>
  <si>
    <t>fit_mon23</t>
  </si>
  <si>
    <t>res_mon23rev</t>
  </si>
  <si>
    <t>res_mon24</t>
  </si>
  <si>
    <t>res_mon23</t>
  </si>
  <si>
    <t>z_mon23rev</t>
  </si>
  <si>
    <t>z_mon24</t>
  </si>
  <si>
    <t>z_mon23</t>
  </si>
  <si>
    <t>z_pub23rev</t>
  </si>
  <si>
    <t>z_pub23fin</t>
  </si>
  <si>
    <t>z_pub23</t>
  </si>
  <si>
    <t>fit_mon</t>
  </si>
  <si>
    <t>res_mon</t>
  </si>
  <si>
    <t>z_pub_mon</t>
  </si>
  <si>
    <t>z_pub</t>
  </si>
  <si>
    <t>z_pub25</t>
  </si>
  <si>
    <t>z_pub24</t>
  </si>
  <si>
    <t>grant23</t>
  </si>
  <si>
    <t>fit_grant23rev</t>
  </si>
  <si>
    <t>grant24fin</t>
  </si>
  <si>
    <t>fit_grant24</t>
  </si>
  <si>
    <t>fit_grant23</t>
  </si>
  <si>
    <t>res_grant23rev</t>
  </si>
  <si>
    <t>res_grant24</t>
  </si>
  <si>
    <t>res_grant23</t>
  </si>
  <si>
    <t>z_grant24</t>
  </si>
  <si>
    <t>z_grant23</t>
  </si>
  <si>
    <t>z_grant23rev</t>
  </si>
  <si>
    <t>Fakulta matematiky, fyziky a informatiky</t>
  </si>
  <si>
    <t>Univerzita veterinárskeho lekárstva a farmácie</t>
  </si>
  <si>
    <t>Ústav jazykov, spoločenských vied a akademického športu</t>
  </si>
  <si>
    <t>Fakulta telesnej výchovy, športu a zdravia</t>
  </si>
  <si>
    <t>Celouniverzitné pracovisko - Katedra politológie</t>
  </si>
  <si>
    <t>family=SICHEL</t>
  </si>
  <si>
    <t>model_22</t>
  </si>
  <si>
    <t>model_22correct</t>
  </si>
  <si>
    <t>váhaP</t>
  </si>
  <si>
    <t>váha</t>
  </si>
  <si>
    <t>váha_correct</t>
  </si>
  <si>
    <t>výkon_total_ume</t>
  </si>
  <si>
    <t>výkon_umenie</t>
  </si>
  <si>
    <t>podiel_exc22correct</t>
  </si>
  <si>
    <t>exc22</t>
  </si>
  <si>
    <t>vyk_index_correct22</t>
  </si>
  <si>
    <t>fit_index_pomer23</t>
  </si>
  <si>
    <t>res_index_pomer23</t>
  </si>
  <si>
    <t>z_index_pomer23</t>
  </si>
  <si>
    <t>z_index_model23</t>
  </si>
  <si>
    <t>fit_index_correct22</t>
  </si>
  <si>
    <t>vyk_mon22</t>
  </si>
  <si>
    <t>fit_min24</t>
  </si>
  <si>
    <t>fit_mon_pomer23</t>
  </si>
  <si>
    <t>res_mon_pomer23</t>
  </si>
  <si>
    <t>z_mon_pomer23</t>
  </si>
  <si>
    <t>alokácia23</t>
  </si>
  <si>
    <t>suma/zam23</t>
  </si>
  <si>
    <t>alokácia23rev</t>
  </si>
  <si>
    <t>Fakulta elektrotechniky a informatiky STU v Bratislave</t>
  </si>
  <si>
    <t>suma/zam23rev</t>
  </si>
  <si>
    <t>priemer/zam/pomer</t>
  </si>
  <si>
    <t>mon/pomer</t>
  </si>
  <si>
    <t>priemer/zam/model</t>
  </si>
  <si>
    <t>mon/model</t>
  </si>
  <si>
    <t>alokácia2024</t>
  </si>
  <si>
    <t>Vizuálna časť</t>
  </si>
  <si>
    <t>výkon</t>
  </si>
  <si>
    <t>výkon/zam</t>
  </si>
  <si>
    <t>podiel/exc</t>
  </si>
  <si>
    <t>suma2024</t>
  </si>
  <si>
    <t>suma2023</t>
  </si>
  <si>
    <t>podel/exc25</t>
  </si>
  <si>
    <t>Katolícka univerzita</t>
  </si>
  <si>
    <t>Počet záznamov</t>
  </si>
  <si>
    <t>Prepočet cez váhy</t>
  </si>
  <si>
    <t>vyk-V</t>
  </si>
  <si>
    <t>Slovenská technická univerzita</t>
  </si>
  <si>
    <t>EM1</t>
  </si>
  <si>
    <t>EM2</t>
  </si>
  <si>
    <t>EM3</t>
  </si>
  <si>
    <t>EN1</t>
  </si>
  <si>
    <t>EN2</t>
  </si>
  <si>
    <t>EN3</t>
  </si>
  <si>
    <t>ZM1</t>
  </si>
  <si>
    <t>ZM2</t>
  </si>
  <si>
    <t>ZN1</t>
  </si>
  <si>
    <t>Technická univerzita Košice</t>
  </si>
  <si>
    <t>Technická univerzita Zvolen</t>
  </si>
  <si>
    <t>Vysoká škola výtvarných umení</t>
  </si>
  <si>
    <t>TUZV</t>
  </si>
  <si>
    <t>podiel vizuálne</t>
  </si>
  <si>
    <t>spolu vizuálne+performatívne</t>
  </si>
  <si>
    <t>TTU</t>
  </si>
  <si>
    <t>Performatívna časť</t>
  </si>
  <si>
    <t>Univerzita Konštantína Filozofa</t>
  </si>
  <si>
    <t>vyk-P</t>
  </si>
  <si>
    <t>Vysoká škola muzických umení</t>
  </si>
  <si>
    <t>podiel performatívne</t>
  </si>
  <si>
    <t>granyt22</t>
  </si>
  <si>
    <t>pomer26</t>
  </si>
  <si>
    <t>fit_index26</t>
  </si>
  <si>
    <t>average26</t>
  </si>
  <si>
    <t>sd26</t>
  </si>
  <si>
    <t>res_index26</t>
  </si>
  <si>
    <t>z_index26</t>
  </si>
  <si>
    <t>fit_granty26</t>
  </si>
  <si>
    <t>res_granty26</t>
  </si>
  <si>
    <t>z_granty26</t>
  </si>
  <si>
    <t>final26</t>
  </si>
  <si>
    <t>z_final26</t>
  </si>
  <si>
    <t>fit_mon26</t>
  </si>
  <si>
    <t>res_mon26</t>
  </si>
  <si>
    <t>z_mon26</t>
  </si>
  <si>
    <t>z_pub26</t>
  </si>
  <si>
    <t>Univerzita sv. Cyrila a Metoda</t>
  </si>
  <si>
    <t>podiel/exc26</t>
  </si>
  <si>
    <t>Univerzita Komenského</t>
  </si>
  <si>
    <t>Prešovská univerzita</t>
  </si>
  <si>
    <t>Bežná 
dotácia 2026</t>
  </si>
  <si>
    <t>M2_TECH_ počet 68</t>
  </si>
  <si>
    <t>M2_TECH_ počet 16</t>
  </si>
  <si>
    <t>M2_TECH_ počet 52</t>
  </si>
  <si>
    <t>M6_HUM_počet 6</t>
  </si>
  <si>
    <t>Hudobná a tanečná fakulta</t>
  </si>
  <si>
    <t>M6_UM_ počet 26</t>
  </si>
  <si>
    <t>alokácia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</si>
</sst>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00"/>
    <numFmt numFmtId="165" formatCode="#,##0.000"/>
    <numFmt numFmtId="166" formatCode="0.0000"/>
    <numFmt numFmtId="167" formatCode="#,##0.00\ &quot;€&quot;"/>
    <numFmt numFmtId="168" formatCode="0.0"/>
    <numFmt numFmtId="169" formatCode="_-* #,##0\ _€_-;\-* #,##0\ _€_-;_-* &quot;-&quot;??\ _€_-;_-@_-"/>
    <numFmt numFmtId="170" formatCode="#,##0.0000"/>
    <numFmt numFmtId="171" formatCode="0.00000"/>
    <numFmt numFmtId="172" formatCode="0.000000"/>
    <numFmt numFmtId="173" formatCode="#,##0_ ;[Red]\-#,##0\ "/>
    <numFmt numFmtId="174" formatCode="#,##0_ ;\-#,##0\ "/>
    <numFmt numFmtId="175" formatCode="#,##0.00_ ;\-#,##0.00\ "/>
  </numFmts>
  <fonts count="19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Arial CE"/>
      <charset val="238"/>
    </font>
    <font>
      <b/>
      <sz val="11"/>
      <color theme="1"/>
      <name val="Calibri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00FF00"/>
        <bgColor rgb="FF000000"/>
      </patternFill>
    </fill>
  </fills>
  <borders count="55">
    <border>
      <left/>
      <right/>
      <top/>
      <bottom/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8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5" fillId="0" borderId="0"/>
  </cellStyleXfs>
  <cellXfs count="342">
    <xf numFmtId="0" fontId="0" fillId="0" borderId="0" xfId="0"/>
    <xf numFmtId="0" fontId="5" fillId="0" borderId="0" xfId="0" applyFont="1"/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0" xfId="0" applyFont="1" applyAlignment="1">
      <alignment wrapText="1"/>
    </xf>
    <xf numFmtId="0" fontId="0" fillId="0" borderId="1" xfId="0" applyBorder="1"/>
    <xf numFmtId="0" fontId="0" fillId="3" borderId="1" xfId="0" applyFill="1" applyBorder="1"/>
    <xf numFmtId="0" fontId="6" fillId="0" borderId="0" xfId="0" applyFont="1"/>
    <xf numFmtId="0" fontId="0" fillId="0" borderId="2" xfId="0" applyBorder="1"/>
    <xf numFmtId="0" fontId="7" fillId="0" borderId="0" xfId="1" applyFont="1" applyProtection="1">
      <protection locked="0"/>
    </xf>
    <xf numFmtId="164" fontId="0" fillId="0" borderId="0" xfId="0" applyNumberFormat="1"/>
    <xf numFmtId="0" fontId="9" fillId="0" borderId="0" xfId="0" applyFont="1" applyAlignment="1">
      <alignment horizontal="right"/>
    </xf>
    <xf numFmtId="164" fontId="0" fillId="5" borderId="0" xfId="0" applyNumberFormat="1" applyFill="1"/>
    <xf numFmtId="164" fontId="0" fillId="6" borderId="0" xfId="0" applyNumberFormat="1" applyFill="1"/>
    <xf numFmtId="3" fontId="0" fillId="0" borderId="0" xfId="0" applyNumberFormat="1"/>
    <xf numFmtId="165" fontId="0" fillId="0" borderId="0" xfId="0" applyNumberFormat="1"/>
    <xf numFmtId="4" fontId="0" fillId="0" borderId="0" xfId="0" applyNumberFormat="1"/>
    <xf numFmtId="0" fontId="9" fillId="0" borderId="0" xfId="0" applyFont="1"/>
    <xf numFmtId="166" fontId="0" fillId="0" borderId="0" xfId="0" applyNumberFormat="1"/>
    <xf numFmtId="0" fontId="0" fillId="2" borderId="0" xfId="0" applyFill="1"/>
    <xf numFmtId="166" fontId="0" fillId="2" borderId="0" xfId="0" applyNumberFormat="1" applyFill="1"/>
    <xf numFmtId="164" fontId="5" fillId="0" borderId="0" xfId="0" applyNumberFormat="1" applyFont="1"/>
    <xf numFmtId="3" fontId="5" fillId="0" borderId="0" xfId="0" applyNumberFormat="1" applyFont="1"/>
    <xf numFmtId="3" fontId="9" fillId="0" borderId="0" xfId="0" applyNumberFormat="1" applyFont="1"/>
    <xf numFmtId="166" fontId="5" fillId="0" borderId="0" xfId="0" applyNumberFormat="1" applyFont="1"/>
    <xf numFmtId="4" fontId="9" fillId="0" borderId="0" xfId="0" applyNumberFormat="1" applyFont="1"/>
    <xf numFmtId="2" fontId="0" fillId="0" borderId="0" xfId="0" applyNumberFormat="1"/>
    <xf numFmtId="2" fontId="5" fillId="0" borderId="0" xfId="0" applyNumberFormat="1" applyFont="1"/>
    <xf numFmtId="4" fontId="5" fillId="0" borderId="0" xfId="0" applyNumberFormat="1" applyFont="1"/>
    <xf numFmtId="4" fontId="9" fillId="2" borderId="0" xfId="0" applyNumberFormat="1" applyFont="1" applyFill="1"/>
    <xf numFmtId="2" fontId="9" fillId="0" borderId="0" xfId="0" applyNumberFormat="1" applyFont="1"/>
    <xf numFmtId="10" fontId="0" fillId="0" borderId="0" xfId="0" applyNumberFormat="1"/>
    <xf numFmtId="4" fontId="5" fillId="2" borderId="0" xfId="0" applyNumberFormat="1" applyFont="1" applyFill="1"/>
    <xf numFmtId="4" fontId="0" fillId="2" borderId="0" xfId="0" applyNumberFormat="1" applyFill="1"/>
    <xf numFmtId="3" fontId="0" fillId="5" borderId="0" xfId="0" applyNumberFormat="1" applyFill="1"/>
    <xf numFmtId="0" fontId="0" fillId="6" borderId="0" xfId="0" applyFill="1"/>
    <xf numFmtId="167" fontId="5" fillId="0" borderId="0" xfId="0" applyNumberFormat="1" applyFont="1"/>
    <xf numFmtId="0" fontId="0" fillId="5" borderId="0" xfId="0" applyFill="1"/>
    <xf numFmtId="4" fontId="9" fillId="6" borderId="0" xfId="0" applyNumberFormat="1" applyFont="1" applyFill="1"/>
    <xf numFmtId="0" fontId="5" fillId="0" borderId="1" xfId="0" applyFont="1" applyBorder="1" applyAlignment="1">
      <alignment wrapText="1"/>
    </xf>
    <xf numFmtId="0" fontId="5" fillId="0" borderId="6" xfId="0" applyFont="1" applyBorder="1"/>
    <xf numFmtId="0" fontId="5" fillId="0" borderId="7" xfId="0" applyFont="1" applyBorder="1"/>
    <xf numFmtId="0" fontId="0" fillId="0" borderId="6" xfId="0" applyBorder="1"/>
    <xf numFmtId="164" fontId="0" fillId="0" borderId="7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6" fontId="0" fillId="0" borderId="7" xfId="0" applyNumberFormat="1" applyBorder="1"/>
    <xf numFmtId="0" fontId="6" fillId="0" borderId="6" xfId="0" applyFont="1" applyBorder="1"/>
    <xf numFmtId="0" fontId="6" fillId="0" borderId="8" xfId="0" applyFont="1" applyBorder="1"/>
    <xf numFmtId="0" fontId="6" fillId="0" borderId="9" xfId="0" applyFont="1" applyBorder="1"/>
    <xf numFmtId="166" fontId="0" fillId="0" borderId="9" xfId="0" applyNumberFormat="1" applyBorder="1"/>
    <xf numFmtId="166" fontId="0" fillId="0" borderId="10" xfId="0" applyNumberFormat="1" applyBorder="1"/>
    <xf numFmtId="1" fontId="0" fillId="0" borderId="0" xfId="0" applyNumberFormat="1"/>
    <xf numFmtId="164" fontId="5" fillId="0" borderId="7" xfId="0" applyNumberFormat="1" applyFont="1" applyBorder="1"/>
    <xf numFmtId="0" fontId="0" fillId="0" borderId="8" xfId="0" applyBorder="1"/>
    <xf numFmtId="0" fontId="0" fillId="0" borderId="9" xfId="0" applyBorder="1"/>
    <xf numFmtId="166" fontId="5" fillId="0" borderId="7" xfId="0" applyNumberFormat="1" applyFont="1" applyBorder="1"/>
    <xf numFmtId="0" fontId="0" fillId="0" borderId="7" xfId="0" applyBorder="1"/>
    <xf numFmtId="0" fontId="0" fillId="0" borderId="10" xfId="0" applyBorder="1"/>
    <xf numFmtId="4" fontId="0" fillId="6" borderId="0" xfId="0" applyNumberFormat="1" applyFill="1"/>
    <xf numFmtId="4" fontId="10" fillId="0" borderId="0" xfId="0" applyNumberFormat="1" applyFont="1"/>
    <xf numFmtId="4" fontId="0" fillId="5" borderId="0" xfId="0" applyNumberFormat="1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6" borderId="0" xfId="0" applyNumberFormat="1" applyFont="1" applyFill="1"/>
    <xf numFmtId="169" fontId="0" fillId="0" borderId="0" xfId="2" applyNumberFormat="1" applyFont="1"/>
    <xf numFmtId="0" fontId="8" fillId="0" borderId="0" xfId="1"/>
    <xf numFmtId="0" fontId="8" fillId="2" borderId="0" xfId="1" applyFill="1"/>
    <xf numFmtId="0" fontId="8" fillId="6" borderId="0" xfId="1" applyFill="1"/>
    <xf numFmtId="0" fontId="8" fillId="5" borderId="0" xfId="1" applyFill="1"/>
    <xf numFmtId="0" fontId="8" fillId="8" borderId="0" xfId="1" applyFill="1"/>
    <xf numFmtId="0" fontId="8" fillId="9" borderId="0" xfId="1" applyFill="1"/>
    <xf numFmtId="1" fontId="5" fillId="0" borderId="0" xfId="0" applyNumberFormat="1" applyFont="1"/>
    <xf numFmtId="2" fontId="0" fillId="6" borderId="0" xfId="0" applyNumberFormat="1" applyFill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10" borderId="20" xfId="0" applyFill="1" applyBorder="1"/>
    <xf numFmtId="0" fontId="0" fillId="10" borderId="21" xfId="0" applyFill="1" applyBorder="1"/>
    <xf numFmtId="0" fontId="0" fillId="10" borderId="22" xfId="0" applyFill="1" applyBorder="1"/>
    <xf numFmtId="0" fontId="5" fillId="0" borderId="16" xfId="0" applyFont="1" applyBorder="1"/>
    <xf numFmtId="0" fontId="5" fillId="0" borderId="0" xfId="0" applyFont="1" applyAlignment="1">
      <alignment horizontal="right"/>
    </xf>
    <xf numFmtId="0" fontId="5" fillId="0" borderId="16" xfId="0" applyFont="1" applyBorder="1" applyAlignment="1">
      <alignment horizontal="right"/>
    </xf>
    <xf numFmtId="0" fontId="5" fillId="0" borderId="24" xfId="0" applyFont="1" applyBorder="1"/>
    <xf numFmtId="0" fontId="5" fillId="0" borderId="25" xfId="0" applyFont="1" applyBorder="1"/>
    <xf numFmtId="170" fontId="0" fillId="0" borderId="0" xfId="0" applyNumberFormat="1"/>
    <xf numFmtId="0" fontId="0" fillId="0" borderId="27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0" fillId="2" borderId="0" xfId="0" applyNumberFormat="1" applyFill="1"/>
    <xf numFmtId="2" fontId="5" fillId="2" borderId="0" xfId="0" applyNumberFormat="1" applyFont="1" applyFill="1"/>
    <xf numFmtId="4" fontId="12" fillId="0" borderId="0" xfId="0" applyNumberFormat="1" applyFont="1"/>
    <xf numFmtId="0" fontId="5" fillId="6" borderId="0" xfId="0" applyFont="1" applyFill="1"/>
    <xf numFmtId="0" fontId="5" fillId="6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171" fontId="5" fillId="6" borderId="0" xfId="0" applyNumberFormat="1" applyFont="1" applyFill="1"/>
    <xf numFmtId="171" fontId="5" fillId="0" borderId="0" xfId="0" applyNumberFormat="1" applyFont="1"/>
    <xf numFmtId="165" fontId="0" fillId="5" borderId="0" xfId="0" applyNumberFormat="1" applyFill="1"/>
    <xf numFmtId="1" fontId="11" fillId="0" borderId="0" xfId="0" applyNumberFormat="1" applyFont="1"/>
    <xf numFmtId="0" fontId="0" fillId="0" borderId="4" xfId="0" applyBorder="1"/>
    <xf numFmtId="2" fontId="0" fillId="0" borderId="0" xfId="0" applyNumberFormat="1" applyAlignment="1">
      <alignment horizontal="right"/>
    </xf>
    <xf numFmtId="172" fontId="11" fillId="0" borderId="0" xfId="0" applyNumberFormat="1" applyFont="1"/>
    <xf numFmtId="165" fontId="5" fillId="0" borderId="0" xfId="0" applyNumberFormat="1" applyFont="1"/>
    <xf numFmtId="4" fontId="12" fillId="2" borderId="0" xfId="0" applyNumberFormat="1" applyFont="1" applyFill="1"/>
    <xf numFmtId="165" fontId="5" fillId="6" borderId="0" xfId="0" applyNumberFormat="1" applyFont="1" applyFill="1"/>
    <xf numFmtId="165" fontId="13" fillId="0" borderId="0" xfId="0" applyNumberFormat="1" applyFont="1"/>
    <xf numFmtId="165" fontId="11" fillId="0" borderId="0" xfId="0" applyNumberFormat="1" applyFont="1"/>
    <xf numFmtId="165" fontId="13" fillId="5" borderId="0" xfId="0" applyNumberFormat="1" applyFont="1" applyFill="1"/>
    <xf numFmtId="165" fontId="11" fillId="5" borderId="0" xfId="0" applyNumberFormat="1" applyFont="1" applyFill="1"/>
    <xf numFmtId="2" fontId="0" fillId="5" borderId="0" xfId="0" applyNumberFormat="1" applyFill="1"/>
    <xf numFmtId="4" fontId="13" fillId="0" borderId="0" xfId="0" applyNumberFormat="1" applyFont="1"/>
    <xf numFmtId="4" fontId="11" fillId="0" borderId="0" xfId="0" applyNumberFormat="1" applyFont="1"/>
    <xf numFmtId="4" fontId="13" fillId="2" borderId="0" xfId="0" applyNumberFormat="1" applyFont="1" applyFill="1"/>
    <xf numFmtId="4" fontId="13" fillId="11" borderId="0" xfId="0" applyNumberFormat="1" applyFont="1" applyFill="1"/>
    <xf numFmtId="0" fontId="5" fillId="0" borderId="0" xfId="0" applyFont="1" applyAlignment="1">
      <alignment horizontal="left"/>
    </xf>
    <xf numFmtId="3" fontId="0" fillId="2" borderId="0" xfId="0" applyNumberFormat="1" applyFill="1"/>
    <xf numFmtId="4" fontId="5" fillId="5" borderId="0" xfId="0" applyNumberFormat="1" applyFont="1" applyFill="1"/>
    <xf numFmtId="164" fontId="9" fillId="0" borderId="0" xfId="0" applyNumberFormat="1" applyFont="1"/>
    <xf numFmtId="3" fontId="5" fillId="2" borderId="0" xfId="0" applyNumberFormat="1" applyFont="1" applyFill="1"/>
    <xf numFmtId="0" fontId="0" fillId="0" borderId="32" xfId="0" applyBorder="1"/>
    <xf numFmtId="0" fontId="0" fillId="10" borderId="33" xfId="0" applyFill="1" applyBorder="1"/>
    <xf numFmtId="0" fontId="0" fillId="0" borderId="34" xfId="0" applyBorder="1"/>
    <xf numFmtId="0" fontId="0" fillId="0" borderId="35" xfId="0" applyBorder="1"/>
    <xf numFmtId="0" fontId="0" fillId="10" borderId="25" xfId="0" applyFill="1" applyBorder="1"/>
    <xf numFmtId="0" fontId="0" fillId="0" borderId="36" xfId="0" applyBorder="1"/>
    <xf numFmtId="4" fontId="5" fillId="0" borderId="0" xfId="0" applyNumberFormat="1" applyFont="1" applyAlignment="1">
      <alignment horizontal="right"/>
    </xf>
    <xf numFmtId="167" fontId="3" fillId="2" borderId="0" xfId="3" applyNumberFormat="1" applyFill="1"/>
    <xf numFmtId="167" fontId="3" fillId="2" borderId="0" xfId="4" applyNumberFormat="1" applyFill="1"/>
    <xf numFmtId="0" fontId="5" fillId="2" borderId="0" xfId="0" applyFont="1" applyFill="1" applyAlignment="1">
      <alignment horizontal="right"/>
    </xf>
    <xf numFmtId="0" fontId="2" fillId="3" borderId="1" xfId="0" applyFont="1" applyFill="1" applyBorder="1"/>
    <xf numFmtId="3" fontId="2" fillId="0" borderId="0" xfId="0" applyNumberFormat="1" applyFont="1"/>
    <xf numFmtId="0" fontId="2" fillId="0" borderId="1" xfId="0" applyFont="1" applyBorder="1"/>
    <xf numFmtId="0" fontId="2" fillId="0" borderId="0" xfId="0" applyFont="1"/>
    <xf numFmtId="1" fontId="2" fillId="0" borderId="0" xfId="0" applyNumberFormat="1" applyFont="1"/>
    <xf numFmtId="0" fontId="2" fillId="0" borderId="6" xfId="0" applyFont="1" applyBorder="1"/>
    <xf numFmtId="166" fontId="2" fillId="0" borderId="0" xfId="0" applyNumberFormat="1" applyFont="1"/>
    <xf numFmtId="166" fontId="2" fillId="0" borderId="7" xfId="0" applyNumberFormat="1" applyFont="1" applyBorder="1"/>
    <xf numFmtId="164" fontId="2" fillId="0" borderId="0" xfId="0" applyNumberFormat="1" applyFont="1"/>
    <xf numFmtId="164" fontId="2" fillId="5" borderId="0" xfId="0" applyNumberFormat="1" applyFont="1" applyFill="1"/>
    <xf numFmtId="0" fontId="2" fillId="6" borderId="0" xfId="0" applyFont="1" applyFill="1"/>
    <xf numFmtId="0" fontId="2" fillId="7" borderId="0" xfId="0" applyFont="1" applyFill="1"/>
    <xf numFmtId="1" fontId="2" fillId="7" borderId="0" xfId="0" applyNumberFormat="1" applyFont="1" applyFill="1"/>
    <xf numFmtId="3" fontId="2" fillId="5" borderId="0" xfId="0" applyNumberFormat="1" applyFont="1" applyFill="1"/>
    <xf numFmtId="166" fontId="2" fillId="6" borderId="0" xfId="0" applyNumberFormat="1" applyFont="1" applyFill="1"/>
    <xf numFmtId="166" fontId="2" fillId="5" borderId="0" xfId="0" applyNumberFormat="1" applyFont="1" applyFill="1"/>
    <xf numFmtId="0" fontId="2" fillId="0" borderId="2" xfId="0" applyFont="1" applyBorder="1"/>
    <xf numFmtId="0" fontId="2" fillId="4" borderId="0" xfId="0" applyFont="1" applyFill="1"/>
    <xf numFmtId="0" fontId="2" fillId="4" borderId="2" xfId="0" applyFont="1" applyFill="1" applyBorder="1"/>
    <xf numFmtId="0" fontId="2" fillId="0" borderId="13" xfId="0" applyFont="1" applyBorder="1"/>
    <xf numFmtId="0" fontId="0" fillId="4" borderId="0" xfId="0" applyFill="1"/>
    <xf numFmtId="0" fontId="0" fillId="0" borderId="37" xfId="0" applyBorder="1" applyAlignment="1">
      <alignment wrapText="1"/>
    </xf>
    <xf numFmtId="0" fontId="0" fillId="0" borderId="37" xfId="0" applyBorder="1"/>
    <xf numFmtId="0" fontId="0" fillId="12" borderId="37" xfId="0" applyFill="1" applyBorder="1"/>
    <xf numFmtId="0" fontId="0" fillId="12" borderId="38" xfId="0" applyFill="1" applyBorder="1"/>
    <xf numFmtId="0" fontId="0" fillId="12" borderId="0" xfId="0" applyFill="1"/>
    <xf numFmtId="0" fontId="0" fillId="0" borderId="39" xfId="0" applyBorder="1"/>
    <xf numFmtId="0" fontId="0" fillId="12" borderId="40" xfId="0" applyFill="1" applyBorder="1"/>
    <xf numFmtId="0" fontId="0" fillId="13" borderId="37" xfId="0" applyFill="1" applyBorder="1"/>
    <xf numFmtId="0" fontId="0" fillId="0" borderId="38" xfId="0" applyBorder="1"/>
    <xf numFmtId="0" fontId="0" fillId="4" borderId="37" xfId="0" applyFill="1" applyBorder="1"/>
    <xf numFmtId="0" fontId="6" fillId="0" borderId="37" xfId="0" applyFont="1" applyBorder="1"/>
    <xf numFmtId="0" fontId="0" fillId="0" borderId="0" xfId="0" applyAlignment="1">
      <alignment horizontal="center"/>
    </xf>
    <xf numFmtId="164" fontId="5" fillId="6" borderId="0" xfId="0" applyNumberFormat="1" applyFont="1" applyFill="1"/>
    <xf numFmtId="0" fontId="2" fillId="0" borderId="0" xfId="6"/>
    <xf numFmtId="0" fontId="2" fillId="2" borderId="0" xfId="6" applyFill="1" applyAlignment="1">
      <alignment horizontal="center" vertical="center"/>
    </xf>
    <xf numFmtId="0" fontId="2" fillId="2" borderId="0" xfId="6" applyFill="1" applyAlignment="1">
      <alignment horizontal="center" vertical="center" wrapText="1"/>
    </xf>
    <xf numFmtId="0" fontId="5" fillId="0" borderId="0" xfId="6" applyFont="1"/>
    <xf numFmtId="164" fontId="2" fillId="0" borderId="0" xfId="6" applyNumberFormat="1"/>
    <xf numFmtId="3" fontId="2" fillId="0" borderId="0" xfId="6" applyNumberFormat="1"/>
    <xf numFmtId="0" fontId="2" fillId="0" borderId="1" xfId="6" applyBorder="1" applyAlignment="1">
      <alignment wrapText="1"/>
    </xf>
    <xf numFmtId="0" fontId="5" fillId="0" borderId="0" xfId="6" applyFont="1" applyAlignment="1">
      <alignment wrapText="1"/>
    </xf>
    <xf numFmtId="0" fontId="5" fillId="0" borderId="0" xfId="6" applyFont="1" applyAlignment="1">
      <alignment horizontal="center" vertical="center"/>
    </xf>
    <xf numFmtId="0" fontId="5" fillId="6" borderId="0" xfId="6" applyFont="1" applyFill="1"/>
    <xf numFmtId="4" fontId="2" fillId="0" borderId="0" xfId="6" applyNumberFormat="1"/>
    <xf numFmtId="164" fontId="5" fillId="0" borderId="0" xfId="6" applyNumberFormat="1" applyFont="1"/>
    <xf numFmtId="3" fontId="5" fillId="0" borderId="0" xfId="6" applyNumberFormat="1" applyFont="1"/>
    <xf numFmtId="0" fontId="2" fillId="3" borderId="1" xfId="6" applyFill="1" applyBorder="1"/>
    <xf numFmtId="164" fontId="2" fillId="5" borderId="0" xfId="6" applyNumberFormat="1" applyFill="1"/>
    <xf numFmtId="4" fontId="2" fillId="2" borderId="0" xfId="6" applyNumberFormat="1" applyFill="1"/>
    <xf numFmtId="166" fontId="2" fillId="0" borderId="0" xfId="6" applyNumberFormat="1"/>
    <xf numFmtId="4" fontId="5" fillId="2" borderId="0" xfId="6" applyNumberFormat="1" applyFont="1" applyFill="1"/>
    <xf numFmtId="2" fontId="2" fillId="0" borderId="0" xfId="6" applyNumberFormat="1"/>
    <xf numFmtId="1" fontId="2" fillId="0" borderId="0" xfId="6" applyNumberFormat="1"/>
    <xf numFmtId="165" fontId="2" fillId="0" borderId="0" xfId="6" applyNumberFormat="1"/>
    <xf numFmtId="165" fontId="2" fillId="5" borderId="0" xfId="6" applyNumberFormat="1" applyFill="1"/>
    <xf numFmtId="0" fontId="2" fillId="0" borderId="1" xfId="6" applyBorder="1"/>
    <xf numFmtId="4" fontId="5" fillId="0" borderId="0" xfId="6" applyNumberFormat="1" applyFont="1"/>
    <xf numFmtId="0" fontId="2" fillId="7" borderId="0" xfId="6" applyFill="1"/>
    <xf numFmtId="0" fontId="6" fillId="0" borderId="0" xfId="6" applyFont="1"/>
    <xf numFmtId="0" fontId="6" fillId="7" borderId="0" xfId="6" applyFont="1" applyFill="1"/>
    <xf numFmtId="0" fontId="2" fillId="4" borderId="0" xfId="6" applyFill="1"/>
    <xf numFmtId="166" fontId="5" fillId="0" borderId="0" xfId="6" applyNumberFormat="1" applyFont="1"/>
    <xf numFmtId="2" fontId="5" fillId="0" borderId="0" xfId="6" applyNumberFormat="1" applyFont="1"/>
    <xf numFmtId="1" fontId="5" fillId="0" borderId="0" xfId="6" applyNumberFormat="1" applyFont="1"/>
    <xf numFmtId="0" fontId="7" fillId="0" borderId="0" xfId="7" applyFont="1" applyProtection="1">
      <protection locked="0"/>
    </xf>
    <xf numFmtId="0" fontId="2" fillId="6" borderId="0" xfId="6" applyFill="1"/>
    <xf numFmtId="4" fontId="2" fillId="6" borderId="0" xfId="0" applyNumberFormat="1" applyFont="1" applyFill="1"/>
    <xf numFmtId="4" fontId="2" fillId="0" borderId="0" xfId="0" applyNumberFormat="1" applyFont="1"/>
    <xf numFmtId="3" fontId="5" fillId="0" borderId="0" xfId="0" applyNumberFormat="1" applyFont="1" applyAlignment="1">
      <alignment vertical="center"/>
    </xf>
    <xf numFmtId="3" fontId="0" fillId="8" borderId="0" xfId="0" applyNumberFormat="1" applyFill="1"/>
    <xf numFmtId="4" fontId="2" fillId="0" borderId="0" xfId="10" applyNumberFormat="1"/>
    <xf numFmtId="4" fontId="5" fillId="2" borderId="0" xfId="10" applyNumberFormat="1" applyFont="1" applyFill="1"/>
    <xf numFmtId="4" fontId="5" fillId="5" borderId="0" xfId="10" applyNumberFormat="1" applyFont="1" applyFill="1"/>
    <xf numFmtId="0" fontId="5" fillId="8" borderId="0" xfId="0" applyFont="1" applyFill="1" applyAlignment="1">
      <alignment horizontal="center" vertical="center" wrapText="1"/>
    </xf>
    <xf numFmtId="3" fontId="0" fillId="8" borderId="0" xfId="0" applyNumberFormat="1" applyFill="1" applyAlignment="1">
      <alignment vertical="center"/>
    </xf>
    <xf numFmtId="164" fontId="0" fillId="8" borderId="0" xfId="0" applyNumberFormat="1" applyFill="1"/>
    <xf numFmtId="165" fontId="0" fillId="8" borderId="0" xfId="0" applyNumberFormat="1" applyFill="1"/>
    <xf numFmtId="3" fontId="2" fillId="8" borderId="0" xfId="0" applyNumberFormat="1" applyFont="1" applyFill="1"/>
    <xf numFmtId="3" fontId="5" fillId="8" borderId="0" xfId="0" applyNumberFormat="1" applyFont="1" applyFill="1" applyAlignment="1">
      <alignment horizontal="center" vertical="center" wrapText="1"/>
    </xf>
    <xf numFmtId="3" fontId="2" fillId="8" borderId="0" xfId="6" applyNumberFormat="1" applyFill="1"/>
    <xf numFmtId="0" fontId="2" fillId="8" borderId="0" xfId="0" applyFont="1" applyFill="1"/>
    <xf numFmtId="0" fontId="2" fillId="0" borderId="24" xfId="0" applyFont="1" applyBorder="1"/>
    <xf numFmtId="0" fontId="14" fillId="0" borderId="0" xfId="12"/>
    <xf numFmtId="0" fontId="14" fillId="14" borderId="0" xfId="12" applyFill="1"/>
    <xf numFmtId="175" fontId="14" fillId="0" borderId="0" xfId="12" applyNumberFormat="1" applyAlignment="1">
      <alignment horizontal="left"/>
    </xf>
    <xf numFmtId="173" fontId="14" fillId="0" borderId="0" xfId="12" applyNumberFormat="1"/>
    <xf numFmtId="174" fontId="14" fillId="0" borderId="0" xfId="12" applyNumberFormat="1"/>
    <xf numFmtId="49" fontId="16" fillId="15" borderId="2" xfId="14" applyNumberFormat="1" applyFont="1" applyFill="1" applyBorder="1" applyAlignment="1">
      <alignment horizontal="left" vertical="center" wrapText="1" indent="1"/>
    </xf>
    <xf numFmtId="49" fontId="16" fillId="0" borderId="2" xfId="14" applyNumberFormat="1" applyFont="1" applyBorder="1" applyAlignment="1">
      <alignment horizontal="center" vertical="center" wrapText="1"/>
    </xf>
    <xf numFmtId="0" fontId="16" fillId="16" borderId="2" xfId="14" applyFont="1" applyFill="1" applyBorder="1" applyAlignment="1">
      <alignment horizontal="center" vertical="center" wrapText="1"/>
    </xf>
    <xf numFmtId="175" fontId="16" fillId="0" borderId="31" xfId="14" applyNumberFormat="1" applyFont="1" applyBorder="1" applyAlignment="1">
      <alignment horizontal="center" vertical="center" wrapText="1"/>
    </xf>
    <xf numFmtId="175" fontId="16" fillId="0" borderId="16" xfId="14" applyNumberFormat="1" applyFont="1" applyBorder="1" applyAlignment="1">
      <alignment horizontal="center" vertical="center" wrapText="1"/>
    </xf>
    <xf numFmtId="175" fontId="16" fillId="0" borderId="0" xfId="14" applyNumberFormat="1" applyFont="1" applyAlignment="1">
      <alignment horizontal="center" vertical="center" wrapText="1"/>
    </xf>
    <xf numFmtId="0" fontId="15" fillId="17" borderId="2" xfId="12" applyFont="1" applyFill="1" applyBorder="1" applyAlignment="1">
      <alignment horizontal="left" vertical="center" indent="1"/>
    </xf>
    <xf numFmtId="49" fontId="15" fillId="11" borderId="2" xfId="12" applyNumberFormat="1" applyFont="1" applyFill="1" applyBorder="1" applyAlignment="1">
      <alignment horizontal="left" vertical="center" indent="1"/>
    </xf>
    <xf numFmtId="175" fontId="15" fillId="17" borderId="12" xfId="12" applyNumberFormat="1" applyFont="1" applyFill="1" applyBorder="1" applyAlignment="1">
      <alignment horizontal="left" vertical="center" indent="1"/>
    </xf>
    <xf numFmtId="4" fontId="14" fillId="0" borderId="0" xfId="12" applyNumberFormat="1"/>
    <xf numFmtId="175" fontId="15" fillId="17" borderId="2" xfId="12" applyNumberFormat="1" applyFont="1" applyFill="1" applyBorder="1" applyAlignment="1">
      <alignment horizontal="left" vertical="center" indent="1"/>
    </xf>
    <xf numFmtId="0" fontId="15" fillId="17" borderId="2" xfId="12" applyFont="1" applyFill="1" applyBorder="1" applyAlignment="1">
      <alignment horizontal="left" vertical="center" wrapText="1" indent="1"/>
    </xf>
    <xf numFmtId="0" fontId="15" fillId="18" borderId="2" xfId="12" applyFont="1" applyFill="1" applyBorder="1" applyAlignment="1">
      <alignment horizontal="left" vertical="center" indent="1"/>
    </xf>
    <xf numFmtId="0" fontId="15" fillId="19" borderId="2" xfId="12" applyFont="1" applyFill="1" applyBorder="1" applyAlignment="1">
      <alignment horizontal="left" vertical="center" indent="1"/>
    </xf>
    <xf numFmtId="0" fontId="15" fillId="20" borderId="2" xfId="12" applyFont="1" applyFill="1" applyBorder="1" applyAlignment="1">
      <alignment horizontal="left" vertical="center" indent="1"/>
    </xf>
    <xf numFmtId="0" fontId="15" fillId="21" borderId="2" xfId="12" applyFont="1" applyFill="1" applyBorder="1" applyAlignment="1">
      <alignment horizontal="left" vertical="center" indent="1"/>
    </xf>
    <xf numFmtId="0" fontId="15" fillId="22" borderId="2" xfId="12" applyFont="1" applyFill="1" applyBorder="1" applyAlignment="1">
      <alignment horizontal="left" vertical="center" indent="1"/>
    </xf>
    <xf numFmtId="0" fontId="15" fillId="23" borderId="2" xfId="12" applyFont="1" applyFill="1" applyBorder="1" applyAlignment="1">
      <alignment horizontal="left" vertical="center" indent="1"/>
    </xf>
    <xf numFmtId="0" fontId="15" fillId="24" borderId="2" xfId="12" applyFont="1" applyFill="1" applyBorder="1" applyAlignment="1">
      <alignment horizontal="left" vertical="center" indent="1"/>
    </xf>
    <xf numFmtId="0" fontId="15" fillId="26" borderId="2" xfId="12" applyFont="1" applyFill="1" applyBorder="1" applyAlignment="1">
      <alignment horizontal="left" vertical="center" indent="1"/>
    </xf>
    <xf numFmtId="0" fontId="15" fillId="27" borderId="2" xfId="12" applyFont="1" applyFill="1" applyBorder="1" applyAlignment="1">
      <alignment horizontal="left" vertical="center" indent="1"/>
    </xf>
    <xf numFmtId="0" fontId="15" fillId="28" borderId="2" xfId="12" applyFont="1" applyFill="1" applyBorder="1" applyAlignment="1">
      <alignment horizontal="left" vertical="center" indent="1"/>
    </xf>
    <xf numFmtId="0" fontId="15" fillId="29" borderId="2" xfId="12" applyFont="1" applyFill="1" applyBorder="1" applyAlignment="1">
      <alignment horizontal="left" vertical="center" indent="1"/>
    </xf>
    <xf numFmtId="175" fontId="14" fillId="0" borderId="0" xfId="12" applyNumberFormat="1" applyAlignment="1">
      <alignment horizontal="right"/>
    </xf>
    <xf numFmtId="3" fontId="15" fillId="17" borderId="2" xfId="12" applyNumberFormat="1" applyFont="1" applyFill="1" applyBorder="1" applyAlignment="1">
      <alignment horizontal="right" vertical="center"/>
    </xf>
    <xf numFmtId="3" fontId="15" fillId="19" borderId="2" xfId="12" applyNumberFormat="1" applyFont="1" applyFill="1" applyBorder="1" applyAlignment="1">
      <alignment vertical="center"/>
    </xf>
    <xf numFmtId="3" fontId="15" fillId="20" borderId="2" xfId="12" applyNumberFormat="1" applyFont="1" applyFill="1" applyBorder="1" applyAlignment="1">
      <alignment vertical="center"/>
    </xf>
    <xf numFmtId="3" fontId="15" fillId="22" borderId="2" xfId="12" applyNumberFormat="1" applyFont="1" applyFill="1" applyBorder="1" applyAlignment="1">
      <alignment vertical="center"/>
    </xf>
    <xf numFmtId="3" fontId="15" fillId="25" borderId="2" xfId="12" applyNumberFormat="1" applyFont="1" applyFill="1" applyBorder="1" applyAlignment="1">
      <alignment vertical="center"/>
    </xf>
    <xf numFmtId="3" fontId="15" fillId="26" borderId="2" xfId="12" applyNumberFormat="1" applyFont="1" applyFill="1" applyBorder="1" applyAlignment="1">
      <alignment vertical="center"/>
    </xf>
    <xf numFmtId="3" fontId="15" fillId="11" borderId="2" xfId="12" applyNumberFormat="1" applyFont="1" applyFill="1" applyBorder="1" applyAlignment="1">
      <alignment vertical="center"/>
    </xf>
    <xf numFmtId="174" fontId="17" fillId="0" borderId="0" xfId="12" applyNumberFormat="1" applyFont="1"/>
    <xf numFmtId="165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/>
    </xf>
    <xf numFmtId="4" fontId="0" fillId="8" borderId="0" xfId="0" applyNumberFormat="1" applyFill="1"/>
    <xf numFmtId="164" fontId="2" fillId="0" borderId="0" xfId="0" applyNumberFormat="1" applyFont="1" applyAlignment="1">
      <alignment wrapText="1"/>
    </xf>
    <xf numFmtId="4" fontId="5" fillId="8" borderId="0" xfId="0" applyNumberFormat="1" applyFont="1" applyFill="1"/>
    <xf numFmtId="3" fontId="5" fillId="8" borderId="0" xfId="0" applyNumberFormat="1" applyFont="1" applyFill="1"/>
    <xf numFmtId="3" fontId="18" fillId="0" borderId="0" xfId="0" applyNumberFormat="1" applyFont="1"/>
    <xf numFmtId="170" fontId="2" fillId="0" borderId="0" xfId="0" applyNumberFormat="1" applyFont="1"/>
    <xf numFmtId="9" fontId="2" fillId="0" borderId="3" xfId="0" applyNumberFormat="1" applyFont="1" applyBorder="1"/>
    <xf numFmtId="9" fontId="2" fillId="0" borderId="4" xfId="0" applyNumberFormat="1" applyFont="1" applyBorder="1"/>
    <xf numFmtId="0" fontId="2" fillId="0" borderId="4" xfId="0" applyFont="1" applyBorder="1"/>
    <xf numFmtId="0" fontId="2" fillId="0" borderId="5" xfId="0" applyFont="1" applyBorder="1"/>
    <xf numFmtId="165" fontId="2" fillId="0" borderId="0" xfId="0" applyNumberFormat="1" applyFont="1"/>
    <xf numFmtId="4" fontId="2" fillId="2" borderId="0" xfId="0" applyNumberFormat="1" applyFont="1" applyFill="1"/>
    <xf numFmtId="168" fontId="5" fillId="0" borderId="0" xfId="0" applyNumberFormat="1" applyFont="1"/>
    <xf numFmtId="164" fontId="2" fillId="0" borderId="0" xfId="0" applyNumberFormat="1" applyFont="1" applyAlignment="1">
      <alignment horizontal="right"/>
    </xf>
    <xf numFmtId="165" fontId="2" fillId="5" borderId="0" xfId="0" applyNumberFormat="1" applyFont="1" applyFill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164" fontId="2" fillId="2" borderId="0" xfId="0" applyNumberFormat="1" applyFont="1" applyFill="1"/>
    <xf numFmtId="9" fontId="2" fillId="0" borderId="0" xfId="0" applyNumberFormat="1" applyFont="1"/>
    <xf numFmtId="0" fontId="2" fillId="0" borderId="11" xfId="0" applyFont="1" applyBorder="1"/>
    <xf numFmtId="0" fontId="2" fillId="0" borderId="34" xfId="0" applyFont="1" applyBorder="1"/>
    <xf numFmtId="3" fontId="0" fillId="6" borderId="0" xfId="0" applyNumberFormat="1" applyFill="1"/>
    <xf numFmtId="3" fontId="5" fillId="6" borderId="0" xfId="0" applyNumberFormat="1" applyFont="1" applyFill="1"/>
    <xf numFmtId="0" fontId="5" fillId="6" borderId="0" xfId="0" applyFont="1" applyFill="1" applyAlignment="1">
      <alignment horizontal="center" vertical="center" wrapText="1"/>
    </xf>
    <xf numFmtId="10" fontId="0" fillId="6" borderId="0" xfId="0" applyNumberFormat="1" applyFill="1"/>
    <xf numFmtId="3" fontId="5" fillId="6" borderId="0" xfId="0" applyNumberFormat="1" applyFont="1" applyFill="1" applyAlignment="1">
      <alignment vertical="center"/>
    </xf>
    <xf numFmtId="0" fontId="1" fillId="6" borderId="0" xfId="0" applyFont="1" applyFill="1"/>
    <xf numFmtId="164" fontId="1" fillId="6" borderId="0" xfId="0" applyNumberFormat="1" applyFont="1" applyFill="1"/>
    <xf numFmtId="2" fontId="1" fillId="6" borderId="0" xfId="0" applyNumberFormat="1" applyFont="1" applyFill="1"/>
    <xf numFmtId="3" fontId="5" fillId="5" borderId="0" xfId="0" applyNumberFormat="1" applyFont="1" applyFill="1"/>
    <xf numFmtId="3" fontId="5" fillId="6" borderId="0" xfId="0" applyNumberFormat="1" applyFont="1" applyFill="1" applyAlignment="1">
      <alignment horizontal="center" vertical="center" wrapText="1"/>
    </xf>
    <xf numFmtId="3" fontId="0" fillId="6" borderId="0" xfId="0" applyNumberFormat="1" applyFill="1" applyAlignment="1">
      <alignment vertical="center"/>
    </xf>
    <xf numFmtId="3" fontId="2" fillId="6" borderId="0" xfId="0" applyNumberFormat="1" applyFont="1" applyFill="1"/>
    <xf numFmtId="164" fontId="1" fillId="0" borderId="0" xfId="0" applyNumberFormat="1" applyFont="1"/>
    <xf numFmtId="165" fontId="1" fillId="6" borderId="0" xfId="0" applyNumberFormat="1" applyFont="1" applyFill="1"/>
    <xf numFmtId="3" fontId="0" fillId="6" borderId="0" xfId="0" applyNumberFormat="1" applyFill="1" applyAlignment="1">
      <alignment horizontal="center" vertical="center"/>
    </xf>
    <xf numFmtId="3" fontId="2" fillId="2" borderId="0" xfId="0" applyNumberFormat="1" applyFont="1" applyFill="1"/>
    <xf numFmtId="3" fontId="9" fillId="6" borderId="0" xfId="0" applyNumberFormat="1" applyFont="1" applyFill="1"/>
    <xf numFmtId="3" fontId="9" fillId="2" borderId="0" xfId="0" applyNumberFormat="1" applyFont="1" applyFill="1"/>
    <xf numFmtId="0" fontId="1" fillId="6" borderId="0" xfId="6" applyFont="1" applyFill="1"/>
    <xf numFmtId="10" fontId="2" fillId="6" borderId="0" xfId="6" applyNumberFormat="1" applyFill="1"/>
    <xf numFmtId="3" fontId="2" fillId="6" borderId="0" xfId="6" applyNumberFormat="1" applyFill="1" applyAlignment="1">
      <alignment horizontal="center" vertical="center"/>
    </xf>
    <xf numFmtId="3" fontId="2" fillId="5" borderId="0" xfId="6" applyNumberFormat="1" applyFill="1"/>
    <xf numFmtId="3" fontId="2" fillId="6" borderId="0" xfId="6" applyNumberFormat="1" applyFill="1"/>
    <xf numFmtId="3" fontId="9" fillId="0" borderId="0" xfId="6" applyNumberFormat="1" applyFont="1"/>
    <xf numFmtId="3" fontId="9" fillId="6" borderId="0" xfId="6" applyNumberFormat="1" applyFont="1" applyFill="1"/>
    <xf numFmtId="3" fontId="5" fillId="2" borderId="0" xfId="6" applyNumberFormat="1" applyFont="1" applyFill="1"/>
    <xf numFmtId="3" fontId="2" fillId="2" borderId="0" xfId="6" applyNumberFormat="1" applyFill="1"/>
    <xf numFmtId="3" fontId="9" fillId="2" borderId="0" xfId="6" applyNumberFormat="1" applyFont="1" applyFill="1"/>
    <xf numFmtId="0" fontId="1" fillId="0" borderId="11" xfId="0" applyFont="1" applyBorder="1"/>
    <xf numFmtId="0" fontId="2" fillId="0" borderId="41" xfId="0" applyFont="1" applyBorder="1"/>
    <xf numFmtId="0" fontId="0" fillId="0" borderId="42" xfId="0" applyBorder="1"/>
    <xf numFmtId="0" fontId="0" fillId="0" borderId="43" xfId="0" applyBorder="1"/>
    <xf numFmtId="0" fontId="2" fillId="0" borderId="17" xfId="0" applyFont="1" applyBorder="1"/>
    <xf numFmtId="0" fontId="0" fillId="0" borderId="44" xfId="0" applyBorder="1"/>
    <xf numFmtId="0" fontId="1" fillId="0" borderId="13" xfId="0" applyFont="1" applyBorder="1"/>
    <xf numFmtId="0" fontId="1" fillId="0" borderId="14" xfId="0" applyFont="1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10" borderId="48" xfId="0" applyFill="1" applyBorder="1"/>
    <xf numFmtId="0" fontId="0" fillId="0" borderId="49" xfId="0" applyBorder="1" applyAlignment="1">
      <alignment horizontal="center"/>
    </xf>
    <xf numFmtId="0" fontId="0" fillId="10" borderId="50" xfId="0" applyFill="1" applyBorder="1"/>
    <xf numFmtId="0" fontId="0" fillId="10" borderId="45" xfId="0" applyFill="1" applyBorder="1"/>
    <xf numFmtId="0" fontId="5" fillId="0" borderId="26" xfId="0" applyFont="1" applyBorder="1"/>
    <xf numFmtId="0" fontId="5" fillId="0" borderId="49" xfId="0" applyFont="1" applyBorder="1"/>
    <xf numFmtId="0" fontId="0" fillId="0" borderId="49" xfId="0" applyBorder="1"/>
    <xf numFmtId="0" fontId="0" fillId="0" borderId="51" xfId="0" applyBorder="1"/>
    <xf numFmtId="0" fontId="5" fillId="0" borderId="49" xfId="0" applyFont="1" applyBorder="1" applyAlignment="1">
      <alignment horizontal="right"/>
    </xf>
    <xf numFmtId="0" fontId="0" fillId="10" borderId="52" xfId="0" applyFill="1" applyBorder="1"/>
    <xf numFmtId="0" fontId="0" fillId="10" borderId="53" xfId="0" applyFill="1" applyBorder="1"/>
    <xf numFmtId="0" fontId="0" fillId="10" borderId="54" xfId="0" applyFill="1" applyBorder="1"/>
    <xf numFmtId="0" fontId="5" fillId="0" borderId="23" xfId="0" applyFont="1" applyBorder="1"/>
    <xf numFmtId="0" fontId="5" fillId="0" borderId="21" xfId="0" applyFont="1" applyBorder="1"/>
    <xf numFmtId="0" fontId="5" fillId="0" borderId="22" xfId="0" applyFont="1" applyBorder="1"/>
    <xf numFmtId="0" fontId="1" fillId="0" borderId="41" xfId="0" applyFont="1" applyBorder="1"/>
    <xf numFmtId="3" fontId="2" fillId="2" borderId="0" xfId="10" applyNumberFormat="1" applyFill="1"/>
    <xf numFmtId="4" fontId="1" fillId="0" borderId="0" xfId="0" applyNumberFormat="1" applyFont="1"/>
  </cellXfs>
  <cellStyles count="15">
    <cellStyle name="Čiarka 2" xfId="2" xr:uid="{00000000-0005-0000-0000-000000000000}"/>
    <cellStyle name="Čiarka 2 2" xfId="5" xr:uid="{00000000-0005-0000-0000-000001000000}"/>
    <cellStyle name="Čiarka 2 2 2" xfId="11" xr:uid="{00000000-0005-0000-0000-000002000000}"/>
    <cellStyle name="Čiarka 2 3" xfId="8" xr:uid="{00000000-0005-0000-0000-000003000000}"/>
    <cellStyle name="Normálna" xfId="0" builtinId="0"/>
    <cellStyle name="Normálna 2" xfId="1" xr:uid="{00000000-0005-0000-0000-000005000000}"/>
    <cellStyle name="Normálna 2 2" xfId="4" xr:uid="{00000000-0005-0000-0000-000006000000}"/>
    <cellStyle name="Normálna 2 2 2" xfId="10" xr:uid="{00000000-0005-0000-0000-000007000000}"/>
    <cellStyle name="Normálna 2 3" xfId="7" xr:uid="{00000000-0005-0000-0000-000008000000}"/>
    <cellStyle name="Normálna 3" xfId="3" xr:uid="{00000000-0005-0000-0000-000009000000}"/>
    <cellStyle name="Normálna 3 2" xfId="9" xr:uid="{00000000-0005-0000-0000-00000A000000}"/>
    <cellStyle name="Normálna 4" xfId="6" xr:uid="{00000000-0005-0000-0000-00000B000000}"/>
    <cellStyle name="Normálna 5" xfId="12" xr:uid="{00000000-0005-0000-0000-00000C000000}"/>
    <cellStyle name="normálne_Hárok1" xfId="14" xr:uid="{00000000-0005-0000-0000-00000D000000}"/>
    <cellStyle name="Percentá 2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tin.kanovsky\AppData\Local\Microsoft\Windows\INetCache\Content.Outlook\DDKG4113\n&#225;vrh_RD_2025-V16-28_11_2024-r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T1-RD2025-24"/>
      <sheetName val="T1-RD2025-24 (%)"/>
      <sheetName val="T2-KO"/>
      <sheetName val="T2-KAP-25"/>
      <sheetName val="Nezames"/>
      <sheetName val="T2-odbory_predmety"/>
      <sheetName val="T3-vstupy"/>
      <sheetName val="T4-štruk_077"/>
      <sheetName val="T5a-abs"/>
      <sheetName val="T5b-studenti"/>
      <sheetName val="T6a-abs"/>
      <sheetName val="T6b-výkon"/>
      <sheetName val="T6c-výk-fak"/>
      <sheetName val="T6d-výkon-zm"/>
      <sheetName val="T7-výkon"/>
      <sheetName val="T8-účel"/>
      <sheetName val="T9-kultúra-šport"/>
      <sheetName val="T9a_rozpis na TJ,ŠK"/>
      <sheetName val="T10-prev_ŠD"/>
      <sheetName val="T11-sumár_ŠD"/>
      <sheetName val="T12-špecifiká"/>
      <sheetName val="T13-sumár-špec"/>
      <sheetName val="T14-VVZ"/>
      <sheetName val="T14a-ver2022"/>
      <sheetName val="T14b-exc"/>
      <sheetName val="T14c-vstup_DG-ZG"/>
      <sheetName val="T14d-Drš-data"/>
      <sheetName val="T14d-Drš"/>
      <sheetName val="T15-štipendiá"/>
      <sheetName val="T16-KIVČ"/>
      <sheetName val="T17-Klinické-Zahr_lek"/>
      <sheetName val="T18-Mot_štip"/>
      <sheetName val="T19-počty študentov"/>
      <sheetName val="T19a-dotovaný štud."/>
      <sheetName val="T20-Publik"/>
      <sheetName val="T20a-CREUČ"/>
      <sheetName val="T20b-Vizual"/>
      <sheetName val="T20c-Perform"/>
      <sheetName val="T21-data-P-U"/>
      <sheetName val="T21-Ped-Ume"/>
      <sheetName val="T22-praxe"/>
      <sheetName val="T23-crš"/>
      <sheetName val="T23-špecifické_potreby"/>
      <sheetName val="VŠ-Názov"/>
      <sheetName val="T14b-podiely"/>
      <sheetName val="Met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opLeftCell="B1" zoomScale="90" zoomScaleNormal="90" workbookViewId="0">
      <pane xSplit="2" ySplit="2" topLeftCell="D3" activePane="bottomRight" state="frozen"/>
      <selection pane="topRight" activeCell="F1" sqref="F1"/>
      <selection pane="bottomLeft" activeCell="B3" sqref="B3"/>
      <selection pane="bottomRight" activeCell="A11" sqref="A11"/>
    </sheetView>
  </sheetViews>
  <sheetFormatPr defaultColWidth="8.81640625" defaultRowHeight="12.5" x14ac:dyDescent="0.25"/>
  <cols>
    <col min="1" max="1" width="4.1796875" style="224" customWidth="1"/>
    <col min="2" max="2" width="13.453125" style="224" customWidth="1"/>
    <col min="3" max="3" width="5.81640625" style="224" customWidth="1"/>
    <col min="4" max="4" width="24.453125" style="224" customWidth="1"/>
    <col min="5" max="5" width="49.81640625" style="224" bestFit="1" customWidth="1"/>
    <col min="6" max="6" width="18.453125" style="252" bestFit="1" customWidth="1"/>
    <col min="7" max="7" width="13.453125" style="226" bestFit="1" customWidth="1"/>
    <col min="8" max="8" width="5.1796875" style="224" customWidth="1"/>
    <col min="9" max="16384" width="8.81640625" style="224"/>
  </cols>
  <sheetData>
    <row r="1" spans="1:8" ht="24" customHeight="1" thickBot="1" x14ac:dyDescent="0.3">
      <c r="A1" s="227"/>
      <c r="B1" s="225"/>
      <c r="F1" s="228"/>
      <c r="H1" s="228"/>
    </row>
    <row r="2" spans="1:8" ht="73.5" customHeight="1" thickBot="1" x14ac:dyDescent="0.3">
      <c r="A2" s="227"/>
      <c r="B2" s="229" t="s">
        <v>0</v>
      </c>
      <c r="C2" s="230" t="s">
        <v>1</v>
      </c>
      <c r="D2" s="231" t="s">
        <v>2</v>
      </c>
      <c r="E2" s="231" t="s">
        <v>3</v>
      </c>
      <c r="F2" s="232" t="s">
        <v>615</v>
      </c>
      <c r="G2" s="233" t="s">
        <v>4</v>
      </c>
      <c r="H2" s="234"/>
    </row>
    <row r="3" spans="1:8" ht="15.5" x14ac:dyDescent="0.25">
      <c r="A3" s="227">
        <v>1</v>
      </c>
      <c r="B3" s="235" t="s">
        <v>5</v>
      </c>
      <c r="C3" s="236" t="s">
        <v>6</v>
      </c>
      <c r="D3" s="235" t="s">
        <v>7</v>
      </c>
      <c r="E3" s="235" t="s">
        <v>8</v>
      </c>
      <c r="F3" s="253">
        <v>1177641</v>
      </c>
      <c r="G3" s="237" t="str">
        <f>+LEFT(D3,7)</f>
        <v>M1_PRIR</v>
      </c>
      <c r="H3" s="238"/>
    </row>
    <row r="4" spans="1:8" ht="15.5" x14ac:dyDescent="0.25">
      <c r="A4" s="227">
        <v>2</v>
      </c>
      <c r="B4" s="235" t="s">
        <v>5</v>
      </c>
      <c r="C4" s="236" t="s">
        <v>6</v>
      </c>
      <c r="D4" s="235" t="s">
        <v>9</v>
      </c>
      <c r="E4" s="235" t="s">
        <v>10</v>
      </c>
      <c r="F4" s="253">
        <v>3151354</v>
      </c>
      <c r="G4" s="239" t="str">
        <f t="shared" ref="G4:G77" si="0">+LEFT(D4,7)</f>
        <v>M1_PRIR</v>
      </c>
      <c r="H4" s="238"/>
    </row>
    <row r="5" spans="1:8" ht="15.5" x14ac:dyDescent="0.25">
      <c r="A5" s="227">
        <v>3</v>
      </c>
      <c r="B5" s="235" t="s">
        <v>11</v>
      </c>
      <c r="C5" s="236" t="s">
        <v>6</v>
      </c>
      <c r="D5" s="235" t="s">
        <v>12</v>
      </c>
      <c r="E5" s="235" t="s">
        <v>13</v>
      </c>
      <c r="F5" s="253">
        <v>122540</v>
      </c>
      <c r="G5" s="239" t="str">
        <f t="shared" si="0"/>
        <v>M1_PRIR</v>
      </c>
      <c r="H5" s="238"/>
    </row>
    <row r="6" spans="1:8" ht="15.5" x14ac:dyDescent="0.25">
      <c r="A6" s="227"/>
      <c r="B6" s="235" t="s">
        <v>11</v>
      </c>
      <c r="C6" s="236" t="s">
        <v>6</v>
      </c>
      <c r="D6" s="235" t="s">
        <v>12</v>
      </c>
      <c r="E6" s="235" t="s">
        <v>14</v>
      </c>
      <c r="F6" s="253">
        <v>42603</v>
      </c>
      <c r="G6" s="239" t="str">
        <f t="shared" si="0"/>
        <v>M1_PRIR</v>
      </c>
      <c r="H6" s="238"/>
    </row>
    <row r="7" spans="1:8" ht="15.5" x14ac:dyDescent="0.25">
      <c r="A7" s="227">
        <v>4</v>
      </c>
      <c r="B7" s="235" t="s">
        <v>15</v>
      </c>
      <c r="C7" s="236" t="s">
        <v>6</v>
      </c>
      <c r="D7" s="235" t="s">
        <v>16</v>
      </c>
      <c r="E7" s="235" t="s">
        <v>17</v>
      </c>
      <c r="F7" s="253">
        <v>333778</v>
      </c>
      <c r="G7" s="239" t="str">
        <f t="shared" si="0"/>
        <v>M1_PRIR</v>
      </c>
      <c r="H7" s="238"/>
    </row>
    <row r="8" spans="1:8" ht="15.5" x14ac:dyDescent="0.25">
      <c r="A8" s="227">
        <v>5</v>
      </c>
      <c r="B8" s="235" t="s">
        <v>15</v>
      </c>
      <c r="C8" s="236" t="s">
        <v>6</v>
      </c>
      <c r="D8" s="235" t="s">
        <v>18</v>
      </c>
      <c r="E8" s="235" t="s">
        <v>19</v>
      </c>
      <c r="F8" s="253">
        <v>17197</v>
      </c>
      <c r="G8" s="239" t="str">
        <f t="shared" si="0"/>
        <v>M1_PRIR</v>
      </c>
      <c r="H8" s="238"/>
    </row>
    <row r="9" spans="1:8" ht="15.5" x14ac:dyDescent="0.25">
      <c r="A9" s="227">
        <v>6</v>
      </c>
      <c r="B9" s="235" t="s">
        <v>25</v>
      </c>
      <c r="C9" s="236" t="s">
        <v>6</v>
      </c>
      <c r="D9" s="235" t="s">
        <v>26</v>
      </c>
      <c r="E9" s="240" t="s">
        <v>27</v>
      </c>
      <c r="F9" s="253">
        <v>674339</v>
      </c>
      <c r="G9" s="239" t="str">
        <f t="shared" si="0"/>
        <v>M1_PRIR</v>
      </c>
      <c r="H9" s="238"/>
    </row>
    <row r="10" spans="1:8" ht="15.5" x14ac:dyDescent="0.25">
      <c r="A10" s="227">
        <v>7</v>
      </c>
      <c r="B10" s="241" t="s">
        <v>28</v>
      </c>
      <c r="C10" s="236" t="s">
        <v>6</v>
      </c>
      <c r="D10" s="241" t="s">
        <v>29</v>
      </c>
      <c r="E10" s="242" t="s">
        <v>30</v>
      </c>
      <c r="F10" s="254">
        <v>407355</v>
      </c>
      <c r="G10" s="239" t="str">
        <f t="shared" si="0"/>
        <v>M2_TECH</v>
      </c>
      <c r="H10" s="238"/>
    </row>
    <row r="11" spans="1:8" ht="15.5" x14ac:dyDescent="0.25">
      <c r="A11" s="227">
        <v>9</v>
      </c>
      <c r="B11" s="241" t="s">
        <v>5</v>
      </c>
      <c r="C11" s="236" t="s">
        <v>6</v>
      </c>
      <c r="D11" s="241" t="s">
        <v>32</v>
      </c>
      <c r="E11" s="242" t="s">
        <v>17</v>
      </c>
      <c r="F11" s="254">
        <v>368158</v>
      </c>
      <c r="G11" s="239" t="str">
        <f t="shared" si="0"/>
        <v>M2_TECH</v>
      </c>
      <c r="H11" s="238"/>
    </row>
    <row r="12" spans="1:8" ht="15.5" x14ac:dyDescent="0.25">
      <c r="A12" s="227">
        <v>10</v>
      </c>
      <c r="B12" s="241" t="s">
        <v>11</v>
      </c>
      <c r="C12" s="236" t="s">
        <v>6</v>
      </c>
      <c r="D12" s="241" t="s">
        <v>33</v>
      </c>
      <c r="E12" s="242" t="s">
        <v>34</v>
      </c>
      <c r="F12" s="254">
        <v>914618</v>
      </c>
      <c r="G12" s="239" t="str">
        <f t="shared" si="0"/>
        <v>M2_TECH</v>
      </c>
      <c r="H12" s="238"/>
    </row>
    <row r="13" spans="1:8" ht="15.5" x14ac:dyDescent="0.25">
      <c r="A13" s="227">
        <v>11</v>
      </c>
      <c r="B13" s="241" t="s">
        <v>11</v>
      </c>
      <c r="C13" s="236" t="s">
        <v>6</v>
      </c>
      <c r="D13" s="241" t="s">
        <v>35</v>
      </c>
      <c r="E13" s="242" t="s">
        <v>13</v>
      </c>
      <c r="F13" s="254">
        <v>1174094</v>
      </c>
      <c r="G13" s="239" t="str">
        <f t="shared" si="0"/>
        <v>M2_TECH</v>
      </c>
      <c r="H13" s="238"/>
    </row>
    <row r="14" spans="1:8" ht="15.5" x14ac:dyDescent="0.25">
      <c r="A14" s="227">
        <v>12</v>
      </c>
      <c r="B14" s="241" t="s">
        <v>36</v>
      </c>
      <c r="C14" s="236" t="s">
        <v>6</v>
      </c>
      <c r="D14" s="241" t="s">
        <v>37</v>
      </c>
      <c r="E14" s="242" t="s">
        <v>38</v>
      </c>
      <c r="F14" s="254">
        <v>456310</v>
      </c>
      <c r="G14" s="239" t="str">
        <f t="shared" si="0"/>
        <v>M2_TECH</v>
      </c>
      <c r="H14" s="238"/>
    </row>
    <row r="15" spans="1:8" ht="15.5" x14ac:dyDescent="0.25">
      <c r="A15" s="227">
        <v>13</v>
      </c>
      <c r="B15" s="241" t="s">
        <v>36</v>
      </c>
      <c r="C15" s="236" t="s">
        <v>6</v>
      </c>
      <c r="D15" s="241" t="s">
        <v>39</v>
      </c>
      <c r="E15" s="242" t="s">
        <v>40</v>
      </c>
      <c r="F15" s="254">
        <v>153962</v>
      </c>
      <c r="G15" s="239" t="str">
        <f t="shared" si="0"/>
        <v>M2_TECH</v>
      </c>
      <c r="H15" s="238"/>
    </row>
    <row r="16" spans="1:8" ht="15.5" x14ac:dyDescent="0.25">
      <c r="A16" s="227">
        <v>14</v>
      </c>
      <c r="B16" s="241" t="s">
        <v>28</v>
      </c>
      <c r="C16" s="236" t="s">
        <v>6</v>
      </c>
      <c r="D16" s="241" t="s">
        <v>41</v>
      </c>
      <c r="E16" s="242" t="s">
        <v>42</v>
      </c>
      <c r="F16" s="254">
        <v>510284</v>
      </c>
      <c r="G16" s="239" t="str">
        <f t="shared" si="0"/>
        <v>M2_TECH</v>
      </c>
      <c r="H16" s="238"/>
    </row>
    <row r="17" spans="1:8" ht="15.5" x14ac:dyDescent="0.25">
      <c r="A17" s="227">
        <v>15</v>
      </c>
      <c r="B17" s="241" t="s">
        <v>28</v>
      </c>
      <c r="C17" s="236" t="s">
        <v>6</v>
      </c>
      <c r="D17" s="241" t="s">
        <v>43</v>
      </c>
      <c r="E17" s="242" t="s">
        <v>44</v>
      </c>
      <c r="F17" s="254">
        <v>658515</v>
      </c>
      <c r="G17" s="239" t="str">
        <f t="shared" si="0"/>
        <v>M2_TECH</v>
      </c>
      <c r="H17" s="238"/>
    </row>
    <row r="18" spans="1:8" ht="15.5" x14ac:dyDescent="0.25">
      <c r="A18" s="227">
        <v>16</v>
      </c>
      <c r="B18" s="241" t="s">
        <v>28</v>
      </c>
      <c r="C18" s="236" t="s">
        <v>6</v>
      </c>
      <c r="D18" s="241" t="s">
        <v>45</v>
      </c>
      <c r="E18" s="242" t="s">
        <v>14</v>
      </c>
      <c r="F18" s="254">
        <v>176179</v>
      </c>
      <c r="G18" s="239" t="str">
        <f t="shared" si="0"/>
        <v>M2_TECH</v>
      </c>
      <c r="H18" s="238"/>
    </row>
    <row r="19" spans="1:8" ht="15.5" x14ac:dyDescent="0.25">
      <c r="A19" s="227"/>
      <c r="B19" s="241" t="s">
        <v>46</v>
      </c>
      <c r="C19" s="236" t="s">
        <v>6</v>
      </c>
      <c r="D19" s="241" t="s">
        <v>616</v>
      </c>
      <c r="E19" s="242" t="s">
        <v>94</v>
      </c>
      <c r="F19" s="254">
        <v>153589</v>
      </c>
      <c r="G19" s="239" t="str">
        <f t="shared" si="0"/>
        <v>M2_TECH</v>
      </c>
      <c r="H19" s="238"/>
    </row>
    <row r="20" spans="1:8" ht="15.5" x14ac:dyDescent="0.25">
      <c r="A20" s="227">
        <v>18</v>
      </c>
      <c r="B20" s="241" t="s">
        <v>46</v>
      </c>
      <c r="C20" s="236" t="s">
        <v>6</v>
      </c>
      <c r="D20" s="241" t="s">
        <v>618</v>
      </c>
      <c r="E20" s="242" t="s">
        <v>47</v>
      </c>
      <c r="F20" s="254">
        <v>418889</v>
      </c>
      <c r="G20" s="239" t="str">
        <f t="shared" si="0"/>
        <v>M2_TECH</v>
      </c>
      <c r="H20" s="238"/>
    </row>
    <row r="21" spans="1:8" ht="15.5" x14ac:dyDescent="0.25">
      <c r="A21" s="227"/>
      <c r="B21" s="241" t="s">
        <v>48</v>
      </c>
      <c r="C21" s="236" t="s">
        <v>6</v>
      </c>
      <c r="D21" s="241" t="s">
        <v>617</v>
      </c>
      <c r="E21" s="242" t="s">
        <v>49</v>
      </c>
      <c r="F21" s="254">
        <v>122236</v>
      </c>
      <c r="G21" s="239" t="str">
        <f t="shared" si="0"/>
        <v>M2_TECH</v>
      </c>
      <c r="H21" s="238"/>
    </row>
    <row r="22" spans="1:8" ht="15.5" x14ac:dyDescent="0.25">
      <c r="A22" s="227">
        <v>19</v>
      </c>
      <c r="B22" s="241" t="s">
        <v>15</v>
      </c>
      <c r="C22" s="236" t="s">
        <v>6</v>
      </c>
      <c r="D22" s="241" t="s">
        <v>50</v>
      </c>
      <c r="E22" s="242" t="s">
        <v>51</v>
      </c>
      <c r="F22" s="254">
        <v>53788</v>
      </c>
      <c r="G22" s="239" t="str">
        <f t="shared" si="0"/>
        <v>M2_TECH</v>
      </c>
      <c r="H22" s="238"/>
    </row>
    <row r="23" spans="1:8" ht="15.5" x14ac:dyDescent="0.25">
      <c r="A23" s="227">
        <v>20</v>
      </c>
      <c r="B23" s="243" t="s">
        <v>5</v>
      </c>
      <c r="C23" s="236" t="s">
        <v>6</v>
      </c>
      <c r="D23" s="243" t="s">
        <v>52</v>
      </c>
      <c r="E23" s="244" t="s">
        <v>53</v>
      </c>
      <c r="F23" s="255">
        <v>519501</v>
      </c>
      <c r="G23" s="239" t="str">
        <f t="shared" si="0"/>
        <v>M3_LEK_</v>
      </c>
      <c r="H23" s="238"/>
    </row>
    <row r="24" spans="1:8" ht="15.5" x14ac:dyDescent="0.25">
      <c r="A24" s="227">
        <v>21</v>
      </c>
      <c r="B24" s="243" t="s">
        <v>5</v>
      </c>
      <c r="C24" s="236" t="s">
        <v>6</v>
      </c>
      <c r="D24" s="243" t="s">
        <v>54</v>
      </c>
      <c r="E24" s="244" t="s">
        <v>55</v>
      </c>
      <c r="F24" s="255">
        <v>1513813</v>
      </c>
      <c r="G24" s="239" t="str">
        <f t="shared" si="0"/>
        <v>M3_LEK_</v>
      </c>
      <c r="H24" s="238"/>
    </row>
    <row r="25" spans="1:8" ht="15.5" x14ac:dyDescent="0.25">
      <c r="A25" s="227">
        <v>22</v>
      </c>
      <c r="B25" s="243" t="s">
        <v>20</v>
      </c>
      <c r="C25" s="236" t="s">
        <v>6</v>
      </c>
      <c r="D25" s="243" t="s">
        <v>56</v>
      </c>
      <c r="E25" s="244" t="s">
        <v>57</v>
      </c>
      <c r="F25" s="255">
        <v>14133</v>
      </c>
      <c r="G25" s="239" t="str">
        <f t="shared" si="0"/>
        <v>M3_LEK_</v>
      </c>
      <c r="H25" s="238"/>
    </row>
    <row r="26" spans="1:8" ht="15.5" x14ac:dyDescent="0.25">
      <c r="A26" s="227"/>
      <c r="B26" s="243" t="s">
        <v>23</v>
      </c>
      <c r="C26" s="236" t="s">
        <v>6</v>
      </c>
      <c r="D26" s="243" t="s">
        <v>56</v>
      </c>
      <c r="E26" s="244" t="s">
        <v>58</v>
      </c>
      <c r="F26" s="255">
        <v>49445</v>
      </c>
      <c r="G26" s="239" t="str">
        <f t="shared" si="0"/>
        <v>M3_LEK_</v>
      </c>
      <c r="H26" s="238"/>
    </row>
    <row r="27" spans="1:8" ht="15.5" x14ac:dyDescent="0.25">
      <c r="A27" s="227">
        <v>23</v>
      </c>
      <c r="B27" s="243" t="s">
        <v>5</v>
      </c>
      <c r="C27" s="236" t="s">
        <v>6</v>
      </c>
      <c r="D27" s="243" t="s">
        <v>59</v>
      </c>
      <c r="E27" s="244" t="s">
        <v>60</v>
      </c>
      <c r="F27" s="255">
        <v>64382</v>
      </c>
      <c r="G27" s="239" t="str">
        <f t="shared" si="0"/>
        <v>M3_LEK_</v>
      </c>
      <c r="H27" s="238"/>
    </row>
    <row r="28" spans="1:8" ht="15.5" x14ac:dyDescent="0.25">
      <c r="A28" s="227">
        <v>24</v>
      </c>
      <c r="B28" s="245" t="s">
        <v>61</v>
      </c>
      <c r="C28" s="236" t="s">
        <v>6</v>
      </c>
      <c r="D28" s="245" t="s">
        <v>62</v>
      </c>
      <c r="E28" s="245" t="s">
        <v>63</v>
      </c>
      <c r="F28" s="256">
        <v>570248</v>
      </c>
      <c r="G28" s="239" t="str">
        <f t="shared" si="0"/>
        <v>M4_POL_</v>
      </c>
      <c r="H28" s="238"/>
    </row>
    <row r="29" spans="1:8" ht="15.5" x14ac:dyDescent="0.25">
      <c r="A29" s="227"/>
      <c r="B29" s="245" t="s">
        <v>61</v>
      </c>
      <c r="C29" s="236" t="s">
        <v>6</v>
      </c>
      <c r="D29" s="245" t="s">
        <v>62</v>
      </c>
      <c r="E29" s="245" t="s">
        <v>64</v>
      </c>
      <c r="F29" s="256">
        <v>318004</v>
      </c>
      <c r="G29" s="239" t="str">
        <f t="shared" si="0"/>
        <v>M4_POL_</v>
      </c>
      <c r="H29" s="238"/>
    </row>
    <row r="30" spans="1:8" ht="15.5" x14ac:dyDescent="0.25">
      <c r="A30" s="227">
        <v>26</v>
      </c>
      <c r="B30" s="245" t="s">
        <v>36</v>
      </c>
      <c r="C30" s="236" t="s">
        <v>6</v>
      </c>
      <c r="D30" s="245" t="s">
        <v>65</v>
      </c>
      <c r="E30" s="245" t="s">
        <v>66</v>
      </c>
      <c r="F30" s="256">
        <v>196164</v>
      </c>
      <c r="G30" s="239" t="str">
        <f t="shared" si="0"/>
        <v>M4_POL_</v>
      </c>
      <c r="H30" s="238"/>
    </row>
    <row r="31" spans="1:8" ht="15.5" x14ac:dyDescent="0.25">
      <c r="A31" s="227">
        <v>27</v>
      </c>
      <c r="B31" s="246" t="s">
        <v>46</v>
      </c>
      <c r="C31" s="236" t="s">
        <v>6</v>
      </c>
      <c r="D31" s="246" t="s">
        <v>67</v>
      </c>
      <c r="E31" s="247" t="s">
        <v>68</v>
      </c>
      <c r="F31" s="257">
        <v>2231</v>
      </c>
      <c r="G31" s="239" t="str">
        <f t="shared" si="0"/>
        <v>M5_SPOL</v>
      </c>
      <c r="H31" s="238"/>
    </row>
    <row r="32" spans="1:8" ht="15.5" x14ac:dyDescent="0.25">
      <c r="A32" s="227">
        <v>28</v>
      </c>
      <c r="B32" s="246" t="s">
        <v>5</v>
      </c>
      <c r="C32" s="236" t="s">
        <v>6</v>
      </c>
      <c r="D32" s="246" t="s">
        <v>69</v>
      </c>
      <c r="E32" s="247" t="s">
        <v>70</v>
      </c>
      <c r="F32" s="257">
        <v>631345</v>
      </c>
      <c r="G32" s="239" t="str">
        <f t="shared" si="0"/>
        <v>M5_SPOL</v>
      </c>
      <c r="H32" s="238"/>
    </row>
    <row r="33" spans="1:8" ht="15.5" x14ac:dyDescent="0.25">
      <c r="A33" s="227">
        <v>29</v>
      </c>
      <c r="B33" s="246" t="s">
        <v>5</v>
      </c>
      <c r="C33" s="236" t="s">
        <v>6</v>
      </c>
      <c r="D33" s="246" t="s">
        <v>71</v>
      </c>
      <c r="E33" s="247" t="s">
        <v>72</v>
      </c>
      <c r="F33" s="257">
        <v>26537</v>
      </c>
      <c r="G33" s="239" t="str">
        <f t="shared" si="0"/>
        <v>M5_SPOL</v>
      </c>
      <c r="H33" s="238"/>
    </row>
    <row r="34" spans="1:8" ht="15.5" x14ac:dyDescent="0.25">
      <c r="A34" s="227">
        <v>30</v>
      </c>
      <c r="B34" s="246" t="s">
        <v>5</v>
      </c>
      <c r="C34" s="236" t="s">
        <v>6</v>
      </c>
      <c r="D34" s="246" t="s">
        <v>73</v>
      </c>
      <c r="E34" s="247" t="s">
        <v>74</v>
      </c>
      <c r="F34" s="257">
        <v>282966</v>
      </c>
      <c r="G34" s="239" t="str">
        <f t="shared" si="0"/>
        <v>M5_SPOL</v>
      </c>
      <c r="H34" s="238"/>
    </row>
    <row r="35" spans="1:8" ht="15.5" x14ac:dyDescent="0.25">
      <c r="A35" s="227">
        <v>31</v>
      </c>
      <c r="B35" s="246" t="s">
        <v>11</v>
      </c>
      <c r="C35" s="236" t="s">
        <v>6</v>
      </c>
      <c r="D35" s="246" t="s">
        <v>75</v>
      </c>
      <c r="E35" s="247" t="s">
        <v>76</v>
      </c>
      <c r="F35" s="257">
        <v>21604</v>
      </c>
      <c r="G35" s="239" t="str">
        <f t="shared" si="0"/>
        <v>M5_SPOL</v>
      </c>
      <c r="H35" s="238"/>
    </row>
    <row r="36" spans="1:8" ht="15.5" x14ac:dyDescent="0.25">
      <c r="A36" s="227">
        <v>32</v>
      </c>
      <c r="B36" s="246" t="s">
        <v>77</v>
      </c>
      <c r="C36" s="236" t="s">
        <v>6</v>
      </c>
      <c r="D36" s="246" t="s">
        <v>78</v>
      </c>
      <c r="E36" s="247" t="s">
        <v>79</v>
      </c>
      <c r="F36" s="257">
        <v>141884</v>
      </c>
      <c r="G36" s="239" t="str">
        <f t="shared" si="0"/>
        <v>M5_SPOL</v>
      </c>
      <c r="H36" s="238"/>
    </row>
    <row r="37" spans="1:8" ht="15.5" x14ac:dyDescent="0.25">
      <c r="A37" s="227">
        <v>33</v>
      </c>
      <c r="B37" s="246" t="s">
        <v>77</v>
      </c>
      <c r="C37" s="236" t="s">
        <v>6</v>
      </c>
      <c r="D37" s="246" t="s">
        <v>80</v>
      </c>
      <c r="E37" s="247" t="s">
        <v>81</v>
      </c>
      <c r="F37" s="257">
        <v>15913</v>
      </c>
      <c r="G37" s="239" t="s">
        <v>82</v>
      </c>
      <c r="H37" s="238"/>
    </row>
    <row r="38" spans="1:8" ht="15.5" x14ac:dyDescent="0.25">
      <c r="A38" s="227">
        <v>34</v>
      </c>
      <c r="B38" s="246" t="s">
        <v>77</v>
      </c>
      <c r="C38" s="236" t="s">
        <v>6</v>
      </c>
      <c r="D38" s="246" t="s">
        <v>83</v>
      </c>
      <c r="E38" s="247" t="s">
        <v>84</v>
      </c>
      <c r="F38" s="257">
        <v>340665</v>
      </c>
      <c r="G38" s="239" t="s">
        <v>82</v>
      </c>
      <c r="H38" s="238"/>
    </row>
    <row r="39" spans="1:8" ht="15.5" x14ac:dyDescent="0.25">
      <c r="A39" s="227"/>
      <c r="B39" s="246" t="s">
        <v>61</v>
      </c>
      <c r="C39" s="236" t="s">
        <v>6</v>
      </c>
      <c r="D39" s="246" t="s">
        <v>85</v>
      </c>
      <c r="E39" s="247" t="s">
        <v>86</v>
      </c>
      <c r="F39" s="257">
        <v>48432</v>
      </c>
      <c r="G39" s="239" t="s">
        <v>82</v>
      </c>
      <c r="H39" s="238"/>
    </row>
    <row r="40" spans="1:8" ht="15.5" x14ac:dyDescent="0.25">
      <c r="A40" s="227">
        <v>35</v>
      </c>
      <c r="B40" s="246" t="s">
        <v>61</v>
      </c>
      <c r="C40" s="236" t="s">
        <v>6</v>
      </c>
      <c r="D40" s="246" t="s">
        <v>85</v>
      </c>
      <c r="E40" s="247" t="s">
        <v>87</v>
      </c>
      <c r="F40" s="257">
        <v>54244</v>
      </c>
      <c r="G40" s="239" t="str">
        <f t="shared" si="0"/>
        <v>M5_SPOL</v>
      </c>
      <c r="H40" s="238"/>
    </row>
    <row r="41" spans="1:8" ht="15.5" x14ac:dyDescent="0.25">
      <c r="A41" s="227">
        <v>36</v>
      </c>
      <c r="B41" s="246" t="s">
        <v>36</v>
      </c>
      <c r="C41" s="236" t="s">
        <v>6</v>
      </c>
      <c r="D41" s="246" t="s">
        <v>88</v>
      </c>
      <c r="E41" s="247" t="s">
        <v>38</v>
      </c>
      <c r="F41" s="257">
        <v>61290</v>
      </c>
      <c r="G41" s="239" t="str">
        <f t="shared" si="0"/>
        <v>M5_SPOL</v>
      </c>
      <c r="H41" s="238"/>
    </row>
    <row r="42" spans="1:8" ht="15.5" x14ac:dyDescent="0.25">
      <c r="A42" s="227">
        <v>37</v>
      </c>
      <c r="B42" s="246" t="s">
        <v>46</v>
      </c>
      <c r="C42" s="236" t="s">
        <v>6</v>
      </c>
      <c r="D42" s="246" t="s">
        <v>89</v>
      </c>
      <c r="E42" s="247" t="s">
        <v>90</v>
      </c>
      <c r="F42" s="257">
        <v>16398</v>
      </c>
      <c r="G42" s="239" t="str">
        <f t="shared" si="0"/>
        <v>M5_SPOL</v>
      </c>
      <c r="H42" s="238"/>
    </row>
    <row r="43" spans="1:8" ht="15.5" x14ac:dyDescent="0.25">
      <c r="A43" s="227"/>
      <c r="B43" s="246" t="s">
        <v>5</v>
      </c>
      <c r="C43" s="236" t="s">
        <v>6</v>
      </c>
      <c r="D43" s="246" t="s">
        <v>106</v>
      </c>
      <c r="E43" s="247" t="s">
        <v>96</v>
      </c>
      <c r="F43" s="257">
        <v>55080</v>
      </c>
      <c r="G43" s="239" t="str">
        <f t="shared" si="0"/>
        <v>M5_SPOL</v>
      </c>
      <c r="H43" s="238"/>
    </row>
    <row r="44" spans="1:8" ht="15.5" x14ac:dyDescent="0.25">
      <c r="A44" s="227">
        <v>38</v>
      </c>
      <c r="B44" s="246" t="s">
        <v>28</v>
      </c>
      <c r="C44" s="236" t="s">
        <v>6</v>
      </c>
      <c r="D44" s="246" t="s">
        <v>91</v>
      </c>
      <c r="E44" s="247" t="s">
        <v>92</v>
      </c>
      <c r="F44" s="257">
        <v>728714</v>
      </c>
      <c r="G44" s="239" t="str">
        <f t="shared" si="0"/>
        <v>M5_SPOL</v>
      </c>
      <c r="H44" s="238"/>
    </row>
    <row r="45" spans="1:8" ht="15.5" x14ac:dyDescent="0.25">
      <c r="A45" s="227">
        <v>39</v>
      </c>
      <c r="B45" s="246" t="s">
        <v>46</v>
      </c>
      <c r="C45" s="236" t="s">
        <v>6</v>
      </c>
      <c r="D45" s="246" t="s">
        <v>93</v>
      </c>
      <c r="E45" s="247" t="s">
        <v>94</v>
      </c>
      <c r="F45" s="257">
        <v>205897</v>
      </c>
      <c r="G45" s="239" t="str">
        <f t="shared" si="0"/>
        <v>M5_SPOL</v>
      </c>
      <c r="H45" s="238"/>
    </row>
    <row r="46" spans="1:8" ht="15.5" x14ac:dyDescent="0.25">
      <c r="A46" s="227">
        <v>40</v>
      </c>
      <c r="B46" s="246" t="s">
        <v>15</v>
      </c>
      <c r="C46" s="236" t="s">
        <v>6</v>
      </c>
      <c r="D46" s="246" t="s">
        <v>95</v>
      </c>
      <c r="E46" s="247" t="s">
        <v>96</v>
      </c>
      <c r="F46" s="257">
        <v>3090</v>
      </c>
      <c r="G46" s="239" t="str">
        <f t="shared" si="0"/>
        <v>M5_SPOL</v>
      </c>
      <c r="H46" s="238"/>
    </row>
    <row r="47" spans="1:8" ht="15.5" x14ac:dyDescent="0.25">
      <c r="A47" s="227"/>
      <c r="B47" s="246" t="s">
        <v>20</v>
      </c>
      <c r="C47" s="236" t="s">
        <v>6</v>
      </c>
      <c r="D47" s="246" t="s">
        <v>97</v>
      </c>
      <c r="E47" s="247" t="s">
        <v>96</v>
      </c>
      <c r="F47" s="257">
        <v>2770</v>
      </c>
      <c r="G47" s="239" t="str">
        <f t="shared" si="0"/>
        <v>M5_SPOL</v>
      </c>
      <c r="H47" s="238"/>
    </row>
    <row r="48" spans="1:8" ht="15.5" x14ac:dyDescent="0.25">
      <c r="A48" s="227">
        <v>41</v>
      </c>
      <c r="B48" s="246" t="s">
        <v>20</v>
      </c>
      <c r="C48" s="236" t="s">
        <v>6</v>
      </c>
      <c r="D48" s="246" t="s">
        <v>98</v>
      </c>
      <c r="E48" s="247" t="s">
        <v>22</v>
      </c>
      <c r="F48" s="257">
        <v>105182</v>
      </c>
      <c r="G48" s="239" t="str">
        <f t="shared" si="0"/>
        <v>M5_SPOL</v>
      </c>
      <c r="H48" s="238"/>
    </row>
    <row r="49" spans="1:8" ht="15.5" x14ac:dyDescent="0.25">
      <c r="A49" s="227">
        <v>42</v>
      </c>
      <c r="B49" s="246" t="s">
        <v>99</v>
      </c>
      <c r="C49" s="236" t="s">
        <v>6</v>
      </c>
      <c r="D49" s="246" t="s">
        <v>100</v>
      </c>
      <c r="E49" s="247" t="s">
        <v>92</v>
      </c>
      <c r="F49" s="257">
        <v>102341</v>
      </c>
      <c r="G49" s="239" t="str">
        <f t="shared" si="0"/>
        <v>M5_SPOL</v>
      </c>
      <c r="H49" s="238"/>
    </row>
    <row r="50" spans="1:8" ht="15.5" x14ac:dyDescent="0.25">
      <c r="A50" s="227">
        <v>43</v>
      </c>
      <c r="B50" s="246" t="s">
        <v>20</v>
      </c>
      <c r="C50" s="236" t="s">
        <v>6</v>
      </c>
      <c r="D50" s="246" t="s">
        <v>101</v>
      </c>
      <c r="E50" s="247" t="s">
        <v>57</v>
      </c>
      <c r="F50" s="257">
        <v>48203</v>
      </c>
      <c r="G50" s="239" t="str">
        <f t="shared" si="0"/>
        <v>M5_SPOL</v>
      </c>
      <c r="H50" s="238"/>
    </row>
    <row r="51" spans="1:8" ht="15.5" x14ac:dyDescent="0.25">
      <c r="A51" s="227">
        <v>44</v>
      </c>
      <c r="B51" s="246" t="s">
        <v>99</v>
      </c>
      <c r="C51" s="236" t="s">
        <v>6</v>
      </c>
      <c r="D51" s="246" t="s">
        <v>102</v>
      </c>
      <c r="E51" s="247" t="s">
        <v>103</v>
      </c>
      <c r="F51" s="257">
        <v>4304</v>
      </c>
      <c r="G51" s="239" t="str">
        <f t="shared" si="0"/>
        <v>M5_SPOL</v>
      </c>
      <c r="H51" s="238"/>
    </row>
    <row r="52" spans="1:8" ht="15.5" x14ac:dyDescent="0.25">
      <c r="A52" s="227"/>
      <c r="B52" s="246" t="s">
        <v>99</v>
      </c>
      <c r="C52" s="236" t="s">
        <v>6</v>
      </c>
      <c r="D52" s="246" t="s">
        <v>97</v>
      </c>
      <c r="E52" s="247" t="s">
        <v>529</v>
      </c>
      <c r="F52" s="257">
        <v>10798</v>
      </c>
      <c r="G52" s="239" t="s">
        <v>82</v>
      </c>
      <c r="H52" s="238"/>
    </row>
    <row r="53" spans="1:8" ht="15.5" x14ac:dyDescent="0.25">
      <c r="A53" s="227">
        <v>45</v>
      </c>
      <c r="B53" s="246" t="s">
        <v>31</v>
      </c>
      <c r="C53" s="236" t="s">
        <v>6</v>
      </c>
      <c r="D53" s="246" t="s">
        <v>104</v>
      </c>
      <c r="E53" s="247" t="s">
        <v>105</v>
      </c>
      <c r="F53" s="257">
        <v>9631</v>
      </c>
      <c r="G53" s="239" t="str">
        <f t="shared" si="0"/>
        <v>M5_SPOL</v>
      </c>
      <c r="H53" s="238"/>
    </row>
    <row r="54" spans="1:8" ht="15.5" x14ac:dyDescent="0.25">
      <c r="A54" s="227">
        <v>46</v>
      </c>
      <c r="B54" s="246" t="s">
        <v>48</v>
      </c>
      <c r="C54" s="236" t="s">
        <v>6</v>
      </c>
      <c r="D54" s="246" t="s">
        <v>106</v>
      </c>
      <c r="E54" s="247" t="s">
        <v>107</v>
      </c>
      <c r="F54" s="257">
        <v>274170</v>
      </c>
      <c r="G54" s="239" t="str">
        <f t="shared" si="0"/>
        <v>M5_SPOL</v>
      </c>
      <c r="H54" s="238"/>
    </row>
    <row r="55" spans="1:8" ht="15.5" x14ac:dyDescent="0.25">
      <c r="A55" s="227"/>
      <c r="B55" s="246" t="s">
        <v>48</v>
      </c>
      <c r="C55" s="236" t="s">
        <v>6</v>
      </c>
      <c r="D55" s="246" t="s">
        <v>106</v>
      </c>
      <c r="E55" s="247" t="s">
        <v>108</v>
      </c>
      <c r="F55" s="257">
        <v>3234</v>
      </c>
      <c r="G55" s="239" t="str">
        <f t="shared" si="0"/>
        <v>M5_SPOL</v>
      </c>
      <c r="H55" s="238"/>
    </row>
    <row r="56" spans="1:8" ht="15.5" x14ac:dyDescent="0.25">
      <c r="A56" s="227">
        <v>47</v>
      </c>
      <c r="B56" s="246" t="s">
        <v>48</v>
      </c>
      <c r="C56" s="236" t="s">
        <v>6</v>
      </c>
      <c r="D56" s="246" t="s">
        <v>109</v>
      </c>
      <c r="E56" s="247" t="s">
        <v>110</v>
      </c>
      <c r="F56" s="257">
        <v>27591</v>
      </c>
      <c r="G56" s="239" t="str">
        <f t="shared" si="0"/>
        <v>M5_SPOL</v>
      </c>
      <c r="H56" s="238"/>
    </row>
    <row r="57" spans="1:8" ht="15.5" x14ac:dyDescent="0.25">
      <c r="A57" s="227"/>
      <c r="B57" s="246" t="s">
        <v>111</v>
      </c>
      <c r="C57" s="236" t="s">
        <v>6</v>
      </c>
      <c r="D57" s="246" t="s">
        <v>109</v>
      </c>
      <c r="E57" s="247" t="s">
        <v>112</v>
      </c>
      <c r="F57" s="257">
        <v>7387</v>
      </c>
      <c r="G57" s="239" t="str">
        <f t="shared" si="0"/>
        <v>M5_SPOL</v>
      </c>
      <c r="H57" s="238"/>
    </row>
    <row r="58" spans="1:8" ht="15.5" x14ac:dyDescent="0.25">
      <c r="A58" s="227">
        <v>48</v>
      </c>
      <c r="B58" s="246" t="s">
        <v>25</v>
      </c>
      <c r="C58" s="236" t="s">
        <v>6</v>
      </c>
      <c r="D58" s="246" t="s">
        <v>113</v>
      </c>
      <c r="E58" s="247" t="s">
        <v>114</v>
      </c>
      <c r="F58" s="257">
        <v>25607</v>
      </c>
      <c r="G58" s="239" t="str">
        <f t="shared" si="0"/>
        <v>M5_SPOL</v>
      </c>
      <c r="H58" s="238"/>
    </row>
    <row r="59" spans="1:8" ht="15.5" x14ac:dyDescent="0.25">
      <c r="A59" s="227"/>
      <c r="B59" s="246" t="s">
        <v>115</v>
      </c>
      <c r="C59" s="236" t="s">
        <v>6</v>
      </c>
      <c r="D59" s="246" t="s">
        <v>116</v>
      </c>
      <c r="E59" s="247" t="s">
        <v>22</v>
      </c>
      <c r="F59" s="257">
        <v>28650</v>
      </c>
      <c r="G59" s="239" t="str">
        <f t="shared" si="0"/>
        <v>M5_SPOL</v>
      </c>
      <c r="H59" s="238"/>
    </row>
    <row r="60" spans="1:8" ht="15.5" x14ac:dyDescent="0.25">
      <c r="A60" s="227">
        <v>49</v>
      </c>
      <c r="B60" s="246" t="s">
        <v>115</v>
      </c>
      <c r="C60" s="236" t="s">
        <v>6</v>
      </c>
      <c r="D60" s="246" t="s">
        <v>116</v>
      </c>
      <c r="E60" s="247" t="s">
        <v>117</v>
      </c>
      <c r="F60" s="257">
        <v>36986</v>
      </c>
      <c r="G60" s="239" t="str">
        <f t="shared" si="0"/>
        <v>M5_SPOL</v>
      </c>
      <c r="H60" s="238"/>
    </row>
    <row r="61" spans="1:8" ht="15.5" x14ac:dyDescent="0.25">
      <c r="A61" s="227">
        <v>51</v>
      </c>
      <c r="B61" s="248" t="s">
        <v>5</v>
      </c>
      <c r="C61" s="236" t="s">
        <v>6</v>
      </c>
      <c r="D61" s="248" t="s">
        <v>118</v>
      </c>
      <c r="E61" s="249" t="s">
        <v>119</v>
      </c>
      <c r="F61" s="258">
        <v>193681</v>
      </c>
      <c r="G61" s="239" t="str">
        <f t="shared" si="0"/>
        <v>M6_HUM_</v>
      </c>
      <c r="H61" s="238"/>
    </row>
    <row r="62" spans="1:8" ht="15.5" x14ac:dyDescent="0.25">
      <c r="A62" s="227"/>
      <c r="B62" s="248" t="s">
        <v>5</v>
      </c>
      <c r="C62" s="236" t="s">
        <v>6</v>
      </c>
      <c r="D62" s="248" t="s">
        <v>120</v>
      </c>
      <c r="E62" s="249" t="s">
        <v>121</v>
      </c>
      <c r="F62" s="258">
        <v>10129</v>
      </c>
      <c r="G62" s="239" t="str">
        <f t="shared" si="0"/>
        <v>M6_HUM_</v>
      </c>
      <c r="H62" s="238"/>
    </row>
    <row r="63" spans="1:8" ht="15.5" x14ac:dyDescent="0.25">
      <c r="A63" s="227">
        <v>52</v>
      </c>
      <c r="B63" s="248" t="s">
        <v>20</v>
      </c>
      <c r="C63" s="236" t="s">
        <v>6</v>
      </c>
      <c r="D63" s="248" t="s">
        <v>122</v>
      </c>
      <c r="E63" s="249" t="s">
        <v>112</v>
      </c>
      <c r="F63" s="258">
        <v>14306</v>
      </c>
      <c r="G63" s="239" t="str">
        <f t="shared" si="0"/>
        <v>M6_HUM_</v>
      </c>
      <c r="H63" s="238"/>
    </row>
    <row r="64" spans="1:8" ht="15.5" x14ac:dyDescent="0.25">
      <c r="A64" s="227">
        <v>53</v>
      </c>
      <c r="B64" s="248" t="s">
        <v>46</v>
      </c>
      <c r="C64" s="236" t="s">
        <v>6</v>
      </c>
      <c r="D64" s="248" t="s">
        <v>123</v>
      </c>
      <c r="E64" s="249" t="s">
        <v>124</v>
      </c>
      <c r="F64" s="258">
        <v>334</v>
      </c>
      <c r="G64" s="239" t="str">
        <f t="shared" si="0"/>
        <v>M6_HUM_</v>
      </c>
      <c r="H64" s="238"/>
    </row>
    <row r="65" spans="1:8" ht="15.5" x14ac:dyDescent="0.25">
      <c r="A65" s="227"/>
      <c r="B65" s="248" t="s">
        <v>31</v>
      </c>
      <c r="C65" s="236" t="s">
        <v>6</v>
      </c>
      <c r="D65" s="248" t="s">
        <v>125</v>
      </c>
      <c r="E65" s="249" t="s">
        <v>126</v>
      </c>
      <c r="F65" s="258">
        <v>532</v>
      </c>
      <c r="G65" s="239" t="s">
        <v>127</v>
      </c>
      <c r="H65" s="238"/>
    </row>
    <row r="66" spans="1:8" ht="15.5" x14ac:dyDescent="0.25">
      <c r="A66" s="227"/>
      <c r="B66" s="248" t="s">
        <v>31</v>
      </c>
      <c r="C66" s="236" t="s">
        <v>6</v>
      </c>
      <c r="D66" s="248" t="s">
        <v>128</v>
      </c>
      <c r="E66" s="249" t="s">
        <v>96</v>
      </c>
      <c r="F66" s="258">
        <v>273874</v>
      </c>
      <c r="G66" s="239" t="str">
        <f t="shared" si="0"/>
        <v>M6_HUM_</v>
      </c>
      <c r="H66" s="238"/>
    </row>
    <row r="67" spans="1:8" ht="15.5" x14ac:dyDescent="0.25">
      <c r="A67" s="227"/>
      <c r="B67" s="248" t="s">
        <v>48</v>
      </c>
      <c r="C67" s="236" t="s">
        <v>6</v>
      </c>
      <c r="D67" s="248" t="s">
        <v>129</v>
      </c>
      <c r="E67" s="249" t="s">
        <v>130</v>
      </c>
      <c r="F67" s="258">
        <v>11352</v>
      </c>
      <c r="G67" s="239" t="s">
        <v>127</v>
      </c>
      <c r="H67" s="238"/>
    </row>
    <row r="68" spans="1:8" ht="15.5" x14ac:dyDescent="0.25">
      <c r="A68" s="227"/>
      <c r="B68" s="248" t="s">
        <v>48</v>
      </c>
      <c r="C68" s="236" t="s">
        <v>6</v>
      </c>
      <c r="D68" s="248" t="s">
        <v>131</v>
      </c>
      <c r="E68" s="249" t="s">
        <v>108</v>
      </c>
      <c r="F68" s="258">
        <v>13724</v>
      </c>
      <c r="G68" s="239" t="s">
        <v>127</v>
      </c>
      <c r="H68" s="238"/>
    </row>
    <row r="69" spans="1:8" ht="15.5" x14ac:dyDescent="0.25">
      <c r="A69" s="227">
        <v>54</v>
      </c>
      <c r="B69" s="248" t="s">
        <v>48</v>
      </c>
      <c r="C69" s="236" t="s">
        <v>6</v>
      </c>
      <c r="D69" s="248" t="s">
        <v>132</v>
      </c>
      <c r="E69" s="249" t="s">
        <v>96</v>
      </c>
      <c r="F69" s="258">
        <v>39799</v>
      </c>
      <c r="G69" s="239" t="str">
        <f t="shared" si="0"/>
        <v>M6_HUM_</v>
      </c>
      <c r="H69" s="238"/>
    </row>
    <row r="70" spans="1:8" ht="15.5" x14ac:dyDescent="0.25">
      <c r="A70" s="227">
        <v>55</v>
      </c>
      <c r="B70" s="248" t="s">
        <v>111</v>
      </c>
      <c r="C70" s="236" t="s">
        <v>6</v>
      </c>
      <c r="D70" s="248" t="s">
        <v>133</v>
      </c>
      <c r="E70" s="250" t="s">
        <v>112</v>
      </c>
      <c r="F70" s="258">
        <v>35528</v>
      </c>
      <c r="G70" s="239" t="str">
        <f t="shared" si="0"/>
        <v>M6_HUM_</v>
      </c>
      <c r="H70" s="238"/>
    </row>
    <row r="71" spans="1:8" ht="15.5" x14ac:dyDescent="0.25">
      <c r="A71" s="227">
        <v>56</v>
      </c>
      <c r="B71" s="248" t="s">
        <v>111</v>
      </c>
      <c r="C71" s="236" t="s">
        <v>6</v>
      </c>
      <c r="D71" s="248" t="s">
        <v>134</v>
      </c>
      <c r="E71" s="250" t="s">
        <v>96</v>
      </c>
      <c r="F71" s="258">
        <v>8279</v>
      </c>
      <c r="G71" s="239" t="str">
        <f t="shared" si="0"/>
        <v>M6_HUM_</v>
      </c>
      <c r="H71" s="238"/>
    </row>
    <row r="72" spans="1:8" ht="15.5" x14ac:dyDescent="0.25">
      <c r="A72" s="227"/>
      <c r="B72" s="248" t="s">
        <v>136</v>
      </c>
      <c r="C72" s="236" t="s">
        <v>21</v>
      </c>
      <c r="D72" s="248" t="s">
        <v>619</v>
      </c>
      <c r="E72" s="250" t="s">
        <v>620</v>
      </c>
      <c r="F72" s="258">
        <v>4997</v>
      </c>
      <c r="G72" s="239" t="str">
        <f t="shared" si="0"/>
        <v>M6_HUM_</v>
      </c>
      <c r="H72" s="238"/>
    </row>
    <row r="73" spans="1:8" ht="15.5" x14ac:dyDescent="0.25">
      <c r="A73" s="227">
        <v>57</v>
      </c>
      <c r="B73" s="248" t="s">
        <v>115</v>
      </c>
      <c r="C73" s="236" t="s">
        <v>6</v>
      </c>
      <c r="D73" s="248" t="s">
        <v>135</v>
      </c>
      <c r="E73" s="250" t="s">
        <v>22</v>
      </c>
      <c r="F73" s="258">
        <v>1408</v>
      </c>
      <c r="G73" s="239" t="str">
        <f t="shared" si="0"/>
        <v>M6_HUM_</v>
      </c>
      <c r="H73" s="238"/>
    </row>
    <row r="74" spans="1:8" ht="15.5" x14ac:dyDescent="0.25">
      <c r="A74" s="227">
        <v>58</v>
      </c>
      <c r="B74" s="251" t="s">
        <v>136</v>
      </c>
      <c r="C74" s="236" t="s">
        <v>6</v>
      </c>
      <c r="D74" s="251" t="s">
        <v>137</v>
      </c>
      <c r="E74" s="251"/>
      <c r="F74" s="259">
        <v>245221</v>
      </c>
      <c r="G74" s="239" t="str">
        <f t="shared" si="0"/>
        <v xml:space="preserve">M6_UM_ </v>
      </c>
    </row>
    <row r="75" spans="1:8" ht="15.5" x14ac:dyDescent="0.25">
      <c r="A75" s="227">
        <v>59</v>
      </c>
      <c r="B75" s="251" t="s">
        <v>138</v>
      </c>
      <c r="C75" s="236" t="s">
        <v>6</v>
      </c>
      <c r="D75" s="251" t="s">
        <v>139</v>
      </c>
      <c r="E75" s="251"/>
      <c r="F75" s="259">
        <v>503991</v>
      </c>
      <c r="G75" s="239" t="str">
        <f t="shared" si="0"/>
        <v xml:space="preserve">M6_UM_ </v>
      </c>
    </row>
    <row r="76" spans="1:8" ht="15.5" x14ac:dyDescent="0.25">
      <c r="A76" s="227">
        <v>60</v>
      </c>
      <c r="B76" s="251" t="s">
        <v>140</v>
      </c>
      <c r="C76" s="236" t="s">
        <v>6</v>
      </c>
      <c r="D76" s="251" t="s">
        <v>141</v>
      </c>
      <c r="E76" s="251"/>
      <c r="F76" s="259">
        <v>233646</v>
      </c>
      <c r="G76" s="239" t="str">
        <f t="shared" si="0"/>
        <v xml:space="preserve">M6_UM_ </v>
      </c>
    </row>
    <row r="77" spans="1:8" ht="15.5" x14ac:dyDescent="0.25">
      <c r="A77" s="227"/>
      <c r="B77" s="251" t="s">
        <v>28</v>
      </c>
      <c r="C77" s="236" t="s">
        <v>21</v>
      </c>
      <c r="D77" s="251" t="s">
        <v>621</v>
      </c>
      <c r="E77" s="251"/>
      <c r="F77" s="259">
        <v>50861</v>
      </c>
      <c r="G77" s="239" t="str">
        <f t="shared" si="0"/>
        <v xml:space="preserve">M6_UM_ </v>
      </c>
    </row>
    <row r="78" spans="1:8" ht="15.5" x14ac:dyDescent="0.25">
      <c r="B78" s="251" t="s">
        <v>11</v>
      </c>
      <c r="C78" s="236" t="s">
        <v>6</v>
      </c>
      <c r="D78" s="251" t="s">
        <v>142</v>
      </c>
      <c r="E78" s="251"/>
      <c r="F78" s="259">
        <v>132081</v>
      </c>
      <c r="G78" s="239" t="s">
        <v>143</v>
      </c>
    </row>
    <row r="79" spans="1:8" ht="18" x14ac:dyDescent="0.4">
      <c r="F79" s="260">
        <f>SUM(F3:F78)</f>
        <v>19430006</v>
      </c>
    </row>
  </sheetData>
  <autoFilter ref="A2:G76" xr:uid="{00000000-0009-0000-0000-000000000000}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6" fitToWidth="2" orientation="landscape" r:id="rId1"/>
  <headerFooter>
    <oddHeader>&amp;C&amp;"Arial CE,Tučné"&amp;16Tabuľka č. 14ab - Excelentné pracoviská</oddHeader>
    <oddFooter>&amp;L&amp;A&amp;C&amp;D</oddFooter>
  </headerFooter>
  <ignoredErrors>
    <ignoredError sqref="C7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E58"/>
  <sheetViews>
    <sheetView workbookViewId="0">
      <pane ySplit="2" topLeftCell="A3" activePane="bottomLeft" state="frozen"/>
      <selection pane="bottomLeft" activeCell="BL4" sqref="BL4"/>
    </sheetView>
  </sheetViews>
  <sheetFormatPr defaultColWidth="8.7265625" defaultRowHeight="14.5" x14ac:dyDescent="0.35"/>
  <cols>
    <col min="1" max="1" width="39.81640625" style="175" bestFit="1" customWidth="1"/>
    <col min="2" max="2" width="57.1796875" style="175" bestFit="1" customWidth="1"/>
    <col min="3" max="7" width="9.1796875" style="175" hidden="1" customWidth="1"/>
    <col min="8" max="8" width="16.54296875" style="175" hidden="1" customWidth="1"/>
    <col min="9" max="9" width="6.453125" style="175" hidden="1" customWidth="1"/>
    <col min="10" max="10" width="14.81640625" style="175" hidden="1" customWidth="1"/>
    <col min="11" max="11" width="11.453125" style="175" hidden="1" customWidth="1"/>
    <col min="12" max="12" width="8.54296875" style="175" hidden="1" customWidth="1"/>
    <col min="13" max="13" width="10" style="175" hidden="1" customWidth="1"/>
    <col min="14" max="14" width="12.1796875" style="175" hidden="1" customWidth="1"/>
    <col min="15" max="15" width="12.81640625" style="175" hidden="1" customWidth="1"/>
    <col min="16" max="17" width="8.54296875" style="175" hidden="1" customWidth="1"/>
    <col min="18" max="18" width="8.54296875" style="175" customWidth="1"/>
    <col min="19" max="19" width="9.54296875" style="175" hidden="1" customWidth="1"/>
    <col min="20" max="20" width="11" style="175" hidden="1" customWidth="1"/>
    <col min="21" max="22" width="11.81640625" style="175" hidden="1" customWidth="1"/>
    <col min="23" max="23" width="15.453125" style="175" hidden="1" customWidth="1"/>
    <col min="24" max="24" width="14.54296875" style="175" hidden="1" customWidth="1"/>
    <col min="25" max="25" width="9.81640625" style="175" hidden="1" customWidth="1"/>
    <col min="26" max="26" width="11" style="175" hidden="1" customWidth="1"/>
    <col min="27" max="27" width="11" style="175" customWidth="1"/>
    <col min="28" max="28" width="11.453125" style="175" hidden="1" customWidth="1"/>
    <col min="29" max="29" width="13.453125" style="175" hidden="1" customWidth="1"/>
    <col min="30" max="30" width="11.1796875" style="175" hidden="1" customWidth="1"/>
    <col min="31" max="31" width="11.54296875" style="175" hidden="1" customWidth="1"/>
    <col min="32" max="32" width="12.54296875" style="175" hidden="1" customWidth="1"/>
    <col min="33" max="33" width="16.54296875" style="175" hidden="1" customWidth="1"/>
    <col min="34" max="34" width="14.453125" style="175" hidden="1" customWidth="1"/>
    <col min="35" max="36" width="0" style="175" hidden="1" customWidth="1"/>
    <col min="37" max="37" width="10" style="175" hidden="1" customWidth="1"/>
    <col min="38" max="39" width="0" style="175" hidden="1" customWidth="1"/>
    <col min="40" max="44" width="14.54296875" style="175" hidden="1" customWidth="1"/>
    <col min="45" max="45" width="12.54296875" style="175" hidden="1" customWidth="1"/>
    <col min="46" max="46" width="17.54296875" style="175" hidden="1" customWidth="1"/>
    <col min="47" max="49" width="15.54296875" style="175" hidden="1" customWidth="1"/>
    <col min="50" max="50" width="15.1796875" style="175" hidden="1" customWidth="1"/>
    <col min="51" max="51" width="18.453125" style="175" hidden="1" customWidth="1"/>
    <col min="52" max="52" width="0" style="175" hidden="1" customWidth="1"/>
    <col min="53" max="53" width="12.1796875" style="175" hidden="1" customWidth="1"/>
    <col min="54" max="54" width="10" style="175" hidden="1" customWidth="1"/>
    <col min="55" max="55" width="19.1796875" style="175" hidden="1" customWidth="1"/>
    <col min="56" max="56" width="7.1796875" style="175" hidden="1" customWidth="1"/>
    <col min="57" max="57" width="0" style="175" hidden="1" customWidth="1"/>
    <col min="58" max="58" width="11.81640625" style="175" hidden="1" customWidth="1"/>
    <col min="59" max="59" width="12" style="175" hidden="1" customWidth="1"/>
    <col min="60" max="60" width="9.54296875" style="175" hidden="1" customWidth="1"/>
    <col min="61" max="61" width="10.7265625" style="175" customWidth="1"/>
    <col min="62" max="62" width="9.54296875" style="175" customWidth="1"/>
    <col min="63" max="63" width="11.7265625" style="175" bestFit="1" customWidth="1"/>
    <col min="64" max="64" width="10.453125" style="175" customWidth="1"/>
    <col min="65" max="65" width="12" style="175" bestFit="1" customWidth="1"/>
    <col min="66" max="66" width="12.54296875" style="175" bestFit="1" customWidth="1"/>
    <col min="67" max="67" width="13.1796875" style="175" bestFit="1" customWidth="1"/>
    <col min="68" max="69" width="9.54296875" style="175" customWidth="1"/>
    <col min="70" max="70" width="9.54296875" style="175" hidden="1" customWidth="1"/>
    <col min="71" max="71" width="10.1796875" style="175" hidden="1" customWidth="1"/>
    <col min="72" max="72" width="14" style="175" hidden="1" customWidth="1"/>
    <col min="73" max="74" width="12.453125" style="175" hidden="1" customWidth="1"/>
    <col min="75" max="75" width="13.1796875" style="175" hidden="1" customWidth="1"/>
    <col min="76" max="76" width="14.54296875" style="175" hidden="1" customWidth="1"/>
    <col min="77" max="77" width="18.1796875" style="175" hidden="1" customWidth="1"/>
    <col min="78" max="78" width="18" style="175" hidden="1" customWidth="1"/>
    <col min="79" max="79" width="18.81640625" style="175" hidden="1" customWidth="1"/>
    <col min="80" max="80" width="18.54296875" style="175" hidden="1" customWidth="1"/>
    <col min="81" max="81" width="12.54296875" style="175" hidden="1" customWidth="1"/>
    <col min="82" max="82" width="17.453125" style="175" hidden="1" customWidth="1"/>
    <col min="83" max="83" width="16.54296875" style="175" hidden="1" customWidth="1"/>
    <col min="84" max="84" width="18.453125" style="175" hidden="1" customWidth="1"/>
    <col min="85" max="85" width="11.81640625" style="175" hidden="1" customWidth="1"/>
    <col min="86" max="86" width="15.54296875" style="175" hidden="1" customWidth="1"/>
    <col min="87" max="87" width="12.453125" style="179" hidden="1" customWidth="1"/>
    <col min="88" max="88" width="18.453125" style="179" hidden="1" customWidth="1"/>
    <col min="89" max="90" width="10.453125" style="175" hidden="1" customWidth="1"/>
    <col min="91" max="91" width="11.453125" style="175" hidden="1" customWidth="1"/>
    <col min="92" max="92" width="10.453125" style="175" hidden="1" customWidth="1"/>
    <col min="93" max="98" width="10.453125" style="175" customWidth="1"/>
    <col min="99" max="99" width="7.1796875" style="175" bestFit="1" customWidth="1"/>
    <col min="100" max="101" width="8.81640625" style="175" hidden="1" customWidth="1"/>
    <col min="102" max="103" width="10.453125" style="175" hidden="1" customWidth="1"/>
    <col min="104" max="104" width="12.81640625" style="175" hidden="1" customWidth="1"/>
    <col min="105" max="105" width="13.54296875" style="175" hidden="1" customWidth="1"/>
    <col min="106" max="106" width="16.81640625" style="175" hidden="1" customWidth="1"/>
    <col min="107" max="107" width="17.54296875" style="175" hidden="1" customWidth="1"/>
    <col min="108" max="108" width="11.54296875" style="175" hidden="1" customWidth="1"/>
    <col min="109" max="109" width="15.81640625" style="175" hidden="1" customWidth="1"/>
    <col min="110" max="110" width="10.1796875" style="175" hidden="1" customWidth="1"/>
    <col min="111" max="112" width="10" style="175" hidden="1" customWidth="1"/>
    <col min="113" max="113" width="8.453125" style="175" hidden="1" customWidth="1"/>
    <col min="114" max="115" width="8.453125" style="175" customWidth="1"/>
    <col min="116" max="117" width="9.453125" style="175" bestFit="1" customWidth="1"/>
    <col min="118" max="118" width="10.1796875" style="175" bestFit="1" customWidth="1"/>
    <col min="119" max="119" width="8.453125" style="175" bestFit="1" customWidth="1"/>
    <col min="120" max="120" width="8.453125" style="175" customWidth="1"/>
    <col min="121" max="121" width="8.453125" style="175" hidden="1" customWidth="1"/>
    <col min="122" max="122" width="9.81640625" style="175" hidden="1" customWidth="1"/>
    <col min="123" max="123" width="11.1796875" style="175" hidden="1" customWidth="1"/>
    <col min="124" max="124" width="7.54296875" style="175" hidden="1" customWidth="1"/>
    <col min="125" max="126" width="0" style="175" hidden="1" customWidth="1"/>
    <col min="127" max="127" width="10.54296875" style="179" hidden="1" customWidth="1"/>
    <col min="128" max="128" width="6.453125" style="175" hidden="1" customWidth="1"/>
    <col min="129" max="129" width="12.54296875" style="175" hidden="1" customWidth="1"/>
    <col min="130" max="130" width="0" style="175" hidden="1" customWidth="1"/>
    <col min="131" max="131" width="15.81640625" style="175" hidden="1" customWidth="1"/>
    <col min="132" max="132" width="0" style="175" hidden="1" customWidth="1"/>
    <col min="133" max="133" width="7.1796875" style="180" hidden="1" customWidth="1"/>
    <col min="134" max="134" width="10.54296875" style="180" hidden="1" customWidth="1"/>
    <col min="135" max="135" width="8.453125" style="180" customWidth="1"/>
    <col min="136" max="137" width="9.453125" style="180" hidden="1" customWidth="1"/>
    <col min="138" max="138" width="9.54296875" style="180" hidden="1" customWidth="1"/>
    <col min="139" max="139" width="13.54296875" style="180" hidden="1" customWidth="1"/>
    <col min="140" max="140" width="14.453125" style="180" hidden="1" customWidth="1"/>
    <col min="141" max="141" width="10.81640625" style="180" hidden="1" customWidth="1"/>
    <col min="142" max="142" width="10.54296875" style="180" hidden="1" customWidth="1"/>
    <col min="143" max="143" width="12.453125" style="180" hidden="1" customWidth="1"/>
    <col min="144" max="144" width="9.1796875" style="180" hidden="1" customWidth="1"/>
    <col min="145" max="145" width="10.54296875" style="180" hidden="1" customWidth="1"/>
    <col min="146" max="146" width="14.81640625" style="175" hidden="1" customWidth="1"/>
    <col min="147" max="147" width="11.81640625" style="175" hidden="1" customWidth="1"/>
    <col min="148" max="148" width="15.54296875" style="175" hidden="1" customWidth="1"/>
    <col min="149" max="149" width="0" style="175" hidden="1" customWidth="1"/>
    <col min="150" max="150" width="13.81640625" style="175" hidden="1" customWidth="1"/>
    <col min="151" max="151" width="0" style="175" hidden="1" customWidth="1"/>
    <col min="152" max="152" width="11.54296875" style="175" hidden="1" customWidth="1"/>
    <col min="153" max="153" width="10.453125" style="175" hidden="1" customWidth="1"/>
    <col min="154" max="154" width="8.1796875" style="175" bestFit="1" customWidth="1"/>
    <col min="155" max="155" width="8.1796875" style="175" customWidth="1"/>
    <col min="156" max="156" width="10.453125" style="175" bestFit="1" customWidth="1"/>
    <col min="157" max="157" width="11" style="175" bestFit="1" customWidth="1"/>
    <col min="158" max="158" width="11.7265625" style="175" bestFit="1" customWidth="1"/>
    <col min="159" max="159" width="10" style="175" bestFit="1" customWidth="1"/>
    <col min="160" max="160" width="8.26953125" style="175" bestFit="1" customWidth="1"/>
    <col min="161" max="161" width="0" style="175" hidden="1" customWidth="1"/>
    <col min="162" max="16384" width="8.7265625" style="175"/>
  </cols>
  <sheetData>
    <row r="1" spans="1:161" ht="29.25" customHeight="1" x14ac:dyDescent="0.35">
      <c r="C1" s="183"/>
      <c r="D1" s="183"/>
      <c r="E1" s="176" t="s">
        <v>152</v>
      </c>
      <c r="F1" s="177" t="s">
        <v>153</v>
      </c>
      <c r="G1" s="176" t="s">
        <v>154</v>
      </c>
      <c r="AA1" s="287" t="s">
        <v>271</v>
      </c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304">
        <v>7.2700000000000001E-2</v>
      </c>
      <c r="AN1" s="304"/>
      <c r="AO1" s="304"/>
      <c r="AP1" s="304"/>
      <c r="AQ1" s="304"/>
      <c r="AR1" s="304"/>
      <c r="AS1" s="304"/>
      <c r="AT1" s="304"/>
      <c r="AU1" s="304"/>
      <c r="AV1" s="304"/>
      <c r="AW1" s="304"/>
      <c r="AX1" s="184"/>
      <c r="AY1" s="184"/>
      <c r="AZ1" s="184"/>
      <c r="BA1" s="184"/>
      <c r="BB1" s="184"/>
      <c r="BC1" s="184"/>
      <c r="BD1" s="184"/>
      <c r="BE1" s="207"/>
      <c r="BF1" s="207"/>
      <c r="BG1" s="207"/>
      <c r="BH1" s="207"/>
      <c r="BI1" s="305">
        <v>607943</v>
      </c>
    </row>
    <row r="2" spans="1:161" ht="16.5" customHeight="1" x14ac:dyDescent="0.35">
      <c r="A2" s="181" t="s">
        <v>145</v>
      </c>
      <c r="B2" s="181" t="s">
        <v>146</v>
      </c>
      <c r="C2" s="182" t="s">
        <v>274</v>
      </c>
      <c r="D2" s="182" t="s">
        <v>289</v>
      </c>
      <c r="H2" s="178" t="s">
        <v>532</v>
      </c>
      <c r="I2" s="178" t="s">
        <v>290</v>
      </c>
      <c r="J2" s="178" t="s">
        <v>533</v>
      </c>
      <c r="K2" s="183" t="s">
        <v>292</v>
      </c>
      <c r="L2" s="178" t="s">
        <v>534</v>
      </c>
      <c r="M2" s="178" t="s">
        <v>297</v>
      </c>
      <c r="N2" s="178" t="s">
        <v>293</v>
      </c>
      <c r="O2" s="184" t="s">
        <v>294</v>
      </c>
      <c r="P2" s="183" t="s">
        <v>535</v>
      </c>
      <c r="Q2" s="178"/>
      <c r="R2" s="178" t="s">
        <v>300</v>
      </c>
      <c r="S2" s="178" t="s">
        <v>301</v>
      </c>
      <c r="T2" s="178" t="s">
        <v>297</v>
      </c>
      <c r="U2" s="178" t="s">
        <v>302</v>
      </c>
      <c r="V2" s="178" t="s">
        <v>303</v>
      </c>
      <c r="W2" s="178" t="s">
        <v>423</v>
      </c>
      <c r="X2" s="178" t="s">
        <v>424</v>
      </c>
      <c r="Y2" s="178" t="s">
        <v>307</v>
      </c>
      <c r="Z2" s="178" t="s">
        <v>309</v>
      </c>
      <c r="AA2" s="178" t="s">
        <v>311</v>
      </c>
      <c r="AB2" s="178" t="s">
        <v>324</v>
      </c>
      <c r="AC2" s="178" t="s">
        <v>312</v>
      </c>
      <c r="AD2" s="178" t="s">
        <v>306</v>
      </c>
      <c r="AE2" s="178" t="s">
        <v>536</v>
      </c>
      <c r="AF2" s="178" t="s">
        <v>299</v>
      </c>
      <c r="AG2" s="178" t="s">
        <v>537</v>
      </c>
      <c r="AH2" s="178" t="s">
        <v>538</v>
      </c>
      <c r="AI2" s="178" t="s">
        <v>474</v>
      </c>
      <c r="AJ2" s="178" t="s">
        <v>477</v>
      </c>
      <c r="AK2" s="178" t="s">
        <v>292</v>
      </c>
      <c r="AL2" s="178" t="s">
        <v>535</v>
      </c>
      <c r="AM2" s="178"/>
      <c r="AN2" s="178" t="s">
        <v>318</v>
      </c>
      <c r="AO2" s="178" t="s">
        <v>428</v>
      </c>
      <c r="AP2" s="178" t="s">
        <v>429</v>
      </c>
      <c r="AQ2" s="178" t="s">
        <v>325</v>
      </c>
      <c r="AR2" s="178" t="s">
        <v>323</v>
      </c>
      <c r="AS2" s="178" t="s">
        <v>313</v>
      </c>
      <c r="AT2" s="178" t="s">
        <v>539</v>
      </c>
      <c r="AU2" s="178" t="s">
        <v>317</v>
      </c>
      <c r="AV2" s="178" t="s">
        <v>426</v>
      </c>
      <c r="AW2" s="178" t="s">
        <v>427</v>
      </c>
      <c r="AX2" s="185"/>
      <c r="AY2" s="185"/>
      <c r="AZ2" s="175" t="s">
        <v>540</v>
      </c>
      <c r="BB2" s="178" t="s">
        <v>327</v>
      </c>
      <c r="BC2" s="178" t="s">
        <v>541</v>
      </c>
      <c r="BD2" s="178" t="s">
        <v>329</v>
      </c>
      <c r="BE2" s="178" t="s">
        <v>330</v>
      </c>
      <c r="BF2" s="178" t="s">
        <v>331</v>
      </c>
      <c r="BG2" s="178" t="s">
        <v>332</v>
      </c>
      <c r="BH2" s="178" t="s">
        <v>333</v>
      </c>
      <c r="BI2" s="182" t="s">
        <v>352</v>
      </c>
      <c r="BJ2" s="1" t="s">
        <v>353</v>
      </c>
      <c r="BK2" s="1" t="s">
        <v>354</v>
      </c>
      <c r="BL2" s="6" t="s">
        <v>355</v>
      </c>
      <c r="BM2" s="1" t="s">
        <v>356</v>
      </c>
      <c r="BN2" s="1" t="s">
        <v>357</v>
      </c>
      <c r="BO2" s="178"/>
      <c r="BP2" s="178"/>
      <c r="BQ2" s="178" t="s">
        <v>358</v>
      </c>
      <c r="BR2" s="178" t="s">
        <v>361</v>
      </c>
      <c r="BS2" s="178" t="s">
        <v>363</v>
      </c>
      <c r="BT2" s="178" t="s">
        <v>335</v>
      </c>
      <c r="BU2" s="178" t="s">
        <v>362</v>
      </c>
      <c r="BV2" s="178" t="s">
        <v>365</v>
      </c>
      <c r="BW2" s="178" t="s">
        <v>364</v>
      </c>
      <c r="BX2" s="178" t="s">
        <v>337</v>
      </c>
      <c r="BY2" s="178" t="s">
        <v>542</v>
      </c>
      <c r="BZ2" s="178" t="s">
        <v>482</v>
      </c>
      <c r="CA2" s="178" t="s">
        <v>543</v>
      </c>
      <c r="CB2" s="178" t="s">
        <v>483</v>
      </c>
      <c r="CC2" s="178" t="s">
        <v>351</v>
      </c>
      <c r="CD2" s="178" t="s">
        <v>544</v>
      </c>
      <c r="CE2" s="178" t="s">
        <v>545</v>
      </c>
      <c r="CF2" s="178" t="s">
        <v>546</v>
      </c>
      <c r="CG2" s="178" t="s">
        <v>340</v>
      </c>
      <c r="CH2" s="178" t="s">
        <v>341</v>
      </c>
      <c r="CI2" s="186" t="s">
        <v>342</v>
      </c>
      <c r="CJ2" s="186" t="s">
        <v>434</v>
      </c>
      <c r="CK2" s="178" t="s">
        <v>547</v>
      </c>
      <c r="CL2" s="178" t="s">
        <v>367</v>
      </c>
      <c r="CM2" s="178" t="s">
        <v>366</v>
      </c>
      <c r="CN2" s="178" t="s">
        <v>488</v>
      </c>
      <c r="CO2" s="178" t="s">
        <v>331</v>
      </c>
      <c r="CP2" s="178" t="s">
        <v>359</v>
      </c>
      <c r="CQ2" s="178" t="s">
        <v>360</v>
      </c>
      <c r="CR2" s="178" t="s">
        <v>597</v>
      </c>
      <c r="CS2" s="178" t="s">
        <v>600</v>
      </c>
      <c r="CT2" s="178" t="s">
        <v>601</v>
      </c>
      <c r="CU2" s="178" t="s">
        <v>491</v>
      </c>
      <c r="CV2" s="178" t="s">
        <v>497</v>
      </c>
      <c r="CW2" s="178" t="s">
        <v>548</v>
      </c>
      <c r="CX2" s="178" t="s">
        <v>499</v>
      </c>
      <c r="CY2" s="178" t="s">
        <v>489</v>
      </c>
      <c r="CZ2" s="178" t="s">
        <v>490</v>
      </c>
      <c r="DA2" s="178" t="s">
        <v>500</v>
      </c>
      <c r="DB2" s="178" t="s">
        <v>549</v>
      </c>
      <c r="DC2" s="178" t="s">
        <v>550</v>
      </c>
      <c r="DD2" s="178" t="s">
        <v>503</v>
      </c>
      <c r="DE2" s="178" t="s">
        <v>551</v>
      </c>
      <c r="DF2" s="178" t="s">
        <v>501</v>
      </c>
      <c r="DG2" s="178" t="s">
        <v>502</v>
      </c>
      <c r="DH2" s="178" t="s">
        <v>504</v>
      </c>
      <c r="DI2" s="178" t="s">
        <v>505</v>
      </c>
      <c r="DJ2" s="178" t="s">
        <v>492</v>
      </c>
      <c r="DK2" s="178" t="s">
        <v>493</v>
      </c>
      <c r="DL2" s="178" t="s">
        <v>494</v>
      </c>
      <c r="DM2" s="178" t="s">
        <v>607</v>
      </c>
      <c r="DN2" s="178" t="s">
        <v>495</v>
      </c>
      <c r="DO2" s="178" t="s">
        <v>496</v>
      </c>
      <c r="DP2" s="178" t="s">
        <v>513</v>
      </c>
      <c r="DQ2" s="178" t="s">
        <v>514</v>
      </c>
      <c r="DR2" s="178" t="s">
        <v>507</v>
      </c>
      <c r="DS2" s="178" t="s">
        <v>506</v>
      </c>
      <c r="DT2" s="178" t="s">
        <v>508</v>
      </c>
      <c r="DU2" s="178" t="s">
        <v>509</v>
      </c>
      <c r="DV2" s="178" t="s">
        <v>510</v>
      </c>
      <c r="DW2" s="186" t="s">
        <v>511</v>
      </c>
      <c r="DX2" s="178" t="s">
        <v>512</v>
      </c>
      <c r="DY2" s="178" t="s">
        <v>344</v>
      </c>
      <c r="DZ2" s="178" t="s">
        <v>345</v>
      </c>
      <c r="EA2" s="178" t="s">
        <v>346</v>
      </c>
      <c r="EB2" s="178" t="s">
        <v>347</v>
      </c>
      <c r="EC2" s="187" t="s">
        <v>515</v>
      </c>
      <c r="ED2" s="187" t="s">
        <v>369</v>
      </c>
      <c r="EE2" s="187" t="s">
        <v>595</v>
      </c>
      <c r="EF2" s="187" t="s">
        <v>517</v>
      </c>
      <c r="EG2" s="187" t="s">
        <v>518</v>
      </c>
      <c r="EH2" s="187" t="s">
        <v>519</v>
      </c>
      <c r="EI2" s="187" t="s">
        <v>516</v>
      </c>
      <c r="EJ2" s="187" t="s">
        <v>520</v>
      </c>
      <c r="EK2" s="187" t="s">
        <v>521</v>
      </c>
      <c r="EL2" s="187" t="s">
        <v>522</v>
      </c>
      <c r="EM2" s="187" t="s">
        <v>525</v>
      </c>
      <c r="EN2" s="187" t="s">
        <v>523</v>
      </c>
      <c r="EO2" s="187" t="s">
        <v>381</v>
      </c>
      <c r="EP2" s="178" t="s">
        <v>382</v>
      </c>
      <c r="EQ2" s="178" t="s">
        <v>383</v>
      </c>
      <c r="ER2" s="178" t="s">
        <v>384</v>
      </c>
      <c r="ES2" s="178" t="s">
        <v>385</v>
      </c>
      <c r="ET2" s="178" t="s">
        <v>387</v>
      </c>
      <c r="EU2" s="178" t="s">
        <v>462</v>
      </c>
      <c r="EV2" s="178" t="s">
        <v>463</v>
      </c>
      <c r="EW2" s="178" t="s">
        <v>464</v>
      </c>
      <c r="EX2" s="178" t="s">
        <v>368</v>
      </c>
      <c r="EY2" s="178" t="s">
        <v>371</v>
      </c>
      <c r="EZ2" s="178" t="s">
        <v>372</v>
      </c>
      <c r="FA2" s="178" t="s">
        <v>602</v>
      </c>
      <c r="FB2" s="178" t="s">
        <v>603</v>
      </c>
      <c r="FC2" s="178" t="s">
        <v>604</v>
      </c>
      <c r="FD2" s="178" t="s">
        <v>606</v>
      </c>
      <c r="FE2" s="178" t="s">
        <v>465</v>
      </c>
    </row>
    <row r="3" spans="1:161" x14ac:dyDescent="0.35">
      <c r="A3" s="188" t="s">
        <v>149</v>
      </c>
      <c r="B3" s="188" t="s">
        <v>176</v>
      </c>
      <c r="C3" s="175">
        <f t="shared" ref="C3:C52" si="0">SUM(E3:G3)</f>
        <v>11</v>
      </c>
      <c r="D3" s="175">
        <v>9</v>
      </c>
      <c r="E3" s="175">
        <v>11</v>
      </c>
      <c r="F3" s="175">
        <v>0</v>
      </c>
      <c r="G3" s="175">
        <v>0</v>
      </c>
      <c r="H3" s="189">
        <v>0.52900000000000003</v>
      </c>
      <c r="I3" s="189">
        <v>0.23855958601995295</v>
      </c>
      <c r="J3" s="189">
        <f>(0.6*DY3)+(0.4*ET3)</f>
        <v>0.60960000000000003</v>
      </c>
      <c r="K3" s="190">
        <f>P3*AY$6</f>
        <v>0</v>
      </c>
      <c r="L3" s="191"/>
      <c r="M3" s="190" t="e">
        <f>AD3*AY$8</f>
        <v>#DIV/0!</v>
      </c>
      <c r="N3" s="185" t="e">
        <f>AE3*AY$2</f>
        <v>#DIV/0!</v>
      </c>
      <c r="O3" s="185" t="e">
        <f>N3-K3</f>
        <v>#DIV/0!</v>
      </c>
      <c r="P3" s="191">
        <f>C3*AF3</f>
        <v>1.003102913290812</v>
      </c>
      <c r="Q3" s="191"/>
      <c r="R3" s="180">
        <v>0</v>
      </c>
      <c r="S3" s="185">
        <v>3930.5703494671129</v>
      </c>
      <c r="T3" s="192">
        <v>0</v>
      </c>
      <c r="U3" s="192" t="e">
        <f>AN3*AY$19</f>
        <v>#DIV/0!</v>
      </c>
      <c r="V3" s="192" t="e">
        <f>SUM(W3:X3)</f>
        <v>#DIV/0!</v>
      </c>
      <c r="W3" s="190" t="e">
        <f>AO3*AY$34</f>
        <v>#DIV/0!</v>
      </c>
      <c r="X3" s="185"/>
      <c r="Y3" s="185">
        <f>AB3*AY$24</f>
        <v>0</v>
      </c>
      <c r="Z3" s="185">
        <f>AVERAGE(S3,T3,Y3)</f>
        <v>1310.1901164890376</v>
      </c>
      <c r="AA3" s="306">
        <f>Z3-(AQ3*Z$55)</f>
        <v>1310.1901164890376</v>
      </c>
      <c r="AB3" s="180">
        <f>D3*AQ3</f>
        <v>0</v>
      </c>
      <c r="AC3" s="180">
        <f>D3*AR3</f>
        <v>0</v>
      </c>
      <c r="AD3" s="180" t="e">
        <f>D3*AS3</f>
        <v>#DIV/0!</v>
      </c>
      <c r="AE3" s="180" t="e">
        <f>C3*AT3</f>
        <v>#DIV/0!</v>
      </c>
      <c r="AF3" s="180">
        <f>H3/AZ$3</f>
        <v>9.1191173935528363E-2</v>
      </c>
      <c r="AG3" s="180"/>
      <c r="AH3" s="180"/>
      <c r="AI3" s="180"/>
      <c r="AJ3" s="180"/>
      <c r="AK3" s="180"/>
      <c r="AL3" s="180"/>
      <c r="AM3" s="180"/>
      <c r="AN3" s="180" t="e">
        <f>D3*AU3</f>
        <v>#DIV/0!</v>
      </c>
      <c r="AO3" s="180" t="e">
        <f>D3*AV3</f>
        <v>#DIV/0!</v>
      </c>
      <c r="AP3" s="180"/>
      <c r="AQ3" s="180">
        <f>FE3/BA$30</f>
        <v>0</v>
      </c>
      <c r="AR3" s="180">
        <f>EW3/BA$28</f>
        <v>0</v>
      </c>
      <c r="AS3" s="180" t="e">
        <f>I3/BA$6</f>
        <v>#DIV/0!</v>
      </c>
      <c r="AT3" s="180" t="e">
        <f>J3/BA$3</f>
        <v>#DIV/0!</v>
      </c>
      <c r="AU3" s="180" t="e">
        <f>EV3/BA$8</f>
        <v>#DIV/0!</v>
      </c>
      <c r="AV3" s="180" t="e">
        <f>DS3/BA$21</f>
        <v>#DIV/0!</v>
      </c>
      <c r="AW3" s="180"/>
      <c r="AX3" s="187" t="s">
        <v>552</v>
      </c>
      <c r="AY3" s="187"/>
      <c r="AZ3" s="306">
        <v>5.8010000000000002</v>
      </c>
      <c r="BA3" s="180"/>
      <c r="BB3" s="180">
        <v>6</v>
      </c>
      <c r="BC3" s="180">
        <v>6</v>
      </c>
      <c r="BD3" s="180">
        <f>BB3-BC3</f>
        <v>0</v>
      </c>
      <c r="BE3" s="180">
        <v>7</v>
      </c>
      <c r="BF3" s="180">
        <v>10</v>
      </c>
      <c r="BG3" s="180">
        <v>12</v>
      </c>
      <c r="BH3" s="180">
        <v>8</v>
      </c>
      <c r="BI3" s="180"/>
      <c r="BJ3" s="180"/>
      <c r="BK3" s="180"/>
      <c r="BL3" s="180"/>
      <c r="BM3" s="179"/>
      <c r="BN3" s="179"/>
      <c r="BO3" s="149" t="s">
        <v>393</v>
      </c>
      <c r="BP3" s="179">
        <f>SUM(FD11,FD24,FD31,FD37,FD39,FD40,FD41,FD49)</f>
        <v>5.6526632860293411</v>
      </c>
      <c r="BS3" s="180"/>
      <c r="BT3" s="194"/>
      <c r="BU3" s="194"/>
      <c r="BV3" s="194"/>
      <c r="BW3" s="194"/>
      <c r="BX3" s="194"/>
      <c r="BY3" s="194"/>
      <c r="CA3" s="194"/>
      <c r="CC3" s="179"/>
      <c r="CD3" s="179"/>
      <c r="CE3" s="179"/>
      <c r="CF3" s="194"/>
      <c r="CH3" s="194"/>
      <c r="CL3" s="189"/>
      <c r="CM3" s="179"/>
      <c r="CU3" s="194"/>
      <c r="CV3" s="175">
        <f t="shared" ref="CV3:CV12" si="1">CN3+CU3</f>
        <v>0</v>
      </c>
      <c r="CW3" s="180">
        <f t="shared" ref="CW3:CW12" si="2">D3*CU$57</f>
        <v>0</v>
      </c>
      <c r="CX3" s="194">
        <f t="shared" ref="CX3:CX12" si="3">D3*CN$57</f>
        <v>4.9710177</v>
      </c>
      <c r="CY3" s="175">
        <v>17</v>
      </c>
      <c r="CZ3" s="194">
        <f t="shared" ref="CZ3:CZ12" si="4">D3*CY$57</f>
        <v>6.3733455000000001</v>
      </c>
      <c r="DA3" s="194">
        <f>CY3-CZ3</f>
        <v>10.626654500000001</v>
      </c>
      <c r="DB3" s="194">
        <f>D3*CN$56</f>
        <v>3.1380368098159508</v>
      </c>
      <c r="DC3" s="194">
        <f>CN3-DB3</f>
        <v>-3.1380368098159508</v>
      </c>
      <c r="DD3" s="189">
        <f t="shared" ref="DD3:DD12" si="5">(DA3-DA$53)/DA$54</f>
        <v>0.84287108882775641</v>
      </c>
      <c r="DE3" s="189">
        <f>(DC3-DC$53)/DC$54</f>
        <v>-0.29377119530787138</v>
      </c>
      <c r="DF3" s="180">
        <f>CV3-CW3</f>
        <v>0</v>
      </c>
      <c r="DG3" s="194">
        <f t="shared" ref="DG3:DG12" si="6">CN3-CX3</f>
        <v>-4.9710177</v>
      </c>
      <c r="DH3" s="189">
        <f t="shared" ref="DH3:DH12" si="7">(DF3-DF$53)/DF$54</f>
        <v>-0.97691651523354961</v>
      </c>
      <c r="DI3" s="179">
        <f t="shared" ref="DI3:DI12" si="8">(DG3-DG$53)/DG$54</f>
        <v>0.10429550889855907</v>
      </c>
      <c r="DJ3" s="179"/>
      <c r="DK3" s="179"/>
      <c r="DL3" s="179"/>
      <c r="DM3" s="179"/>
      <c r="DN3" s="179"/>
      <c r="DO3" s="179"/>
      <c r="DP3" s="179"/>
      <c r="DQ3" s="189">
        <f t="shared" ref="DQ3:DQ12" si="9">(0.6*CL3)+(0.4*DH3)</f>
        <v>-0.39076660609341984</v>
      </c>
      <c r="DR3" s="189">
        <f t="shared" ref="DR3:DR12" si="10">(0.6*CM3)+(0.4*DI3)</f>
        <v>4.1718203559423628E-2</v>
      </c>
      <c r="DS3" s="189">
        <f t="shared" ref="DS3:DT5" si="11">(0.6*CC3)+(0.4*DD3)</f>
        <v>0.33714843553110257</v>
      </c>
      <c r="DT3" s="189">
        <f t="shared" si="11"/>
        <v>-0.11750847812314856</v>
      </c>
      <c r="DU3" s="175">
        <v>3</v>
      </c>
      <c r="DV3" s="175">
        <f>CK3-DU3</f>
        <v>-3</v>
      </c>
      <c r="DW3" s="179">
        <v>2.54</v>
      </c>
      <c r="DX3" s="179">
        <v>0.89300000000000002</v>
      </c>
      <c r="DY3" s="179">
        <f>(0.6*CJ3)+(0.4*DW3)</f>
        <v>1.016</v>
      </c>
      <c r="DZ3" s="180">
        <v>0</v>
      </c>
      <c r="EA3" s="180">
        <v>0</v>
      </c>
      <c r="EB3" s="175">
        <v>1750</v>
      </c>
      <c r="EC3" s="180">
        <v>0</v>
      </c>
      <c r="ED3" s="180">
        <v>0</v>
      </c>
      <c r="EM3" s="195"/>
      <c r="EN3" s="195"/>
      <c r="EO3" s="195"/>
      <c r="EP3" s="180"/>
      <c r="ER3" s="180"/>
      <c r="ES3" s="179"/>
      <c r="ET3" s="179"/>
      <c r="EU3" s="189"/>
      <c r="EV3" s="189"/>
      <c r="EW3" s="189"/>
      <c r="EX3" s="179"/>
      <c r="EY3" s="179"/>
      <c r="EZ3" s="179"/>
      <c r="FA3" s="179"/>
      <c r="FB3" s="179"/>
      <c r="FC3" s="179"/>
      <c r="FD3" s="179"/>
      <c r="FE3" s="179"/>
    </row>
    <row r="4" spans="1:161" x14ac:dyDescent="0.35">
      <c r="A4" s="188" t="s">
        <v>149</v>
      </c>
      <c r="B4" s="188" t="s">
        <v>119</v>
      </c>
      <c r="C4" s="175">
        <f t="shared" si="0"/>
        <v>191</v>
      </c>
      <c r="D4" s="175">
        <v>183</v>
      </c>
      <c r="E4" s="175">
        <v>139</v>
      </c>
      <c r="F4" s="175">
        <v>52</v>
      </c>
      <c r="G4" s="175">
        <v>0</v>
      </c>
      <c r="H4" s="189">
        <v>3.0009999999999999</v>
      </c>
      <c r="I4" s="189">
        <v>2.1372409957968852</v>
      </c>
      <c r="J4" s="189">
        <f>(0.6*DY4)+(0.4*ET4)</f>
        <v>2.9576997420551789</v>
      </c>
      <c r="K4" s="190">
        <f>P4*AY$6</f>
        <v>0</v>
      </c>
      <c r="L4" s="191" t="e">
        <f>C4*Q4</f>
        <v>#REF!</v>
      </c>
      <c r="M4" s="190" t="e">
        <f>AD4*AY$8</f>
        <v>#DIV/0!</v>
      </c>
      <c r="N4" s="185" t="e">
        <f>AE4*AY$2</f>
        <v>#DIV/0!</v>
      </c>
      <c r="O4" s="185" t="e">
        <f>N4-K4</f>
        <v>#DIV/0!</v>
      </c>
      <c r="P4" s="191">
        <f>C4*AF4</f>
        <v>98.808998448543349</v>
      </c>
      <c r="Q4" s="191" t="e">
        <f>#REF!/AZ2</f>
        <v>#REF!</v>
      </c>
      <c r="R4" s="180">
        <v>167</v>
      </c>
      <c r="S4" s="185">
        <v>403247.42159715749</v>
      </c>
      <c r="T4" s="192">
        <f>AC4*AY$39</f>
        <v>329476.98774019704</v>
      </c>
      <c r="U4" s="192" t="e">
        <f>AN4*AY$19</f>
        <v>#DIV/0!</v>
      </c>
      <c r="V4" s="192" t="e">
        <f>SUM(W4:X4)</f>
        <v>#DIV/0!</v>
      </c>
      <c r="W4" s="190" t="e">
        <f>AO4*AY$34</f>
        <v>#DIV/0!</v>
      </c>
      <c r="X4" s="190" t="e">
        <f>AP4*AY$35</f>
        <v>#DIV/0!</v>
      </c>
      <c r="Y4" s="185">
        <f>AB4*AY$24</f>
        <v>261382.75068200688</v>
      </c>
      <c r="Z4" s="185">
        <f>AVERAGE(S4,T4,Y4)</f>
        <v>331369.05333978712</v>
      </c>
      <c r="AA4" s="306">
        <f>Z4-(AQ4*Z$55)</f>
        <v>356341.88751526648</v>
      </c>
      <c r="AB4" s="180">
        <f>D4*AQ4</f>
        <v>100.35070579700412</v>
      </c>
      <c r="AC4" s="180">
        <f>D4*AR4</f>
        <v>100.49830496265696</v>
      </c>
      <c r="AD4" s="180" t="e">
        <f>D4*AS4</f>
        <v>#DIV/0!</v>
      </c>
      <c r="AE4" s="180" t="e">
        <f>C4*AT4</f>
        <v>#DIV/0!</v>
      </c>
      <c r="AF4" s="180">
        <f>H4/AZ$3</f>
        <v>0.51732459920703322</v>
      </c>
      <c r="AG4" s="180"/>
      <c r="AH4" s="180"/>
      <c r="AI4" s="180"/>
      <c r="AJ4" s="180"/>
      <c r="AK4" s="180"/>
      <c r="AL4" s="180"/>
      <c r="AM4" s="180"/>
      <c r="AN4" s="180" t="e">
        <f>D4*AU4</f>
        <v>#DIV/0!</v>
      </c>
      <c r="AO4" s="180" t="e">
        <f>D4*AV4</f>
        <v>#DIV/0!</v>
      </c>
      <c r="AP4" s="180" t="e">
        <f>D4*AW4</f>
        <v>#DIV/0!</v>
      </c>
      <c r="AQ4" s="180">
        <f>FE4/BA$30</f>
        <v>0.54836451255193508</v>
      </c>
      <c r="AR4" s="180">
        <f>EW4/BA$28</f>
        <v>0.54917106536971017</v>
      </c>
      <c r="AS4" s="180" t="e">
        <f>I4/BA$6</f>
        <v>#DIV/0!</v>
      </c>
      <c r="AT4" s="180" t="e">
        <f>J4/BA$3</f>
        <v>#DIV/0!</v>
      </c>
      <c r="AU4" s="180" t="e">
        <f>EV4/BA$8</f>
        <v>#DIV/0!</v>
      </c>
      <c r="AV4" s="180" t="e">
        <f>DS4/BA$21</f>
        <v>#DIV/0!</v>
      </c>
      <c r="AW4" s="180" t="e">
        <f>EM4/BA$24</f>
        <v>#DIV/0!</v>
      </c>
      <c r="AX4" s="307">
        <v>296573.17</v>
      </c>
      <c r="AY4" s="180"/>
      <c r="AZ4" s="180"/>
      <c r="BA4" s="180"/>
      <c r="BB4" s="180">
        <v>244</v>
      </c>
      <c r="BC4" s="180">
        <v>224</v>
      </c>
      <c r="BD4" s="180">
        <f>BB4-BC4</f>
        <v>20</v>
      </c>
      <c r="BE4" s="180">
        <v>130</v>
      </c>
      <c r="BF4" s="180">
        <v>255</v>
      </c>
      <c r="BG4" s="180">
        <v>350</v>
      </c>
      <c r="BH4" s="180">
        <v>241</v>
      </c>
      <c r="BI4" s="221">
        <v>224701.70524211289</v>
      </c>
      <c r="BJ4" s="307">
        <v>0</v>
      </c>
      <c r="BK4" s="180">
        <f>AVERAGE(AA4,BI4,BJ4)</f>
        <v>193681.19758579312</v>
      </c>
      <c r="BL4" s="307">
        <f>BK4-(BN4*BK$55)</f>
        <v>193681.19758579312</v>
      </c>
      <c r="BM4" s="179"/>
      <c r="BN4" s="179"/>
      <c r="BO4" s="149" t="s">
        <v>396</v>
      </c>
      <c r="BP4" s="180">
        <f>BI1/BM54</f>
        <v>9930.6092991185687</v>
      </c>
      <c r="BQ4" s="175">
        <v>368</v>
      </c>
      <c r="BR4" s="175">
        <f t="shared" ref="BR4:BR52" si="12">BH4+BQ4</f>
        <v>609</v>
      </c>
      <c r="BS4" s="180">
        <f t="shared" ref="BS4:BS12" si="13">D4*BQ$57</f>
        <v>0</v>
      </c>
      <c r="BT4" s="194">
        <f t="shared" ref="BT4:BT12" si="14">D4*BG$57</f>
        <v>262.876938</v>
      </c>
      <c r="BU4" s="194">
        <f t="shared" ref="BU4:BU12" si="15">D4*BH$57</f>
        <v>151.80338609999998</v>
      </c>
      <c r="BV4" s="194">
        <f t="shared" ref="BV4:BV52" si="16">BR4-BS4</f>
        <v>609</v>
      </c>
      <c r="BW4" s="194">
        <f t="shared" ref="BW4:BW52" si="17">BH4-BU4</f>
        <v>89.196613900000017</v>
      </c>
      <c r="BX4" s="194">
        <f t="shared" ref="BX4:BX52" si="18">BG4-BT4</f>
        <v>87.123062000000004</v>
      </c>
      <c r="BY4" s="194">
        <f>D4*BF$56</f>
        <v>179.25766871165644</v>
      </c>
      <c r="BZ4" s="175">
        <v>177</v>
      </c>
      <c r="CA4" s="194">
        <f>BF4-BY4</f>
        <v>75.742331288343564</v>
      </c>
      <c r="CB4" s="175">
        <f>BF4-BZ4</f>
        <v>78</v>
      </c>
      <c r="CC4" s="189">
        <f t="shared" ref="CC4:CC12" si="19">(BX4-BX$53)/BX$54</f>
        <v>2.9573606695903889</v>
      </c>
      <c r="CD4" s="189">
        <f>(CA4-CA$53)/CA$54</f>
        <v>3.5011230558982755</v>
      </c>
      <c r="CE4" s="189">
        <f>(CB4-CB$53)/CB$54</f>
        <v>3.6304662713597819</v>
      </c>
      <c r="CF4" s="194">
        <v>134.18673699999999</v>
      </c>
      <c r="CG4" s="175">
        <f>BB4-BE4</f>
        <v>114</v>
      </c>
      <c r="CH4" s="194">
        <f>BC4-CF4</f>
        <v>89.813263000000006</v>
      </c>
      <c r="CI4" s="179">
        <v>4.2750000000000004</v>
      </c>
      <c r="CJ4" s="179">
        <f>(CH4-CH$54)/CH$55</f>
        <v>3.7923325526806786</v>
      </c>
      <c r="CK4" s="175">
        <v>53</v>
      </c>
      <c r="CL4" s="189">
        <f t="shared" ref="CL4:CL12" si="20">(BV4-BV$53)/BV$54</f>
        <v>4.1063852176998346</v>
      </c>
      <c r="CM4" s="189">
        <f t="shared" ref="CM4:CM12" si="21">(BW4-BW$53)/BW$54</f>
        <v>4.0169063434113648</v>
      </c>
      <c r="CN4" s="175">
        <v>43</v>
      </c>
      <c r="CO4" s="175">
        <v>195</v>
      </c>
      <c r="CP4" s="194">
        <v>135</v>
      </c>
      <c r="CQ4" s="194">
        <f>BQ4+CO4+CP4</f>
        <v>698</v>
      </c>
      <c r="CR4" s="194">
        <f t="shared" ref="CR4:CR35" si="22">R4*CR$55</f>
        <v>564.54322860238358</v>
      </c>
      <c r="CS4" s="194">
        <f>CQ4-CR4</f>
        <v>133.45677139761642</v>
      </c>
      <c r="CT4" s="189">
        <f>(CS4-CS$56)/CS$57</f>
        <v>1.9536592481232988</v>
      </c>
      <c r="CU4" s="194">
        <v>22</v>
      </c>
      <c r="CV4" s="175">
        <f t="shared" si="1"/>
        <v>65</v>
      </c>
      <c r="CW4" s="180">
        <f t="shared" si="2"/>
        <v>0</v>
      </c>
      <c r="CX4" s="194">
        <f t="shared" si="3"/>
        <v>101.07735989999999</v>
      </c>
      <c r="CY4" s="175">
        <v>80</v>
      </c>
      <c r="CZ4" s="194">
        <f t="shared" si="4"/>
        <v>129.59135849999998</v>
      </c>
      <c r="DA4" s="194">
        <f t="shared" ref="DA4:DA52" si="23">CY4-CZ4</f>
        <v>-49.591358499999984</v>
      </c>
      <c r="DB4" s="194">
        <f>D4*CN$56</f>
        <v>63.806748466257666</v>
      </c>
      <c r="DC4" s="194">
        <f>CN4-DB4</f>
        <v>-20.806748466257666</v>
      </c>
      <c r="DD4" s="179">
        <f t="shared" si="5"/>
        <v>-2.1936329181527428</v>
      </c>
      <c r="DE4" s="179">
        <f>(DC4-DC$53)/DC$54</f>
        <v>-1.9478494797392876</v>
      </c>
      <c r="DF4" s="180">
        <f t="shared" ref="DF4:DF52" si="24">CV4-CW4</f>
        <v>65</v>
      </c>
      <c r="DG4" s="194">
        <f t="shared" si="6"/>
        <v>-58.07735989999999</v>
      </c>
      <c r="DH4" s="179">
        <f t="shared" si="7"/>
        <v>3.07030904787687</v>
      </c>
      <c r="DI4" s="179">
        <f t="shared" si="8"/>
        <v>-2.8148423117031856</v>
      </c>
      <c r="DJ4" s="194">
        <v>13</v>
      </c>
      <c r="DK4" s="194">
        <v>51.83</v>
      </c>
      <c r="DL4" s="194">
        <f>CU4+DJ4+DK4</f>
        <v>86.83</v>
      </c>
      <c r="DM4" s="194">
        <f t="shared" ref="DM4:DM35" si="25">R4*DL$56</f>
        <v>112.84170097508125</v>
      </c>
      <c r="DN4" s="194">
        <f>DL4-DM4</f>
        <v>-26.011700975081254</v>
      </c>
      <c r="DO4" s="179">
        <f>(DN4-DM$57)/DM$58</f>
        <v>-1.5707379448161038</v>
      </c>
      <c r="DP4" s="189">
        <f>(0.6*CT4)+(0.4*DO4)</f>
        <v>0.54390037094753763</v>
      </c>
      <c r="DQ4" s="189">
        <f t="shared" si="9"/>
        <v>3.6919547497706486</v>
      </c>
      <c r="DR4" s="189">
        <f t="shared" si="10"/>
        <v>1.2842068813655445</v>
      </c>
      <c r="DS4" s="189">
        <f t="shared" si="11"/>
        <v>0.89696323449313609</v>
      </c>
      <c r="DT4" s="189">
        <f t="shared" si="11"/>
        <v>1.3215340416432504</v>
      </c>
      <c r="DU4" s="175">
        <v>60</v>
      </c>
      <c r="DV4" s="175">
        <f>CK4-DU4</f>
        <v>-7</v>
      </c>
      <c r="DW4" s="179">
        <v>1.2949999999999999</v>
      </c>
      <c r="DX4" s="179">
        <v>3.0830000000000002</v>
      </c>
      <c r="DY4" s="179">
        <f>(0.6*CJ4)+(0.4*DW4)</f>
        <v>2.793399531608407</v>
      </c>
      <c r="DZ4" s="180">
        <v>404291</v>
      </c>
      <c r="EA4" s="180">
        <v>404291.29000000004</v>
      </c>
      <c r="EB4" s="175">
        <v>239031</v>
      </c>
      <c r="EC4" s="180">
        <v>190214</v>
      </c>
      <c r="ED4" s="180">
        <v>502541</v>
      </c>
      <c r="EE4" s="180">
        <v>14361</v>
      </c>
      <c r="EF4" s="180">
        <f t="shared" ref="EF4:EF52" si="26">EC4+EE4</f>
        <v>204575</v>
      </c>
      <c r="EG4" s="180">
        <f t="shared" ref="EG4:EG12" si="27">D4*EE$56</f>
        <v>0</v>
      </c>
      <c r="EH4" s="180">
        <f>D4*EC$55</f>
        <v>53945.144171779146</v>
      </c>
      <c r="EI4" s="180">
        <f t="shared" ref="EI4:EI12" si="28">D4*ED$56</f>
        <v>120780</v>
      </c>
      <c r="EJ4" s="180">
        <f t="shared" ref="EJ4:EJ52" si="29">ED4-EI4</f>
        <v>381761</v>
      </c>
      <c r="EK4" s="180">
        <f t="shared" ref="EK4:EK52" si="30">EF4-EG4</f>
        <v>204575</v>
      </c>
      <c r="EL4" s="180">
        <f>EC4-EH4</f>
        <v>136268.85582822084</v>
      </c>
      <c r="EM4" s="196">
        <f t="shared" ref="EM4:EO5" si="31">(EJ4-EJ$53)/EJ$54</f>
        <v>4.5624562017464223</v>
      </c>
      <c r="EN4" s="196">
        <f t="shared" si="31"/>
        <v>2.2332857518377471</v>
      </c>
      <c r="EO4" s="196">
        <f t="shared" si="31"/>
        <v>4.5267990765134707</v>
      </c>
      <c r="EP4" s="180">
        <v>213087.2291</v>
      </c>
      <c r="EQ4" s="175">
        <f>DZ4-EB4</f>
        <v>165260</v>
      </c>
      <c r="ER4" s="180">
        <f t="shared" ref="ER4:ER5" si="32">EA4-EP4</f>
        <v>191204.06090000004</v>
      </c>
      <c r="ES4" s="179">
        <v>2.8780000000000001</v>
      </c>
      <c r="ET4" s="179">
        <f>(ER4-ER$54)/ER$55</f>
        <v>3.2041500577253372</v>
      </c>
      <c r="EU4" s="189">
        <f>(0.6*DT4)+(0.4*EO4)</f>
        <v>2.6036400555913386</v>
      </c>
      <c r="EV4" s="189">
        <f t="shared" ref="EV4:EV52" si="33">(0.6*DS4)+(0.4*EM4)</f>
        <v>2.3631604213944506</v>
      </c>
      <c r="EW4" s="189">
        <f t="shared" ref="EW4:EW52" si="34">(0.6*DR4)+(0.4*EO4)</f>
        <v>2.5812437594247148</v>
      </c>
      <c r="EX4" s="180">
        <v>0</v>
      </c>
      <c r="EY4" s="180">
        <v>4000</v>
      </c>
      <c r="EZ4" s="180">
        <f>EE4+EX4+EY4</f>
        <v>18361</v>
      </c>
      <c r="FA4" s="180">
        <f t="shared" ref="FA4:FA35" si="35">R4*FA$55</f>
        <v>243202.47995666307</v>
      </c>
      <c r="FB4" s="180">
        <f>EZ4-FA4</f>
        <v>-224841.47995666307</v>
      </c>
      <c r="FC4" s="179">
        <f>(FB4-FB$56)/FB$57</f>
        <v>-2.040661769926869</v>
      </c>
      <c r="FD4" s="179">
        <f>(0.6*DP4)+(0.4*FC4)</f>
        <v>-0.48992448540222511</v>
      </c>
      <c r="FE4" s="189">
        <f t="shared" ref="FE4:FE19" si="36">(0.6*DQ4)+(0.4*EN4)</f>
        <v>3.108487150597488</v>
      </c>
    </row>
    <row r="5" spans="1:161" x14ac:dyDescent="0.35">
      <c r="A5" s="197" t="s">
        <v>149</v>
      </c>
      <c r="B5" s="197" t="s">
        <v>53</v>
      </c>
      <c r="C5" s="175">
        <f t="shared" si="0"/>
        <v>6</v>
      </c>
      <c r="D5" s="175">
        <v>6</v>
      </c>
      <c r="E5" s="175">
        <v>6</v>
      </c>
      <c r="F5" s="175">
        <v>0</v>
      </c>
      <c r="G5" s="175">
        <v>0</v>
      </c>
      <c r="H5" s="179">
        <v>-0.11</v>
      </c>
      <c r="I5" s="179">
        <v>6.8684659376248985E-3</v>
      </c>
      <c r="J5" s="179">
        <f>(0.6*DY5)+(0.4*ET5)</f>
        <v>-0.11975568529502746</v>
      </c>
      <c r="K5" s="185"/>
      <c r="L5" s="191"/>
      <c r="M5" s="191"/>
      <c r="N5" s="185"/>
      <c r="O5" s="185"/>
      <c r="P5" s="191"/>
      <c r="Q5" s="191"/>
      <c r="R5" s="180">
        <v>7</v>
      </c>
      <c r="S5" s="185"/>
      <c r="T5" s="198"/>
      <c r="U5" s="198"/>
      <c r="V5" s="198"/>
      <c r="W5" s="185"/>
      <c r="X5" s="185"/>
      <c r="Y5" s="185"/>
      <c r="Z5" s="185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>
        <v>3</v>
      </c>
      <c r="BC5" s="180">
        <v>3</v>
      </c>
      <c r="BD5" s="180">
        <f>BB5-BC5</f>
        <v>0</v>
      </c>
      <c r="BE5" s="180">
        <v>4</v>
      </c>
      <c r="BF5" s="180">
        <v>8</v>
      </c>
      <c r="BG5" s="180">
        <v>11</v>
      </c>
      <c r="BH5" s="180">
        <v>4</v>
      </c>
      <c r="BI5" s="180"/>
      <c r="BJ5" s="180"/>
      <c r="BK5" s="180"/>
      <c r="BL5" s="180"/>
      <c r="BM5" s="179"/>
      <c r="BN5" s="179"/>
      <c r="BQ5" s="175">
        <v>8</v>
      </c>
      <c r="BR5" s="175">
        <f t="shared" si="12"/>
        <v>12</v>
      </c>
      <c r="BS5" s="180">
        <f t="shared" si="13"/>
        <v>0</v>
      </c>
      <c r="BT5" s="194">
        <f t="shared" si="14"/>
        <v>8.6189159999999987</v>
      </c>
      <c r="BU5" s="194">
        <f t="shared" si="15"/>
        <v>4.9771602000000001</v>
      </c>
      <c r="BV5" s="194">
        <f t="shared" si="16"/>
        <v>12</v>
      </c>
      <c r="BW5" s="194">
        <f t="shared" si="17"/>
        <v>-0.97716020000000015</v>
      </c>
      <c r="BX5" s="194">
        <f t="shared" si="18"/>
        <v>2.3810840000000013</v>
      </c>
      <c r="BY5" s="194">
        <f>D5*BF$56</f>
        <v>5.8773006134969332</v>
      </c>
      <c r="BZ5" s="175">
        <v>6</v>
      </c>
      <c r="CA5" s="194">
        <f>BF5-BY5</f>
        <v>2.1226993865030668</v>
      </c>
      <c r="CB5" s="175">
        <f>BF5-BZ5</f>
        <v>2</v>
      </c>
      <c r="CC5" s="179">
        <f t="shared" si="19"/>
        <v>8.8721588212197861E-2</v>
      </c>
      <c r="CD5" s="179">
        <f>(CA5-CA$53)/CA$54</f>
        <v>9.9953341017487998E-2</v>
      </c>
      <c r="CE5" s="179">
        <f>(CB5-CB$53)/CB$54</f>
        <v>0.11484779065813019</v>
      </c>
      <c r="CF5" s="194">
        <v>4.2152900000000004</v>
      </c>
      <c r="CG5" s="175">
        <f>BB5-BE5</f>
        <v>-1</v>
      </c>
      <c r="CH5" s="194">
        <f>BC5-CF5</f>
        <v>-1.2152900000000004</v>
      </c>
      <c r="CI5" s="179">
        <v>-0.20499999999999999</v>
      </c>
      <c r="CJ5" s="179">
        <f>(CH5-CH$54)/CH$55</f>
        <v>-0.20101699093021727</v>
      </c>
      <c r="CK5" s="175">
        <v>1</v>
      </c>
      <c r="CL5" s="179">
        <f t="shared" si="20"/>
        <v>-0.50291504643639706</v>
      </c>
      <c r="CM5" s="179">
        <f t="shared" si="21"/>
        <v>-0.11783645275755197</v>
      </c>
      <c r="CN5" s="175">
        <v>2</v>
      </c>
      <c r="CO5" s="175">
        <v>3</v>
      </c>
      <c r="CP5" s="194">
        <v>0</v>
      </c>
      <c r="CQ5" s="194">
        <f t="shared" ref="CQ5:CQ52" si="37">BQ5+CO5+CP5</f>
        <v>11</v>
      </c>
      <c r="CR5" s="194">
        <f t="shared" si="22"/>
        <v>23.663488624052004</v>
      </c>
      <c r="CS5" s="194">
        <f t="shared" ref="CS5:CS52" si="38">CQ5-CR5</f>
        <v>-12.663488624052004</v>
      </c>
      <c r="CT5" s="179">
        <f>(CS5-CS$56)/CS$57</f>
        <v>-0.18537944088407077</v>
      </c>
      <c r="CU5" s="194">
        <v>0</v>
      </c>
      <c r="CV5" s="175">
        <f t="shared" si="1"/>
        <v>2</v>
      </c>
      <c r="CW5" s="180">
        <f t="shared" si="2"/>
        <v>0</v>
      </c>
      <c r="CX5" s="194">
        <f t="shared" si="3"/>
        <v>3.3140117999999998</v>
      </c>
      <c r="CY5" s="175">
        <v>2</v>
      </c>
      <c r="CZ5" s="194">
        <f t="shared" si="4"/>
        <v>4.2488969999999995</v>
      </c>
      <c r="DA5" s="194">
        <f t="shared" si="23"/>
        <v>-2.2488969999999995</v>
      </c>
      <c r="DB5" s="194">
        <f>D5*CN$56</f>
        <v>2.0920245398773005</v>
      </c>
      <c r="DC5" s="194">
        <f>CN5-DB5</f>
        <v>-9.2024539877300526E-2</v>
      </c>
      <c r="DD5" s="179">
        <f t="shared" si="5"/>
        <v>0.19361911630196443</v>
      </c>
      <c r="DE5" s="179">
        <f>(DC5-DC$53)/DC$54</f>
        <v>-8.6149910647469533E-3</v>
      </c>
      <c r="DF5" s="180">
        <f t="shared" si="24"/>
        <v>2</v>
      </c>
      <c r="DG5" s="194">
        <f t="shared" si="6"/>
        <v>-1.3140117999999998</v>
      </c>
      <c r="DH5" s="179">
        <f t="shared" si="7"/>
        <v>-0.8523864979070751</v>
      </c>
      <c r="DI5" s="179">
        <f t="shared" si="8"/>
        <v>0.30531301058696803</v>
      </c>
      <c r="DJ5" s="194">
        <v>1</v>
      </c>
      <c r="DK5" s="194">
        <v>1</v>
      </c>
      <c r="DL5" s="194">
        <f t="shared" ref="DL5:DL52" si="39">CU5+DJ5+DK5</f>
        <v>2</v>
      </c>
      <c r="DM5" s="194">
        <f t="shared" si="25"/>
        <v>4.7298916576381362</v>
      </c>
      <c r="DN5" s="194">
        <f t="shared" ref="DN5:DN52" si="40">DL5-DM5</f>
        <v>-2.7298916576381362</v>
      </c>
      <c r="DO5" s="179">
        <f>(DN5-DM$57)/DM$58</f>
        <v>-0.164846751698281</v>
      </c>
      <c r="DP5" s="179">
        <f>(0.6*CT5)+(0.4*DO5)</f>
        <v>-0.17716636520975487</v>
      </c>
      <c r="DQ5" s="179">
        <f t="shared" si="9"/>
        <v>-0.64270362702466821</v>
      </c>
      <c r="DR5" s="179">
        <f t="shared" si="10"/>
        <v>5.142333258025604E-2</v>
      </c>
      <c r="DS5" s="179">
        <f t="shared" si="11"/>
        <v>0.13068059944810451</v>
      </c>
      <c r="DT5" s="179">
        <f t="shared" si="11"/>
        <v>5.6526008184594016E-2</v>
      </c>
      <c r="DU5" s="175">
        <v>2</v>
      </c>
      <c r="DV5" s="175">
        <f>CK5-DU5</f>
        <v>-1</v>
      </c>
      <c r="DW5" s="179">
        <v>-0.157</v>
      </c>
      <c r="DX5" s="179">
        <v>-0.186</v>
      </c>
      <c r="DY5" s="179">
        <f>(0.6*CJ5)+(0.4*DW5)</f>
        <v>-0.18341019455813035</v>
      </c>
      <c r="DZ5" s="180">
        <v>0</v>
      </c>
      <c r="EA5" s="180">
        <v>0</v>
      </c>
      <c r="EB5" s="175">
        <v>616</v>
      </c>
      <c r="EC5" s="180">
        <v>0</v>
      </c>
      <c r="ED5" s="180">
        <v>0</v>
      </c>
      <c r="EE5" s="180">
        <v>0</v>
      </c>
      <c r="EF5" s="180">
        <f t="shared" si="26"/>
        <v>0</v>
      </c>
      <c r="EG5" s="180">
        <f t="shared" si="27"/>
        <v>0</v>
      </c>
      <c r="EH5" s="180">
        <f>D5*EC$55</f>
        <v>1768.6932515337426</v>
      </c>
      <c r="EI5" s="180">
        <f t="shared" si="28"/>
        <v>3960</v>
      </c>
      <c r="EJ5" s="180">
        <f t="shared" si="29"/>
        <v>-3960</v>
      </c>
      <c r="EK5" s="180">
        <f t="shared" si="30"/>
        <v>0</v>
      </c>
      <c r="EL5" s="180">
        <f>EC5-EH5</f>
        <v>-1768.6932515337426</v>
      </c>
      <c r="EM5" s="195">
        <f t="shared" si="31"/>
        <v>-0.15177057979187114</v>
      </c>
      <c r="EN5" s="195">
        <f t="shared" si="31"/>
        <v>-0.38750034260363891</v>
      </c>
      <c r="EO5" s="195">
        <f t="shared" si="31"/>
        <v>-6.1945989467783895E-2</v>
      </c>
      <c r="EP5" s="180">
        <v>649.24419999999998</v>
      </c>
      <c r="EQ5" s="175">
        <f>DZ5-EB5</f>
        <v>-616</v>
      </c>
      <c r="ER5" s="180">
        <f t="shared" si="32"/>
        <v>-649.24419999999998</v>
      </c>
      <c r="ES5" s="179">
        <v>3.0000000000000001E-3</v>
      </c>
      <c r="ET5" s="179">
        <f>(ER5-ER$54)/ER$55</f>
        <v>-2.4273921400373162E-2</v>
      </c>
      <c r="EU5" s="179">
        <f>(0.6*DT5)+(0.4*EO5)</f>
        <v>9.1372091236428497E-3</v>
      </c>
      <c r="EV5" s="179">
        <f t="shared" si="33"/>
        <v>1.7700127752114242E-2</v>
      </c>
      <c r="EW5" s="179">
        <f t="shared" si="34"/>
        <v>6.0756037610400632E-3</v>
      </c>
      <c r="EX5" s="180">
        <v>0</v>
      </c>
      <c r="EY5" s="180">
        <v>0</v>
      </c>
      <c r="EZ5" s="180">
        <f t="shared" ref="EZ5:EZ52" si="41">EE5+EX5+EY5</f>
        <v>0</v>
      </c>
      <c r="FA5" s="180">
        <f t="shared" si="35"/>
        <v>10194.115926327195</v>
      </c>
      <c r="FB5" s="180">
        <f t="shared" ref="FB5:FB52" si="42">EZ5-FA5</f>
        <v>-10194.115926327195</v>
      </c>
      <c r="FC5" s="179">
        <f>(FB5-FB$56)/FB$57</f>
        <v>-9.252181871898435E-2</v>
      </c>
      <c r="FD5" s="179">
        <f>(0.6*DP5)+(0.4*FC5)</f>
        <v>-0.14330854661344666</v>
      </c>
      <c r="FE5" s="179">
        <f t="shared" si="36"/>
        <v>-0.54062231325625654</v>
      </c>
    </row>
    <row r="6" spans="1:161" hidden="1" x14ac:dyDescent="0.35">
      <c r="A6" s="188" t="s">
        <v>149</v>
      </c>
      <c r="B6" s="188" t="s">
        <v>70</v>
      </c>
      <c r="C6" s="199">
        <f t="shared" si="0"/>
        <v>4</v>
      </c>
      <c r="D6" s="199">
        <v>3</v>
      </c>
      <c r="E6" s="175">
        <v>4</v>
      </c>
      <c r="F6" s="175">
        <v>0</v>
      </c>
      <c r="G6" s="175">
        <v>0</v>
      </c>
      <c r="H6" s="179"/>
      <c r="I6" s="179"/>
      <c r="J6" s="179"/>
      <c r="K6" s="185"/>
      <c r="L6" s="191"/>
      <c r="M6" s="191"/>
      <c r="N6" s="185"/>
      <c r="O6" s="185"/>
      <c r="P6" s="191"/>
      <c r="Q6" s="191"/>
      <c r="R6" s="180"/>
      <c r="S6" s="185"/>
      <c r="T6" s="198"/>
      <c r="U6" s="198"/>
      <c r="V6" s="198"/>
      <c r="W6" s="185"/>
      <c r="X6" s="185"/>
      <c r="Y6" s="185"/>
      <c r="Z6" s="185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308" t="s">
        <v>394</v>
      </c>
      <c r="AY6" s="309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79"/>
      <c r="BN6" s="179"/>
      <c r="BR6" s="175">
        <f t="shared" si="12"/>
        <v>0</v>
      </c>
      <c r="BS6" s="180">
        <f t="shared" si="13"/>
        <v>0</v>
      </c>
      <c r="BT6" s="194">
        <f t="shared" si="14"/>
        <v>4.3094579999999993</v>
      </c>
      <c r="BU6" s="194">
        <f t="shared" si="15"/>
        <v>2.4885801000000001</v>
      </c>
      <c r="BV6" s="194">
        <f t="shared" si="16"/>
        <v>0</v>
      </c>
      <c r="BW6" s="194">
        <f t="shared" si="17"/>
        <v>-2.4885801000000001</v>
      </c>
      <c r="BX6" s="194">
        <f t="shared" si="18"/>
        <v>-4.3094579999999993</v>
      </c>
      <c r="BY6" s="194"/>
      <c r="CC6" s="179">
        <f t="shared" si="19"/>
        <v>-0.13776297952826963</v>
      </c>
      <c r="CD6" s="179"/>
      <c r="CL6" s="179">
        <f t="shared" si="20"/>
        <v>-0.59556429797682386</v>
      </c>
      <c r="CM6" s="179">
        <f t="shared" si="21"/>
        <v>-0.18713966875227145</v>
      </c>
      <c r="CP6" s="194"/>
      <c r="CQ6" s="194">
        <f t="shared" si="37"/>
        <v>0</v>
      </c>
      <c r="CR6" s="194">
        <f t="shared" si="22"/>
        <v>0</v>
      </c>
      <c r="CS6" s="194">
        <f t="shared" si="38"/>
        <v>0</v>
      </c>
      <c r="CT6" s="179">
        <f t="shared" ref="CT6:CT47" si="43">(CS6-CS$56)/CS$57</f>
        <v>4.6974779374770076E-17</v>
      </c>
      <c r="CU6" s="194"/>
      <c r="CV6" s="175">
        <f t="shared" si="1"/>
        <v>0</v>
      </c>
      <c r="CW6" s="180">
        <f t="shared" si="2"/>
        <v>0</v>
      </c>
      <c r="CX6" s="194">
        <f t="shared" si="3"/>
        <v>1.6570058999999999</v>
      </c>
      <c r="CZ6" s="194">
        <f t="shared" si="4"/>
        <v>2.1244484999999997</v>
      </c>
      <c r="DA6" s="194">
        <f t="shared" si="23"/>
        <v>-2.1244484999999997</v>
      </c>
      <c r="DB6" s="194"/>
      <c r="DC6" s="194"/>
      <c r="DD6" s="179">
        <f t="shared" si="5"/>
        <v>0.19989445403043965</v>
      </c>
      <c r="DE6" s="179"/>
      <c r="DF6" s="180">
        <f t="shared" si="24"/>
        <v>0</v>
      </c>
      <c r="DG6" s="194">
        <f t="shared" si="6"/>
        <v>-1.6570058999999999</v>
      </c>
      <c r="DH6" s="179">
        <f t="shared" si="7"/>
        <v>-0.97691651523354961</v>
      </c>
      <c r="DI6" s="179">
        <f t="shared" si="8"/>
        <v>0.28645938580176761</v>
      </c>
      <c r="DJ6" s="194"/>
      <c r="DK6" s="194"/>
      <c r="DL6" s="194">
        <f t="shared" si="39"/>
        <v>0</v>
      </c>
      <c r="DM6" s="194">
        <f t="shared" si="25"/>
        <v>0</v>
      </c>
      <c r="DN6" s="194">
        <f t="shared" si="40"/>
        <v>0</v>
      </c>
      <c r="DO6" s="179">
        <f t="shared" ref="DO6:DO47" si="44">(DN6-DM$57)/DM$58</f>
        <v>0</v>
      </c>
      <c r="DP6" s="179">
        <f t="shared" ref="DP6:DP47" si="45">(0.6*CT6)+(0.4*DO6)</f>
        <v>2.8184867624862046E-17</v>
      </c>
      <c r="DQ6" s="179">
        <f t="shared" si="9"/>
        <v>-0.74810518487951416</v>
      </c>
      <c r="DR6" s="179">
        <f t="shared" si="10"/>
        <v>2.2999530693441905E-3</v>
      </c>
      <c r="DS6" s="179">
        <f t="shared" ref="DS6:DS12" si="46">(0.6*CC6)+(0.4*DD6)</f>
        <v>-2.700006104785907E-3</v>
      </c>
      <c r="DT6" s="179"/>
      <c r="DZ6" s="180"/>
      <c r="EA6" s="180">
        <v>0</v>
      </c>
      <c r="EF6" s="180">
        <f t="shared" si="26"/>
        <v>0</v>
      </c>
      <c r="EG6" s="180">
        <f t="shared" si="27"/>
        <v>0</v>
      </c>
      <c r="EI6" s="180">
        <f t="shared" si="28"/>
        <v>1980</v>
      </c>
      <c r="EJ6" s="180">
        <f t="shared" si="29"/>
        <v>-1980</v>
      </c>
      <c r="EK6" s="180">
        <f t="shared" si="30"/>
        <v>0</v>
      </c>
      <c r="EM6" s="195">
        <f t="shared" ref="EM6:EN12" si="47">(EJ6-EJ$53)/EJ$54</f>
        <v>-0.12757130355996824</v>
      </c>
      <c r="EN6" s="195">
        <f t="shared" si="47"/>
        <v>-0.38750034260363891</v>
      </c>
      <c r="EO6" s="195"/>
      <c r="ET6" s="179"/>
      <c r="EU6" s="179"/>
      <c r="EV6" s="179">
        <f t="shared" si="33"/>
        <v>-5.2648525086858841E-2</v>
      </c>
      <c r="EW6" s="179">
        <f t="shared" si="34"/>
        <v>1.3799718416065143E-3</v>
      </c>
      <c r="EX6" s="180"/>
      <c r="EY6" s="180"/>
      <c r="EZ6" s="180">
        <f t="shared" si="41"/>
        <v>0</v>
      </c>
      <c r="FA6" s="180">
        <f t="shared" si="35"/>
        <v>0</v>
      </c>
      <c r="FB6" s="180">
        <f t="shared" si="42"/>
        <v>0</v>
      </c>
      <c r="FC6" s="179">
        <f t="shared" ref="FC6:FC47" si="48">(FB6-FB$56)/FB$57</f>
        <v>-5.3255328561799049E-18</v>
      </c>
      <c r="FD6" s="179">
        <f t="shared" ref="FD6:FD47" si="49">(0.6*DP6)+(0.4*FC6)</f>
        <v>1.4780707432445267E-17</v>
      </c>
      <c r="FE6" s="179">
        <f t="shared" si="36"/>
        <v>-0.60386324796916402</v>
      </c>
    </row>
    <row r="7" spans="1:161" hidden="1" x14ac:dyDescent="0.35">
      <c r="A7" s="188" t="s">
        <v>149</v>
      </c>
      <c r="B7" s="188" t="s">
        <v>8</v>
      </c>
      <c r="C7" s="175">
        <f t="shared" si="0"/>
        <v>7</v>
      </c>
      <c r="D7" s="199">
        <v>0</v>
      </c>
      <c r="E7" s="175">
        <v>7</v>
      </c>
      <c r="F7" s="175">
        <v>0</v>
      </c>
      <c r="G7" s="175">
        <v>0</v>
      </c>
      <c r="H7" s="179">
        <v>-0.126</v>
      </c>
      <c r="I7" s="179"/>
      <c r="J7" s="179">
        <f>(0.6*DY7)+(0.4*ET7)</f>
        <v>-0.12114141056279551</v>
      </c>
      <c r="K7" s="185"/>
      <c r="L7" s="191"/>
      <c r="M7" s="191"/>
      <c r="N7" s="185"/>
      <c r="O7" s="185"/>
      <c r="P7" s="191"/>
      <c r="Q7" s="191"/>
      <c r="R7" s="180"/>
      <c r="S7" s="185"/>
      <c r="T7" s="198"/>
      <c r="U7" s="198"/>
      <c r="V7" s="198"/>
      <c r="W7" s="185"/>
      <c r="X7" s="185"/>
      <c r="Y7" s="185"/>
      <c r="Z7" s="185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308"/>
      <c r="AZ7" s="180"/>
      <c r="BA7" s="180"/>
      <c r="BB7" s="180">
        <v>3</v>
      </c>
      <c r="BC7" s="180">
        <v>3</v>
      </c>
      <c r="BD7" s="180">
        <f>BB7-BC7</f>
        <v>0</v>
      </c>
      <c r="BE7" s="180">
        <v>5</v>
      </c>
      <c r="BF7" s="180"/>
      <c r="BG7" s="180"/>
      <c r="BH7" s="180"/>
      <c r="BI7" s="180"/>
      <c r="BJ7" s="180"/>
      <c r="BK7" s="180"/>
      <c r="BL7" s="180"/>
      <c r="BM7" s="179"/>
      <c r="BN7" s="179"/>
      <c r="BR7" s="175">
        <f t="shared" si="12"/>
        <v>0</v>
      </c>
      <c r="BS7" s="180">
        <f t="shared" si="13"/>
        <v>0</v>
      </c>
      <c r="BT7" s="194">
        <f t="shared" si="14"/>
        <v>0</v>
      </c>
      <c r="BU7" s="194">
        <f t="shared" si="15"/>
        <v>0</v>
      </c>
      <c r="BV7" s="194">
        <f t="shared" si="16"/>
        <v>0</v>
      </c>
      <c r="BW7" s="194">
        <f t="shared" si="17"/>
        <v>0</v>
      </c>
      <c r="BX7" s="194">
        <f t="shared" si="18"/>
        <v>0</v>
      </c>
      <c r="BY7" s="194"/>
      <c r="CC7" s="179">
        <f t="shared" si="19"/>
        <v>8.1184352099831561E-3</v>
      </c>
      <c r="CD7" s="179"/>
      <c r="CF7" s="194">
        <v>4.9178389999999998</v>
      </c>
      <c r="CG7" s="175">
        <f>BB7-BE7</f>
        <v>-2</v>
      </c>
      <c r="CH7" s="194">
        <f>BC7-CF7</f>
        <v>-1.9178389999999998</v>
      </c>
      <c r="CI7" s="179">
        <v>-0.24399999999999999</v>
      </c>
      <c r="CJ7" s="179">
        <f>(CH7-CH$54)/CH$55</f>
        <v>-0.23183725156332091</v>
      </c>
      <c r="CL7" s="179">
        <f t="shared" si="20"/>
        <v>-0.59556429797682386</v>
      </c>
      <c r="CM7" s="179">
        <f t="shared" si="21"/>
        <v>-7.3030674825130065E-2</v>
      </c>
      <c r="CP7" s="194"/>
      <c r="CQ7" s="194">
        <f t="shared" si="37"/>
        <v>0</v>
      </c>
      <c r="CR7" s="194">
        <f t="shared" si="22"/>
        <v>0</v>
      </c>
      <c r="CS7" s="194">
        <f t="shared" si="38"/>
        <v>0</v>
      </c>
      <c r="CT7" s="179">
        <f t="shared" si="43"/>
        <v>4.6974779374770076E-17</v>
      </c>
      <c r="CU7" s="194"/>
      <c r="CV7" s="175">
        <f t="shared" si="1"/>
        <v>0</v>
      </c>
      <c r="CW7" s="180">
        <f t="shared" si="2"/>
        <v>0</v>
      </c>
      <c r="CX7" s="194">
        <f t="shared" si="3"/>
        <v>0</v>
      </c>
      <c r="CZ7" s="194">
        <f t="shared" si="4"/>
        <v>0</v>
      </c>
      <c r="DA7" s="194">
        <f t="shared" si="23"/>
        <v>0</v>
      </c>
      <c r="DB7" s="194"/>
      <c r="DC7" s="194"/>
      <c r="DD7" s="179">
        <f t="shared" si="5"/>
        <v>0.30702014718264831</v>
      </c>
      <c r="DE7" s="179"/>
      <c r="DF7" s="180">
        <f t="shared" si="24"/>
        <v>0</v>
      </c>
      <c r="DG7" s="194">
        <f t="shared" si="6"/>
        <v>0</v>
      </c>
      <c r="DH7" s="179">
        <f t="shared" si="7"/>
        <v>-0.97691651523354961</v>
      </c>
      <c r="DI7" s="179">
        <f t="shared" si="8"/>
        <v>0.37754132425337183</v>
      </c>
      <c r="DJ7" s="194"/>
      <c r="DK7" s="194"/>
      <c r="DL7" s="194">
        <f t="shared" si="39"/>
        <v>0</v>
      </c>
      <c r="DM7" s="194">
        <f t="shared" si="25"/>
        <v>0</v>
      </c>
      <c r="DN7" s="194">
        <f t="shared" si="40"/>
        <v>0</v>
      </c>
      <c r="DO7" s="179">
        <f t="shared" si="44"/>
        <v>0</v>
      </c>
      <c r="DP7" s="179">
        <f t="shared" si="45"/>
        <v>2.8184867624862046E-17</v>
      </c>
      <c r="DQ7" s="179">
        <f t="shared" si="9"/>
        <v>-0.74810518487951416</v>
      </c>
      <c r="DR7" s="179">
        <f t="shared" si="10"/>
        <v>0.10719812480627069</v>
      </c>
      <c r="DS7" s="179">
        <f t="shared" si="46"/>
        <v>0.12767911999904921</v>
      </c>
      <c r="DT7" s="179"/>
      <c r="DU7" s="175">
        <v>2</v>
      </c>
      <c r="DV7" s="175">
        <f>CK7-DU7</f>
        <v>-2</v>
      </c>
      <c r="DW7" s="179">
        <v>-0.157</v>
      </c>
      <c r="DX7" s="179">
        <v>-0.20899999999999999</v>
      </c>
      <c r="DY7" s="179">
        <f>(0.6*CJ7)+(0.4*DW7)</f>
        <v>-0.20190235093799253</v>
      </c>
      <c r="DZ7" s="180">
        <v>0</v>
      </c>
      <c r="EA7" s="180">
        <v>0</v>
      </c>
      <c r="EB7" s="175">
        <v>803</v>
      </c>
      <c r="EF7" s="180">
        <f t="shared" si="26"/>
        <v>0</v>
      </c>
      <c r="EG7" s="180">
        <f t="shared" si="27"/>
        <v>0</v>
      </c>
      <c r="EI7" s="180">
        <f t="shared" si="28"/>
        <v>0</v>
      </c>
      <c r="EJ7" s="180">
        <f t="shared" si="29"/>
        <v>0</v>
      </c>
      <c r="EK7" s="180">
        <f t="shared" si="30"/>
        <v>0</v>
      </c>
      <c r="EM7" s="195">
        <f t="shared" si="47"/>
        <v>-0.10337202732806533</v>
      </c>
      <c r="EN7" s="195">
        <f t="shared" si="47"/>
        <v>-0.38750034260363891</v>
      </c>
      <c r="EO7" s="195"/>
      <c r="EP7" s="180">
        <v>856.69269999999995</v>
      </c>
      <c r="EQ7" s="175">
        <f>DZ7-EB7</f>
        <v>-803</v>
      </c>
      <c r="ER7" s="180"/>
      <c r="ES7" s="179">
        <v>0</v>
      </c>
      <c r="ET7" s="179"/>
      <c r="EU7" s="179"/>
      <c r="EV7" s="179">
        <f t="shared" si="33"/>
        <v>3.5258661068203384E-2</v>
      </c>
      <c r="EW7" s="179">
        <f t="shared" si="34"/>
        <v>6.4318874883762409E-2</v>
      </c>
      <c r="EX7" s="180"/>
      <c r="EY7" s="180"/>
      <c r="EZ7" s="180">
        <f t="shared" si="41"/>
        <v>0</v>
      </c>
      <c r="FA7" s="180">
        <f t="shared" si="35"/>
        <v>0</v>
      </c>
      <c r="FB7" s="180">
        <f t="shared" si="42"/>
        <v>0</v>
      </c>
      <c r="FC7" s="179">
        <f t="shared" si="48"/>
        <v>-5.3255328561799049E-18</v>
      </c>
      <c r="FD7" s="179">
        <f t="shared" si="49"/>
        <v>1.4780707432445267E-17</v>
      </c>
      <c r="FE7" s="179">
        <f t="shared" si="36"/>
        <v>-0.60386324796916402</v>
      </c>
    </row>
    <row r="8" spans="1:161" x14ac:dyDescent="0.35">
      <c r="A8" s="188" t="s">
        <v>149</v>
      </c>
      <c r="B8" s="188" t="s">
        <v>55</v>
      </c>
      <c r="C8" s="175">
        <f t="shared" si="0"/>
        <v>13</v>
      </c>
      <c r="D8" s="175">
        <v>16</v>
      </c>
      <c r="E8" s="175">
        <v>13</v>
      </c>
      <c r="F8" s="175">
        <v>0</v>
      </c>
      <c r="G8" s="175">
        <v>0</v>
      </c>
      <c r="H8" s="179">
        <v>-0.28399999999999997</v>
      </c>
      <c r="I8" s="179">
        <v>-0.45864179155714757</v>
      </c>
      <c r="J8" s="179">
        <f>(0.6*DY8)+(0.4*ET8)</f>
        <v>-0.29190075641221064</v>
      </c>
      <c r="K8" s="185"/>
      <c r="L8" s="191"/>
      <c r="M8" s="191"/>
      <c r="N8" s="185"/>
      <c r="O8" s="185"/>
      <c r="P8" s="191"/>
      <c r="Q8" s="191"/>
      <c r="R8" s="180">
        <v>18</v>
      </c>
      <c r="S8" s="185"/>
      <c r="T8" s="198"/>
      <c r="U8" s="198"/>
      <c r="V8" s="198"/>
      <c r="W8" s="185"/>
      <c r="X8" s="185"/>
      <c r="Y8" s="185"/>
      <c r="Z8" s="185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308" t="s">
        <v>553</v>
      </c>
      <c r="AY8" s="309"/>
      <c r="AZ8" s="180"/>
      <c r="BA8" s="180"/>
      <c r="BB8" s="180">
        <v>0</v>
      </c>
      <c r="BC8" s="180">
        <v>1</v>
      </c>
      <c r="BD8" s="180">
        <f>BB8-BC8</f>
        <v>-1</v>
      </c>
      <c r="BE8" s="180">
        <v>9</v>
      </c>
      <c r="BF8" s="180">
        <v>0</v>
      </c>
      <c r="BG8" s="180">
        <v>0</v>
      </c>
      <c r="BH8" s="180">
        <v>0</v>
      </c>
      <c r="BI8" s="180"/>
      <c r="BJ8" s="180"/>
      <c r="BK8" s="180"/>
      <c r="BL8" s="180"/>
      <c r="BM8" s="179"/>
      <c r="BN8" s="179"/>
      <c r="BQ8" s="175">
        <v>0</v>
      </c>
      <c r="BR8" s="175">
        <f t="shared" si="12"/>
        <v>0</v>
      </c>
      <c r="BS8" s="180">
        <f t="shared" si="13"/>
        <v>0</v>
      </c>
      <c r="BT8" s="194">
        <f t="shared" si="14"/>
        <v>22.983775999999999</v>
      </c>
      <c r="BU8" s="194">
        <f t="shared" si="15"/>
        <v>13.272427199999999</v>
      </c>
      <c r="BV8" s="194">
        <f t="shared" si="16"/>
        <v>0</v>
      </c>
      <c r="BW8" s="194">
        <f t="shared" si="17"/>
        <v>-13.272427199999999</v>
      </c>
      <c r="BX8" s="194">
        <f t="shared" si="18"/>
        <v>-22.983775999999999</v>
      </c>
      <c r="BY8" s="194">
        <f>D8*BF$56</f>
        <v>15.672801635991821</v>
      </c>
      <c r="BZ8" s="175">
        <v>16</v>
      </c>
      <c r="CA8" s="194">
        <f>BF8-BY8</f>
        <v>-15.672801635991821</v>
      </c>
      <c r="CB8" s="175">
        <f>BF8-BZ8</f>
        <v>-16</v>
      </c>
      <c r="CC8" s="179">
        <f t="shared" si="19"/>
        <v>-0.76991577672736522</v>
      </c>
      <c r="CD8" s="179">
        <f>(CA8-CA$53)/CA$54</f>
        <v>-0.72218496061841775</v>
      </c>
      <c r="CE8" s="179">
        <f>(CB8-CB$53)/CB$54</f>
        <v>-0.71779869161331378</v>
      </c>
      <c r="CF8" s="194">
        <v>9.1331290000000003</v>
      </c>
      <c r="CG8" s="175">
        <f>BB8-BE8</f>
        <v>-9</v>
      </c>
      <c r="CH8" s="194">
        <f>BC8-CF8</f>
        <v>-8.1331290000000003</v>
      </c>
      <c r="CI8" s="179">
        <v>-0.51700000000000002</v>
      </c>
      <c r="CJ8" s="179">
        <f>(CH8-CH$54)/CH$55</f>
        <v>-0.50449703431203019</v>
      </c>
      <c r="CK8" s="175">
        <v>0</v>
      </c>
      <c r="CL8" s="179">
        <f t="shared" si="20"/>
        <v>-0.59556429797682386</v>
      </c>
      <c r="CM8" s="179">
        <f t="shared" si="21"/>
        <v>-0.68161197576988408</v>
      </c>
      <c r="CN8" s="175">
        <v>0</v>
      </c>
      <c r="CO8" s="175">
        <v>0</v>
      </c>
      <c r="CP8" s="194">
        <v>0.5</v>
      </c>
      <c r="CQ8" s="194">
        <f t="shared" si="37"/>
        <v>0.5</v>
      </c>
      <c r="CR8" s="194">
        <f t="shared" si="22"/>
        <v>60.848970747562298</v>
      </c>
      <c r="CS8" s="194">
        <f t="shared" si="38"/>
        <v>-60.348970747562298</v>
      </c>
      <c r="CT8" s="179">
        <f>(CS8-CS$56)/CS$57</f>
        <v>-0.8834420582858733</v>
      </c>
      <c r="CU8" s="194">
        <v>0</v>
      </c>
      <c r="CV8" s="175">
        <f t="shared" si="1"/>
        <v>0</v>
      </c>
      <c r="CW8" s="180">
        <f t="shared" si="2"/>
        <v>0</v>
      </c>
      <c r="CX8" s="194">
        <f t="shared" si="3"/>
        <v>8.8373647999999996</v>
      </c>
      <c r="CY8" s="175">
        <v>0</v>
      </c>
      <c r="CZ8" s="194">
        <f t="shared" si="4"/>
        <v>11.330392</v>
      </c>
      <c r="DA8" s="194">
        <f t="shared" si="23"/>
        <v>-11.330392</v>
      </c>
      <c r="DB8" s="194">
        <f>D8*CN$56</f>
        <v>5.5787321063394684</v>
      </c>
      <c r="DC8" s="194">
        <f>CN8-DB8</f>
        <v>-5.5787321063394684</v>
      </c>
      <c r="DD8" s="179">
        <f t="shared" si="5"/>
        <v>-0.26431688296246458</v>
      </c>
      <c r="DE8" s="179">
        <f>(DC8-DC$53)/DC$54</f>
        <v>-0.52225990276954914</v>
      </c>
      <c r="DF8" s="180">
        <f t="shared" si="24"/>
        <v>0</v>
      </c>
      <c r="DG8" s="194">
        <f t="shared" si="6"/>
        <v>-8.8373647999999996</v>
      </c>
      <c r="DH8" s="179">
        <f t="shared" si="7"/>
        <v>-0.97691651523354961</v>
      </c>
      <c r="DI8" s="179">
        <f t="shared" si="8"/>
        <v>-0.10822901415518414</v>
      </c>
      <c r="DJ8" s="194">
        <v>0</v>
      </c>
      <c r="DK8" s="194">
        <v>0</v>
      </c>
      <c r="DL8" s="194">
        <f t="shared" si="39"/>
        <v>0</v>
      </c>
      <c r="DM8" s="194">
        <f t="shared" si="25"/>
        <v>12.162578548212352</v>
      </c>
      <c r="DN8" s="194">
        <f t="shared" si="40"/>
        <v>-12.162578548212352</v>
      </c>
      <c r="DO8" s="179">
        <f>(DN8-DM$57)/DM$58</f>
        <v>-0.73444730318809248</v>
      </c>
      <c r="DP8" s="179">
        <f>(0.6*CT8)+(0.4*DO8)</f>
        <v>-0.82384415624676088</v>
      </c>
      <c r="DQ8" s="179">
        <f t="shared" si="9"/>
        <v>-0.74810518487951416</v>
      </c>
      <c r="DR8" s="179">
        <f t="shared" si="10"/>
        <v>-0.45225879112400413</v>
      </c>
      <c r="DS8" s="179">
        <f t="shared" si="46"/>
        <v>-0.56767621922140499</v>
      </c>
      <c r="DT8" s="179">
        <f>(0.6*CD8)+(0.4*DE8)</f>
        <v>-0.64221493747887037</v>
      </c>
      <c r="DU8" s="175">
        <v>4</v>
      </c>
      <c r="DV8" s="175">
        <f>CK8-DU8</f>
        <v>-4</v>
      </c>
      <c r="DW8" s="179">
        <v>-0.36499999999999999</v>
      </c>
      <c r="DX8" s="179">
        <v>-0.45600000000000002</v>
      </c>
      <c r="DY8" s="179">
        <f>(0.6*CJ8)+(0.4*DW8)</f>
        <v>-0.44869822058721809</v>
      </c>
      <c r="DZ8" s="180">
        <v>0</v>
      </c>
      <c r="EA8" s="180">
        <v>0</v>
      </c>
      <c r="EB8" s="175">
        <v>2333</v>
      </c>
      <c r="EC8" s="180">
        <v>0</v>
      </c>
      <c r="ED8" s="180">
        <v>0</v>
      </c>
      <c r="EE8" s="180">
        <v>0</v>
      </c>
      <c r="EF8" s="180">
        <f t="shared" si="26"/>
        <v>0</v>
      </c>
      <c r="EG8" s="180">
        <f t="shared" si="27"/>
        <v>0</v>
      </c>
      <c r="EH8" s="180">
        <f>D8*EC$55</f>
        <v>4716.5153374233132</v>
      </c>
      <c r="EI8" s="180">
        <f t="shared" si="28"/>
        <v>10560</v>
      </c>
      <c r="EJ8" s="180">
        <f t="shared" si="29"/>
        <v>-10560</v>
      </c>
      <c r="EK8" s="180">
        <f t="shared" si="30"/>
        <v>0</v>
      </c>
      <c r="EL8" s="180">
        <f>EC8-EH8</f>
        <v>-4716.5153374233132</v>
      </c>
      <c r="EM8" s="195">
        <f t="shared" si="47"/>
        <v>-0.23243483389821415</v>
      </c>
      <c r="EN8" s="195">
        <f t="shared" si="47"/>
        <v>-0.38750034260363891</v>
      </c>
      <c r="EO8" s="195">
        <f>(EL8-EL$53)/EL$54</f>
        <v>-0.15993964512303532</v>
      </c>
      <c r="EP8" s="180">
        <v>2576.4771999999998</v>
      </c>
      <c r="EQ8" s="175">
        <f>DZ8-EB8</f>
        <v>-2333</v>
      </c>
      <c r="ER8" s="180">
        <f>EA8-EP8</f>
        <v>-2576.4771999999998</v>
      </c>
      <c r="ES8" s="179">
        <v>-2.7E-2</v>
      </c>
      <c r="ET8" s="179">
        <f>(ER8-ER$54)/ER$55</f>
        <v>-5.6704560149699448E-2</v>
      </c>
      <c r="EU8" s="179">
        <f>(0.6*DT8)+(0.4*EO8)</f>
        <v>-0.44930482053653636</v>
      </c>
      <c r="EV8" s="179">
        <f t="shared" si="33"/>
        <v>-0.43357966509212864</v>
      </c>
      <c r="EW8" s="179">
        <f t="shared" si="34"/>
        <v>-0.33533113272361659</v>
      </c>
      <c r="EX8" s="180">
        <v>0</v>
      </c>
      <c r="EY8" s="180">
        <v>0</v>
      </c>
      <c r="EZ8" s="180">
        <f t="shared" si="41"/>
        <v>0</v>
      </c>
      <c r="FA8" s="180">
        <f t="shared" si="35"/>
        <v>26213.440953412784</v>
      </c>
      <c r="FB8" s="180">
        <f t="shared" si="42"/>
        <v>-26213.440953412784</v>
      </c>
      <c r="FC8" s="179">
        <f>(FB8-FB$56)/FB$57</f>
        <v>-0.23791324813453119</v>
      </c>
      <c r="FD8" s="179">
        <f>(0.6*DP8)+(0.4*FC8)</f>
        <v>-0.58947179300186903</v>
      </c>
      <c r="FE8" s="179">
        <f t="shared" si="36"/>
        <v>-0.60386324796916402</v>
      </c>
    </row>
    <row r="9" spans="1:161" hidden="1" x14ac:dyDescent="0.35">
      <c r="A9" s="197" t="s">
        <v>149</v>
      </c>
      <c r="B9" s="197" t="s">
        <v>74</v>
      </c>
      <c r="C9" s="199">
        <f t="shared" si="0"/>
        <v>4</v>
      </c>
      <c r="D9" s="199">
        <v>0</v>
      </c>
      <c r="E9" s="175">
        <v>4</v>
      </c>
      <c r="F9" s="175">
        <v>0</v>
      </c>
      <c r="G9" s="175">
        <v>0</v>
      </c>
      <c r="H9" s="179"/>
      <c r="I9" s="179"/>
      <c r="J9" s="179"/>
      <c r="K9" s="185"/>
      <c r="L9" s="191"/>
      <c r="M9" s="191"/>
      <c r="N9" s="185"/>
      <c r="O9" s="185"/>
      <c r="P9" s="191"/>
      <c r="Q9" s="191"/>
      <c r="R9" s="180"/>
      <c r="S9" s="185"/>
      <c r="T9" s="198"/>
      <c r="U9" s="198"/>
      <c r="V9" s="198"/>
      <c r="W9" s="185"/>
      <c r="X9" s="185"/>
      <c r="Y9" s="185"/>
      <c r="Z9" s="185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180"/>
      <c r="BJ9" s="180"/>
      <c r="BK9" s="180"/>
      <c r="BL9" s="180"/>
      <c r="BM9" s="179"/>
      <c r="BN9" s="179"/>
      <c r="BR9" s="175">
        <f t="shared" si="12"/>
        <v>0</v>
      </c>
      <c r="BS9" s="180">
        <f t="shared" si="13"/>
        <v>0</v>
      </c>
      <c r="BT9" s="194">
        <f t="shared" si="14"/>
        <v>0</v>
      </c>
      <c r="BU9" s="194">
        <f t="shared" si="15"/>
        <v>0</v>
      </c>
      <c r="BV9" s="194">
        <f t="shared" si="16"/>
        <v>0</v>
      </c>
      <c r="BW9" s="194">
        <f t="shared" si="17"/>
        <v>0</v>
      </c>
      <c r="BX9" s="194">
        <f t="shared" si="18"/>
        <v>0</v>
      </c>
      <c r="BY9" s="194"/>
      <c r="CC9" s="179">
        <f t="shared" si="19"/>
        <v>8.1184352099831561E-3</v>
      </c>
      <c r="CD9" s="179"/>
      <c r="CL9" s="179">
        <f t="shared" si="20"/>
        <v>-0.59556429797682386</v>
      </c>
      <c r="CM9" s="179">
        <f t="shared" si="21"/>
        <v>-7.3030674825130065E-2</v>
      </c>
      <c r="CP9" s="194"/>
      <c r="CQ9" s="194">
        <f t="shared" si="37"/>
        <v>0</v>
      </c>
      <c r="CR9" s="194">
        <f t="shared" si="22"/>
        <v>0</v>
      </c>
      <c r="CS9" s="194">
        <f t="shared" si="38"/>
        <v>0</v>
      </c>
      <c r="CT9" s="179">
        <f t="shared" si="43"/>
        <v>4.6974779374770076E-17</v>
      </c>
      <c r="CU9" s="194"/>
      <c r="CV9" s="175">
        <f t="shared" si="1"/>
        <v>0</v>
      </c>
      <c r="CW9" s="180">
        <f t="shared" si="2"/>
        <v>0</v>
      </c>
      <c r="CX9" s="194">
        <f t="shared" si="3"/>
        <v>0</v>
      </c>
      <c r="CZ9" s="194">
        <f t="shared" si="4"/>
        <v>0</v>
      </c>
      <c r="DA9" s="194">
        <f t="shared" si="23"/>
        <v>0</v>
      </c>
      <c r="DB9" s="194"/>
      <c r="DC9" s="194"/>
      <c r="DD9" s="179">
        <f t="shared" si="5"/>
        <v>0.30702014718264831</v>
      </c>
      <c r="DE9" s="179"/>
      <c r="DF9" s="180">
        <f t="shared" si="24"/>
        <v>0</v>
      </c>
      <c r="DG9" s="194">
        <f t="shared" si="6"/>
        <v>0</v>
      </c>
      <c r="DH9" s="179">
        <f t="shared" si="7"/>
        <v>-0.97691651523354961</v>
      </c>
      <c r="DI9" s="179">
        <f t="shared" si="8"/>
        <v>0.37754132425337183</v>
      </c>
      <c r="DJ9" s="194"/>
      <c r="DK9" s="194"/>
      <c r="DL9" s="194">
        <f t="shared" si="39"/>
        <v>0</v>
      </c>
      <c r="DM9" s="194">
        <f t="shared" si="25"/>
        <v>0</v>
      </c>
      <c r="DN9" s="194">
        <f t="shared" si="40"/>
        <v>0</v>
      </c>
      <c r="DO9" s="179">
        <f t="shared" si="44"/>
        <v>0</v>
      </c>
      <c r="DP9" s="179">
        <f t="shared" si="45"/>
        <v>2.8184867624862046E-17</v>
      </c>
      <c r="DQ9" s="179">
        <f t="shared" si="9"/>
        <v>-0.74810518487951416</v>
      </c>
      <c r="DR9" s="179">
        <f t="shared" si="10"/>
        <v>0.10719812480627069</v>
      </c>
      <c r="DS9" s="179">
        <f t="shared" si="46"/>
        <v>0.12767911999904921</v>
      </c>
      <c r="DT9" s="179"/>
      <c r="DZ9" s="180"/>
      <c r="EA9" s="180">
        <v>0</v>
      </c>
      <c r="EF9" s="180">
        <f t="shared" si="26"/>
        <v>0</v>
      </c>
      <c r="EG9" s="180">
        <f t="shared" si="27"/>
        <v>0</v>
      </c>
      <c r="EI9" s="180">
        <f t="shared" si="28"/>
        <v>0</v>
      </c>
      <c r="EJ9" s="180">
        <f t="shared" si="29"/>
        <v>0</v>
      </c>
      <c r="EK9" s="180">
        <f t="shared" si="30"/>
        <v>0</v>
      </c>
      <c r="EM9" s="195">
        <f t="shared" si="47"/>
        <v>-0.10337202732806533</v>
      </c>
      <c r="EN9" s="195">
        <f t="shared" si="47"/>
        <v>-0.38750034260363891</v>
      </c>
      <c r="EO9" s="195"/>
      <c r="ET9" s="179"/>
      <c r="EU9" s="179"/>
      <c r="EV9" s="179">
        <f t="shared" si="33"/>
        <v>3.5258661068203384E-2</v>
      </c>
      <c r="EW9" s="179">
        <f t="shared" si="34"/>
        <v>6.4318874883762409E-2</v>
      </c>
      <c r="EX9" s="180"/>
      <c r="EY9" s="180"/>
      <c r="EZ9" s="180">
        <f t="shared" si="41"/>
        <v>0</v>
      </c>
      <c r="FA9" s="180">
        <f t="shared" si="35"/>
        <v>0</v>
      </c>
      <c r="FB9" s="180">
        <f t="shared" si="42"/>
        <v>0</v>
      </c>
      <c r="FC9" s="179">
        <f t="shared" si="48"/>
        <v>-5.3255328561799049E-18</v>
      </c>
      <c r="FD9" s="179">
        <f t="shared" si="49"/>
        <v>1.4780707432445267E-17</v>
      </c>
      <c r="FE9" s="179">
        <f t="shared" si="36"/>
        <v>-0.60386324796916402</v>
      </c>
    </row>
    <row r="10" spans="1:161" x14ac:dyDescent="0.35">
      <c r="A10" s="188" t="s">
        <v>149</v>
      </c>
      <c r="B10" s="188" t="s">
        <v>177</v>
      </c>
      <c r="C10" s="175">
        <f t="shared" si="0"/>
        <v>14</v>
      </c>
      <c r="D10" s="175">
        <v>12</v>
      </c>
      <c r="E10" s="175">
        <v>14</v>
      </c>
      <c r="F10" s="175">
        <v>0</v>
      </c>
      <c r="G10" s="175">
        <v>0</v>
      </c>
      <c r="H10" s="179">
        <v>-0.11</v>
      </c>
      <c r="I10" s="179">
        <v>-0.12638651338147677</v>
      </c>
      <c r="J10" s="179">
        <f>(0.6*DY10)+(0.4*ET10)</f>
        <v>-0.11335337140404333</v>
      </c>
      <c r="K10" s="185"/>
      <c r="L10" s="191"/>
      <c r="M10" s="191"/>
      <c r="N10" s="185"/>
      <c r="O10" s="185"/>
      <c r="P10" s="191"/>
      <c r="Q10" s="191"/>
      <c r="R10" s="180">
        <v>14</v>
      </c>
      <c r="S10" s="185"/>
      <c r="T10" s="198"/>
      <c r="U10" s="198"/>
      <c r="V10" s="198"/>
      <c r="W10" s="185"/>
      <c r="X10" s="185"/>
      <c r="Y10" s="185"/>
      <c r="Z10" s="185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 t="s">
        <v>554</v>
      </c>
      <c r="AY10" s="180"/>
      <c r="AZ10" s="180"/>
      <c r="BA10" s="180"/>
      <c r="BB10" s="180">
        <v>10</v>
      </c>
      <c r="BC10" s="180">
        <v>10</v>
      </c>
      <c r="BD10" s="180">
        <f>BB10-BC10</f>
        <v>0</v>
      </c>
      <c r="BE10" s="180">
        <v>10</v>
      </c>
      <c r="BF10" s="180">
        <v>9</v>
      </c>
      <c r="BG10" s="180">
        <v>13</v>
      </c>
      <c r="BH10" s="180">
        <v>6</v>
      </c>
      <c r="BI10" s="180"/>
      <c r="BJ10" s="180"/>
      <c r="BK10" s="180"/>
      <c r="BL10" s="180"/>
      <c r="BM10" s="179"/>
      <c r="BN10" s="179"/>
      <c r="BQ10" s="175">
        <v>14</v>
      </c>
      <c r="BR10" s="175">
        <f t="shared" si="12"/>
        <v>20</v>
      </c>
      <c r="BS10" s="180">
        <f t="shared" si="13"/>
        <v>0</v>
      </c>
      <c r="BT10" s="194">
        <f t="shared" si="14"/>
        <v>17.237831999999997</v>
      </c>
      <c r="BU10" s="194">
        <f t="shared" si="15"/>
        <v>9.9543204000000003</v>
      </c>
      <c r="BV10" s="194">
        <f t="shared" si="16"/>
        <v>20</v>
      </c>
      <c r="BW10" s="194">
        <f t="shared" si="17"/>
        <v>-3.9543204000000003</v>
      </c>
      <c r="BX10" s="194">
        <f t="shared" si="18"/>
        <v>-4.2378319999999974</v>
      </c>
      <c r="BY10" s="194">
        <f>D10*BF$56</f>
        <v>11.754601226993866</v>
      </c>
      <c r="BZ10" s="175">
        <v>12</v>
      </c>
      <c r="CA10" s="194">
        <f>BF10-BY10</f>
        <v>-2.7546012269938664</v>
      </c>
      <c r="CB10" s="175">
        <f>BF10-BZ10</f>
        <v>-3</v>
      </c>
      <c r="CC10" s="179">
        <f t="shared" si="19"/>
        <v>-0.13533833535908588</v>
      </c>
      <c r="CD10" s="179">
        <f>(CA10-CA$53)/CA$54</f>
        <v>-0.12537415259336415</v>
      </c>
      <c r="CE10" s="179">
        <f>(CB10-CB$53)/CB$54</f>
        <v>-0.11644289886171534</v>
      </c>
      <c r="CF10" s="194">
        <v>9.8356770000000004</v>
      </c>
      <c r="CG10" s="175">
        <f>BB10-BE10</f>
        <v>0</v>
      </c>
      <c r="CH10" s="194">
        <f>BC10-CF10</f>
        <v>0.16432299999999955</v>
      </c>
      <c r="CI10" s="179">
        <v>-0.16600000000000001</v>
      </c>
      <c r="CJ10" s="179">
        <f>(CH10-CH$54)/CH$55</f>
        <v>-0.14049447615499439</v>
      </c>
      <c r="CK10" s="175">
        <v>4</v>
      </c>
      <c r="CL10" s="179">
        <f t="shared" si="20"/>
        <v>-0.44114887874277919</v>
      </c>
      <c r="CM10" s="179">
        <f t="shared" si="21"/>
        <v>-0.25434833565090431</v>
      </c>
      <c r="CN10" s="175">
        <v>3</v>
      </c>
      <c r="CO10" s="175">
        <v>2</v>
      </c>
      <c r="CP10" s="194">
        <v>4</v>
      </c>
      <c r="CQ10" s="194">
        <f t="shared" si="37"/>
        <v>20</v>
      </c>
      <c r="CR10" s="194">
        <f t="shared" si="22"/>
        <v>47.326977248104008</v>
      </c>
      <c r="CS10" s="194">
        <f t="shared" si="38"/>
        <v>-27.326977248104008</v>
      </c>
      <c r="CT10" s="179">
        <f>(CS10-CS$56)/CS$57</f>
        <v>-0.40003666554282374</v>
      </c>
      <c r="CU10" s="194">
        <v>1</v>
      </c>
      <c r="CV10" s="175">
        <f t="shared" si="1"/>
        <v>4</v>
      </c>
      <c r="CW10" s="180">
        <f t="shared" si="2"/>
        <v>0</v>
      </c>
      <c r="CX10" s="194">
        <f t="shared" si="3"/>
        <v>6.6280235999999997</v>
      </c>
      <c r="CY10" s="175">
        <v>4</v>
      </c>
      <c r="CZ10" s="194">
        <f t="shared" si="4"/>
        <v>8.497793999999999</v>
      </c>
      <c r="DA10" s="194">
        <f t="shared" si="23"/>
        <v>-4.497793999999999</v>
      </c>
      <c r="DB10" s="194">
        <f>D10*CN$56</f>
        <v>4.1840490797546011</v>
      </c>
      <c r="DC10" s="194">
        <f>CN10-DB10</f>
        <v>-1.1840490797546011</v>
      </c>
      <c r="DD10" s="179">
        <f t="shared" si="5"/>
        <v>8.0218085421280533E-2</v>
      </c>
      <c r="DE10" s="179">
        <f>(DC10-DC$53)/DC$54</f>
        <v>-0.11084621836641088</v>
      </c>
      <c r="DF10" s="180">
        <f t="shared" si="24"/>
        <v>4</v>
      </c>
      <c r="DG10" s="194">
        <f t="shared" si="6"/>
        <v>-3.6280235999999997</v>
      </c>
      <c r="DH10" s="179">
        <f t="shared" si="7"/>
        <v>-0.72785648058060071</v>
      </c>
      <c r="DI10" s="179">
        <f t="shared" si="8"/>
        <v>0.17811691530216189</v>
      </c>
      <c r="DJ10" s="194">
        <v>1</v>
      </c>
      <c r="DK10" s="194">
        <v>6</v>
      </c>
      <c r="DL10" s="194">
        <f t="shared" si="39"/>
        <v>8</v>
      </c>
      <c r="DM10" s="194">
        <f t="shared" si="25"/>
        <v>9.4597833152762725</v>
      </c>
      <c r="DN10" s="194">
        <f t="shared" si="40"/>
        <v>-1.4597833152762725</v>
      </c>
      <c r="DO10" s="179">
        <f>(DN10-DM$57)/DM$58</f>
        <v>-8.8150215424607714E-2</v>
      </c>
      <c r="DP10" s="179">
        <f>(0.6*CT10)+(0.4*DO10)</f>
        <v>-0.27528208549553734</v>
      </c>
      <c r="DQ10" s="179">
        <f t="shared" si="9"/>
        <v>-0.55583191947790778</v>
      </c>
      <c r="DR10" s="179">
        <f t="shared" si="10"/>
        <v>-8.1362235269677827E-2</v>
      </c>
      <c r="DS10" s="179">
        <f t="shared" si="46"/>
        <v>-4.9115767046939311E-2</v>
      </c>
      <c r="DT10" s="179">
        <f>(0.6*CD10)+(0.4*DE10)</f>
        <v>-0.11956297890258284</v>
      </c>
      <c r="DU10" s="175">
        <v>4</v>
      </c>
      <c r="DV10" s="175">
        <f>CK10-DU10</f>
        <v>0</v>
      </c>
      <c r="DW10" s="179">
        <v>-0.157</v>
      </c>
      <c r="DX10" s="179">
        <v>-0.16200000000000001</v>
      </c>
      <c r="DY10" s="179">
        <f>(0.6*CJ10)+(0.4*DW10)</f>
        <v>-0.14709668569299664</v>
      </c>
      <c r="DZ10" s="180">
        <v>0</v>
      </c>
      <c r="EA10" s="180">
        <v>0</v>
      </c>
      <c r="EB10" s="175">
        <v>2651</v>
      </c>
      <c r="EC10" s="180">
        <v>0</v>
      </c>
      <c r="ED10" s="180">
        <v>0</v>
      </c>
      <c r="EE10" s="180">
        <v>0</v>
      </c>
      <c r="EF10" s="180">
        <f t="shared" si="26"/>
        <v>0</v>
      </c>
      <c r="EG10" s="180">
        <f t="shared" si="27"/>
        <v>0</v>
      </c>
      <c r="EH10" s="180">
        <f>D10*EC$55</f>
        <v>3537.3865030674851</v>
      </c>
      <c r="EI10" s="180">
        <f t="shared" si="28"/>
        <v>7920</v>
      </c>
      <c r="EJ10" s="180">
        <f t="shared" si="29"/>
        <v>-7920</v>
      </c>
      <c r="EK10" s="180">
        <f t="shared" si="30"/>
        <v>0</v>
      </c>
      <c r="EL10" s="180">
        <f>EC10-EH10</f>
        <v>-3537.3865030674851</v>
      </c>
      <c r="EM10" s="195">
        <f t="shared" si="47"/>
        <v>-0.20016913225567695</v>
      </c>
      <c r="EN10" s="195">
        <f t="shared" si="47"/>
        <v>-0.38750034260363891</v>
      </c>
      <c r="EO10" s="195">
        <f>(EL10-EL$53)/EL$54</f>
        <v>-0.12074218286093476</v>
      </c>
      <c r="EP10" s="180">
        <v>2935.0459999999998</v>
      </c>
      <c r="EQ10" s="175">
        <f>DZ10-EB10</f>
        <v>-2651</v>
      </c>
      <c r="ER10" s="180">
        <f>EA10-EP10</f>
        <v>-2935.0459999999998</v>
      </c>
      <c r="ES10" s="179">
        <v>-3.2000000000000001E-2</v>
      </c>
      <c r="ET10" s="179">
        <f>(ER10-ER$54)/ER$55</f>
        <v>-6.2738399970613382E-2</v>
      </c>
      <c r="EU10" s="179">
        <f>(0.6*DT10)+(0.4*EO10)</f>
        <v>-0.12003466048592361</v>
      </c>
      <c r="EV10" s="179">
        <f t="shared" si="33"/>
        <v>-0.10953711313043438</v>
      </c>
      <c r="EW10" s="179">
        <f t="shared" si="34"/>
        <v>-9.7114214306180599E-2</v>
      </c>
      <c r="EX10" s="180">
        <v>0</v>
      </c>
      <c r="EY10" s="180">
        <v>0</v>
      </c>
      <c r="EZ10" s="180">
        <f t="shared" si="41"/>
        <v>0</v>
      </c>
      <c r="FA10" s="180">
        <f t="shared" si="35"/>
        <v>20388.23185265439</v>
      </c>
      <c r="FB10" s="180">
        <f t="shared" si="42"/>
        <v>-20388.23185265439</v>
      </c>
      <c r="FC10" s="179">
        <f>(FB10-FB$56)/FB$57</f>
        <v>-0.1850436374379687</v>
      </c>
      <c r="FD10" s="179">
        <f>(0.6*DP10)+(0.4*FC10)</f>
        <v>-0.23918670627250987</v>
      </c>
      <c r="FE10" s="179">
        <f t="shared" si="36"/>
        <v>-0.48849928872820025</v>
      </c>
    </row>
    <row r="11" spans="1:161" x14ac:dyDescent="0.35">
      <c r="A11" s="188" t="s">
        <v>149</v>
      </c>
      <c r="B11" s="188" t="s">
        <v>178</v>
      </c>
      <c r="C11" s="175">
        <f t="shared" si="0"/>
        <v>22</v>
      </c>
      <c r="D11" s="175">
        <v>16</v>
      </c>
      <c r="E11" s="175">
        <v>21</v>
      </c>
      <c r="F11" s="175">
        <v>1</v>
      </c>
      <c r="G11" s="175">
        <v>0</v>
      </c>
      <c r="H11" s="179">
        <v>-0.16500000000000001</v>
      </c>
      <c r="I11" s="179">
        <v>-0.15577466036044246</v>
      </c>
      <c r="J11" s="179">
        <f>(0.6*DY11)+(0.4*ET11)</f>
        <v>-0.20279698673865204</v>
      </c>
      <c r="K11" s="185"/>
      <c r="L11" s="191"/>
      <c r="M11" s="191"/>
      <c r="N11" s="185"/>
      <c r="O11" s="185"/>
      <c r="P11" s="191"/>
      <c r="Q11" s="191"/>
      <c r="R11" s="180">
        <v>15</v>
      </c>
      <c r="S11" s="185">
        <v>0</v>
      </c>
      <c r="T11" s="198">
        <v>0</v>
      </c>
      <c r="U11" s="198"/>
      <c r="V11" s="198"/>
      <c r="W11" s="185"/>
      <c r="X11" s="185"/>
      <c r="Y11" s="185">
        <f>AB11*AY$24</f>
        <v>-1971.7830433326267</v>
      </c>
      <c r="Z11" s="185">
        <f>AVERAGE(S11,T11,Y11)</f>
        <v>-657.26101444420885</v>
      </c>
      <c r="AA11" s="306">
        <v>2811.93</v>
      </c>
      <c r="AB11" s="180">
        <f>D11*AQ11</f>
        <v>-0.75701177511028028</v>
      </c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>
        <f>FE11/BA$30</f>
        <v>-4.7313235944392518E-2</v>
      </c>
      <c r="AR11" s="180"/>
      <c r="AS11" s="180"/>
      <c r="AT11" s="180"/>
      <c r="AU11" s="180"/>
      <c r="AV11" s="180"/>
      <c r="AW11" s="180"/>
      <c r="AX11" s="307">
        <v>382486.44093909382</v>
      </c>
      <c r="AY11" s="180"/>
      <c r="AZ11" s="180"/>
      <c r="BA11" s="180"/>
      <c r="BB11" s="180">
        <v>2</v>
      </c>
      <c r="BC11" s="180">
        <v>2</v>
      </c>
      <c r="BD11" s="180">
        <f>BB11-BC11</f>
        <v>0</v>
      </c>
      <c r="BE11" s="180">
        <v>15</v>
      </c>
      <c r="BF11" s="180">
        <v>5</v>
      </c>
      <c r="BG11" s="180">
        <v>6</v>
      </c>
      <c r="BH11" s="180">
        <v>5</v>
      </c>
      <c r="BI11" s="221">
        <v>10925.621780881645</v>
      </c>
      <c r="BJ11" s="307">
        <f>BM11*BP$4</f>
        <v>7194.9981912223475</v>
      </c>
      <c r="BK11" s="180">
        <f>AVERAGE(AA11,BI11,BJ11)</f>
        <v>6977.5166573679971</v>
      </c>
      <c r="BL11" s="307">
        <f>BK11-(BN11*BK$55)</f>
        <v>10128.821473634265</v>
      </c>
      <c r="BM11" s="179">
        <f>R11*BN11</f>
        <v>0.724527365290765</v>
      </c>
      <c r="BN11" s="179">
        <f>FD11/BP3</f>
        <v>4.8301824352717668E-2</v>
      </c>
      <c r="BQ11" s="175">
        <v>62</v>
      </c>
      <c r="BR11" s="175">
        <f t="shared" si="12"/>
        <v>67</v>
      </c>
      <c r="BS11" s="180">
        <f t="shared" si="13"/>
        <v>0</v>
      </c>
      <c r="BT11" s="194">
        <f t="shared" si="14"/>
        <v>22.983775999999999</v>
      </c>
      <c r="BU11" s="194">
        <f t="shared" si="15"/>
        <v>13.272427199999999</v>
      </c>
      <c r="BV11" s="194">
        <f t="shared" si="16"/>
        <v>67</v>
      </c>
      <c r="BW11" s="194">
        <f t="shared" si="17"/>
        <v>-8.2724271999999992</v>
      </c>
      <c r="BX11" s="194">
        <f t="shared" si="18"/>
        <v>-16.983775999999999</v>
      </c>
      <c r="BY11" s="194">
        <f>D11*BF$56</f>
        <v>15.672801635991821</v>
      </c>
      <c r="BZ11" s="175">
        <v>16</v>
      </c>
      <c r="CA11" s="194">
        <f>BF11-BY11</f>
        <v>-10.672801635991821</v>
      </c>
      <c r="CB11" s="175">
        <f>BF11-BZ11</f>
        <v>-11</v>
      </c>
      <c r="CC11" s="179">
        <f t="shared" si="19"/>
        <v>-0.56680705901169959</v>
      </c>
      <c r="CD11" s="179">
        <f>(CA11-CA$53)/CA$54</f>
        <v>-0.49118885081609764</v>
      </c>
      <c r="CE11" s="179">
        <f>(CB11-CB$53)/CB$54</f>
        <v>-0.48650800209346823</v>
      </c>
      <c r="CF11" s="194">
        <v>15.456064</v>
      </c>
      <c r="CG11" s="175">
        <f>BB11-BE11</f>
        <v>-13</v>
      </c>
      <c r="CH11" s="194">
        <f>BC11-CF11</f>
        <v>-13.456064</v>
      </c>
      <c r="CI11" s="179">
        <v>-0.67200000000000004</v>
      </c>
      <c r="CJ11" s="179">
        <f>(CH11-CH$54)/CH$55</f>
        <v>-0.73800991958134188</v>
      </c>
      <c r="CK11" s="175">
        <v>7</v>
      </c>
      <c r="CL11" s="189">
        <f t="shared" si="20"/>
        <v>-7.8272643542774356E-2</v>
      </c>
      <c r="CM11" s="179">
        <f t="shared" si="21"/>
        <v>-0.452346713367558</v>
      </c>
      <c r="CN11" s="175">
        <v>10</v>
      </c>
      <c r="CO11" s="175">
        <v>20</v>
      </c>
      <c r="CP11" s="194">
        <v>49</v>
      </c>
      <c r="CQ11" s="194">
        <f t="shared" si="37"/>
        <v>131</v>
      </c>
      <c r="CR11" s="194">
        <f t="shared" si="22"/>
        <v>50.70747562296858</v>
      </c>
      <c r="CS11" s="194">
        <f t="shared" si="38"/>
        <v>80.292524377031413</v>
      </c>
      <c r="CT11" s="189">
        <f>(CS11-CS$56)/CS$57</f>
        <v>1.1753935837170604</v>
      </c>
      <c r="CU11" s="194">
        <v>0</v>
      </c>
      <c r="CV11" s="175">
        <f t="shared" si="1"/>
        <v>10</v>
      </c>
      <c r="CW11" s="180">
        <f t="shared" si="2"/>
        <v>0</v>
      </c>
      <c r="CX11" s="194">
        <f t="shared" si="3"/>
        <v>8.8373647999999996</v>
      </c>
      <c r="CY11" s="175">
        <v>14</v>
      </c>
      <c r="CZ11" s="194">
        <f t="shared" si="4"/>
        <v>11.330392</v>
      </c>
      <c r="DA11" s="194">
        <f t="shared" si="23"/>
        <v>2.6696080000000002</v>
      </c>
      <c r="DB11" s="194">
        <f>D11*CN$56</f>
        <v>5.5787321063394684</v>
      </c>
      <c r="DC11" s="194">
        <f>CN11-DB11</f>
        <v>4.4212678936605316</v>
      </c>
      <c r="DD11" s="189">
        <f t="shared" si="5"/>
        <v>0.44163560500366938</v>
      </c>
      <c r="DE11" s="179">
        <f>(DC11-DC$53)/DC$54</f>
        <v>0.41390245959962063</v>
      </c>
      <c r="DF11" s="180">
        <f t="shared" si="24"/>
        <v>10</v>
      </c>
      <c r="DG11" s="194">
        <f t="shared" si="6"/>
        <v>1.1626352000000004</v>
      </c>
      <c r="DH11" s="179">
        <f t="shared" si="7"/>
        <v>-0.35426642860117735</v>
      </c>
      <c r="DI11" s="179">
        <f t="shared" si="8"/>
        <v>0.4414488020288394</v>
      </c>
      <c r="DJ11" s="194">
        <v>3</v>
      </c>
      <c r="DK11" s="194">
        <v>2.25</v>
      </c>
      <c r="DL11" s="194">
        <f t="shared" si="39"/>
        <v>5.25</v>
      </c>
      <c r="DM11" s="194">
        <f t="shared" si="25"/>
        <v>10.135482123510293</v>
      </c>
      <c r="DN11" s="194">
        <f t="shared" si="40"/>
        <v>-4.8854821235102932</v>
      </c>
      <c r="DO11" s="179">
        <f>(DN11-DM$57)/DM$58</f>
        <v>-0.29501385386022039</v>
      </c>
      <c r="DP11" s="189">
        <f>(0.6*CT11)+(0.4*DO11)</f>
        <v>0.58723060868614807</v>
      </c>
      <c r="DQ11" s="189">
        <f t="shared" si="9"/>
        <v>-0.18867015756613556</v>
      </c>
      <c r="DR11" s="179">
        <f t="shared" si="10"/>
        <v>-9.4828507208998991E-2</v>
      </c>
      <c r="DS11" s="179">
        <f t="shared" si="46"/>
        <v>-0.163429993405552</v>
      </c>
      <c r="DT11" s="179">
        <f>(0.6*CD11)+(0.4*DE11)</f>
        <v>-0.12915232664981033</v>
      </c>
      <c r="DU11" s="175">
        <v>7</v>
      </c>
      <c r="DV11" s="175">
        <f>CK11-DU11</f>
        <v>0</v>
      </c>
      <c r="DW11" s="179">
        <v>0.46500000000000002</v>
      </c>
      <c r="DX11" s="179">
        <v>-0.217</v>
      </c>
      <c r="DY11" s="179">
        <f>(0.6*CJ11)+(0.4*DW11)</f>
        <v>-0.25680595174880505</v>
      </c>
      <c r="DZ11" s="180">
        <v>0</v>
      </c>
      <c r="EA11" s="180">
        <v>0</v>
      </c>
      <c r="EB11" s="175">
        <v>5775</v>
      </c>
      <c r="EC11" s="180">
        <v>0</v>
      </c>
      <c r="ED11" s="180">
        <v>0</v>
      </c>
      <c r="EE11" s="180">
        <v>0</v>
      </c>
      <c r="EF11" s="180">
        <f t="shared" si="26"/>
        <v>0</v>
      </c>
      <c r="EG11" s="180">
        <f t="shared" si="27"/>
        <v>0</v>
      </c>
      <c r="EH11" s="180">
        <f>D11*EC$55</f>
        <v>4716.5153374233132</v>
      </c>
      <c r="EI11" s="180">
        <f t="shared" si="28"/>
        <v>10560</v>
      </c>
      <c r="EJ11" s="180">
        <f t="shared" si="29"/>
        <v>-10560</v>
      </c>
      <c r="EK11" s="180">
        <f t="shared" si="30"/>
        <v>0</v>
      </c>
      <c r="EL11" s="180">
        <f>EC11-EH11</f>
        <v>-4716.5153374233132</v>
      </c>
      <c r="EM11" s="195">
        <f t="shared" si="47"/>
        <v>-0.23243483389821415</v>
      </c>
      <c r="EN11" s="195">
        <f t="shared" si="47"/>
        <v>-0.38750034260363891</v>
      </c>
      <c r="EO11" s="195">
        <f>(EL11-EL$53)/EL$54</f>
        <v>-0.15993964512303532</v>
      </c>
      <c r="EP11" s="180">
        <v>6443.8804</v>
      </c>
      <c r="EQ11" s="175">
        <f>DZ11-EB11</f>
        <v>-5775</v>
      </c>
      <c r="ER11" s="180">
        <f>EA11-EP11</f>
        <v>-6443.8804</v>
      </c>
      <c r="ES11" s="179">
        <v>-8.5999999999999993E-2</v>
      </c>
      <c r="ET11" s="179">
        <f>(ER11-ER$54)/ER$55</f>
        <v>-0.12178353922342251</v>
      </c>
      <c r="EU11" s="179">
        <f>(0.6*DT11)+(0.4*EO11)</f>
        <v>-0.14146725403910032</v>
      </c>
      <c r="EV11" s="179">
        <f t="shared" si="33"/>
        <v>-0.19103192960261686</v>
      </c>
      <c r="EW11" s="179">
        <f t="shared" si="34"/>
        <v>-0.12087296237461352</v>
      </c>
      <c r="EX11" s="180">
        <v>0</v>
      </c>
      <c r="EY11" s="180">
        <v>0</v>
      </c>
      <c r="EZ11" s="180">
        <f t="shared" si="41"/>
        <v>0</v>
      </c>
      <c r="FA11" s="180">
        <f t="shared" si="35"/>
        <v>21844.534127843988</v>
      </c>
      <c r="FB11" s="180">
        <f t="shared" si="42"/>
        <v>-21844.534127843988</v>
      </c>
      <c r="FC11" s="179">
        <f>(FB11-FB$56)/FB$57</f>
        <v>-0.19826104011210932</v>
      </c>
      <c r="FD11" s="189">
        <f>(0.6*DP11)+(0.4*FC11)</f>
        <v>0.27303394916684509</v>
      </c>
      <c r="FE11" s="189">
        <f t="shared" si="36"/>
        <v>-0.26820223158113687</v>
      </c>
    </row>
    <row r="12" spans="1:161" hidden="1" x14ac:dyDescent="0.35">
      <c r="A12" s="188" t="s">
        <v>180</v>
      </c>
      <c r="B12" s="188" t="s">
        <v>181</v>
      </c>
      <c r="C12" s="199">
        <f t="shared" si="0"/>
        <v>13</v>
      </c>
      <c r="D12" s="199">
        <v>0</v>
      </c>
      <c r="E12" s="175">
        <v>0</v>
      </c>
      <c r="F12" s="175">
        <v>0</v>
      </c>
      <c r="G12" s="175">
        <v>13</v>
      </c>
      <c r="H12" s="179"/>
      <c r="I12" s="179"/>
      <c r="J12" s="179"/>
      <c r="K12" s="185"/>
      <c r="L12" s="191"/>
      <c r="M12" s="191"/>
      <c r="N12" s="185"/>
      <c r="O12" s="185"/>
      <c r="P12" s="191"/>
      <c r="Q12" s="191"/>
      <c r="R12" s="191"/>
      <c r="S12" s="185"/>
      <c r="T12" s="198"/>
      <c r="U12" s="198"/>
      <c r="V12" s="198"/>
      <c r="W12" s="185"/>
      <c r="X12" s="185"/>
      <c r="Y12" s="185"/>
      <c r="Z12" s="185"/>
      <c r="AA12" s="180"/>
      <c r="AB12" s="180"/>
      <c r="AC12" s="180"/>
      <c r="AD12" s="180"/>
      <c r="AE12" s="180"/>
      <c r="AF12" s="180"/>
      <c r="AG12" s="307" t="e">
        <f>(0.6*AJ12)+(0.4*#REF!)</f>
        <v>#REF!</v>
      </c>
      <c r="AH12" s="180">
        <v>8.06</v>
      </c>
      <c r="AI12" s="306">
        <f>AH12/(G12+G15)</f>
        <v>0.40300000000000002</v>
      </c>
      <c r="AJ12" s="306">
        <f>AI12/AI54</f>
        <v>0.25974679784193949</v>
      </c>
      <c r="AK12" s="310" t="e">
        <f>AL12*#REF!</f>
        <v>#REF!</v>
      </c>
      <c r="AL12" s="180" t="e">
        <f>AM12*(G12+G15)</f>
        <v>#REF!</v>
      </c>
      <c r="AM12" s="180" t="e">
        <f>AG12/BE2</f>
        <v>#REF!</v>
      </c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79"/>
      <c r="BN12" s="179"/>
      <c r="BR12" s="175">
        <f t="shared" si="12"/>
        <v>0</v>
      </c>
      <c r="BS12" s="180">
        <f t="shared" si="13"/>
        <v>0</v>
      </c>
      <c r="BT12" s="194">
        <f t="shared" si="14"/>
        <v>0</v>
      </c>
      <c r="BU12" s="194">
        <f t="shared" si="15"/>
        <v>0</v>
      </c>
      <c r="BV12" s="194">
        <f t="shared" si="16"/>
        <v>0</v>
      </c>
      <c r="BW12" s="194">
        <f t="shared" si="17"/>
        <v>0</v>
      </c>
      <c r="BX12" s="194">
        <f t="shared" si="18"/>
        <v>0</v>
      </c>
      <c r="BY12" s="194"/>
      <c r="CC12" s="179">
        <f t="shared" si="19"/>
        <v>8.1184352099831561E-3</v>
      </c>
      <c r="CD12" s="179"/>
      <c r="CL12" s="179">
        <f t="shared" si="20"/>
        <v>-0.59556429797682386</v>
      </c>
      <c r="CM12" s="179">
        <f t="shared" si="21"/>
        <v>-7.3030674825130065E-2</v>
      </c>
      <c r="CP12" s="194"/>
      <c r="CQ12" s="194">
        <f t="shared" si="37"/>
        <v>0</v>
      </c>
      <c r="CR12" s="194">
        <f t="shared" si="22"/>
        <v>0</v>
      </c>
      <c r="CS12" s="194">
        <f t="shared" si="38"/>
        <v>0</v>
      </c>
      <c r="CT12" s="179">
        <f t="shared" si="43"/>
        <v>4.6974779374770076E-17</v>
      </c>
      <c r="CU12" s="194"/>
      <c r="CV12" s="175">
        <f t="shared" si="1"/>
        <v>0</v>
      </c>
      <c r="CW12" s="180">
        <f t="shared" si="2"/>
        <v>0</v>
      </c>
      <c r="CX12" s="194">
        <f t="shared" si="3"/>
        <v>0</v>
      </c>
      <c r="CZ12" s="194">
        <f t="shared" si="4"/>
        <v>0</v>
      </c>
      <c r="DA12" s="194">
        <f t="shared" si="23"/>
        <v>0</v>
      </c>
      <c r="DB12" s="194"/>
      <c r="DC12" s="194"/>
      <c r="DD12" s="179">
        <f t="shared" si="5"/>
        <v>0.30702014718264831</v>
      </c>
      <c r="DE12" s="179"/>
      <c r="DF12" s="180">
        <f t="shared" si="24"/>
        <v>0</v>
      </c>
      <c r="DG12" s="194">
        <f t="shared" si="6"/>
        <v>0</v>
      </c>
      <c r="DH12" s="179">
        <f t="shared" si="7"/>
        <v>-0.97691651523354961</v>
      </c>
      <c r="DI12" s="179">
        <f t="shared" si="8"/>
        <v>0.37754132425337183</v>
      </c>
      <c r="DJ12" s="194"/>
      <c r="DK12" s="194"/>
      <c r="DL12" s="194">
        <f t="shared" si="39"/>
        <v>0</v>
      </c>
      <c r="DM12" s="194">
        <f t="shared" si="25"/>
        <v>0</v>
      </c>
      <c r="DN12" s="194">
        <f t="shared" si="40"/>
        <v>0</v>
      </c>
      <c r="DO12" s="179">
        <f t="shared" si="44"/>
        <v>0</v>
      </c>
      <c r="DP12" s="179">
        <f t="shared" si="45"/>
        <v>2.8184867624862046E-17</v>
      </c>
      <c r="DQ12" s="179">
        <f t="shared" si="9"/>
        <v>-0.74810518487951416</v>
      </c>
      <c r="DR12" s="179">
        <f t="shared" si="10"/>
        <v>0.10719812480627069</v>
      </c>
      <c r="DS12" s="179">
        <f t="shared" si="46"/>
        <v>0.12767911999904921</v>
      </c>
      <c r="DT12" s="179"/>
      <c r="DZ12" s="180"/>
      <c r="EA12" s="180">
        <v>0</v>
      </c>
      <c r="EF12" s="180">
        <f t="shared" si="26"/>
        <v>0</v>
      </c>
      <c r="EG12" s="180">
        <f t="shared" si="27"/>
        <v>0</v>
      </c>
      <c r="EI12" s="180">
        <f t="shared" si="28"/>
        <v>0</v>
      </c>
      <c r="EJ12" s="180">
        <f t="shared" si="29"/>
        <v>0</v>
      </c>
      <c r="EK12" s="180">
        <f t="shared" si="30"/>
        <v>0</v>
      </c>
      <c r="EM12" s="195">
        <f t="shared" si="47"/>
        <v>-0.10337202732806533</v>
      </c>
      <c r="EN12" s="195">
        <f t="shared" si="47"/>
        <v>-0.38750034260363891</v>
      </c>
      <c r="EO12" s="195"/>
      <c r="ET12" s="179"/>
      <c r="EU12" s="179"/>
      <c r="EV12" s="179">
        <f t="shared" si="33"/>
        <v>3.5258661068203384E-2</v>
      </c>
      <c r="EW12" s="179">
        <f t="shared" si="34"/>
        <v>6.4318874883762409E-2</v>
      </c>
      <c r="EX12" s="180"/>
      <c r="EY12" s="180"/>
      <c r="EZ12" s="180">
        <f t="shared" si="41"/>
        <v>0</v>
      </c>
      <c r="FA12" s="180">
        <f t="shared" si="35"/>
        <v>0</v>
      </c>
      <c r="FB12" s="180">
        <f t="shared" si="42"/>
        <v>0</v>
      </c>
      <c r="FC12" s="179">
        <f t="shared" si="48"/>
        <v>-5.3255328561799049E-18</v>
      </c>
      <c r="FD12" s="179">
        <f t="shared" si="49"/>
        <v>1.4780707432445267E-17</v>
      </c>
      <c r="FE12" s="179">
        <f t="shared" si="36"/>
        <v>-0.60386324796916402</v>
      </c>
    </row>
    <row r="13" spans="1:161" x14ac:dyDescent="0.35">
      <c r="A13" s="188" t="s">
        <v>149</v>
      </c>
      <c r="B13" s="188" t="s">
        <v>70</v>
      </c>
      <c r="C13" s="175">
        <v>0</v>
      </c>
      <c r="D13" s="175">
        <v>0</v>
      </c>
      <c r="H13" s="179"/>
      <c r="I13" s="179"/>
      <c r="J13" s="179"/>
      <c r="K13" s="185"/>
      <c r="L13" s="191"/>
      <c r="M13" s="191"/>
      <c r="N13" s="185"/>
      <c r="O13" s="185"/>
      <c r="P13" s="191"/>
      <c r="Q13" s="191"/>
      <c r="R13" s="180">
        <v>7</v>
      </c>
      <c r="S13" s="185"/>
      <c r="T13" s="198"/>
      <c r="U13" s="198"/>
      <c r="V13" s="198"/>
      <c r="W13" s="185"/>
      <c r="X13" s="185"/>
      <c r="Y13" s="185"/>
      <c r="Z13" s="185"/>
      <c r="AA13" s="180"/>
      <c r="AB13" s="180"/>
      <c r="AC13" s="180"/>
      <c r="AD13" s="180"/>
      <c r="AE13" s="180"/>
      <c r="AF13" s="180"/>
      <c r="AG13" s="307"/>
      <c r="AH13" s="180"/>
      <c r="AI13" s="306"/>
      <c r="AJ13" s="306"/>
      <c r="AK13" s="31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179"/>
      <c r="BN13" s="179"/>
      <c r="BQ13" s="175">
        <v>0</v>
      </c>
      <c r="BS13" s="180"/>
      <c r="BT13" s="194"/>
      <c r="BU13" s="194"/>
      <c r="BV13" s="194"/>
      <c r="BW13" s="194"/>
      <c r="BX13" s="194"/>
      <c r="BY13" s="194"/>
      <c r="CC13" s="179"/>
      <c r="CD13" s="179"/>
      <c r="CL13" s="179"/>
      <c r="CM13" s="179"/>
      <c r="CO13" s="175">
        <v>0</v>
      </c>
      <c r="CP13" s="194">
        <v>0</v>
      </c>
      <c r="CQ13" s="194">
        <f t="shared" si="37"/>
        <v>0</v>
      </c>
      <c r="CR13" s="194">
        <f t="shared" si="22"/>
        <v>23.663488624052004</v>
      </c>
      <c r="CS13" s="194">
        <f t="shared" si="38"/>
        <v>-23.663488624052004</v>
      </c>
      <c r="CT13" s="179">
        <f>(CS13-CS$56)/CS$57</f>
        <v>-0.34640725164482256</v>
      </c>
      <c r="CU13" s="194">
        <v>0</v>
      </c>
      <c r="CW13" s="180"/>
      <c r="CX13" s="194"/>
      <c r="CZ13" s="194"/>
      <c r="DA13" s="194"/>
      <c r="DB13" s="194"/>
      <c r="DC13" s="194"/>
      <c r="DD13" s="179"/>
      <c r="DE13" s="179"/>
      <c r="DF13" s="180"/>
      <c r="DG13" s="194"/>
      <c r="DH13" s="179"/>
      <c r="DI13" s="179"/>
      <c r="DJ13" s="194">
        <v>0</v>
      </c>
      <c r="DK13" s="194">
        <v>0</v>
      </c>
      <c r="DL13" s="194">
        <f t="shared" si="39"/>
        <v>0</v>
      </c>
      <c r="DM13" s="194">
        <f t="shared" si="25"/>
        <v>4.7298916576381362</v>
      </c>
      <c r="DN13" s="194">
        <f t="shared" si="40"/>
        <v>-4.7298916576381362</v>
      </c>
      <c r="DO13" s="179">
        <f>(DN13-DM$57)/DM$58</f>
        <v>-0.28561839568425818</v>
      </c>
      <c r="DP13" s="179">
        <f>(0.6*CT13)+(0.4*DO13)</f>
        <v>-0.32209170926059683</v>
      </c>
      <c r="DQ13" s="179"/>
      <c r="DR13" s="179"/>
      <c r="DS13" s="179"/>
      <c r="DT13" s="179"/>
      <c r="DZ13" s="180"/>
      <c r="EA13" s="180"/>
      <c r="EE13" s="180">
        <v>0</v>
      </c>
      <c r="EM13" s="195"/>
      <c r="EN13" s="195"/>
      <c r="EO13" s="195"/>
      <c r="ET13" s="179"/>
      <c r="EU13" s="179"/>
      <c r="EV13" s="179"/>
      <c r="EW13" s="179"/>
      <c r="EX13" s="180">
        <v>0</v>
      </c>
      <c r="EY13" s="180">
        <v>0</v>
      </c>
      <c r="EZ13" s="180">
        <f t="shared" si="41"/>
        <v>0</v>
      </c>
      <c r="FA13" s="180">
        <f t="shared" si="35"/>
        <v>10194.115926327195</v>
      </c>
      <c r="FB13" s="180">
        <f t="shared" si="42"/>
        <v>-10194.115926327195</v>
      </c>
      <c r="FC13" s="179">
        <f>(FB13-FB$56)/FB$57</f>
        <v>-9.252181871898435E-2</v>
      </c>
      <c r="FD13" s="179">
        <f>(0.6*DP13)+(0.4*FC13)</f>
        <v>-0.23026375304395183</v>
      </c>
      <c r="FE13" s="179">
        <f t="shared" si="36"/>
        <v>0</v>
      </c>
    </row>
    <row r="14" spans="1:161" x14ac:dyDescent="0.35">
      <c r="A14" s="188" t="s">
        <v>149</v>
      </c>
      <c r="B14" s="188" t="s">
        <v>10</v>
      </c>
      <c r="C14" s="175">
        <v>0</v>
      </c>
      <c r="D14" s="175">
        <v>0</v>
      </c>
      <c r="H14" s="179"/>
      <c r="I14" s="179"/>
      <c r="J14" s="179"/>
      <c r="K14" s="185"/>
      <c r="L14" s="191"/>
      <c r="M14" s="191"/>
      <c r="N14" s="185"/>
      <c r="O14" s="185"/>
      <c r="P14" s="191"/>
      <c r="Q14" s="191"/>
      <c r="R14" s="180">
        <v>5</v>
      </c>
      <c r="S14" s="185"/>
      <c r="T14" s="198"/>
      <c r="U14" s="198"/>
      <c r="V14" s="198"/>
      <c r="W14" s="185"/>
      <c r="X14" s="185"/>
      <c r="Y14" s="185"/>
      <c r="Z14" s="185"/>
      <c r="AA14" s="180"/>
      <c r="AB14" s="180"/>
      <c r="AC14" s="180"/>
      <c r="AD14" s="180"/>
      <c r="AE14" s="180"/>
      <c r="AF14" s="180"/>
      <c r="AG14" s="307"/>
      <c r="AH14" s="180"/>
      <c r="AI14" s="306"/>
      <c r="AJ14" s="306"/>
      <c r="AK14" s="31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79"/>
      <c r="BN14" s="179"/>
      <c r="BQ14" s="175">
        <v>0</v>
      </c>
      <c r="BS14" s="180"/>
      <c r="BT14" s="194"/>
      <c r="BU14" s="194"/>
      <c r="BV14" s="194"/>
      <c r="BW14" s="194"/>
      <c r="BX14" s="194"/>
      <c r="BY14" s="194"/>
      <c r="CC14" s="179"/>
      <c r="CD14" s="179"/>
      <c r="CL14" s="179"/>
      <c r="CM14" s="179"/>
      <c r="CO14" s="175">
        <v>0</v>
      </c>
      <c r="CP14" s="194">
        <v>0</v>
      </c>
      <c r="CQ14" s="194">
        <f t="shared" si="37"/>
        <v>0</v>
      </c>
      <c r="CR14" s="194">
        <f t="shared" si="22"/>
        <v>16.902491874322859</v>
      </c>
      <c r="CS14" s="194">
        <f t="shared" si="38"/>
        <v>-16.902491874322859</v>
      </c>
      <c r="CT14" s="179">
        <f>(CS14-CS$56)/CS$57</f>
        <v>-0.24743375117487321</v>
      </c>
      <c r="CU14" s="194">
        <v>0</v>
      </c>
      <c r="CW14" s="180"/>
      <c r="CX14" s="194"/>
      <c r="CZ14" s="194"/>
      <c r="DA14" s="194"/>
      <c r="DB14" s="194"/>
      <c r="DC14" s="194"/>
      <c r="DD14" s="179"/>
      <c r="DE14" s="179"/>
      <c r="DF14" s="180"/>
      <c r="DG14" s="194"/>
      <c r="DH14" s="179"/>
      <c r="DI14" s="179"/>
      <c r="DJ14" s="194">
        <v>0</v>
      </c>
      <c r="DK14" s="194">
        <v>0</v>
      </c>
      <c r="DL14" s="194">
        <f t="shared" si="39"/>
        <v>0</v>
      </c>
      <c r="DM14" s="194">
        <f t="shared" si="25"/>
        <v>3.3784940411700974</v>
      </c>
      <c r="DN14" s="194">
        <f t="shared" si="40"/>
        <v>-3.3784940411700974</v>
      </c>
      <c r="DO14" s="179">
        <f>(DN14-DM$57)/DM$58</f>
        <v>-0.20401313977447011</v>
      </c>
      <c r="DP14" s="179">
        <f>(0.6*CT14)+(0.4*DO14)</f>
        <v>-0.23006550661471198</v>
      </c>
      <c r="DQ14" s="179"/>
      <c r="DR14" s="179"/>
      <c r="DS14" s="179"/>
      <c r="DT14" s="179"/>
      <c r="DZ14" s="180"/>
      <c r="EA14" s="180"/>
      <c r="EE14" s="180">
        <v>0</v>
      </c>
      <c r="EM14" s="195"/>
      <c r="EN14" s="195"/>
      <c r="EO14" s="195"/>
      <c r="ET14" s="179"/>
      <c r="EU14" s="179"/>
      <c r="EV14" s="179"/>
      <c r="EW14" s="179"/>
      <c r="EX14" s="180">
        <v>0</v>
      </c>
      <c r="EY14" s="180">
        <v>0</v>
      </c>
      <c r="EZ14" s="180">
        <f t="shared" si="41"/>
        <v>0</v>
      </c>
      <c r="FA14" s="180">
        <f t="shared" si="35"/>
        <v>7281.5113759479955</v>
      </c>
      <c r="FB14" s="180">
        <f t="shared" si="42"/>
        <v>-7281.5113759479955</v>
      </c>
      <c r="FC14" s="179">
        <f>(FB14-FB$56)/FB$57</f>
        <v>-6.6087013370703107E-2</v>
      </c>
      <c r="FD14" s="179">
        <f>(0.6*DP14)+(0.4*FC14)</f>
        <v>-0.16447410931710843</v>
      </c>
      <c r="FE14" s="179">
        <f t="shared" si="36"/>
        <v>0</v>
      </c>
    </row>
    <row r="15" spans="1:161" x14ac:dyDescent="0.35">
      <c r="A15" s="188" t="s">
        <v>180</v>
      </c>
      <c r="B15" s="188" t="s">
        <v>555</v>
      </c>
      <c r="C15" s="175">
        <v>0</v>
      </c>
      <c r="D15" s="175">
        <v>0</v>
      </c>
      <c r="E15" s="175">
        <v>9</v>
      </c>
      <c r="F15" s="175">
        <v>0</v>
      </c>
      <c r="G15" s="175">
        <v>7</v>
      </c>
      <c r="H15" s="179">
        <v>8.5000000000000006E-2</v>
      </c>
      <c r="I15" s="179">
        <v>6.8206014873425425E-2</v>
      </c>
      <c r="J15" s="179">
        <f>(0.6*DY15)+(0.4*ET15)</f>
        <v>0.10160132248052253</v>
      </c>
      <c r="K15" s="185"/>
      <c r="L15" s="191"/>
      <c r="M15" s="185"/>
      <c r="N15" s="185"/>
      <c r="O15" s="185"/>
      <c r="P15" s="191"/>
      <c r="Q15" s="191"/>
      <c r="R15" s="194">
        <v>5</v>
      </c>
      <c r="S15" s="185"/>
      <c r="T15" s="198"/>
      <c r="U15" s="198"/>
      <c r="V15" s="198"/>
      <c r="W15" s="185"/>
      <c r="X15" s="185"/>
      <c r="Y15" s="185"/>
      <c r="Z15" s="185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>
        <v>21</v>
      </c>
      <c r="BC15" s="180">
        <v>21</v>
      </c>
      <c r="BD15" s="180">
        <f>BB15-BC15</f>
        <v>0</v>
      </c>
      <c r="BE15" s="180">
        <v>6</v>
      </c>
      <c r="BF15" s="180">
        <v>21</v>
      </c>
      <c r="BG15" s="180">
        <v>21</v>
      </c>
      <c r="BH15" s="180">
        <v>7</v>
      </c>
      <c r="BI15" s="180"/>
      <c r="BJ15" s="180"/>
      <c r="BK15" s="180"/>
      <c r="BL15" s="180"/>
      <c r="BM15" s="179"/>
      <c r="BN15" s="179"/>
      <c r="BQ15" s="175">
        <v>0</v>
      </c>
      <c r="BR15" s="175">
        <f t="shared" si="12"/>
        <v>7</v>
      </c>
      <c r="BS15" s="180">
        <f t="shared" ref="BS15:BS52" si="50">D15*BQ$57</f>
        <v>0</v>
      </c>
      <c r="BT15" s="194">
        <f t="shared" ref="BT15:BT52" si="51">D15*BG$57</f>
        <v>0</v>
      </c>
      <c r="BU15" s="194">
        <f t="shared" ref="BU15:BU52" si="52">D15*BH$57</f>
        <v>0</v>
      </c>
      <c r="BV15" s="194">
        <f t="shared" si="16"/>
        <v>7</v>
      </c>
      <c r="BW15" s="194">
        <f t="shared" si="17"/>
        <v>7</v>
      </c>
      <c r="BX15" s="194">
        <f t="shared" si="18"/>
        <v>21</v>
      </c>
      <c r="BY15" s="194">
        <f>D15*BF$56</f>
        <v>0</v>
      </c>
      <c r="BZ15" s="175">
        <v>10</v>
      </c>
      <c r="CA15" s="194">
        <f>BF15-BY15</f>
        <v>21</v>
      </c>
      <c r="CB15" s="175">
        <f>BF15-BZ15</f>
        <v>11</v>
      </c>
      <c r="CC15" s="179">
        <f t="shared" ref="CC15:CC52" si="53">(BX15-BX$53)/BX$54</f>
        <v>0.71899894721481272</v>
      </c>
      <c r="CD15" s="189">
        <f>(CA15-CA$53)/CA$54</f>
        <v>0.97206994207483643</v>
      </c>
      <c r="CE15" s="189">
        <f>(CB15-CB$53)/CB$54</f>
        <v>0.53117103179385217</v>
      </c>
      <c r="CF15" s="194">
        <v>6.3229350000000002</v>
      </c>
      <c r="CG15" s="175">
        <f>BB15-BE15</f>
        <v>15</v>
      </c>
      <c r="CH15" s="194">
        <f>BC15-CF15</f>
        <v>14.677064999999999</v>
      </c>
      <c r="CI15" s="179">
        <v>0.41799999999999998</v>
      </c>
      <c r="CJ15" s="179">
        <f>(CH15-CH$54)/CH$55</f>
        <v>0.49616786475075059</v>
      </c>
      <c r="CK15" s="175">
        <v>0</v>
      </c>
      <c r="CL15" s="179">
        <f t="shared" ref="CL15:CL32" si="54">(BV15-BV$53)/BV$54</f>
        <v>-0.5415189012449082</v>
      </c>
      <c r="CM15" s="179">
        <f t="shared" ref="CM15:CM32" si="55">(BW15-BW$53)/BW$54</f>
        <v>0.24794069253812653</v>
      </c>
      <c r="CN15" s="175">
        <v>0</v>
      </c>
      <c r="CO15" s="175">
        <v>0</v>
      </c>
      <c r="CP15" s="194">
        <v>0</v>
      </c>
      <c r="CQ15" s="194">
        <f t="shared" si="37"/>
        <v>0</v>
      </c>
      <c r="CR15" s="194">
        <f t="shared" si="22"/>
        <v>16.902491874322859</v>
      </c>
      <c r="CS15" s="194">
        <f t="shared" si="38"/>
        <v>-16.902491874322859</v>
      </c>
      <c r="CT15" s="179">
        <f>(CS15-CS$56)/CS$57</f>
        <v>-0.24743375117487321</v>
      </c>
      <c r="CU15" s="194">
        <v>0</v>
      </c>
      <c r="CV15" s="175">
        <f>CN15+CU15</f>
        <v>0</v>
      </c>
      <c r="CW15" s="180">
        <f>D15*CU$57</f>
        <v>0</v>
      </c>
      <c r="CX15" s="194">
        <f>D15*CN$57</f>
        <v>0</v>
      </c>
      <c r="CY15" s="175">
        <v>0</v>
      </c>
      <c r="CZ15" s="194">
        <f>D15*CY$57</f>
        <v>0</v>
      </c>
      <c r="DA15" s="194">
        <f t="shared" si="23"/>
        <v>0</v>
      </c>
      <c r="DB15" s="194">
        <f>D15*CN$56</f>
        <v>0</v>
      </c>
      <c r="DC15" s="194">
        <f>CN15-DB15</f>
        <v>0</v>
      </c>
      <c r="DD15" s="179">
        <f>(DA15-DA$53)/DA$54</f>
        <v>0.30702014718264831</v>
      </c>
      <c r="DE15" s="179">
        <f>(DC15-DC$53)/DC$54</f>
        <v>0</v>
      </c>
      <c r="DF15" s="180">
        <f t="shared" si="24"/>
        <v>0</v>
      </c>
      <c r="DG15" s="194">
        <f>CN15-CX15</f>
        <v>0</v>
      </c>
      <c r="DH15" s="179">
        <f t="shared" ref="DH15:DI19" si="56">(DF15-DF$53)/DF$54</f>
        <v>-0.97691651523354961</v>
      </c>
      <c r="DI15" s="179">
        <f t="shared" si="56"/>
        <v>0.37754132425337183</v>
      </c>
      <c r="DJ15" s="194">
        <v>0</v>
      </c>
      <c r="DK15" s="194">
        <v>0</v>
      </c>
      <c r="DL15" s="194">
        <f t="shared" si="39"/>
        <v>0</v>
      </c>
      <c r="DM15" s="194">
        <f t="shared" si="25"/>
        <v>3.3784940411700974</v>
      </c>
      <c r="DN15" s="194">
        <f t="shared" si="40"/>
        <v>-3.3784940411700974</v>
      </c>
      <c r="DO15" s="179">
        <f>(DN15-DM$57)/DM$58</f>
        <v>-0.20401313977447011</v>
      </c>
      <c r="DP15" s="179">
        <f>(0.6*CT15)+(0.4*DO15)</f>
        <v>-0.23006550661471198</v>
      </c>
      <c r="DQ15" s="179">
        <f t="shared" ref="DQ15:DR19" si="57">(0.6*CL15)+(0.4*DH15)</f>
        <v>-0.71567794684036468</v>
      </c>
      <c r="DR15" s="179">
        <f t="shared" si="57"/>
        <v>0.29978094522422466</v>
      </c>
      <c r="DS15" s="179">
        <f>(0.6*CC15)+(0.4*DD15)</f>
        <v>0.55420742720194693</v>
      </c>
      <c r="DT15" s="179">
        <f>(0.6*CD15)+(0.4*DE15)</f>
        <v>0.58324196524490179</v>
      </c>
      <c r="DU15" s="175">
        <v>3</v>
      </c>
      <c r="DV15" s="175">
        <f>CK15-DU15</f>
        <v>-3</v>
      </c>
      <c r="DW15" s="179">
        <v>-0.26100000000000001</v>
      </c>
      <c r="DX15" s="179">
        <v>0.14699999999999999</v>
      </c>
      <c r="DY15" s="179">
        <f>(0.6*CJ15)+(0.4*DW15)</f>
        <v>0.19330071885045036</v>
      </c>
      <c r="DZ15" s="180">
        <v>0</v>
      </c>
      <c r="EA15" s="180">
        <v>0</v>
      </c>
      <c r="EB15" s="175">
        <v>1238</v>
      </c>
      <c r="EC15" s="180">
        <v>0</v>
      </c>
      <c r="ED15" s="180">
        <v>0</v>
      </c>
      <c r="EE15" s="180">
        <v>0</v>
      </c>
      <c r="EF15" s="180">
        <f t="shared" si="26"/>
        <v>0</v>
      </c>
      <c r="EG15" s="180">
        <f>D15*EE$56</f>
        <v>0</v>
      </c>
      <c r="EH15" s="180">
        <f>D15*EC$55</f>
        <v>0</v>
      </c>
      <c r="EI15" s="180">
        <f>D15*ED$56</f>
        <v>0</v>
      </c>
      <c r="EJ15" s="180">
        <f t="shared" si="29"/>
        <v>0</v>
      </c>
      <c r="EK15" s="180">
        <f t="shared" si="30"/>
        <v>0</v>
      </c>
      <c r="EL15" s="180">
        <f>EC15-EH15</f>
        <v>0</v>
      </c>
      <c r="EM15" s="195">
        <f>(EJ15-EJ$53)/EJ$54</f>
        <v>-0.10337202732806533</v>
      </c>
      <c r="EN15" s="195">
        <f>(EK15-EK$53)/EK$54</f>
        <v>-0.38750034260363891</v>
      </c>
      <c r="EO15" s="195">
        <f>(EL15-EL$53)/EL$54</f>
        <v>-3.1497960746330418E-3</v>
      </c>
      <c r="EP15" s="180">
        <v>1342.9780000000001</v>
      </c>
      <c r="EQ15" s="175">
        <f>DZ15-EB15</f>
        <v>-1238</v>
      </c>
      <c r="ER15" s="180">
        <f>EA15-EP15</f>
        <v>-1342.9780000000001</v>
      </c>
      <c r="ES15" s="179">
        <v>-8.0000000000000002E-3</v>
      </c>
      <c r="ET15" s="179">
        <f>(ER15-ER$54)/ER$55</f>
        <v>-3.5947772074369187E-2</v>
      </c>
      <c r="EU15" s="179">
        <f>(0.6*DT15)+(0.4*EO15)</f>
        <v>0.34868526071708783</v>
      </c>
      <c r="EV15" s="179">
        <f t="shared" si="33"/>
        <v>0.29117564538994201</v>
      </c>
      <c r="EW15" s="179">
        <f t="shared" si="34"/>
        <v>0.17860864870468157</v>
      </c>
      <c r="EX15" s="180">
        <v>0</v>
      </c>
      <c r="EY15" s="180">
        <v>0</v>
      </c>
      <c r="EZ15" s="180">
        <f t="shared" si="41"/>
        <v>0</v>
      </c>
      <c r="FA15" s="180">
        <f t="shared" si="35"/>
        <v>7281.5113759479955</v>
      </c>
      <c r="FB15" s="180">
        <f t="shared" si="42"/>
        <v>-7281.5113759479955</v>
      </c>
      <c r="FC15" s="179">
        <f>(FB15-FB$56)/FB$57</f>
        <v>-6.6087013370703107E-2</v>
      </c>
      <c r="FD15" s="179">
        <f>(0.6*DP15)+(0.4*FC15)</f>
        <v>-0.16447410931710843</v>
      </c>
      <c r="FE15" s="179">
        <f t="shared" si="36"/>
        <v>-0.58440690514567439</v>
      </c>
    </row>
    <row r="16" spans="1:161" hidden="1" x14ac:dyDescent="0.35">
      <c r="A16" s="197" t="s">
        <v>180</v>
      </c>
      <c r="B16" s="197" t="s">
        <v>184</v>
      </c>
      <c r="C16" s="175">
        <f t="shared" si="0"/>
        <v>5</v>
      </c>
      <c r="D16" s="199">
        <v>3</v>
      </c>
      <c r="E16" s="175">
        <v>5</v>
      </c>
      <c r="F16" s="175">
        <v>0</v>
      </c>
      <c r="G16" s="175">
        <v>0</v>
      </c>
      <c r="H16" s="179">
        <v>-0.123</v>
      </c>
      <c r="I16" s="179">
        <v>0</v>
      </c>
      <c r="J16" s="179">
        <f>(0.6*DY16)+(0.4*ET16)</f>
        <v>-0.13902014391789405</v>
      </c>
      <c r="K16" s="185"/>
      <c r="L16" s="191"/>
      <c r="M16" s="191"/>
      <c r="N16" s="185"/>
      <c r="O16" s="185"/>
      <c r="P16" s="191"/>
      <c r="Q16" s="191"/>
      <c r="R16" s="194"/>
      <c r="S16" s="185"/>
      <c r="T16" s="198"/>
      <c r="U16" s="198"/>
      <c r="V16" s="198"/>
      <c r="W16" s="185"/>
      <c r="X16" s="185"/>
      <c r="Y16" s="185"/>
      <c r="Z16" s="185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>
        <v>1</v>
      </c>
      <c r="BC16" s="180">
        <v>1</v>
      </c>
      <c r="BD16" s="180">
        <f>BB16-BC16</f>
        <v>0</v>
      </c>
      <c r="BE16" s="180">
        <v>3</v>
      </c>
      <c r="BF16" s="180"/>
      <c r="BG16" s="180"/>
      <c r="BH16" s="180"/>
      <c r="BI16" s="180"/>
      <c r="BJ16" s="180"/>
      <c r="BK16" s="180"/>
      <c r="BL16" s="180"/>
      <c r="BM16" s="179"/>
      <c r="BN16" s="179"/>
      <c r="BR16" s="175">
        <f t="shared" si="12"/>
        <v>0</v>
      </c>
      <c r="BS16" s="180">
        <f t="shared" si="50"/>
        <v>0</v>
      </c>
      <c r="BT16" s="194">
        <f t="shared" si="51"/>
        <v>4.3094579999999993</v>
      </c>
      <c r="BU16" s="194">
        <f t="shared" si="52"/>
        <v>2.4885801000000001</v>
      </c>
      <c r="BV16" s="194">
        <f t="shared" si="16"/>
        <v>0</v>
      </c>
      <c r="BW16" s="194">
        <f t="shared" si="17"/>
        <v>-2.4885801000000001</v>
      </c>
      <c r="BX16" s="194">
        <f t="shared" si="18"/>
        <v>-4.3094579999999993</v>
      </c>
      <c r="BY16" s="194"/>
      <c r="CC16" s="179">
        <f t="shared" si="53"/>
        <v>-0.13776297952826963</v>
      </c>
      <c r="CD16" s="179"/>
      <c r="CF16" s="194">
        <v>3.5127419999999998</v>
      </c>
      <c r="CG16" s="175">
        <f>BB16-BE16</f>
        <v>-2</v>
      </c>
      <c r="CH16" s="194">
        <f>BC16-CF16</f>
        <v>-2.5127419999999998</v>
      </c>
      <c r="CI16" s="179">
        <v>-0.24399999999999999</v>
      </c>
      <c r="CJ16" s="179">
        <f>(CH16-CH$54)/CH$55</f>
        <v>-0.25793516859318683</v>
      </c>
      <c r="CK16" s="175">
        <v>0</v>
      </c>
      <c r="CL16" s="179">
        <f t="shared" si="54"/>
        <v>-0.59556429797682386</v>
      </c>
      <c r="CM16" s="179">
        <f t="shared" si="55"/>
        <v>-0.18713966875227145</v>
      </c>
      <c r="CP16" s="194"/>
      <c r="CQ16" s="194">
        <f t="shared" si="37"/>
        <v>0</v>
      </c>
      <c r="CR16" s="194">
        <f t="shared" si="22"/>
        <v>0</v>
      </c>
      <c r="CS16" s="194">
        <f t="shared" si="38"/>
        <v>0</v>
      </c>
      <c r="CT16" s="179">
        <f t="shared" si="43"/>
        <v>4.6974779374770076E-17</v>
      </c>
      <c r="CU16" s="194"/>
      <c r="CV16" s="175">
        <f>CN16+CU16</f>
        <v>0</v>
      </c>
      <c r="CW16" s="180">
        <f>D16*CU$57</f>
        <v>0</v>
      </c>
      <c r="CX16" s="194">
        <f>D16*CN$57</f>
        <v>1.6570058999999999</v>
      </c>
      <c r="CZ16" s="194">
        <f>D16*CY$57</f>
        <v>2.1244484999999997</v>
      </c>
      <c r="DA16" s="194">
        <f t="shared" si="23"/>
        <v>-2.1244484999999997</v>
      </c>
      <c r="DB16" s="194"/>
      <c r="DC16" s="194"/>
      <c r="DD16" s="179">
        <f>(DA16-DA$53)/DA$54</f>
        <v>0.19989445403043965</v>
      </c>
      <c r="DE16" s="179"/>
      <c r="DF16" s="180">
        <f t="shared" si="24"/>
        <v>0</v>
      </c>
      <c r="DG16" s="194">
        <f>CN16-CX16</f>
        <v>-1.6570058999999999</v>
      </c>
      <c r="DH16" s="179">
        <f t="shared" si="56"/>
        <v>-0.97691651523354961</v>
      </c>
      <c r="DI16" s="179">
        <f t="shared" si="56"/>
        <v>0.28645938580176761</v>
      </c>
      <c r="DJ16" s="194"/>
      <c r="DK16" s="194"/>
      <c r="DL16" s="194">
        <f t="shared" si="39"/>
        <v>0</v>
      </c>
      <c r="DM16" s="194">
        <f t="shared" si="25"/>
        <v>0</v>
      </c>
      <c r="DN16" s="194">
        <f t="shared" si="40"/>
        <v>0</v>
      </c>
      <c r="DO16" s="179">
        <f t="shared" si="44"/>
        <v>0</v>
      </c>
      <c r="DP16" s="179">
        <f t="shared" si="45"/>
        <v>2.8184867624862046E-17</v>
      </c>
      <c r="DQ16" s="179">
        <f t="shared" si="57"/>
        <v>-0.74810518487951416</v>
      </c>
      <c r="DR16" s="179">
        <f t="shared" si="57"/>
        <v>2.2999530693441905E-3</v>
      </c>
      <c r="DS16" s="179">
        <f>(0.6*CC16)+(0.4*DD16)</f>
        <v>-2.700006104785907E-3</v>
      </c>
      <c r="DT16" s="179"/>
      <c r="DU16" s="175">
        <v>2</v>
      </c>
      <c r="DV16" s="175">
        <f>CK16-DU16</f>
        <v>-2</v>
      </c>
      <c r="DW16" s="179">
        <v>-0.157</v>
      </c>
      <c r="DX16" s="179">
        <v>-0.20899999999999999</v>
      </c>
      <c r="DY16" s="179">
        <f>(0.6*CJ16)+(0.4*DW16)</f>
        <v>-0.2175611011559121</v>
      </c>
      <c r="DZ16" s="180">
        <v>0</v>
      </c>
      <c r="EA16" s="180">
        <v>0</v>
      </c>
      <c r="EB16" s="175">
        <v>450</v>
      </c>
      <c r="EF16" s="180">
        <f t="shared" si="26"/>
        <v>0</v>
      </c>
      <c r="EG16" s="180">
        <f>D16*EE$56</f>
        <v>0</v>
      </c>
      <c r="EI16" s="180">
        <f>D16*ED$56</f>
        <v>1980</v>
      </c>
      <c r="EJ16" s="180">
        <f t="shared" si="29"/>
        <v>-1980</v>
      </c>
      <c r="EK16" s="180">
        <f t="shared" si="30"/>
        <v>0</v>
      </c>
      <c r="EM16" s="195">
        <f t="shared" ref="EM16:EN19" si="58">(EJ16-EJ$53)/EJ$54</f>
        <v>-0.12757130355996824</v>
      </c>
      <c r="EN16" s="195">
        <f t="shared" si="58"/>
        <v>-0.38750034260363891</v>
      </c>
      <c r="EO16" s="195"/>
      <c r="EP16" s="180">
        <v>467.0899</v>
      </c>
      <c r="EQ16" s="175">
        <f>DZ16-EB16</f>
        <v>-450</v>
      </c>
      <c r="ER16" s="180">
        <f>EA16-EP16</f>
        <v>-467.0899</v>
      </c>
      <c r="ES16" s="179">
        <v>6.0000000000000001E-3</v>
      </c>
      <c r="ET16" s="179">
        <f>(ER16-ER$54)/ER$55</f>
        <v>-2.120870806086704E-2</v>
      </c>
      <c r="EU16" s="179">
        <f>(0.6*DT16)+(0.4*EO16)</f>
        <v>0</v>
      </c>
      <c r="EV16" s="179">
        <f t="shared" si="33"/>
        <v>-5.2648525086858841E-2</v>
      </c>
      <c r="EW16" s="179">
        <f t="shared" si="34"/>
        <v>1.3799718416065143E-3</v>
      </c>
      <c r="EX16" s="180"/>
      <c r="EY16" s="180"/>
      <c r="EZ16" s="180">
        <f t="shared" si="41"/>
        <v>0</v>
      </c>
      <c r="FA16" s="180">
        <f t="shared" si="35"/>
        <v>0</v>
      </c>
      <c r="FB16" s="180">
        <f t="shared" si="42"/>
        <v>0</v>
      </c>
      <c r="FC16" s="179">
        <f t="shared" si="48"/>
        <v>-5.3255328561799049E-18</v>
      </c>
      <c r="FD16" s="179">
        <f t="shared" si="49"/>
        <v>1.4780707432445267E-17</v>
      </c>
      <c r="FE16" s="179">
        <f t="shared" si="36"/>
        <v>-0.60386324796916402</v>
      </c>
    </row>
    <row r="17" spans="1:161" hidden="1" x14ac:dyDescent="0.35">
      <c r="A17" s="188" t="s">
        <v>180</v>
      </c>
      <c r="B17" s="188" t="s">
        <v>34</v>
      </c>
      <c r="C17" s="199">
        <f t="shared" si="0"/>
        <v>1</v>
      </c>
      <c r="D17" s="199">
        <v>4</v>
      </c>
      <c r="E17" s="175">
        <v>1</v>
      </c>
      <c r="F17" s="175">
        <v>0</v>
      </c>
      <c r="G17" s="175">
        <v>0</v>
      </c>
      <c r="H17" s="179"/>
      <c r="I17" s="179"/>
      <c r="J17" s="179"/>
      <c r="K17" s="185"/>
      <c r="L17" s="191"/>
      <c r="M17" s="191"/>
      <c r="N17" s="185"/>
      <c r="O17" s="185"/>
      <c r="P17" s="191"/>
      <c r="Q17" s="191"/>
      <c r="R17" s="194"/>
      <c r="S17" s="185"/>
      <c r="T17" s="198"/>
      <c r="U17" s="198"/>
      <c r="V17" s="198"/>
      <c r="W17" s="185"/>
      <c r="X17" s="185"/>
      <c r="Y17" s="185"/>
      <c r="Z17" s="185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79"/>
      <c r="BN17" s="179"/>
      <c r="BR17" s="175">
        <f t="shared" si="12"/>
        <v>0</v>
      </c>
      <c r="BS17" s="180">
        <f t="shared" si="50"/>
        <v>0</v>
      </c>
      <c r="BT17" s="194">
        <f t="shared" si="51"/>
        <v>5.7459439999999997</v>
      </c>
      <c r="BU17" s="194">
        <f t="shared" si="52"/>
        <v>3.3181067999999998</v>
      </c>
      <c r="BV17" s="194">
        <f t="shared" si="16"/>
        <v>0</v>
      </c>
      <c r="BW17" s="194">
        <f t="shared" si="17"/>
        <v>-3.3181067999999998</v>
      </c>
      <c r="BX17" s="194">
        <f t="shared" si="18"/>
        <v>-5.7459439999999997</v>
      </c>
      <c r="BY17" s="194"/>
      <c r="CC17" s="179">
        <f t="shared" si="53"/>
        <v>-0.18639011777435391</v>
      </c>
      <c r="CD17" s="179"/>
      <c r="CL17" s="179">
        <f t="shared" si="54"/>
        <v>-0.59556429797682386</v>
      </c>
      <c r="CM17" s="179">
        <f t="shared" si="55"/>
        <v>-0.2251760000613186</v>
      </c>
      <c r="CP17" s="194"/>
      <c r="CQ17" s="194">
        <f t="shared" si="37"/>
        <v>0</v>
      </c>
      <c r="CR17" s="194">
        <f t="shared" si="22"/>
        <v>0</v>
      </c>
      <c r="CS17" s="194">
        <f t="shared" si="38"/>
        <v>0</v>
      </c>
      <c r="CT17" s="179">
        <f t="shared" si="43"/>
        <v>4.6974779374770076E-17</v>
      </c>
      <c r="CU17" s="194"/>
      <c r="CV17" s="175">
        <f>CN17+CU17</f>
        <v>0</v>
      </c>
      <c r="CW17" s="180">
        <f>D17*CU$57</f>
        <v>0</v>
      </c>
      <c r="CX17" s="194">
        <f>D17*CN$57</f>
        <v>2.2093411999999999</v>
      </c>
      <c r="CZ17" s="194">
        <f>D17*CY$57</f>
        <v>2.8325979999999999</v>
      </c>
      <c r="DA17" s="194">
        <f t="shared" si="23"/>
        <v>-2.8325979999999999</v>
      </c>
      <c r="DB17" s="194"/>
      <c r="DC17" s="194"/>
      <c r="DD17" s="179">
        <f>(DA17-DA$53)/DA$54</f>
        <v>0.1641858896463701</v>
      </c>
      <c r="DE17" s="179"/>
      <c r="DF17" s="180">
        <f t="shared" si="24"/>
        <v>0</v>
      </c>
      <c r="DG17" s="194">
        <f>CN17-CX17</f>
        <v>-2.2093411999999999</v>
      </c>
      <c r="DH17" s="179">
        <f t="shared" si="56"/>
        <v>-0.97691651523354961</v>
      </c>
      <c r="DI17" s="179">
        <f t="shared" si="56"/>
        <v>0.25609873965123281</v>
      </c>
      <c r="DJ17" s="194"/>
      <c r="DK17" s="194"/>
      <c r="DL17" s="194">
        <f t="shared" si="39"/>
        <v>0</v>
      </c>
      <c r="DM17" s="194">
        <f t="shared" si="25"/>
        <v>0</v>
      </c>
      <c r="DN17" s="194">
        <f t="shared" si="40"/>
        <v>0</v>
      </c>
      <c r="DO17" s="179">
        <f t="shared" si="44"/>
        <v>0</v>
      </c>
      <c r="DP17" s="179">
        <f t="shared" si="45"/>
        <v>2.8184867624862046E-17</v>
      </c>
      <c r="DQ17" s="179">
        <f t="shared" si="57"/>
        <v>-0.74810518487951416</v>
      </c>
      <c r="DR17" s="179">
        <f t="shared" si="57"/>
        <v>-3.2666104176298019E-2</v>
      </c>
      <c r="DS17" s="179">
        <f>(0.6*CC17)+(0.4*DD17)</f>
        <v>-4.6159714806064303E-2</v>
      </c>
      <c r="DT17" s="179"/>
      <c r="DZ17" s="180"/>
      <c r="EA17" s="180">
        <v>0</v>
      </c>
      <c r="EF17" s="180">
        <f t="shared" si="26"/>
        <v>0</v>
      </c>
      <c r="EG17" s="180">
        <f>D17*EE$56</f>
        <v>0</v>
      </c>
      <c r="EI17" s="180">
        <f>D17*ED$56</f>
        <v>2640</v>
      </c>
      <c r="EJ17" s="180">
        <f t="shared" si="29"/>
        <v>-2640</v>
      </c>
      <c r="EK17" s="180">
        <f t="shared" si="30"/>
        <v>0</v>
      </c>
      <c r="EM17" s="195">
        <f t="shared" si="58"/>
        <v>-0.13563772897060253</v>
      </c>
      <c r="EN17" s="195">
        <f t="shared" si="58"/>
        <v>-0.38750034260363891</v>
      </c>
      <c r="EO17" s="195"/>
      <c r="ET17" s="179"/>
      <c r="EU17" s="179"/>
      <c r="EV17" s="179">
        <f t="shared" si="33"/>
        <v>-8.1950920471879601E-2</v>
      </c>
      <c r="EW17" s="179">
        <f t="shared" si="34"/>
        <v>-1.9599662505778812E-2</v>
      </c>
      <c r="EX17" s="180"/>
      <c r="EY17" s="180"/>
      <c r="EZ17" s="180">
        <f t="shared" si="41"/>
        <v>0</v>
      </c>
      <c r="FA17" s="180">
        <f t="shared" si="35"/>
        <v>0</v>
      </c>
      <c r="FB17" s="180">
        <f t="shared" si="42"/>
        <v>0</v>
      </c>
      <c r="FC17" s="179">
        <f t="shared" si="48"/>
        <v>-5.3255328561799049E-18</v>
      </c>
      <c r="FD17" s="179">
        <f t="shared" si="49"/>
        <v>1.4780707432445267E-17</v>
      </c>
      <c r="FE17" s="179">
        <f t="shared" si="36"/>
        <v>-0.60386324796916402</v>
      </c>
    </row>
    <row r="18" spans="1:161" hidden="1" x14ac:dyDescent="0.35">
      <c r="A18" s="188" t="s">
        <v>180</v>
      </c>
      <c r="B18" s="188" t="s">
        <v>185</v>
      </c>
      <c r="C18" s="199">
        <f t="shared" si="0"/>
        <v>1</v>
      </c>
      <c r="D18" s="199">
        <v>1</v>
      </c>
      <c r="E18" s="175">
        <v>1</v>
      </c>
      <c r="F18" s="175">
        <v>0</v>
      </c>
      <c r="G18" s="175">
        <v>0</v>
      </c>
      <c r="H18" s="179"/>
      <c r="I18" s="179"/>
      <c r="J18" s="179"/>
      <c r="K18" s="185"/>
      <c r="L18" s="191"/>
      <c r="M18" s="191"/>
      <c r="N18" s="185"/>
      <c r="O18" s="185"/>
      <c r="P18" s="191"/>
      <c r="Q18" s="191"/>
      <c r="R18" s="194"/>
      <c r="S18" s="185"/>
      <c r="T18" s="198"/>
      <c r="U18" s="198"/>
      <c r="V18" s="198"/>
      <c r="W18" s="185"/>
      <c r="X18" s="185"/>
      <c r="Y18" s="185"/>
      <c r="Z18" s="185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79"/>
      <c r="BN18" s="179"/>
      <c r="BR18" s="175">
        <f t="shared" si="12"/>
        <v>0</v>
      </c>
      <c r="BS18" s="180">
        <f t="shared" si="50"/>
        <v>0</v>
      </c>
      <c r="BT18" s="194">
        <f t="shared" si="51"/>
        <v>1.4364859999999999</v>
      </c>
      <c r="BU18" s="194">
        <f t="shared" si="52"/>
        <v>0.82952669999999995</v>
      </c>
      <c r="BV18" s="194">
        <f t="shared" si="16"/>
        <v>0</v>
      </c>
      <c r="BW18" s="194">
        <f t="shared" si="17"/>
        <v>-0.82952669999999995</v>
      </c>
      <c r="BX18" s="194">
        <f t="shared" si="18"/>
        <v>-1.4364859999999999</v>
      </c>
      <c r="BY18" s="194"/>
      <c r="CC18" s="179">
        <f t="shared" si="53"/>
        <v>-4.0508703036101115E-2</v>
      </c>
      <c r="CD18" s="179"/>
      <c r="CL18" s="179">
        <f t="shared" si="54"/>
        <v>-0.59556429797682386</v>
      </c>
      <c r="CM18" s="179">
        <f t="shared" si="55"/>
        <v>-0.11106700613417721</v>
      </c>
      <c r="CP18" s="194"/>
      <c r="CQ18" s="194">
        <f t="shared" si="37"/>
        <v>0</v>
      </c>
      <c r="CR18" s="194">
        <f t="shared" si="22"/>
        <v>0</v>
      </c>
      <c r="CS18" s="194">
        <f t="shared" si="38"/>
        <v>0</v>
      </c>
      <c r="CT18" s="179">
        <f t="shared" si="43"/>
        <v>4.6974779374770076E-17</v>
      </c>
      <c r="CU18" s="194"/>
      <c r="CV18" s="175">
        <f>CN18+CU18</f>
        <v>0</v>
      </c>
      <c r="CW18" s="180">
        <f>D18*CU$57</f>
        <v>0</v>
      </c>
      <c r="CX18" s="194">
        <f>D18*CN$57</f>
        <v>0.55233529999999997</v>
      </c>
      <c r="CZ18" s="194">
        <f>D18*CY$57</f>
        <v>0.70814949999999999</v>
      </c>
      <c r="DA18" s="194">
        <f t="shared" si="23"/>
        <v>-0.70814949999999999</v>
      </c>
      <c r="DB18" s="194"/>
      <c r="DC18" s="194"/>
      <c r="DD18" s="179">
        <f>(DA18-DA$53)/DA$54</f>
        <v>0.27131158279857875</v>
      </c>
      <c r="DE18" s="179"/>
      <c r="DF18" s="180">
        <f t="shared" si="24"/>
        <v>0</v>
      </c>
      <c r="DG18" s="194">
        <f>CN18-CX18</f>
        <v>-0.55233529999999997</v>
      </c>
      <c r="DH18" s="179">
        <f t="shared" si="56"/>
        <v>-0.97691651523354961</v>
      </c>
      <c r="DI18" s="179">
        <f t="shared" si="56"/>
        <v>0.34718067810283704</v>
      </c>
      <c r="DJ18" s="194"/>
      <c r="DK18" s="194"/>
      <c r="DL18" s="194">
        <f t="shared" si="39"/>
        <v>0</v>
      </c>
      <c r="DM18" s="194">
        <f t="shared" si="25"/>
        <v>0</v>
      </c>
      <c r="DN18" s="194">
        <f t="shared" si="40"/>
        <v>0</v>
      </c>
      <c r="DO18" s="179">
        <f t="shared" si="44"/>
        <v>0</v>
      </c>
      <c r="DP18" s="179">
        <f t="shared" si="45"/>
        <v>2.8184867624862046E-17</v>
      </c>
      <c r="DQ18" s="179">
        <f t="shared" si="57"/>
        <v>-0.74810518487951416</v>
      </c>
      <c r="DR18" s="179">
        <f t="shared" si="57"/>
        <v>7.2232067560628499E-2</v>
      </c>
      <c r="DS18" s="179">
        <f>(0.6*CC18)+(0.4*DD18)</f>
        <v>8.421941129777083E-2</v>
      </c>
      <c r="DT18" s="179"/>
      <c r="DZ18" s="180"/>
      <c r="EA18" s="180">
        <v>0</v>
      </c>
      <c r="EF18" s="180">
        <f t="shared" si="26"/>
        <v>0</v>
      </c>
      <c r="EG18" s="180">
        <f>D18*EE$56</f>
        <v>0</v>
      </c>
      <c r="EI18" s="180">
        <f>D18*ED$56</f>
        <v>660</v>
      </c>
      <c r="EJ18" s="180">
        <f t="shared" si="29"/>
        <v>-660</v>
      </c>
      <c r="EK18" s="180">
        <f t="shared" si="30"/>
        <v>0</v>
      </c>
      <c r="EM18" s="195">
        <f t="shared" si="58"/>
        <v>-0.11143845273869964</v>
      </c>
      <c r="EN18" s="195">
        <f t="shared" si="58"/>
        <v>-0.38750034260363891</v>
      </c>
      <c r="EO18" s="195"/>
      <c r="ET18" s="179"/>
      <c r="EU18" s="179"/>
      <c r="EV18" s="179">
        <f t="shared" si="33"/>
        <v>5.9562656831826377E-3</v>
      </c>
      <c r="EW18" s="179">
        <f t="shared" si="34"/>
        <v>4.3339240536377097E-2</v>
      </c>
      <c r="EX18" s="180"/>
      <c r="EY18" s="180"/>
      <c r="EZ18" s="180">
        <f t="shared" si="41"/>
        <v>0</v>
      </c>
      <c r="FA18" s="180">
        <f t="shared" si="35"/>
        <v>0</v>
      </c>
      <c r="FB18" s="180">
        <f t="shared" si="42"/>
        <v>0</v>
      </c>
      <c r="FC18" s="179">
        <f t="shared" si="48"/>
        <v>-5.3255328561799049E-18</v>
      </c>
      <c r="FD18" s="179">
        <f t="shared" si="49"/>
        <v>1.4780707432445267E-17</v>
      </c>
      <c r="FE18" s="179">
        <f t="shared" si="36"/>
        <v>-0.60386324796916402</v>
      </c>
    </row>
    <row r="19" spans="1:161" x14ac:dyDescent="0.35">
      <c r="A19" s="197" t="s">
        <v>186</v>
      </c>
      <c r="B19" s="197" t="s">
        <v>189</v>
      </c>
      <c r="C19" s="175">
        <f t="shared" si="0"/>
        <v>56</v>
      </c>
      <c r="D19" s="175">
        <v>57</v>
      </c>
      <c r="E19" s="175">
        <v>56</v>
      </c>
      <c r="F19" s="175">
        <v>0</v>
      </c>
      <c r="G19" s="175">
        <v>0</v>
      </c>
      <c r="H19" s="179">
        <v>-0.96599999999999997</v>
      </c>
      <c r="I19" s="179">
        <v>-1.3050492495256645</v>
      </c>
      <c r="J19" s="179">
        <f>(0.6*DY19)+(0.4*ET19)</f>
        <v>-1.0763620543019905</v>
      </c>
      <c r="K19" s="185"/>
      <c r="L19" s="191"/>
      <c r="M19" s="191"/>
      <c r="N19" s="185"/>
      <c r="O19" s="185"/>
      <c r="P19" s="191"/>
      <c r="Q19" s="191"/>
      <c r="R19" s="194">
        <v>41</v>
      </c>
      <c r="S19" s="185"/>
      <c r="T19" s="198"/>
      <c r="U19" s="198"/>
      <c r="V19" s="198"/>
      <c r="W19" s="185"/>
      <c r="X19" s="185"/>
      <c r="Y19" s="185"/>
      <c r="Z19" s="185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 t="s">
        <v>556</v>
      </c>
      <c r="AY19" s="309"/>
      <c r="AZ19" s="180"/>
      <c r="BA19" s="180"/>
      <c r="BB19" s="180">
        <v>13</v>
      </c>
      <c r="BC19" s="180">
        <v>11</v>
      </c>
      <c r="BD19" s="180">
        <f>BB19-BC19</f>
        <v>2</v>
      </c>
      <c r="BE19" s="180">
        <v>38</v>
      </c>
      <c r="BF19" s="180">
        <v>13</v>
      </c>
      <c r="BG19" s="180">
        <v>14</v>
      </c>
      <c r="BH19" s="180">
        <v>12</v>
      </c>
      <c r="BI19" s="180"/>
      <c r="BJ19" s="180"/>
      <c r="BK19" s="180"/>
      <c r="BL19" s="180"/>
      <c r="BM19" s="179"/>
      <c r="BN19" s="179"/>
      <c r="BQ19" s="175">
        <v>10</v>
      </c>
      <c r="BR19" s="175">
        <f t="shared" si="12"/>
        <v>22</v>
      </c>
      <c r="BS19" s="180">
        <f t="shared" si="50"/>
        <v>0</v>
      </c>
      <c r="BT19" s="194">
        <f t="shared" si="51"/>
        <v>81.879701999999995</v>
      </c>
      <c r="BU19" s="194">
        <f t="shared" si="52"/>
        <v>47.283021899999994</v>
      </c>
      <c r="BV19" s="194">
        <f t="shared" si="16"/>
        <v>22</v>
      </c>
      <c r="BW19" s="194">
        <f t="shared" si="17"/>
        <v>-35.283021899999994</v>
      </c>
      <c r="BX19" s="194">
        <f t="shared" si="18"/>
        <v>-67.879701999999995</v>
      </c>
      <c r="BY19" s="194">
        <f>D19*BF$56</f>
        <v>55.834355828220865</v>
      </c>
      <c r="BZ19" s="175">
        <v>55</v>
      </c>
      <c r="CA19" s="194">
        <f>BF19-BY19</f>
        <v>-42.834355828220865</v>
      </c>
      <c r="CB19" s="175">
        <f>BF19-BZ19</f>
        <v>-42</v>
      </c>
      <c r="CC19" s="179">
        <f t="shared" si="53"/>
        <v>-2.2897081034802671</v>
      </c>
      <c r="CD19" s="179">
        <f t="shared" ref="CD19:CE21" si="59">(CA19-CA$53)/CA$54</f>
        <v>-1.9770276315363795</v>
      </c>
      <c r="CE19" s="179">
        <f t="shared" si="59"/>
        <v>-1.9205102771165103</v>
      </c>
      <c r="CF19" s="194">
        <v>39.342708000000002</v>
      </c>
      <c r="CG19" s="175">
        <f>BB19-BE19</f>
        <v>-25</v>
      </c>
      <c r="CH19" s="194">
        <f>BC19-CF19</f>
        <v>-28.342708000000002</v>
      </c>
      <c r="CI19" s="179">
        <v>-1.1399999999999999</v>
      </c>
      <c r="CJ19" s="179">
        <f>(CH19-CH$54)/CH$55</f>
        <v>-1.3910750410635859</v>
      </c>
      <c r="CK19" s="175">
        <v>2</v>
      </c>
      <c r="CL19" s="179">
        <f t="shared" si="54"/>
        <v>-0.42570733681937473</v>
      </c>
      <c r="CM19" s="179">
        <f t="shared" si="55"/>
        <v>-1.6908649296752338</v>
      </c>
      <c r="CN19" s="175">
        <v>5</v>
      </c>
      <c r="CO19" s="175">
        <v>15</v>
      </c>
      <c r="CP19" s="194">
        <v>16</v>
      </c>
      <c r="CQ19" s="194">
        <f t="shared" si="37"/>
        <v>41</v>
      </c>
      <c r="CR19" s="194">
        <f t="shared" si="22"/>
        <v>138.60043336944744</v>
      </c>
      <c r="CS19" s="194">
        <f t="shared" si="38"/>
        <v>-97.600433369447444</v>
      </c>
      <c r="CT19" s="179">
        <f>(CS19-CS$56)/CS$57</f>
        <v>-1.428762192252977</v>
      </c>
      <c r="CU19" s="194">
        <v>3</v>
      </c>
      <c r="CV19" s="175">
        <f>CN19+CU19</f>
        <v>8</v>
      </c>
      <c r="CW19" s="180">
        <f>D19*CU$57</f>
        <v>0</v>
      </c>
      <c r="CX19" s="194">
        <f>D19*CN$57</f>
        <v>31.4831121</v>
      </c>
      <c r="CY19" s="175">
        <v>6</v>
      </c>
      <c r="CZ19" s="194">
        <f>D19*CY$57</f>
        <v>40.364521500000002</v>
      </c>
      <c r="DA19" s="194">
        <f t="shared" si="23"/>
        <v>-34.364521500000002</v>
      </c>
      <c r="DB19" s="194">
        <f>D19*CN$56</f>
        <v>19.874233128834355</v>
      </c>
      <c r="DC19" s="194">
        <f>CN19-DB19</f>
        <v>-14.874233128834355</v>
      </c>
      <c r="DD19" s="179">
        <f>(DA19-DA$53)/DA$54</f>
        <v>-1.4258169564381162</v>
      </c>
      <c r="DE19" s="179">
        <f>(DC19-DC$53)/DC$54</f>
        <v>-1.3924697224319338</v>
      </c>
      <c r="DF19" s="180">
        <f t="shared" si="24"/>
        <v>8</v>
      </c>
      <c r="DG19" s="194">
        <f>CN19-CX19</f>
        <v>-26.4831121</v>
      </c>
      <c r="DH19" s="179">
        <f t="shared" si="56"/>
        <v>-0.4787964459276518</v>
      </c>
      <c r="DI19" s="179">
        <f t="shared" si="56"/>
        <v>-1.078176598235097</v>
      </c>
      <c r="DJ19" s="194">
        <v>0</v>
      </c>
      <c r="DK19" s="194">
        <v>6</v>
      </c>
      <c r="DL19" s="194">
        <f t="shared" si="39"/>
        <v>9</v>
      </c>
      <c r="DM19" s="194">
        <f t="shared" si="25"/>
        <v>27.7036511375948</v>
      </c>
      <c r="DN19" s="194">
        <f t="shared" si="40"/>
        <v>-18.7036511375948</v>
      </c>
      <c r="DO19" s="179">
        <f>(DN19-DM$57)/DM$58</f>
        <v>-1.1294353482137578</v>
      </c>
      <c r="DP19" s="179">
        <f>(0.6*CT19)+(0.4*DO19)</f>
        <v>-1.3090314546372892</v>
      </c>
      <c r="DQ19" s="179">
        <f t="shared" si="57"/>
        <v>-0.44694298046268555</v>
      </c>
      <c r="DR19" s="179">
        <f t="shared" si="57"/>
        <v>-1.4457895970991792</v>
      </c>
      <c r="DS19" s="179">
        <f>(0.6*CC19)+(0.4*DD19)</f>
        <v>-1.9441516446634066</v>
      </c>
      <c r="DT19" s="179">
        <f>(0.6*CD19)+(0.4*DE19)</f>
        <v>-1.7432044678946013</v>
      </c>
      <c r="DU19" s="175">
        <v>18</v>
      </c>
      <c r="DV19" s="175">
        <f>CK19-DU19</f>
        <v>-16</v>
      </c>
      <c r="DW19" s="179">
        <v>-1.506</v>
      </c>
      <c r="DX19" s="179">
        <v>-1.286</v>
      </c>
      <c r="DY19" s="179">
        <f>(0.6*CJ19)+(0.4*DW19)</f>
        <v>-1.4370450246381514</v>
      </c>
      <c r="DZ19" s="180">
        <v>0</v>
      </c>
      <c r="EA19" s="180">
        <v>0</v>
      </c>
      <c r="EB19" s="175">
        <v>28878</v>
      </c>
      <c r="EC19" s="180">
        <v>0</v>
      </c>
      <c r="ED19" s="180">
        <v>0</v>
      </c>
      <c r="EE19" s="180">
        <v>0</v>
      </c>
      <c r="EF19" s="180">
        <f t="shared" si="26"/>
        <v>0</v>
      </c>
      <c r="EG19" s="180">
        <f>D19*EE$56</f>
        <v>0</v>
      </c>
      <c r="EH19" s="180">
        <f>D19*EC$55</f>
        <v>16802.585889570553</v>
      </c>
      <c r="EI19" s="180">
        <f>D19*ED$56</f>
        <v>37620</v>
      </c>
      <c r="EJ19" s="180">
        <f t="shared" si="29"/>
        <v>-37620</v>
      </c>
      <c r="EK19" s="180">
        <f t="shared" si="30"/>
        <v>0</v>
      </c>
      <c r="EL19" s="180">
        <f>EC19-EH19</f>
        <v>-16802.585889570553</v>
      </c>
      <c r="EM19" s="195">
        <f t="shared" si="58"/>
        <v>-0.56315827573422061</v>
      </c>
      <c r="EN19" s="195">
        <f t="shared" si="58"/>
        <v>-0.38750034260363891</v>
      </c>
      <c r="EO19" s="195">
        <f>(EL19-EL$53)/EL$54</f>
        <v>-0.56171363330956614</v>
      </c>
      <c r="EP19" s="180">
        <v>31019.869699999999</v>
      </c>
      <c r="EQ19" s="175">
        <f>DZ19-EB19</f>
        <v>-28878</v>
      </c>
      <c r="ER19" s="180">
        <f>EA19-EP19</f>
        <v>-31019.869699999999</v>
      </c>
      <c r="ES19" s="179">
        <v>-0.48699999999999999</v>
      </c>
      <c r="ET19" s="179">
        <f>(ER19-ER$54)/ER$55</f>
        <v>-0.53533759879774911</v>
      </c>
      <c r="EU19" s="179">
        <f>(0.6*DT19)+(0.4*EO19)</f>
        <v>-1.2706081340605873</v>
      </c>
      <c r="EV19" s="179">
        <f t="shared" si="33"/>
        <v>-1.3917542970917323</v>
      </c>
      <c r="EW19" s="179">
        <f t="shared" si="34"/>
        <v>-1.0921592115833338</v>
      </c>
      <c r="EX19" s="180">
        <v>1758</v>
      </c>
      <c r="EY19" s="180">
        <v>0</v>
      </c>
      <c r="EZ19" s="180">
        <f t="shared" si="41"/>
        <v>1758</v>
      </c>
      <c r="FA19" s="180">
        <f t="shared" si="35"/>
        <v>59708.39328277357</v>
      </c>
      <c r="FB19" s="180">
        <f t="shared" si="42"/>
        <v>-57950.39328277357</v>
      </c>
      <c r="FC19" s="179">
        <f>(FB19-FB$56)/FB$57</f>
        <v>-0.52595789774723167</v>
      </c>
      <c r="FD19" s="179">
        <f>(0.6*DP19)+(0.4*FC19)</f>
        <v>-0.99580203188126626</v>
      </c>
      <c r="FE19" s="179">
        <f t="shared" si="36"/>
        <v>-0.42316592531906694</v>
      </c>
    </row>
    <row r="20" spans="1:161" hidden="1" x14ac:dyDescent="0.35">
      <c r="A20" s="197"/>
      <c r="B20" s="197"/>
      <c r="H20" s="179"/>
      <c r="I20" s="179"/>
      <c r="J20" s="179"/>
      <c r="K20" s="185"/>
      <c r="L20" s="191"/>
      <c r="M20" s="191"/>
      <c r="N20" s="185"/>
      <c r="O20" s="185"/>
      <c r="P20" s="191"/>
      <c r="Q20" s="191"/>
      <c r="R20" s="194"/>
      <c r="S20" s="185"/>
      <c r="T20" s="198"/>
      <c r="U20" s="198"/>
      <c r="V20" s="198"/>
      <c r="W20" s="185"/>
      <c r="X20" s="185"/>
      <c r="Y20" s="185"/>
      <c r="Z20" s="185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>
        <v>0</v>
      </c>
      <c r="BG20" s="180">
        <v>0</v>
      </c>
      <c r="BH20" s="180">
        <v>0</v>
      </c>
      <c r="BI20" s="180"/>
      <c r="BJ20" s="180"/>
      <c r="BK20" s="180"/>
      <c r="BL20" s="180"/>
      <c r="BM20" s="179"/>
      <c r="BN20" s="179"/>
      <c r="BR20" s="175">
        <f t="shared" si="12"/>
        <v>0</v>
      </c>
      <c r="BS20" s="180">
        <f t="shared" si="50"/>
        <v>0</v>
      </c>
      <c r="BT20" s="194">
        <f t="shared" si="51"/>
        <v>0</v>
      </c>
      <c r="BU20" s="194">
        <f t="shared" si="52"/>
        <v>0</v>
      </c>
      <c r="BV20" s="194">
        <f t="shared" si="16"/>
        <v>0</v>
      </c>
      <c r="BW20" s="194">
        <f t="shared" si="17"/>
        <v>0</v>
      </c>
      <c r="BX20" s="194">
        <f t="shared" si="18"/>
        <v>0</v>
      </c>
      <c r="BY20" s="194">
        <f>D20*BF$56</f>
        <v>0</v>
      </c>
      <c r="BZ20" s="175">
        <v>9</v>
      </c>
      <c r="CA20" s="194">
        <f>BF20-BY20</f>
        <v>0</v>
      </c>
      <c r="CB20" s="175">
        <f>BF20-BZ20</f>
        <v>-9</v>
      </c>
      <c r="CC20" s="179">
        <f t="shared" si="53"/>
        <v>8.1184352099831561E-3</v>
      </c>
      <c r="CD20" s="179">
        <f t="shared" si="59"/>
        <v>1.8862809050920039E-3</v>
      </c>
      <c r="CE20" s="179">
        <f t="shared" si="59"/>
        <v>-0.39399172628552998</v>
      </c>
      <c r="CF20" s="194"/>
      <c r="CH20" s="194"/>
      <c r="CL20" s="179">
        <f t="shared" si="54"/>
        <v>-0.59556429797682386</v>
      </c>
      <c r="CM20" s="179">
        <f t="shared" si="55"/>
        <v>-7.3030674825130065E-2</v>
      </c>
      <c r="CN20" s="175">
        <v>0</v>
      </c>
      <c r="CP20" s="194"/>
      <c r="CQ20" s="194">
        <f t="shared" si="37"/>
        <v>0</v>
      </c>
      <c r="CR20" s="194">
        <f t="shared" si="22"/>
        <v>0</v>
      </c>
      <c r="CS20" s="194">
        <f t="shared" si="38"/>
        <v>0</v>
      </c>
      <c r="CT20" s="179">
        <f t="shared" si="43"/>
        <v>4.6974779374770076E-17</v>
      </c>
      <c r="CU20" s="194"/>
      <c r="CW20" s="180"/>
      <c r="CX20" s="194"/>
      <c r="CZ20" s="194"/>
      <c r="DA20" s="194"/>
      <c r="DB20" s="194"/>
      <c r="DC20" s="194"/>
      <c r="DD20" s="179"/>
      <c r="DE20" s="179"/>
      <c r="DF20" s="180"/>
      <c r="DG20" s="194"/>
      <c r="DH20" s="179"/>
      <c r="DI20" s="179"/>
      <c r="DJ20" s="194"/>
      <c r="DK20" s="194"/>
      <c r="DL20" s="194">
        <f t="shared" si="39"/>
        <v>0</v>
      </c>
      <c r="DM20" s="194">
        <f t="shared" si="25"/>
        <v>0</v>
      </c>
      <c r="DN20" s="194">
        <f t="shared" si="40"/>
        <v>0</v>
      </c>
      <c r="DO20" s="179">
        <f t="shared" si="44"/>
        <v>0</v>
      </c>
      <c r="DP20" s="179">
        <f t="shared" si="45"/>
        <v>2.8184867624862046E-17</v>
      </c>
      <c r="DQ20" s="179"/>
      <c r="DR20" s="179"/>
      <c r="DS20" s="179"/>
      <c r="DT20" s="179"/>
      <c r="DX20" s="179"/>
      <c r="DY20" s="179"/>
      <c r="DZ20" s="180"/>
      <c r="EA20" s="180"/>
      <c r="EM20" s="195"/>
      <c r="EN20" s="195"/>
      <c r="EO20" s="195"/>
      <c r="EP20" s="180"/>
      <c r="ER20" s="180"/>
      <c r="ES20" s="179"/>
      <c r="ET20" s="179"/>
      <c r="EU20" s="179"/>
      <c r="EV20" s="179"/>
      <c r="EW20" s="179"/>
      <c r="EX20" s="180"/>
      <c r="EY20" s="180"/>
      <c r="EZ20" s="180">
        <f t="shared" si="41"/>
        <v>0</v>
      </c>
      <c r="FA20" s="180">
        <f t="shared" si="35"/>
        <v>0</v>
      </c>
      <c r="FB20" s="180">
        <f t="shared" si="42"/>
        <v>0</v>
      </c>
      <c r="FC20" s="179">
        <f t="shared" si="48"/>
        <v>-5.3255328561799049E-18</v>
      </c>
      <c r="FD20" s="179">
        <f t="shared" si="49"/>
        <v>1.4780707432445267E-17</v>
      </c>
      <c r="FE20" s="179"/>
    </row>
    <row r="21" spans="1:161" x14ac:dyDescent="0.35">
      <c r="A21" s="197" t="s">
        <v>195</v>
      </c>
      <c r="B21" s="197" t="s">
        <v>196</v>
      </c>
      <c r="C21" s="199">
        <f t="shared" si="0"/>
        <v>1</v>
      </c>
      <c r="D21" s="175">
        <v>9</v>
      </c>
      <c r="E21" s="175">
        <v>0</v>
      </c>
      <c r="F21" s="175">
        <v>0</v>
      </c>
      <c r="G21" s="199">
        <v>1</v>
      </c>
      <c r="H21" s="179"/>
      <c r="I21" s="179"/>
      <c r="J21" s="179"/>
      <c r="K21" s="185"/>
      <c r="L21" s="191"/>
      <c r="M21" s="191"/>
      <c r="N21" s="185"/>
      <c r="O21" s="185"/>
      <c r="P21" s="191"/>
      <c r="Q21" s="191"/>
      <c r="R21" s="194">
        <v>8</v>
      </c>
      <c r="S21" s="185"/>
      <c r="T21" s="198"/>
      <c r="U21" s="198"/>
      <c r="V21" s="198"/>
      <c r="W21" s="185"/>
      <c r="X21" s="185"/>
      <c r="Y21" s="185"/>
      <c r="Z21" s="185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 t="s">
        <v>402</v>
      </c>
      <c r="AY21" s="180" t="s">
        <v>404</v>
      </c>
      <c r="AZ21" s="180"/>
      <c r="BA21" s="180"/>
      <c r="BB21" s="180"/>
      <c r="BC21" s="180"/>
      <c r="BD21" s="180"/>
      <c r="BE21" s="180"/>
      <c r="BF21" s="180">
        <v>2</v>
      </c>
      <c r="BG21" s="180">
        <v>25</v>
      </c>
      <c r="BH21" s="180">
        <v>2</v>
      </c>
      <c r="BI21" s="180"/>
      <c r="BJ21" s="180"/>
      <c r="BK21" s="180"/>
      <c r="BL21" s="180"/>
      <c r="BM21" s="179"/>
      <c r="BN21" s="179"/>
      <c r="BQ21" s="175">
        <v>0</v>
      </c>
      <c r="BR21" s="175">
        <f t="shared" si="12"/>
        <v>2</v>
      </c>
      <c r="BS21" s="180">
        <f t="shared" si="50"/>
        <v>0</v>
      </c>
      <c r="BT21" s="194">
        <f t="shared" si="51"/>
        <v>12.928374</v>
      </c>
      <c r="BU21" s="194">
        <f t="shared" si="52"/>
        <v>7.4657402999999993</v>
      </c>
      <c r="BV21" s="194">
        <f t="shared" si="16"/>
        <v>2</v>
      </c>
      <c r="BW21" s="194">
        <f t="shared" si="17"/>
        <v>-5.4657402999999993</v>
      </c>
      <c r="BX21" s="194">
        <f t="shared" si="18"/>
        <v>12.071626</v>
      </c>
      <c r="BY21" s="194">
        <f>D21*BF$56</f>
        <v>8.8159509202453989</v>
      </c>
      <c r="BZ21" s="175">
        <v>9</v>
      </c>
      <c r="CA21" s="194">
        <f>BF21-BY21</f>
        <v>-6.8159509202453989</v>
      </c>
      <c r="CB21" s="175">
        <f>BF21-BZ21</f>
        <v>-7</v>
      </c>
      <c r="CC21" s="189">
        <f t="shared" si="53"/>
        <v>0.41676051481049814</v>
      </c>
      <c r="CD21" s="179">
        <f t="shared" si="59"/>
        <v>-0.31300534853095419</v>
      </c>
      <c r="CE21" s="179">
        <f t="shared" si="59"/>
        <v>-0.30147545047759178</v>
      </c>
      <c r="CL21" s="179">
        <f t="shared" si="54"/>
        <v>-0.58012275605341934</v>
      </c>
      <c r="CM21" s="179">
        <f t="shared" si="55"/>
        <v>-0.32365155164562381</v>
      </c>
      <c r="CN21" s="175">
        <v>1</v>
      </c>
      <c r="CO21" s="175">
        <v>2</v>
      </c>
      <c r="CP21" s="194">
        <v>1.5</v>
      </c>
      <c r="CQ21" s="194">
        <f t="shared" si="37"/>
        <v>3.5</v>
      </c>
      <c r="CR21" s="194">
        <f t="shared" si="22"/>
        <v>27.043986998916576</v>
      </c>
      <c r="CS21" s="194">
        <f t="shared" si="38"/>
        <v>-23.543986998916576</v>
      </c>
      <c r="CT21" s="179">
        <f>(CS21-CS$56)/CS$57</f>
        <v>-0.34465788027410343</v>
      </c>
      <c r="CU21" s="194">
        <v>0</v>
      </c>
      <c r="CV21" s="175">
        <f t="shared" ref="CV21:CV32" si="60">CN21+CU21</f>
        <v>1</v>
      </c>
      <c r="CW21" s="180">
        <f t="shared" ref="CW21:CW52" si="61">D21*CU$57</f>
        <v>0</v>
      </c>
      <c r="CX21" s="194">
        <f t="shared" ref="CX21:CX52" si="62">D21*CN$57</f>
        <v>4.9710177</v>
      </c>
      <c r="CY21" s="175">
        <v>1</v>
      </c>
      <c r="CZ21" s="194">
        <f t="shared" ref="CZ21:CZ52" si="63">D21*CY$57</f>
        <v>6.3733455000000001</v>
      </c>
      <c r="DA21" s="194">
        <f t="shared" si="23"/>
        <v>-5.3733455000000001</v>
      </c>
      <c r="DB21" s="194">
        <f>D21*CN$56</f>
        <v>3.1380368098159508</v>
      </c>
      <c r="DC21" s="194">
        <f>CN21-DB21</f>
        <v>-2.1380368098159508</v>
      </c>
      <c r="DD21" s="179">
        <f t="shared" ref="DD21:DD52" si="64">(DA21-DA$53)/DA$54</f>
        <v>3.6068245437889002E-2</v>
      </c>
      <c r="DE21" s="179">
        <f>(DC21-DC$53)/DC$54</f>
        <v>-0.20015495907095437</v>
      </c>
      <c r="DF21" s="180">
        <f t="shared" si="24"/>
        <v>1</v>
      </c>
      <c r="DG21" s="194">
        <f t="shared" ref="DG21:DG52" si="65">CN21-CX21</f>
        <v>-3.9710177</v>
      </c>
      <c r="DH21" s="179">
        <f t="shared" ref="DH21:DH32" si="66">(DF21-DF$53)/DF$54</f>
        <v>-0.91465150657031236</v>
      </c>
      <c r="DI21" s="179">
        <f t="shared" ref="DI21:DI32" si="67">(DG21-DG$53)/DG$54</f>
        <v>0.15926329051696142</v>
      </c>
      <c r="DJ21" s="194">
        <v>0</v>
      </c>
      <c r="DK21" s="194">
        <v>1</v>
      </c>
      <c r="DL21" s="194">
        <f t="shared" si="39"/>
        <v>1</v>
      </c>
      <c r="DM21" s="194">
        <f t="shared" si="25"/>
        <v>5.4055904658721561</v>
      </c>
      <c r="DN21" s="194">
        <f t="shared" si="40"/>
        <v>-4.4055904658721561</v>
      </c>
      <c r="DO21" s="179">
        <f>(DN21-DM$57)/DM$58</f>
        <v>-0.26603520164616362</v>
      </c>
      <c r="DP21" s="179">
        <f>(0.6*CT21)+(0.4*DO21)</f>
        <v>-0.31320880882292751</v>
      </c>
      <c r="DQ21" s="179">
        <f t="shared" ref="DQ21:DQ32" si="68">(0.6*CL21)+(0.4*DH21)</f>
        <v>-0.71393425626017659</v>
      </c>
      <c r="DR21" s="179">
        <f t="shared" ref="DR21:DR32" si="69">(0.6*CM21)+(0.4*DI21)</f>
        <v>-0.1304856147805897</v>
      </c>
      <c r="DS21" s="179">
        <f>(0.6*CC21)+(0.4*DD21)</f>
        <v>0.26448360706145446</v>
      </c>
      <c r="DT21" s="179">
        <f>(0.6*CD21)+(0.4*DE21)</f>
        <v>-0.26786519274695425</v>
      </c>
      <c r="DZ21" s="180"/>
      <c r="EA21" s="180">
        <v>0</v>
      </c>
      <c r="EC21" s="180">
        <v>0</v>
      </c>
      <c r="ED21" s="180">
        <v>0</v>
      </c>
      <c r="EE21" s="180">
        <v>0</v>
      </c>
      <c r="EF21" s="180">
        <f t="shared" si="26"/>
        <v>0</v>
      </c>
      <c r="EG21" s="180">
        <f t="shared" ref="EG21:EG52" si="70">D21*EE$56</f>
        <v>0</v>
      </c>
      <c r="EH21" s="180">
        <f>D21*EC$55</f>
        <v>2653.0398773006136</v>
      </c>
      <c r="EI21" s="180">
        <f t="shared" ref="EI21:EI52" si="71">D21*ED$56</f>
        <v>5940</v>
      </c>
      <c r="EJ21" s="180">
        <f t="shared" si="29"/>
        <v>-5940</v>
      </c>
      <c r="EK21" s="180">
        <f t="shared" si="30"/>
        <v>0</v>
      </c>
      <c r="EL21" s="180">
        <f>EC21-EH21</f>
        <v>-2653.0398773006136</v>
      </c>
      <c r="EM21" s="195">
        <f>(EJ21-EJ$53)/EJ$54</f>
        <v>-0.17596985602377405</v>
      </c>
      <c r="EN21" s="195">
        <f>(EK21-EK$53)/EK$54</f>
        <v>-0.38750034260363891</v>
      </c>
      <c r="EO21" s="195">
        <f>(EL21-EL$53)/EL$54</f>
        <v>-9.1344086164359323E-2</v>
      </c>
      <c r="ET21" s="179"/>
      <c r="EU21" s="179">
        <f>(0.6*DT21)+(0.4*EO21)</f>
        <v>-0.19725675011391627</v>
      </c>
      <c r="EV21" s="179">
        <f t="shared" si="33"/>
        <v>8.8302221827363067E-2</v>
      </c>
      <c r="EW21" s="179">
        <f t="shared" si="34"/>
        <v>-0.11482900333409754</v>
      </c>
      <c r="EX21" s="180">
        <v>0</v>
      </c>
      <c r="EY21" s="180">
        <v>0</v>
      </c>
      <c r="EZ21" s="180">
        <f t="shared" si="41"/>
        <v>0</v>
      </c>
      <c r="FA21" s="180">
        <f t="shared" si="35"/>
        <v>11650.418201516793</v>
      </c>
      <c r="FB21" s="180">
        <f t="shared" si="42"/>
        <v>-11650.418201516793</v>
      </c>
      <c r="FC21" s="179">
        <f>(FB21-FB$56)/FB$57</f>
        <v>-0.10573922139312497</v>
      </c>
      <c r="FD21" s="179">
        <f>(0.6*DP21)+(0.4*FC21)</f>
        <v>-0.23022097385100648</v>
      </c>
      <c r="FE21" s="179">
        <f t="shared" ref="FE21:FE32" si="72">(0.6*DQ21)+(0.4*EN21)</f>
        <v>-0.58336069079756148</v>
      </c>
    </row>
    <row r="22" spans="1:161" hidden="1" x14ac:dyDescent="0.35">
      <c r="A22" s="188" t="s">
        <v>195</v>
      </c>
      <c r="B22" s="188" t="s">
        <v>38</v>
      </c>
      <c r="C22" s="199">
        <f t="shared" si="0"/>
        <v>13</v>
      </c>
      <c r="D22" s="199">
        <v>0</v>
      </c>
      <c r="E22" s="175">
        <v>0</v>
      </c>
      <c r="F22" s="175">
        <v>0</v>
      </c>
      <c r="G22" s="175">
        <v>13</v>
      </c>
      <c r="K22" s="198"/>
      <c r="L22" s="191"/>
      <c r="M22" s="191"/>
      <c r="N22" s="185"/>
      <c r="O22" s="185"/>
      <c r="P22" s="191"/>
      <c r="Q22" s="191"/>
      <c r="R22" s="194"/>
      <c r="S22" s="185"/>
      <c r="T22" s="198"/>
      <c r="U22" s="198"/>
      <c r="V22" s="198"/>
      <c r="W22" s="185"/>
      <c r="X22" s="185"/>
      <c r="Y22" s="185"/>
      <c r="Z22" s="185"/>
      <c r="AA22" s="180"/>
      <c r="AB22" s="180"/>
      <c r="AC22" s="180"/>
      <c r="AD22" s="180"/>
      <c r="AE22" s="180"/>
      <c r="AF22" s="180"/>
      <c r="AG22" s="180" t="e">
        <f>(0.6*AJ22)+(0.4*#REF!)</f>
        <v>#REF!</v>
      </c>
      <c r="AH22" s="180">
        <v>0.502</v>
      </c>
      <c r="AI22" s="180">
        <f>AH22/G22</f>
        <v>3.8615384615384614E-2</v>
      </c>
      <c r="AJ22" s="180">
        <f>AI22/AI54</f>
        <v>2.4888889581342551E-2</v>
      </c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  <c r="BG22" s="180"/>
      <c r="BH22" s="180"/>
      <c r="BI22" s="180"/>
      <c r="BJ22" s="180"/>
      <c r="BK22" s="180"/>
      <c r="BL22" s="180"/>
      <c r="BM22" s="179"/>
      <c r="BN22" s="179"/>
      <c r="BR22" s="175">
        <f t="shared" si="12"/>
        <v>0</v>
      </c>
      <c r="BS22" s="180">
        <f t="shared" si="50"/>
        <v>0</v>
      </c>
      <c r="BT22" s="194">
        <f t="shared" si="51"/>
        <v>0</v>
      </c>
      <c r="BU22" s="194">
        <f t="shared" si="52"/>
        <v>0</v>
      </c>
      <c r="BV22" s="194">
        <f t="shared" si="16"/>
        <v>0</v>
      </c>
      <c r="BW22" s="194">
        <f t="shared" si="17"/>
        <v>0</v>
      </c>
      <c r="BX22" s="194">
        <f t="shared" si="18"/>
        <v>0</v>
      </c>
      <c r="BY22" s="194"/>
      <c r="CC22" s="179">
        <f t="shared" si="53"/>
        <v>8.1184352099831561E-3</v>
      </c>
      <c r="CD22" s="179"/>
      <c r="CL22" s="179">
        <f t="shared" si="54"/>
        <v>-0.59556429797682386</v>
      </c>
      <c r="CM22" s="179">
        <f t="shared" si="55"/>
        <v>-7.3030674825130065E-2</v>
      </c>
      <c r="CP22" s="194"/>
      <c r="CQ22" s="194">
        <f t="shared" si="37"/>
        <v>0</v>
      </c>
      <c r="CR22" s="194">
        <f t="shared" si="22"/>
        <v>0</v>
      </c>
      <c r="CS22" s="194">
        <f t="shared" si="38"/>
        <v>0</v>
      </c>
      <c r="CT22" s="179">
        <f t="shared" si="43"/>
        <v>4.6974779374770076E-17</v>
      </c>
      <c r="CU22" s="194"/>
      <c r="CV22" s="175">
        <f t="shared" si="60"/>
        <v>0</v>
      </c>
      <c r="CW22" s="180">
        <f t="shared" si="61"/>
        <v>0</v>
      </c>
      <c r="CX22" s="194">
        <f t="shared" si="62"/>
        <v>0</v>
      </c>
      <c r="CZ22" s="194">
        <f t="shared" si="63"/>
        <v>0</v>
      </c>
      <c r="DA22" s="194">
        <f t="shared" si="23"/>
        <v>0</v>
      </c>
      <c r="DB22" s="194"/>
      <c r="DC22" s="194"/>
      <c r="DD22" s="179">
        <f t="shared" si="64"/>
        <v>0.30702014718264831</v>
      </c>
      <c r="DE22" s="179"/>
      <c r="DF22" s="180">
        <f t="shared" si="24"/>
        <v>0</v>
      </c>
      <c r="DG22" s="194">
        <f t="shared" si="65"/>
        <v>0</v>
      </c>
      <c r="DH22" s="179">
        <f t="shared" si="66"/>
        <v>-0.97691651523354961</v>
      </c>
      <c r="DI22" s="179">
        <f t="shared" si="67"/>
        <v>0.37754132425337183</v>
      </c>
      <c r="DJ22" s="194"/>
      <c r="DK22" s="194"/>
      <c r="DL22" s="194">
        <f t="shared" si="39"/>
        <v>0</v>
      </c>
      <c r="DM22" s="194">
        <f t="shared" si="25"/>
        <v>0</v>
      </c>
      <c r="DN22" s="194">
        <f t="shared" si="40"/>
        <v>0</v>
      </c>
      <c r="DO22" s="179">
        <f t="shared" si="44"/>
        <v>0</v>
      </c>
      <c r="DP22" s="179">
        <f t="shared" si="45"/>
        <v>2.8184867624862046E-17</v>
      </c>
      <c r="DQ22" s="179">
        <f t="shared" si="68"/>
        <v>-0.74810518487951416</v>
      </c>
      <c r="DR22" s="179">
        <f t="shared" si="69"/>
        <v>0.10719812480627069</v>
      </c>
      <c r="DS22" s="179">
        <f t="shared" ref="DS22:DS52" si="73">(0.6*CC22)+(0.4*DD22)</f>
        <v>0.12767911999904921</v>
      </c>
      <c r="DT22" s="179"/>
      <c r="DZ22" s="180"/>
      <c r="EA22" s="180">
        <v>0</v>
      </c>
      <c r="EF22" s="180">
        <f t="shared" si="26"/>
        <v>0</v>
      </c>
      <c r="EG22" s="180">
        <f t="shared" si="70"/>
        <v>0</v>
      </c>
      <c r="EI22" s="180">
        <f t="shared" si="71"/>
        <v>0</v>
      </c>
      <c r="EJ22" s="180">
        <f t="shared" si="29"/>
        <v>0</v>
      </c>
      <c r="EK22" s="180">
        <f t="shared" si="30"/>
        <v>0</v>
      </c>
      <c r="EM22" s="195">
        <f t="shared" ref="EM22:EM32" si="74">(EJ22-EJ$53)/EJ$54</f>
        <v>-0.10337202732806533</v>
      </c>
      <c r="EN22" s="195">
        <f t="shared" ref="EN22:EN32" si="75">(EK22-EK$53)/EK$54</f>
        <v>-0.38750034260363891</v>
      </c>
      <c r="EO22" s="195"/>
      <c r="ET22" s="179"/>
      <c r="EU22" s="179"/>
      <c r="EV22" s="179">
        <f t="shared" si="33"/>
        <v>3.5258661068203384E-2</v>
      </c>
      <c r="EW22" s="179">
        <f t="shared" si="34"/>
        <v>6.4318874883762409E-2</v>
      </c>
      <c r="EX22" s="180"/>
      <c r="EY22" s="180"/>
      <c r="EZ22" s="180">
        <f t="shared" si="41"/>
        <v>0</v>
      </c>
      <c r="FA22" s="180">
        <f t="shared" si="35"/>
        <v>0</v>
      </c>
      <c r="FB22" s="180">
        <f t="shared" si="42"/>
        <v>0</v>
      </c>
      <c r="FC22" s="179">
        <f t="shared" si="48"/>
        <v>-5.3255328561799049E-18</v>
      </c>
      <c r="FD22" s="179">
        <f t="shared" si="49"/>
        <v>1.4780707432445267E-17</v>
      </c>
      <c r="FE22" s="179">
        <f t="shared" si="72"/>
        <v>-0.60386324796916402</v>
      </c>
    </row>
    <row r="23" spans="1:161" hidden="1" x14ac:dyDescent="0.35">
      <c r="A23" s="188" t="s">
        <v>198</v>
      </c>
      <c r="B23" s="188" t="s">
        <v>199</v>
      </c>
      <c r="C23" s="199">
        <f t="shared" si="0"/>
        <v>118</v>
      </c>
      <c r="D23" s="199">
        <v>0</v>
      </c>
      <c r="E23" s="175">
        <v>0</v>
      </c>
      <c r="F23" s="175">
        <v>0</v>
      </c>
      <c r="G23" s="175">
        <v>118</v>
      </c>
      <c r="H23" s="179"/>
      <c r="I23" s="179"/>
      <c r="J23" s="179"/>
      <c r="K23" s="185"/>
      <c r="L23" s="191"/>
      <c r="M23" s="191"/>
      <c r="N23" s="185"/>
      <c r="O23" s="185"/>
      <c r="P23" s="191"/>
      <c r="Q23" s="191"/>
      <c r="R23" s="194"/>
      <c r="S23" s="185"/>
      <c r="T23" s="198"/>
      <c r="U23" s="198"/>
      <c r="V23" s="198"/>
      <c r="W23" s="185"/>
      <c r="X23" s="185"/>
      <c r="Y23" s="185"/>
      <c r="Z23" s="185"/>
      <c r="AA23" s="180"/>
      <c r="AB23" s="180"/>
      <c r="AC23" s="180"/>
      <c r="AD23" s="180"/>
      <c r="AE23" s="180"/>
      <c r="AF23" s="180"/>
      <c r="AG23" s="307" t="e">
        <f>(0.6*AJ23)+(0.4*#REF!)</f>
        <v>#REF!</v>
      </c>
      <c r="AH23" s="180">
        <v>23.234999999999999</v>
      </c>
      <c r="AI23" s="306">
        <f>AH23/G23</f>
        <v>0.19690677966101694</v>
      </c>
      <c r="AJ23" s="306">
        <f>AI23/AI54</f>
        <v>0.12691291684942305</v>
      </c>
      <c r="AK23" s="310" t="e">
        <f>AL23*#REF!</f>
        <v>#REF!</v>
      </c>
      <c r="AL23" s="180" t="e">
        <f>AM23*G23</f>
        <v>#REF!</v>
      </c>
      <c r="AM23" s="180" t="e">
        <f>AG23/BE2</f>
        <v>#REF!</v>
      </c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  <c r="BH23" s="180"/>
      <c r="BI23" s="180"/>
      <c r="BJ23" s="180"/>
      <c r="BK23" s="180"/>
      <c r="BL23" s="180"/>
      <c r="BM23" s="179"/>
      <c r="BN23" s="179"/>
      <c r="BR23" s="175">
        <f t="shared" si="12"/>
        <v>0</v>
      </c>
      <c r="BS23" s="180">
        <f t="shared" si="50"/>
        <v>0</v>
      </c>
      <c r="BT23" s="194">
        <f t="shared" si="51"/>
        <v>0</v>
      </c>
      <c r="BU23" s="194">
        <f t="shared" si="52"/>
        <v>0</v>
      </c>
      <c r="BV23" s="194">
        <f t="shared" si="16"/>
        <v>0</v>
      </c>
      <c r="BW23" s="194">
        <f t="shared" si="17"/>
        <v>0</v>
      </c>
      <c r="BX23" s="194">
        <f t="shared" si="18"/>
        <v>0</v>
      </c>
      <c r="BY23" s="194"/>
      <c r="CC23" s="179">
        <f t="shared" si="53"/>
        <v>8.1184352099831561E-3</v>
      </c>
      <c r="CD23" s="179"/>
      <c r="CL23" s="179">
        <f t="shared" si="54"/>
        <v>-0.59556429797682386</v>
      </c>
      <c r="CM23" s="179">
        <f t="shared" si="55"/>
        <v>-7.3030674825130065E-2</v>
      </c>
      <c r="CP23" s="194"/>
      <c r="CQ23" s="194">
        <f t="shared" si="37"/>
        <v>0</v>
      </c>
      <c r="CR23" s="194">
        <f t="shared" si="22"/>
        <v>0</v>
      </c>
      <c r="CS23" s="194">
        <f t="shared" si="38"/>
        <v>0</v>
      </c>
      <c r="CT23" s="179">
        <f t="shared" si="43"/>
        <v>4.6974779374770076E-17</v>
      </c>
      <c r="CU23" s="194"/>
      <c r="CV23" s="175">
        <f t="shared" si="60"/>
        <v>0</v>
      </c>
      <c r="CW23" s="180">
        <f t="shared" si="61"/>
        <v>0</v>
      </c>
      <c r="CX23" s="194">
        <f t="shared" si="62"/>
        <v>0</v>
      </c>
      <c r="CZ23" s="194">
        <f t="shared" si="63"/>
        <v>0</v>
      </c>
      <c r="DA23" s="194">
        <f t="shared" si="23"/>
        <v>0</v>
      </c>
      <c r="DB23" s="194"/>
      <c r="DC23" s="194"/>
      <c r="DD23" s="179">
        <f t="shared" si="64"/>
        <v>0.30702014718264831</v>
      </c>
      <c r="DE23" s="179"/>
      <c r="DF23" s="180">
        <f t="shared" si="24"/>
        <v>0</v>
      </c>
      <c r="DG23" s="194">
        <f t="shared" si="65"/>
        <v>0</v>
      </c>
      <c r="DH23" s="179">
        <f t="shared" si="66"/>
        <v>-0.97691651523354961</v>
      </c>
      <c r="DI23" s="179">
        <f t="shared" si="67"/>
        <v>0.37754132425337183</v>
      </c>
      <c r="DJ23" s="194"/>
      <c r="DK23" s="194"/>
      <c r="DL23" s="194">
        <f t="shared" si="39"/>
        <v>0</v>
      </c>
      <c r="DM23" s="194">
        <f t="shared" si="25"/>
        <v>0</v>
      </c>
      <c r="DN23" s="194">
        <f t="shared" si="40"/>
        <v>0</v>
      </c>
      <c r="DO23" s="179">
        <f t="shared" si="44"/>
        <v>0</v>
      </c>
      <c r="DP23" s="179">
        <f t="shared" si="45"/>
        <v>2.8184867624862046E-17</v>
      </c>
      <c r="DQ23" s="179">
        <f t="shared" si="68"/>
        <v>-0.74810518487951416</v>
      </c>
      <c r="DR23" s="179">
        <f t="shared" si="69"/>
        <v>0.10719812480627069</v>
      </c>
      <c r="DS23" s="179">
        <f t="shared" si="73"/>
        <v>0.12767911999904921</v>
      </c>
      <c r="DT23" s="179"/>
      <c r="DZ23" s="180"/>
      <c r="EA23" s="180">
        <v>0</v>
      </c>
      <c r="EF23" s="180">
        <f t="shared" si="26"/>
        <v>0</v>
      </c>
      <c r="EG23" s="180">
        <f t="shared" si="70"/>
        <v>0</v>
      </c>
      <c r="EI23" s="180">
        <f t="shared" si="71"/>
        <v>0</v>
      </c>
      <c r="EJ23" s="180">
        <f t="shared" si="29"/>
        <v>0</v>
      </c>
      <c r="EK23" s="180">
        <f t="shared" si="30"/>
        <v>0</v>
      </c>
      <c r="EM23" s="195">
        <f t="shared" si="74"/>
        <v>-0.10337202732806533</v>
      </c>
      <c r="EN23" s="195">
        <f t="shared" si="75"/>
        <v>-0.38750034260363891</v>
      </c>
      <c r="EO23" s="195"/>
      <c r="ET23" s="179"/>
      <c r="EU23" s="179"/>
      <c r="EV23" s="179">
        <f t="shared" si="33"/>
        <v>3.5258661068203384E-2</v>
      </c>
      <c r="EW23" s="179">
        <f t="shared" si="34"/>
        <v>6.4318874883762409E-2</v>
      </c>
      <c r="EX23" s="180"/>
      <c r="EY23" s="180"/>
      <c r="EZ23" s="180">
        <f t="shared" si="41"/>
        <v>0</v>
      </c>
      <c r="FA23" s="180">
        <f t="shared" si="35"/>
        <v>0</v>
      </c>
      <c r="FB23" s="180">
        <f t="shared" si="42"/>
        <v>0</v>
      </c>
      <c r="FC23" s="179">
        <f t="shared" si="48"/>
        <v>-5.3255328561799049E-18</v>
      </c>
      <c r="FD23" s="179">
        <f t="shared" si="49"/>
        <v>1.4780707432445267E-17</v>
      </c>
      <c r="FE23" s="179">
        <f t="shared" si="72"/>
        <v>-0.60386324796916402</v>
      </c>
    </row>
    <row r="24" spans="1:161" x14ac:dyDescent="0.35">
      <c r="A24" s="197" t="s">
        <v>200</v>
      </c>
      <c r="B24" s="197" t="s">
        <v>201</v>
      </c>
      <c r="C24" s="175">
        <v>8</v>
      </c>
      <c r="D24" s="175">
        <v>7</v>
      </c>
      <c r="E24" s="175">
        <v>8</v>
      </c>
      <c r="F24" s="175">
        <v>0</v>
      </c>
      <c r="G24" s="175">
        <v>47</v>
      </c>
      <c r="H24" s="179">
        <v>-0.19400000000000001</v>
      </c>
      <c r="I24" s="179">
        <v>-0.13514258263271497</v>
      </c>
      <c r="J24" s="179">
        <f>(0.6*DY24)+(0.4*ET24)</f>
        <v>-0.13899673926103973</v>
      </c>
      <c r="K24" s="185"/>
      <c r="L24" s="191"/>
      <c r="M24" s="191"/>
      <c r="N24" s="185"/>
      <c r="O24" s="185"/>
      <c r="P24" s="191"/>
      <c r="Q24" s="191"/>
      <c r="R24" s="180">
        <v>6</v>
      </c>
      <c r="S24" s="185"/>
      <c r="T24" s="198"/>
      <c r="U24" s="198"/>
      <c r="V24" s="198"/>
      <c r="W24" s="185"/>
      <c r="X24" s="185"/>
      <c r="Y24" s="185"/>
      <c r="Z24" s="185"/>
      <c r="AA24" s="180">
        <v>0</v>
      </c>
      <c r="AB24" s="180"/>
      <c r="AC24" s="180"/>
      <c r="AD24" s="180"/>
      <c r="AE24" s="180"/>
      <c r="AF24" s="180"/>
      <c r="AG24" s="307" t="e">
        <f>(0.6*AJ24)+(0.4*#REF!)</f>
        <v>#REF!</v>
      </c>
      <c r="AH24" s="180">
        <v>34.962000000000003</v>
      </c>
      <c r="AI24" s="306">
        <f>AH24/(G24+G25+G26)</f>
        <v>0.29135000000000005</v>
      </c>
      <c r="AJ24" s="306">
        <f>AI24/AI54</f>
        <v>0.18778468871277687</v>
      </c>
      <c r="AK24" s="310" t="e">
        <f>AL24*#REF!</f>
        <v>#REF!</v>
      </c>
      <c r="AL24" s="180" t="e">
        <f>AM24*(G24+G25+G26)</f>
        <v>#REF!</v>
      </c>
      <c r="AM24" s="180" t="e">
        <f>AG24/BE2</f>
        <v>#REF!</v>
      </c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311">
        <v>476551.57121766621</v>
      </c>
      <c r="AY24" s="312">
        <f>AX24/AB54</f>
        <v>2604.6926985321734</v>
      </c>
      <c r="AZ24" s="180"/>
      <c r="BA24" s="180"/>
      <c r="BB24" s="180">
        <v>0</v>
      </c>
      <c r="BC24" s="180">
        <v>1</v>
      </c>
      <c r="BD24" s="180">
        <f>BB24-BC24</f>
        <v>-1</v>
      </c>
      <c r="BE24" s="180">
        <v>5</v>
      </c>
      <c r="BF24" s="180">
        <v>0</v>
      </c>
      <c r="BG24" s="180">
        <v>1</v>
      </c>
      <c r="BH24" s="180">
        <v>0</v>
      </c>
      <c r="BI24" s="180">
        <v>0</v>
      </c>
      <c r="BJ24" s="307">
        <f>BM24*BP$4</f>
        <v>3498.6938455178347</v>
      </c>
      <c r="BK24" s="180">
        <f>AVERAGE(AA24,BI24,BJ24)</f>
        <v>1166.2312818392782</v>
      </c>
      <c r="BL24" s="307">
        <f>BK24-(BN24*BK$55)</f>
        <v>4997.1741372079478</v>
      </c>
      <c r="BM24" s="179">
        <f>R24*BN24</f>
        <v>0.35231411690200876</v>
      </c>
      <c r="BN24" s="179">
        <f>FD24/BP3</f>
        <v>5.8719019483668131E-2</v>
      </c>
      <c r="BQ24" s="175">
        <v>2</v>
      </c>
      <c r="BR24" s="175">
        <f t="shared" si="12"/>
        <v>2</v>
      </c>
      <c r="BS24" s="180">
        <f t="shared" si="50"/>
        <v>0</v>
      </c>
      <c r="BT24" s="194">
        <f t="shared" si="51"/>
        <v>10.055401999999999</v>
      </c>
      <c r="BU24" s="194">
        <f t="shared" si="52"/>
        <v>5.8066868999999999</v>
      </c>
      <c r="BV24" s="194">
        <f t="shared" si="16"/>
        <v>2</v>
      </c>
      <c r="BW24" s="194">
        <f t="shared" si="17"/>
        <v>-5.8066868999999999</v>
      </c>
      <c r="BX24" s="194">
        <f t="shared" si="18"/>
        <v>-9.0554019999999991</v>
      </c>
      <c r="BY24" s="194">
        <f>D24*BF$56</f>
        <v>6.8568507157464218</v>
      </c>
      <c r="BZ24" s="175">
        <v>7</v>
      </c>
      <c r="CA24" s="194">
        <f>BF24-BY24</f>
        <v>-6.8568507157464218</v>
      </c>
      <c r="CB24" s="175">
        <f>BF24-BZ24</f>
        <v>-7</v>
      </c>
      <c r="CC24" s="179">
        <f t="shared" si="53"/>
        <v>-0.29842007955999578</v>
      </c>
      <c r="CD24" s="179">
        <f>(CA24-CA$53)/CA$54</f>
        <v>-0.31489488726144355</v>
      </c>
      <c r="CE24" s="179">
        <f>(CB24-CB$53)/CB$54</f>
        <v>-0.30147545047759178</v>
      </c>
      <c r="CF24" s="194">
        <v>5.620387</v>
      </c>
      <c r="CG24" s="175">
        <f>BB24-BE24</f>
        <v>-5</v>
      </c>
      <c r="CH24" s="194">
        <f>BC24-CF24</f>
        <v>-4.620387</v>
      </c>
      <c r="CI24" s="179">
        <v>-0.36099999999999999</v>
      </c>
      <c r="CJ24" s="179">
        <f>(CH24-CH$54)/CH$55</f>
        <v>-0.35039586275410345</v>
      </c>
      <c r="CK24" s="175">
        <v>4</v>
      </c>
      <c r="CL24" s="179">
        <f t="shared" si="54"/>
        <v>-0.58012275605341934</v>
      </c>
      <c r="CM24" s="179">
        <f t="shared" si="55"/>
        <v>-0.33928499398846002</v>
      </c>
      <c r="CN24" s="175">
        <v>3</v>
      </c>
      <c r="CO24" s="175">
        <v>1</v>
      </c>
      <c r="CP24" s="194">
        <v>2</v>
      </c>
      <c r="CQ24" s="194">
        <f t="shared" si="37"/>
        <v>5</v>
      </c>
      <c r="CR24" s="194">
        <f t="shared" si="22"/>
        <v>20.282990249187431</v>
      </c>
      <c r="CS24" s="194">
        <f t="shared" si="38"/>
        <v>-15.282990249187431</v>
      </c>
      <c r="CT24" s="179">
        <f>(CS24-CS$56)/CS$57</f>
        <v>-0.22372604197314253</v>
      </c>
      <c r="CU24" s="194">
        <v>1</v>
      </c>
      <c r="CV24" s="175">
        <f t="shared" si="60"/>
        <v>4</v>
      </c>
      <c r="CW24" s="180">
        <f t="shared" si="61"/>
        <v>0</v>
      </c>
      <c r="CX24" s="194">
        <f t="shared" si="62"/>
        <v>3.8663470999999996</v>
      </c>
      <c r="CY24" s="175">
        <v>3</v>
      </c>
      <c r="CZ24" s="194">
        <f t="shared" si="63"/>
        <v>4.9570464999999997</v>
      </c>
      <c r="DA24" s="194">
        <f t="shared" si="23"/>
        <v>-1.9570464999999997</v>
      </c>
      <c r="DB24" s="194">
        <f>D24*CN$56</f>
        <v>2.4406952965235176</v>
      </c>
      <c r="DC24" s="194">
        <f>CN24-DB24</f>
        <v>0.55930470347648242</v>
      </c>
      <c r="DD24" s="179">
        <f t="shared" si="64"/>
        <v>0.20833572962976157</v>
      </c>
      <c r="DE24" s="179">
        <f>(DC24-DC$53)/DC$54</f>
        <v>5.2360001249073175E-2</v>
      </c>
      <c r="DF24" s="180">
        <f t="shared" si="24"/>
        <v>4</v>
      </c>
      <c r="DG24" s="194">
        <f t="shared" si="65"/>
        <v>-0.86634709999999959</v>
      </c>
      <c r="DH24" s="179">
        <f t="shared" si="66"/>
        <v>-0.72785648058060071</v>
      </c>
      <c r="DI24" s="179">
        <f t="shared" si="67"/>
        <v>0.32992014605483566</v>
      </c>
      <c r="DJ24" s="194">
        <v>2</v>
      </c>
      <c r="DK24" s="194">
        <v>2</v>
      </c>
      <c r="DL24" s="194">
        <f t="shared" si="39"/>
        <v>5</v>
      </c>
      <c r="DM24" s="194">
        <f t="shared" si="25"/>
        <v>4.0541928494041173</v>
      </c>
      <c r="DN24" s="194">
        <f t="shared" si="40"/>
        <v>0.94580715059588272</v>
      </c>
      <c r="DO24" s="179">
        <f>(DN24-DM$57)/DM$58</f>
        <v>5.7113342235578714E-2</v>
      </c>
      <c r="DP24" s="179">
        <f>(0.6*CT24)+(0.4*DO24)</f>
        <v>-0.11139028828965403</v>
      </c>
      <c r="DQ24" s="179">
        <f t="shared" si="68"/>
        <v>-0.63921624586429193</v>
      </c>
      <c r="DR24" s="179">
        <f t="shared" si="69"/>
        <v>-7.1602937971141728E-2</v>
      </c>
      <c r="DS24" s="179">
        <f t="shared" si="73"/>
        <v>-9.5717755884092814E-2</v>
      </c>
      <c r="DT24" s="179">
        <f>(0.6*CD24)+(0.4*DE24)</f>
        <v>-0.16799293185723685</v>
      </c>
      <c r="DU24" s="175">
        <v>3</v>
      </c>
      <c r="DV24" s="175">
        <f>CK24-DU24</f>
        <v>1</v>
      </c>
      <c r="DW24" s="179">
        <v>-0.26100000000000001</v>
      </c>
      <c r="DX24" s="179">
        <v>-0.32100000000000001</v>
      </c>
      <c r="DY24" s="179">
        <f>(0.6*CJ24)+(0.4*DW24)</f>
        <v>-0.31463751765246206</v>
      </c>
      <c r="DZ24" s="180">
        <v>0</v>
      </c>
      <c r="EA24" s="180">
        <v>9278</v>
      </c>
      <c r="EB24" s="175">
        <v>1011</v>
      </c>
      <c r="EC24" s="180">
        <v>0</v>
      </c>
      <c r="ED24" s="180">
        <v>9278</v>
      </c>
      <c r="EE24" s="180">
        <v>0</v>
      </c>
      <c r="EF24" s="180">
        <f t="shared" si="26"/>
        <v>0</v>
      </c>
      <c r="EG24" s="180">
        <f t="shared" si="70"/>
        <v>0</v>
      </c>
      <c r="EH24" s="180">
        <f>D24*EC$55</f>
        <v>2063.4754601226996</v>
      </c>
      <c r="EI24" s="180">
        <f t="shared" si="71"/>
        <v>4620</v>
      </c>
      <c r="EJ24" s="180">
        <f t="shared" si="29"/>
        <v>4658</v>
      </c>
      <c r="EK24" s="180">
        <f t="shared" si="30"/>
        <v>0</v>
      </c>
      <c r="EL24" s="180">
        <f>EC24-EH24</f>
        <v>-2063.4754601226996</v>
      </c>
      <c r="EM24" s="195">
        <f t="shared" si="74"/>
        <v>-4.6442618899679607E-2</v>
      </c>
      <c r="EN24" s="195">
        <f t="shared" si="75"/>
        <v>-0.38750034260363891</v>
      </c>
      <c r="EO24" s="195">
        <f>(EL24-EL$53)/EL$54</f>
        <v>-7.1745355033309033E-2</v>
      </c>
      <c r="EP24" s="180">
        <v>1088.2737999999999</v>
      </c>
      <c r="EQ24" s="175">
        <f>DZ24-EB24</f>
        <v>-1011</v>
      </c>
      <c r="ER24" s="180">
        <f>EA24-EP24</f>
        <v>8189.7262000000001</v>
      </c>
      <c r="ES24" s="179">
        <v>-4.0000000000000001E-3</v>
      </c>
      <c r="ET24" s="179">
        <f>(ER24-ER$54)/ER$55</f>
        <v>0.12446442832609379</v>
      </c>
      <c r="EU24" s="179">
        <f>(0.6*DT24)+(0.4*EO24)</f>
        <v>-0.12949390112766573</v>
      </c>
      <c r="EV24" s="179">
        <f t="shared" si="33"/>
        <v>-7.6007701090327534E-2</v>
      </c>
      <c r="EW24" s="179">
        <f t="shared" si="34"/>
        <v>-7.1659904796008644E-2</v>
      </c>
      <c r="EX24" s="180">
        <v>0</v>
      </c>
      <c r="EY24" s="180">
        <v>118575</v>
      </c>
      <c r="EZ24" s="180">
        <f t="shared" si="41"/>
        <v>118575</v>
      </c>
      <c r="FA24" s="180">
        <f t="shared" si="35"/>
        <v>8737.813651137596</v>
      </c>
      <c r="FB24" s="180">
        <f t="shared" si="42"/>
        <v>109837.18634886241</v>
      </c>
      <c r="FC24" s="189">
        <f>(FB24-FB$56)/FB$57</f>
        <v>0.99688254650191188</v>
      </c>
      <c r="FD24" s="189">
        <f>(0.6*DP24)+(0.4*FC24)</f>
        <v>0.33191884562697238</v>
      </c>
      <c r="FE24" s="179">
        <f t="shared" si="72"/>
        <v>-0.5385298845600307</v>
      </c>
    </row>
    <row r="25" spans="1:161" x14ac:dyDescent="0.35">
      <c r="A25" s="197" t="s">
        <v>200</v>
      </c>
      <c r="B25" s="197" t="s">
        <v>202</v>
      </c>
      <c r="C25" s="175">
        <v>5</v>
      </c>
      <c r="D25" s="175">
        <v>5</v>
      </c>
      <c r="E25" s="175">
        <v>5</v>
      </c>
      <c r="F25" s="175">
        <v>0</v>
      </c>
      <c r="G25" s="175">
        <v>37</v>
      </c>
      <c r="H25" s="179">
        <v>-0.13700000000000001</v>
      </c>
      <c r="I25" s="179">
        <v>-0.14332555986160858</v>
      </c>
      <c r="J25" s="179">
        <f>(0.6*DY25)+(0.4*ET25)</f>
        <v>-0.13902014391789405</v>
      </c>
      <c r="K25" s="185"/>
      <c r="L25" s="191"/>
      <c r="M25" s="191"/>
      <c r="N25" s="185"/>
      <c r="O25" s="185"/>
      <c r="P25" s="191"/>
      <c r="Q25" s="191"/>
      <c r="R25" s="180">
        <v>6</v>
      </c>
      <c r="S25" s="185"/>
      <c r="T25" s="198"/>
      <c r="U25" s="198"/>
      <c r="V25" s="198"/>
      <c r="W25" s="185"/>
      <c r="X25" s="185"/>
      <c r="Y25" s="185"/>
      <c r="Z25" s="185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>
        <v>0</v>
      </c>
      <c r="BC25" s="180">
        <v>1</v>
      </c>
      <c r="BD25" s="180">
        <f>BB25-BC25</f>
        <v>-1</v>
      </c>
      <c r="BE25" s="180">
        <v>3</v>
      </c>
      <c r="BF25" s="180">
        <v>0</v>
      </c>
      <c r="BG25" s="180">
        <v>0</v>
      </c>
      <c r="BH25" s="180">
        <v>0</v>
      </c>
      <c r="BI25" s="180"/>
      <c r="BJ25" s="180"/>
      <c r="BK25" s="180"/>
      <c r="BL25" s="180"/>
      <c r="BM25" s="179"/>
      <c r="BN25" s="179"/>
      <c r="BQ25" s="175">
        <v>2</v>
      </c>
      <c r="BR25" s="175">
        <f t="shared" si="12"/>
        <v>2</v>
      </c>
      <c r="BS25" s="180">
        <f t="shared" si="50"/>
        <v>0</v>
      </c>
      <c r="BT25" s="194">
        <f t="shared" si="51"/>
        <v>7.1824300000000001</v>
      </c>
      <c r="BU25" s="194">
        <f t="shared" si="52"/>
        <v>4.1476334999999995</v>
      </c>
      <c r="BV25" s="194">
        <f t="shared" si="16"/>
        <v>2</v>
      </c>
      <c r="BW25" s="194">
        <f t="shared" si="17"/>
        <v>-4.1476334999999995</v>
      </c>
      <c r="BX25" s="194">
        <f t="shared" si="18"/>
        <v>-7.1824300000000001</v>
      </c>
      <c r="BY25" s="194">
        <f>D25*BF$56</f>
        <v>4.8977505112474438</v>
      </c>
      <c r="BZ25" s="175">
        <v>5</v>
      </c>
      <c r="CA25" s="194">
        <f>BF25-BY25</f>
        <v>-4.8977505112474438</v>
      </c>
      <c r="CB25" s="175">
        <f>BF25-BZ25</f>
        <v>-5</v>
      </c>
      <c r="CC25" s="179">
        <f t="shared" si="53"/>
        <v>-0.23501725602043821</v>
      </c>
      <c r="CD25" s="179">
        <f>(CA25-CA$53)/CA$54</f>
        <v>-0.2243859820710048</v>
      </c>
      <c r="CE25" s="179">
        <f>(CB25-CB$53)/CB$54</f>
        <v>-0.20895917466965358</v>
      </c>
      <c r="CF25" s="194">
        <v>3.5127419999999998</v>
      </c>
      <c r="CG25" s="175">
        <f>BB25-BE25</f>
        <v>-3</v>
      </c>
      <c r="CH25" s="194">
        <f>BC25-CF25</f>
        <v>-2.5127419999999998</v>
      </c>
      <c r="CI25" s="179">
        <v>-0.28299999999999997</v>
      </c>
      <c r="CJ25" s="179">
        <f>(CH25-CH$54)/CH$55</f>
        <v>-0.25793516859318683</v>
      </c>
      <c r="CK25" s="175">
        <v>7</v>
      </c>
      <c r="CL25" s="179">
        <f t="shared" si="54"/>
        <v>-0.58012275605341934</v>
      </c>
      <c r="CM25" s="179">
        <f t="shared" si="55"/>
        <v>-0.2632123313703657</v>
      </c>
      <c r="CN25" s="175">
        <v>0</v>
      </c>
      <c r="CO25" s="175">
        <v>2</v>
      </c>
      <c r="CP25" s="194">
        <v>2</v>
      </c>
      <c r="CQ25" s="194">
        <f t="shared" si="37"/>
        <v>6</v>
      </c>
      <c r="CR25" s="194">
        <f t="shared" si="22"/>
        <v>20.282990249187431</v>
      </c>
      <c r="CS25" s="194">
        <f t="shared" si="38"/>
        <v>-14.282990249187431</v>
      </c>
      <c r="CT25" s="179">
        <f>(CS25-CS$56)/CS$57</f>
        <v>-0.20908715008580145</v>
      </c>
      <c r="CU25" s="194">
        <v>1</v>
      </c>
      <c r="CV25" s="175">
        <f t="shared" si="60"/>
        <v>1</v>
      </c>
      <c r="CW25" s="180">
        <f t="shared" si="61"/>
        <v>0</v>
      </c>
      <c r="CX25" s="194">
        <f t="shared" si="62"/>
        <v>2.7616765000000001</v>
      </c>
      <c r="CY25" s="175">
        <v>1</v>
      </c>
      <c r="CZ25" s="194">
        <f t="shared" si="63"/>
        <v>3.5407475000000002</v>
      </c>
      <c r="DA25" s="194">
        <f t="shared" si="23"/>
        <v>-2.5407475000000002</v>
      </c>
      <c r="DB25" s="194">
        <f>D25*CN$56</f>
        <v>1.7433537832310839</v>
      </c>
      <c r="DC25" s="194">
        <f>CN25-DB25</f>
        <v>-1.7433537832310839</v>
      </c>
      <c r="DD25" s="179">
        <f t="shared" si="64"/>
        <v>0.17890250297416724</v>
      </c>
      <c r="DE25" s="179">
        <f>(DC25-DC$53)/DC$54</f>
        <v>-0.16320621961548409</v>
      </c>
      <c r="DF25" s="180">
        <f t="shared" si="24"/>
        <v>1</v>
      </c>
      <c r="DG25" s="194">
        <f t="shared" si="65"/>
        <v>-2.7616765000000001</v>
      </c>
      <c r="DH25" s="179">
        <f t="shared" si="66"/>
        <v>-0.91465150657031236</v>
      </c>
      <c r="DI25" s="179">
        <f t="shared" si="67"/>
        <v>0.22573809350069807</v>
      </c>
      <c r="DJ25" s="194">
        <v>0</v>
      </c>
      <c r="DK25" s="194">
        <v>4</v>
      </c>
      <c r="DL25" s="194">
        <f t="shared" si="39"/>
        <v>5</v>
      </c>
      <c r="DM25" s="194">
        <f t="shared" si="25"/>
        <v>4.0541928494041173</v>
      </c>
      <c r="DN25" s="194">
        <f t="shared" si="40"/>
        <v>0.94580715059588272</v>
      </c>
      <c r="DO25" s="179">
        <f>(DN25-DM$57)/DM$58</f>
        <v>5.7113342235578714E-2</v>
      </c>
      <c r="DP25" s="179">
        <f>(0.6*CT25)+(0.4*DO25)</f>
        <v>-0.10260695315724938</v>
      </c>
      <c r="DQ25" s="179">
        <f t="shared" si="68"/>
        <v>-0.71393425626017659</v>
      </c>
      <c r="DR25" s="179">
        <f t="shared" si="69"/>
        <v>-6.7632161421940201E-2</v>
      </c>
      <c r="DS25" s="179">
        <f t="shared" si="73"/>
        <v>-6.944935242259602E-2</v>
      </c>
      <c r="DT25" s="179">
        <f>(0.6*CD25)+(0.4*DE25)</f>
        <v>-0.19991407708879652</v>
      </c>
      <c r="DU25" s="175">
        <v>2</v>
      </c>
      <c r="DV25" s="175">
        <f>CK25-DU25</f>
        <v>5</v>
      </c>
      <c r="DW25" s="179">
        <v>-0.157</v>
      </c>
      <c r="DX25" s="179">
        <v>-0.23300000000000001</v>
      </c>
      <c r="DY25" s="179">
        <f>(0.6*CJ25)+(0.4*DW25)</f>
        <v>-0.2175611011559121</v>
      </c>
      <c r="DZ25" s="180">
        <v>0</v>
      </c>
      <c r="EA25" s="180">
        <v>0</v>
      </c>
      <c r="EB25" s="175">
        <v>450</v>
      </c>
      <c r="EC25" s="180">
        <v>0</v>
      </c>
      <c r="ED25" s="180">
        <v>0</v>
      </c>
      <c r="EE25" s="180">
        <v>0</v>
      </c>
      <c r="EF25" s="180">
        <f t="shared" si="26"/>
        <v>0</v>
      </c>
      <c r="EG25" s="180">
        <f t="shared" si="70"/>
        <v>0</v>
      </c>
      <c r="EH25" s="180">
        <f>D25*EC$55</f>
        <v>1473.9110429447853</v>
      </c>
      <c r="EI25" s="180">
        <f t="shared" si="71"/>
        <v>3300</v>
      </c>
      <c r="EJ25" s="180">
        <f t="shared" si="29"/>
        <v>-3300</v>
      </c>
      <c r="EK25" s="180">
        <f t="shared" si="30"/>
        <v>0</v>
      </c>
      <c r="EL25" s="180">
        <f>EC25-EH25</f>
        <v>-1473.9110429447853</v>
      </c>
      <c r="EM25" s="195">
        <f t="shared" si="74"/>
        <v>-0.14370415438123685</v>
      </c>
      <c r="EN25" s="195">
        <f t="shared" si="75"/>
        <v>-0.38750034260363891</v>
      </c>
      <c r="EO25" s="195">
        <f>(EL25-EL$53)/EL$54</f>
        <v>-5.214662390225875E-2</v>
      </c>
      <c r="EP25" s="180">
        <v>467.0899</v>
      </c>
      <c r="EQ25" s="175">
        <f>DZ25-EB25</f>
        <v>-450</v>
      </c>
      <c r="ER25" s="180">
        <f>EA25-EP25</f>
        <v>-467.0899</v>
      </c>
      <c r="ES25" s="179">
        <v>6.0000000000000001E-3</v>
      </c>
      <c r="ET25" s="179">
        <f>(ER25-ER$54)/ER$55</f>
        <v>-2.120870806086704E-2</v>
      </c>
      <c r="EU25" s="179">
        <f>(0.6*DT25)+(0.4*EO25)</f>
        <v>-0.14080709581418141</v>
      </c>
      <c r="EV25" s="179">
        <f t="shared" si="33"/>
        <v>-9.9151273206052354E-2</v>
      </c>
      <c r="EW25" s="179">
        <f t="shared" si="34"/>
        <v>-6.1437946414067621E-2</v>
      </c>
      <c r="EX25" s="180">
        <v>0</v>
      </c>
      <c r="EY25" s="180">
        <v>0</v>
      </c>
      <c r="EZ25" s="180">
        <f t="shared" si="41"/>
        <v>0</v>
      </c>
      <c r="FA25" s="180">
        <f t="shared" si="35"/>
        <v>8737.813651137596</v>
      </c>
      <c r="FB25" s="180">
        <f t="shared" si="42"/>
        <v>-8737.813651137596</v>
      </c>
      <c r="FC25" s="179">
        <f>(FB25-FB$56)/FB$57</f>
        <v>-7.9304416044843742E-2</v>
      </c>
      <c r="FD25" s="179">
        <f>(0.6*DP25)+(0.4*FC25)</f>
        <v>-9.3285938312287126E-2</v>
      </c>
      <c r="FE25" s="179">
        <f t="shared" si="72"/>
        <v>-0.58336069079756148</v>
      </c>
    </row>
    <row r="26" spans="1:161" hidden="1" x14ac:dyDescent="0.35">
      <c r="A26" s="197" t="s">
        <v>200</v>
      </c>
      <c r="B26" s="197" t="s">
        <v>203</v>
      </c>
      <c r="C26" s="199">
        <v>4</v>
      </c>
      <c r="D26" s="199">
        <v>4</v>
      </c>
      <c r="E26" s="175">
        <v>4</v>
      </c>
      <c r="F26" s="175">
        <v>0</v>
      </c>
      <c r="G26" s="175">
        <v>36</v>
      </c>
      <c r="K26" s="185"/>
      <c r="L26" s="191"/>
      <c r="M26" s="191"/>
      <c r="N26" s="185"/>
      <c r="O26" s="185"/>
      <c r="P26" s="191"/>
      <c r="Q26" s="191"/>
      <c r="R26" s="180"/>
      <c r="S26" s="185"/>
      <c r="T26" s="198"/>
      <c r="U26" s="198"/>
      <c r="V26" s="198"/>
      <c r="W26" s="185"/>
      <c r="X26" s="185"/>
      <c r="Y26" s="185"/>
      <c r="Z26" s="185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80"/>
      <c r="BI26" s="180"/>
      <c r="BJ26" s="180"/>
      <c r="BK26" s="180"/>
      <c r="BL26" s="180"/>
      <c r="BM26" s="179"/>
      <c r="BN26" s="179"/>
      <c r="BR26" s="175">
        <f t="shared" si="12"/>
        <v>0</v>
      </c>
      <c r="BS26" s="180">
        <f t="shared" si="50"/>
        <v>0</v>
      </c>
      <c r="BT26" s="194">
        <f t="shared" si="51"/>
        <v>5.7459439999999997</v>
      </c>
      <c r="BU26" s="194">
        <f t="shared" si="52"/>
        <v>3.3181067999999998</v>
      </c>
      <c r="BV26" s="194">
        <f t="shared" si="16"/>
        <v>0</v>
      </c>
      <c r="BW26" s="194">
        <f t="shared" si="17"/>
        <v>-3.3181067999999998</v>
      </c>
      <c r="BX26" s="194">
        <f t="shared" si="18"/>
        <v>-5.7459439999999997</v>
      </c>
      <c r="BY26" s="194"/>
      <c r="CC26" s="179">
        <f t="shared" si="53"/>
        <v>-0.18639011777435391</v>
      </c>
      <c r="CD26" s="179"/>
      <c r="CL26" s="179">
        <f t="shared" si="54"/>
        <v>-0.59556429797682386</v>
      </c>
      <c r="CM26" s="179">
        <f t="shared" si="55"/>
        <v>-0.2251760000613186</v>
      </c>
      <c r="CP26" s="194"/>
      <c r="CQ26" s="194">
        <f t="shared" si="37"/>
        <v>0</v>
      </c>
      <c r="CR26" s="194">
        <f t="shared" si="22"/>
        <v>0</v>
      </c>
      <c r="CS26" s="194">
        <f t="shared" si="38"/>
        <v>0</v>
      </c>
      <c r="CT26" s="179">
        <f t="shared" si="43"/>
        <v>4.6974779374770076E-17</v>
      </c>
      <c r="CU26" s="194"/>
      <c r="CV26" s="175">
        <f t="shared" si="60"/>
        <v>0</v>
      </c>
      <c r="CW26" s="180">
        <f t="shared" si="61"/>
        <v>0</v>
      </c>
      <c r="CX26" s="194">
        <f t="shared" si="62"/>
        <v>2.2093411999999999</v>
      </c>
      <c r="CZ26" s="194">
        <f t="shared" si="63"/>
        <v>2.8325979999999999</v>
      </c>
      <c r="DA26" s="194">
        <f t="shared" si="23"/>
        <v>-2.8325979999999999</v>
      </c>
      <c r="DB26" s="194"/>
      <c r="DC26" s="194"/>
      <c r="DD26" s="179">
        <f t="shared" si="64"/>
        <v>0.1641858896463701</v>
      </c>
      <c r="DE26" s="179"/>
      <c r="DF26" s="180">
        <f t="shared" si="24"/>
        <v>0</v>
      </c>
      <c r="DG26" s="194">
        <f t="shared" si="65"/>
        <v>-2.2093411999999999</v>
      </c>
      <c r="DH26" s="179">
        <f t="shared" si="66"/>
        <v>-0.97691651523354961</v>
      </c>
      <c r="DI26" s="179">
        <f t="shared" si="67"/>
        <v>0.25609873965123281</v>
      </c>
      <c r="DJ26" s="194"/>
      <c r="DK26" s="194"/>
      <c r="DL26" s="194">
        <f t="shared" si="39"/>
        <v>0</v>
      </c>
      <c r="DM26" s="194">
        <f t="shared" si="25"/>
        <v>0</v>
      </c>
      <c r="DN26" s="194">
        <f t="shared" si="40"/>
        <v>0</v>
      </c>
      <c r="DO26" s="179">
        <f t="shared" si="44"/>
        <v>0</v>
      </c>
      <c r="DP26" s="179">
        <f t="shared" si="45"/>
        <v>2.8184867624862046E-17</v>
      </c>
      <c r="DQ26" s="179">
        <f t="shared" si="68"/>
        <v>-0.74810518487951416</v>
      </c>
      <c r="DR26" s="179">
        <f t="shared" si="69"/>
        <v>-3.2666104176298019E-2</v>
      </c>
      <c r="DS26" s="179">
        <f t="shared" si="73"/>
        <v>-4.6159714806064303E-2</v>
      </c>
      <c r="DT26" s="179"/>
      <c r="DZ26" s="180"/>
      <c r="EA26" s="180">
        <v>0</v>
      </c>
      <c r="EF26" s="180">
        <f t="shared" si="26"/>
        <v>0</v>
      </c>
      <c r="EG26" s="180">
        <f t="shared" si="70"/>
        <v>0</v>
      </c>
      <c r="EI26" s="180">
        <f t="shared" si="71"/>
        <v>2640</v>
      </c>
      <c r="EJ26" s="180">
        <f t="shared" si="29"/>
        <v>-2640</v>
      </c>
      <c r="EK26" s="180">
        <f t="shared" si="30"/>
        <v>0</v>
      </c>
      <c r="EM26" s="195">
        <f t="shared" si="74"/>
        <v>-0.13563772897060253</v>
      </c>
      <c r="EN26" s="195">
        <f t="shared" si="75"/>
        <v>-0.38750034260363891</v>
      </c>
      <c r="EO26" s="195"/>
      <c r="ET26" s="179"/>
      <c r="EU26" s="179"/>
      <c r="EV26" s="179">
        <f t="shared" si="33"/>
        <v>-8.1950920471879601E-2</v>
      </c>
      <c r="EW26" s="179">
        <f t="shared" si="34"/>
        <v>-1.9599662505778812E-2</v>
      </c>
      <c r="EX26" s="180"/>
      <c r="EY26" s="180"/>
      <c r="EZ26" s="180">
        <f t="shared" si="41"/>
        <v>0</v>
      </c>
      <c r="FA26" s="180">
        <f t="shared" si="35"/>
        <v>0</v>
      </c>
      <c r="FB26" s="180">
        <f t="shared" si="42"/>
        <v>0</v>
      </c>
      <c r="FC26" s="179">
        <f t="shared" si="48"/>
        <v>-5.3255328561799049E-18</v>
      </c>
      <c r="FD26" s="179">
        <f t="shared" si="49"/>
        <v>1.4780707432445267E-17</v>
      </c>
      <c r="FE26" s="179">
        <f t="shared" si="72"/>
        <v>-0.60386324796916402</v>
      </c>
    </row>
    <row r="27" spans="1:161" hidden="1" x14ac:dyDescent="0.35">
      <c r="A27" s="188" t="s">
        <v>207</v>
      </c>
      <c r="B27" s="188" t="s">
        <v>210</v>
      </c>
      <c r="C27" s="199">
        <f t="shared" si="0"/>
        <v>44</v>
      </c>
      <c r="D27" s="199">
        <v>0</v>
      </c>
      <c r="E27" s="175">
        <v>0</v>
      </c>
      <c r="F27" s="175">
        <v>0</v>
      </c>
      <c r="G27" s="175">
        <v>44</v>
      </c>
      <c r="K27" s="185"/>
      <c r="L27" s="191"/>
      <c r="M27" s="191"/>
      <c r="N27" s="185"/>
      <c r="O27" s="185"/>
      <c r="P27" s="191"/>
      <c r="Q27" s="191"/>
      <c r="R27" s="180"/>
      <c r="S27" s="185"/>
      <c r="T27" s="198"/>
      <c r="U27" s="198"/>
      <c r="V27" s="198"/>
      <c r="W27" s="185"/>
      <c r="X27" s="185"/>
      <c r="Y27" s="185"/>
      <c r="Z27" s="185"/>
      <c r="AA27" s="180"/>
      <c r="AB27" s="180"/>
      <c r="AC27" s="180"/>
      <c r="AD27" s="180"/>
      <c r="AE27" s="180"/>
      <c r="AF27" s="180"/>
      <c r="AG27" s="180" t="e">
        <f>(0.6*AJ27)+(0.4*#REF!)</f>
        <v>#REF!</v>
      </c>
      <c r="AH27" s="180">
        <v>6.2770000000000001</v>
      </c>
      <c r="AI27" s="180">
        <f>AH27/G27</f>
        <v>0.1426590909090909</v>
      </c>
      <c r="AJ27" s="180">
        <f>AI27/AI54</f>
        <v>9.1948491430964022E-2</v>
      </c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  <c r="BJ27" s="180"/>
      <c r="BK27" s="180"/>
      <c r="BL27" s="180"/>
      <c r="BM27" s="179"/>
      <c r="BN27" s="179"/>
      <c r="BR27" s="175">
        <f t="shared" si="12"/>
        <v>0</v>
      </c>
      <c r="BS27" s="180">
        <f t="shared" si="50"/>
        <v>0</v>
      </c>
      <c r="BT27" s="194">
        <f t="shared" si="51"/>
        <v>0</v>
      </c>
      <c r="BU27" s="194">
        <f t="shared" si="52"/>
        <v>0</v>
      </c>
      <c r="BV27" s="194">
        <f t="shared" si="16"/>
        <v>0</v>
      </c>
      <c r="BW27" s="194">
        <f t="shared" si="17"/>
        <v>0</v>
      </c>
      <c r="BX27" s="194">
        <f t="shared" si="18"/>
        <v>0</v>
      </c>
      <c r="BY27" s="194"/>
      <c r="CC27" s="179">
        <f t="shared" si="53"/>
        <v>8.1184352099831561E-3</v>
      </c>
      <c r="CD27" s="179"/>
      <c r="CL27" s="179">
        <f t="shared" si="54"/>
        <v>-0.59556429797682386</v>
      </c>
      <c r="CM27" s="179">
        <f t="shared" si="55"/>
        <v>-7.3030674825130065E-2</v>
      </c>
      <c r="CP27" s="194"/>
      <c r="CQ27" s="194">
        <f t="shared" si="37"/>
        <v>0</v>
      </c>
      <c r="CR27" s="194">
        <f t="shared" si="22"/>
        <v>0</v>
      </c>
      <c r="CS27" s="194">
        <f t="shared" si="38"/>
        <v>0</v>
      </c>
      <c r="CT27" s="179">
        <f t="shared" si="43"/>
        <v>4.6974779374770076E-17</v>
      </c>
      <c r="CU27" s="194"/>
      <c r="CV27" s="175">
        <f t="shared" si="60"/>
        <v>0</v>
      </c>
      <c r="CW27" s="180">
        <f t="shared" si="61"/>
        <v>0</v>
      </c>
      <c r="CX27" s="194">
        <f t="shared" si="62"/>
        <v>0</v>
      </c>
      <c r="CZ27" s="194">
        <f t="shared" si="63"/>
        <v>0</v>
      </c>
      <c r="DA27" s="194">
        <f t="shared" si="23"/>
        <v>0</v>
      </c>
      <c r="DB27" s="194"/>
      <c r="DC27" s="194"/>
      <c r="DD27" s="179">
        <f t="shared" si="64"/>
        <v>0.30702014718264831</v>
      </c>
      <c r="DE27" s="179"/>
      <c r="DF27" s="180">
        <f t="shared" si="24"/>
        <v>0</v>
      </c>
      <c r="DG27" s="194">
        <f t="shared" si="65"/>
        <v>0</v>
      </c>
      <c r="DH27" s="179">
        <f t="shared" si="66"/>
        <v>-0.97691651523354961</v>
      </c>
      <c r="DI27" s="179">
        <f t="shared" si="67"/>
        <v>0.37754132425337183</v>
      </c>
      <c r="DJ27" s="194"/>
      <c r="DK27" s="194"/>
      <c r="DL27" s="194">
        <f t="shared" si="39"/>
        <v>0</v>
      </c>
      <c r="DM27" s="194">
        <f t="shared" si="25"/>
        <v>0</v>
      </c>
      <c r="DN27" s="194">
        <f t="shared" si="40"/>
        <v>0</v>
      </c>
      <c r="DO27" s="179">
        <f t="shared" si="44"/>
        <v>0</v>
      </c>
      <c r="DP27" s="179">
        <f t="shared" si="45"/>
        <v>2.8184867624862046E-17</v>
      </c>
      <c r="DQ27" s="179">
        <f t="shared" si="68"/>
        <v>-0.74810518487951416</v>
      </c>
      <c r="DR27" s="179">
        <f t="shared" si="69"/>
        <v>0.10719812480627069</v>
      </c>
      <c r="DS27" s="179">
        <f t="shared" si="73"/>
        <v>0.12767911999904921</v>
      </c>
      <c r="DT27" s="179"/>
      <c r="DZ27" s="180"/>
      <c r="EA27" s="180">
        <v>0</v>
      </c>
      <c r="EF27" s="180">
        <f t="shared" si="26"/>
        <v>0</v>
      </c>
      <c r="EG27" s="180">
        <f t="shared" si="70"/>
        <v>0</v>
      </c>
      <c r="EI27" s="180">
        <f t="shared" si="71"/>
        <v>0</v>
      </c>
      <c r="EJ27" s="180">
        <f t="shared" si="29"/>
        <v>0</v>
      </c>
      <c r="EK27" s="180">
        <f t="shared" si="30"/>
        <v>0</v>
      </c>
      <c r="EM27" s="195">
        <f t="shared" si="74"/>
        <v>-0.10337202732806533</v>
      </c>
      <c r="EN27" s="195">
        <f t="shared" si="75"/>
        <v>-0.38750034260363891</v>
      </c>
      <c r="EO27" s="195"/>
      <c r="ET27" s="179"/>
      <c r="EU27" s="179"/>
      <c r="EV27" s="179">
        <f t="shared" si="33"/>
        <v>3.5258661068203384E-2</v>
      </c>
      <c r="EW27" s="179">
        <f t="shared" si="34"/>
        <v>6.4318874883762409E-2</v>
      </c>
      <c r="EX27" s="180"/>
      <c r="EY27" s="180"/>
      <c r="EZ27" s="180">
        <f t="shared" si="41"/>
        <v>0</v>
      </c>
      <c r="FA27" s="180">
        <f t="shared" si="35"/>
        <v>0</v>
      </c>
      <c r="FB27" s="180">
        <f t="shared" si="42"/>
        <v>0</v>
      </c>
      <c r="FC27" s="179">
        <f t="shared" si="48"/>
        <v>-5.3255328561799049E-18</v>
      </c>
      <c r="FD27" s="179">
        <f t="shared" si="49"/>
        <v>1.4780707432445267E-17</v>
      </c>
      <c r="FE27" s="179">
        <f t="shared" si="72"/>
        <v>-0.60386324796916402</v>
      </c>
    </row>
    <row r="28" spans="1:161" x14ac:dyDescent="0.35">
      <c r="A28" s="197" t="s">
        <v>212</v>
      </c>
      <c r="B28" s="197" t="s">
        <v>124</v>
      </c>
      <c r="C28" s="175">
        <v>15</v>
      </c>
      <c r="D28" s="175">
        <v>13</v>
      </c>
      <c r="E28" s="200">
        <v>12</v>
      </c>
      <c r="F28" s="200">
        <v>3</v>
      </c>
      <c r="G28" s="201">
        <v>1</v>
      </c>
      <c r="H28" s="179">
        <v>-9.9000000000000005E-2</v>
      </c>
      <c r="I28" s="179">
        <v>3.082592133968097E-2</v>
      </c>
      <c r="J28" s="179">
        <f>(0.6*DY28)+(0.4*ET28)</f>
        <v>-0.1111963938358761</v>
      </c>
      <c r="K28" s="185"/>
      <c r="L28" s="191"/>
      <c r="M28" s="191"/>
      <c r="N28" s="185"/>
      <c r="O28" s="185"/>
      <c r="P28" s="191"/>
      <c r="Q28" s="191"/>
      <c r="R28" s="180">
        <v>11</v>
      </c>
      <c r="S28" s="185">
        <v>0</v>
      </c>
      <c r="T28" s="192">
        <f>AC28*AY$39</f>
        <v>1288.4939086460424</v>
      </c>
      <c r="U28" s="198"/>
      <c r="V28" s="198"/>
      <c r="W28" s="185"/>
      <c r="X28" s="185"/>
      <c r="Y28" s="185">
        <v>0</v>
      </c>
      <c r="Z28" s="185">
        <f>AVERAGE(S28,T28,Y28)</f>
        <v>429.49796954868083</v>
      </c>
      <c r="AA28" s="306">
        <f>Z28-(AQ28*Z$55)</f>
        <v>429.49796954868083</v>
      </c>
      <c r="AB28" s="180"/>
      <c r="AC28" s="180">
        <f>D28*AR28</f>
        <v>0.39302123848401788</v>
      </c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>
        <f>EW28/BA$28</f>
        <v>3.0232402960309067E-2</v>
      </c>
      <c r="AS28" s="180"/>
      <c r="AT28" s="180"/>
      <c r="AU28" s="180"/>
      <c r="AV28" s="180"/>
      <c r="AW28" s="180"/>
      <c r="AX28" s="180"/>
      <c r="AY28" s="180" t="s">
        <v>439</v>
      </c>
      <c r="AZ28" s="180"/>
      <c r="BA28" s="306">
        <f>SUM(EW3,EW4,EW28,EW31,EW39,EW49,EW50,EW51)</f>
        <v>4.7002544784237363</v>
      </c>
      <c r="BB28" s="180">
        <v>11</v>
      </c>
      <c r="BC28" s="180">
        <v>11</v>
      </c>
      <c r="BD28" s="180">
        <f>BB28-BC28</f>
        <v>0</v>
      </c>
      <c r="BE28" s="180">
        <v>10</v>
      </c>
      <c r="BF28" s="180">
        <v>22</v>
      </c>
      <c r="BG28" s="180">
        <v>29</v>
      </c>
      <c r="BH28" s="180">
        <v>22</v>
      </c>
      <c r="BI28" s="221">
        <v>572.6639593982411</v>
      </c>
      <c r="BJ28" s="307">
        <v>0</v>
      </c>
      <c r="BK28" s="180">
        <f>AVERAGE(AA28,BI28,BJ28)</f>
        <v>334.05397631564068</v>
      </c>
      <c r="BL28" s="307">
        <f>BK28-(BN28*BK$55)</f>
        <v>334.05397631564068</v>
      </c>
      <c r="BM28" s="179"/>
      <c r="BN28" s="179"/>
      <c r="BQ28" s="175">
        <v>34</v>
      </c>
      <c r="BR28" s="175">
        <f t="shared" si="12"/>
        <v>56</v>
      </c>
      <c r="BS28" s="180">
        <f t="shared" si="50"/>
        <v>0</v>
      </c>
      <c r="BT28" s="194">
        <f t="shared" si="51"/>
        <v>18.674318</v>
      </c>
      <c r="BU28" s="194">
        <f t="shared" si="52"/>
        <v>10.783847099999999</v>
      </c>
      <c r="BV28" s="194">
        <f t="shared" si="16"/>
        <v>56</v>
      </c>
      <c r="BW28" s="194">
        <f t="shared" si="17"/>
        <v>11.216152900000001</v>
      </c>
      <c r="BX28" s="194">
        <f t="shared" si="18"/>
        <v>10.325682</v>
      </c>
      <c r="BY28" s="194">
        <f>D28*BF$56</f>
        <v>12.734151329243355</v>
      </c>
      <c r="BZ28" s="175">
        <v>13</v>
      </c>
      <c r="CA28" s="194">
        <f>BF28-BY28</f>
        <v>9.265848670756645</v>
      </c>
      <c r="CB28" s="175">
        <f>BF28-BZ28</f>
        <v>9</v>
      </c>
      <c r="CC28" s="189">
        <f t="shared" si="53"/>
        <v>0.35765777363660478</v>
      </c>
      <c r="CD28" s="189">
        <f t="shared" ref="CD28:CE31" si="76">(CA28-CA$53)/CA$54</f>
        <v>0.42996128029744873</v>
      </c>
      <c r="CE28" s="189">
        <f t="shared" si="76"/>
        <v>0.43865475598591391</v>
      </c>
      <c r="CF28" s="194">
        <v>10.538225000000001</v>
      </c>
      <c r="CG28" s="175">
        <f>BB28-BE28</f>
        <v>1</v>
      </c>
      <c r="CH28" s="194">
        <f>BC28-CF28</f>
        <v>0.46177499999999938</v>
      </c>
      <c r="CI28" s="179">
        <v>-0.127</v>
      </c>
      <c r="CJ28" s="179">
        <f>(CH28-CH$54)/CH$55</f>
        <v>-0.12744549570546285</v>
      </c>
      <c r="CK28" s="175">
        <v>0</v>
      </c>
      <c r="CL28" s="189">
        <f t="shared" si="54"/>
        <v>-0.1632011241214989</v>
      </c>
      <c r="CM28" s="189">
        <f t="shared" si="55"/>
        <v>0.44126417272749219</v>
      </c>
      <c r="CN28" s="175">
        <v>3</v>
      </c>
      <c r="CO28" s="175">
        <v>15</v>
      </c>
      <c r="CP28" s="194">
        <v>11</v>
      </c>
      <c r="CQ28" s="194">
        <f t="shared" si="37"/>
        <v>60</v>
      </c>
      <c r="CR28" s="194">
        <f t="shared" si="22"/>
        <v>37.18548212351029</v>
      </c>
      <c r="CS28" s="194">
        <f t="shared" si="38"/>
        <v>22.81451787648971</v>
      </c>
      <c r="CT28" s="189">
        <f>(CS28-CS$56)/CS$57</f>
        <v>0.33397926065574307</v>
      </c>
      <c r="CU28" s="194">
        <v>1</v>
      </c>
      <c r="CV28" s="175">
        <f t="shared" si="60"/>
        <v>4</v>
      </c>
      <c r="CW28" s="180">
        <f t="shared" si="61"/>
        <v>0</v>
      </c>
      <c r="CX28" s="194">
        <f t="shared" si="62"/>
        <v>7.1803588999999999</v>
      </c>
      <c r="CY28" s="175">
        <v>3</v>
      </c>
      <c r="CZ28" s="194">
        <f t="shared" si="63"/>
        <v>9.2059435000000001</v>
      </c>
      <c r="DA28" s="194">
        <f t="shared" si="23"/>
        <v>-6.2059435000000001</v>
      </c>
      <c r="DB28" s="194">
        <f>D28*CN$56</f>
        <v>4.5327198364008181</v>
      </c>
      <c r="DC28" s="194">
        <f>CN28-DB28</f>
        <v>-1.5327198364008181</v>
      </c>
      <c r="DD28" s="179">
        <f t="shared" si="64"/>
        <v>-5.9156566746557948E-3</v>
      </c>
      <c r="DE28" s="179">
        <f>(DC28-DC$53)/DC$54</f>
        <v>-0.14348746228950773</v>
      </c>
      <c r="DF28" s="180">
        <f t="shared" si="24"/>
        <v>4</v>
      </c>
      <c r="DG28" s="194">
        <f t="shared" si="65"/>
        <v>-4.1803588999999999</v>
      </c>
      <c r="DH28" s="179">
        <f t="shared" si="66"/>
        <v>-0.72785648058060071</v>
      </c>
      <c r="DI28" s="179">
        <f t="shared" si="67"/>
        <v>0.14775626915162715</v>
      </c>
      <c r="DJ28" s="194">
        <v>0</v>
      </c>
      <c r="DK28" s="194">
        <v>6</v>
      </c>
      <c r="DL28" s="194">
        <f t="shared" si="39"/>
        <v>7</v>
      </c>
      <c r="DM28" s="194">
        <f t="shared" si="25"/>
        <v>7.4326868905742147</v>
      </c>
      <c r="DN28" s="194">
        <f t="shared" si="40"/>
        <v>-0.43268689057421472</v>
      </c>
      <c r="DO28" s="179">
        <f>(DN28-DM$57)/DM$58</f>
        <v>-2.6128153552914257E-2</v>
      </c>
      <c r="DP28" s="179">
        <f>(0.6*CT28)+(0.4*DO28)</f>
        <v>0.18993629497228012</v>
      </c>
      <c r="DQ28" s="179">
        <f t="shared" si="68"/>
        <v>-0.38906326670513963</v>
      </c>
      <c r="DR28" s="189">
        <f t="shared" si="69"/>
        <v>0.32386101129714617</v>
      </c>
      <c r="DS28" s="179">
        <f t="shared" si="73"/>
        <v>0.21222840151210054</v>
      </c>
      <c r="DT28" s="179">
        <f>(0.6*CD28)+(0.4*DE28)</f>
        <v>0.20058178326266612</v>
      </c>
      <c r="DU28" s="175">
        <v>5</v>
      </c>
      <c r="DV28" s="175">
        <f>CK28-DU28</f>
        <v>-5</v>
      </c>
      <c r="DW28" s="179">
        <v>-0.157</v>
      </c>
      <c r="DX28" s="179">
        <v>-0.13900000000000001</v>
      </c>
      <c r="DY28" s="179">
        <f>(0.6*CJ28)+(0.4*DW28)</f>
        <v>-0.1392672974232777</v>
      </c>
      <c r="DZ28" s="180">
        <v>0</v>
      </c>
      <c r="EA28" s="180">
        <v>0</v>
      </c>
      <c r="EB28" s="175">
        <v>2986</v>
      </c>
      <c r="EC28" s="180">
        <v>0</v>
      </c>
      <c r="ED28" s="180">
        <v>0</v>
      </c>
      <c r="EE28" s="180">
        <v>0</v>
      </c>
      <c r="EF28" s="180">
        <f t="shared" si="26"/>
        <v>0</v>
      </c>
      <c r="EG28" s="180">
        <f t="shared" si="70"/>
        <v>0</v>
      </c>
      <c r="EH28" s="180">
        <f>D28*EC$55</f>
        <v>3832.1687116564422</v>
      </c>
      <c r="EI28" s="180">
        <f t="shared" si="71"/>
        <v>8580</v>
      </c>
      <c r="EJ28" s="180">
        <f t="shared" si="29"/>
        <v>-8580</v>
      </c>
      <c r="EK28" s="180">
        <f t="shared" si="30"/>
        <v>0</v>
      </c>
      <c r="EL28" s="180">
        <f>EC28-EH28</f>
        <v>-3832.1687116564422</v>
      </c>
      <c r="EM28" s="195">
        <f t="shared" si="74"/>
        <v>-0.20823555766631124</v>
      </c>
      <c r="EN28" s="195">
        <f t="shared" si="75"/>
        <v>-0.38750034260363891</v>
      </c>
      <c r="EO28" s="195">
        <f>(EL28-EL$53)/EL$54</f>
        <v>-0.1305415484264599</v>
      </c>
      <c r="EP28" s="180">
        <v>3312.5003999999999</v>
      </c>
      <c r="EQ28" s="175">
        <f>DZ28-EB28</f>
        <v>-2986</v>
      </c>
      <c r="ER28" s="180">
        <f t="shared" ref="ER28:ER42" si="77">EA28-EP28</f>
        <v>-3312.5003999999999</v>
      </c>
      <c r="ES28" s="179">
        <v>-3.7999999999999999E-2</v>
      </c>
      <c r="ET28" s="179">
        <f>(ER28-ER$54)/ER$55</f>
        <v>-6.9090038454773697E-2</v>
      </c>
      <c r="EU28" s="179">
        <f>(0.6*DT28)+(0.4*EO28)</f>
        <v>6.8132450587015697E-2</v>
      </c>
      <c r="EV28" s="179">
        <f t="shared" si="33"/>
        <v>4.4042817840735798E-2</v>
      </c>
      <c r="EW28" s="189">
        <f t="shared" si="34"/>
        <v>0.14209998740770372</v>
      </c>
      <c r="EX28" s="180">
        <v>0</v>
      </c>
      <c r="EY28" s="180">
        <v>0</v>
      </c>
      <c r="EZ28" s="180">
        <f t="shared" si="41"/>
        <v>0</v>
      </c>
      <c r="FA28" s="180">
        <f t="shared" si="35"/>
        <v>16019.325027085592</v>
      </c>
      <c r="FB28" s="180">
        <f t="shared" si="42"/>
        <v>-16019.325027085592</v>
      </c>
      <c r="FC28" s="179">
        <f>(FB28-FB$56)/FB$57</f>
        <v>-0.14539142941554684</v>
      </c>
      <c r="FD28" s="179">
        <f>(0.6*DP28)+(0.4*FC28)</f>
        <v>5.580520521714933E-2</v>
      </c>
      <c r="FE28" s="179">
        <f t="shared" si="72"/>
        <v>-0.38843809706453936</v>
      </c>
    </row>
    <row r="29" spans="1:161" x14ac:dyDescent="0.35">
      <c r="A29" s="197" t="s">
        <v>214</v>
      </c>
      <c r="B29" s="197" t="s">
        <v>96</v>
      </c>
      <c r="C29" s="175">
        <f t="shared" si="0"/>
        <v>91</v>
      </c>
      <c r="D29" s="175">
        <v>77</v>
      </c>
      <c r="E29" s="175">
        <v>73</v>
      </c>
      <c r="F29" s="175">
        <v>18</v>
      </c>
      <c r="G29" s="175">
        <v>0</v>
      </c>
      <c r="H29" s="179">
        <v>-0.34200000000000003</v>
      </c>
      <c r="I29" s="179">
        <v>-0.75866005394727487</v>
      </c>
      <c r="J29" s="179">
        <f>(0.6*DY29)+(0.4*ET29)</f>
        <v>-0.45122681573142398</v>
      </c>
      <c r="K29" s="198"/>
      <c r="L29" s="191" t="e">
        <f>C29*Q29</f>
        <v>#REF!</v>
      </c>
      <c r="M29" s="191"/>
      <c r="N29" s="185"/>
      <c r="O29" s="185"/>
      <c r="P29" s="191"/>
      <c r="Q29" s="191" t="e">
        <f>#REF!/AZ2</f>
        <v>#REF!</v>
      </c>
      <c r="R29" s="180">
        <v>71</v>
      </c>
      <c r="S29" s="185"/>
      <c r="T29" s="198"/>
      <c r="U29" s="198"/>
      <c r="V29" s="192" t="e">
        <f>SUM(W29:X29)</f>
        <v>#DIV/0!</v>
      </c>
      <c r="W29" s="185"/>
      <c r="X29" s="190" t="e">
        <f>AP29*AY$35</f>
        <v>#DIV/0!</v>
      </c>
      <c r="Y29" s="185"/>
      <c r="Z29" s="185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 t="e">
        <f>D29*AW29</f>
        <v>#DIV/0!</v>
      </c>
      <c r="AQ29" s="180"/>
      <c r="AR29" s="180"/>
      <c r="AS29" s="180"/>
      <c r="AT29" s="180"/>
      <c r="AU29" s="180"/>
      <c r="AV29" s="180"/>
      <c r="AW29" s="180" t="e">
        <f>EM29/BA$24</f>
        <v>#DIV/0!</v>
      </c>
      <c r="AX29" s="180"/>
      <c r="AY29" s="180"/>
      <c r="AZ29" s="180"/>
      <c r="BA29" s="180"/>
      <c r="BB29" s="180">
        <v>35</v>
      </c>
      <c r="BC29" s="180">
        <v>35</v>
      </c>
      <c r="BD29" s="180">
        <f>BB29-BC29</f>
        <v>0</v>
      </c>
      <c r="BE29" s="180">
        <v>62</v>
      </c>
      <c r="BF29" s="180">
        <v>56</v>
      </c>
      <c r="BG29" s="180">
        <v>69</v>
      </c>
      <c r="BH29" s="180">
        <v>53</v>
      </c>
      <c r="BI29" s="180"/>
      <c r="BJ29" s="180"/>
      <c r="BK29" s="180"/>
      <c r="BL29" s="180"/>
      <c r="BM29" s="179"/>
      <c r="BN29" s="179"/>
      <c r="BQ29" s="175">
        <v>42</v>
      </c>
      <c r="BR29" s="175">
        <f t="shared" si="12"/>
        <v>95</v>
      </c>
      <c r="BS29" s="180">
        <f t="shared" si="50"/>
        <v>0</v>
      </c>
      <c r="BT29" s="194">
        <f t="shared" si="51"/>
        <v>110.609422</v>
      </c>
      <c r="BU29" s="194">
        <f t="shared" si="52"/>
        <v>63.873555899999999</v>
      </c>
      <c r="BV29" s="194">
        <f t="shared" si="16"/>
        <v>95</v>
      </c>
      <c r="BW29" s="194">
        <f t="shared" si="17"/>
        <v>-10.873555899999999</v>
      </c>
      <c r="BX29" s="194">
        <f t="shared" si="18"/>
        <v>-41.609421999999995</v>
      </c>
      <c r="BY29" s="194">
        <f>D29*BF$56</f>
        <v>75.425357873210643</v>
      </c>
      <c r="BZ29" s="175">
        <v>75</v>
      </c>
      <c r="CA29" s="194">
        <f>BF29-BY29</f>
        <v>-19.425357873210643</v>
      </c>
      <c r="CB29" s="175">
        <f>BF29-BZ29</f>
        <v>-19</v>
      </c>
      <c r="CC29" s="179">
        <f t="shared" si="53"/>
        <v>-1.4004209560083511</v>
      </c>
      <c r="CD29" s="179">
        <f t="shared" si="76"/>
        <v>-0.89555013914081383</v>
      </c>
      <c r="CE29" s="179">
        <f t="shared" si="76"/>
        <v>-0.85657310532522102</v>
      </c>
      <c r="CF29" s="194">
        <v>63.931901000000003</v>
      </c>
      <c r="CG29" s="175">
        <f>BB29-BE29</f>
        <v>-27</v>
      </c>
      <c r="CH29" s="194">
        <f>BC29-CF29</f>
        <v>-28.931901000000003</v>
      </c>
      <c r="CI29" s="179">
        <v>-1.218</v>
      </c>
      <c r="CJ29" s="179">
        <f>(CH29-CH$54)/CH$55</f>
        <v>-1.4169224649773631</v>
      </c>
      <c r="CK29" s="175">
        <v>14</v>
      </c>
      <c r="CL29" s="179">
        <f t="shared" si="54"/>
        <v>0.1379089433848881</v>
      </c>
      <c r="CM29" s="179">
        <f t="shared" si="55"/>
        <v>-0.57161640415710235</v>
      </c>
      <c r="CN29" s="175">
        <v>23</v>
      </c>
      <c r="CO29" s="175">
        <v>40</v>
      </c>
      <c r="CP29" s="194">
        <v>75</v>
      </c>
      <c r="CQ29" s="194">
        <f t="shared" si="37"/>
        <v>157</v>
      </c>
      <c r="CR29" s="194">
        <f t="shared" si="22"/>
        <v>240.01538461538462</v>
      </c>
      <c r="CS29" s="194">
        <f t="shared" si="38"/>
        <v>-83.015384615384619</v>
      </c>
      <c r="CT29" s="179">
        <f>(CS29-CS$56)/CS$57</f>
        <v>-1.2152532403706526</v>
      </c>
      <c r="CU29" s="194">
        <v>7</v>
      </c>
      <c r="CV29" s="175">
        <f t="shared" si="60"/>
        <v>30</v>
      </c>
      <c r="CW29" s="180">
        <f t="shared" si="61"/>
        <v>0</v>
      </c>
      <c r="CX29" s="194">
        <f t="shared" si="62"/>
        <v>42.5298181</v>
      </c>
      <c r="CY29" s="175">
        <v>25</v>
      </c>
      <c r="CZ29" s="194">
        <f t="shared" si="63"/>
        <v>54.527511499999996</v>
      </c>
      <c r="DA29" s="194">
        <f t="shared" si="23"/>
        <v>-29.527511499999996</v>
      </c>
      <c r="DB29" s="194">
        <f>D29*CN$56</f>
        <v>26.847648261758692</v>
      </c>
      <c r="DC29" s="194">
        <f>CN29-DB29</f>
        <v>-3.8476482617586925</v>
      </c>
      <c r="DD29" s="179">
        <f t="shared" si="64"/>
        <v>-1.1819098675940396</v>
      </c>
      <c r="DE29" s="179">
        <f>(DC29-DC$53)/DC$54</f>
        <v>-0.36020234862936473</v>
      </c>
      <c r="DF29" s="180">
        <f t="shared" si="24"/>
        <v>30</v>
      </c>
      <c r="DG29" s="194">
        <f t="shared" si="65"/>
        <v>-19.5298181</v>
      </c>
      <c r="DH29" s="179">
        <f t="shared" si="66"/>
        <v>0.89103374466356711</v>
      </c>
      <c r="DI29" s="179">
        <f t="shared" si="67"/>
        <v>-0.69596945211454975</v>
      </c>
      <c r="DJ29" s="194">
        <v>12</v>
      </c>
      <c r="DK29" s="194">
        <v>38.5</v>
      </c>
      <c r="DL29" s="194">
        <f t="shared" si="39"/>
        <v>57.5</v>
      </c>
      <c r="DM29" s="194">
        <f t="shared" si="25"/>
        <v>47.974615384615383</v>
      </c>
      <c r="DN29" s="194">
        <f t="shared" si="40"/>
        <v>9.5253846153846169</v>
      </c>
      <c r="DO29" s="189">
        <f>(DN29-DM$57)/DM$58</f>
        <v>0.57519817979936738</v>
      </c>
      <c r="DP29" s="179">
        <f>(0.6*CT29)+(0.4*DO29)</f>
        <v>-0.49907267230264463</v>
      </c>
      <c r="DQ29" s="179">
        <f t="shared" si="68"/>
        <v>0.43915886389635972</v>
      </c>
      <c r="DR29" s="179">
        <f t="shared" si="69"/>
        <v>-0.62135762334008127</v>
      </c>
      <c r="DS29" s="179">
        <f t="shared" si="73"/>
        <v>-1.3130165206426265</v>
      </c>
      <c r="DT29" s="179">
        <f>(0.6*CD29)+(0.4*DE29)</f>
        <v>-0.68141102293623423</v>
      </c>
      <c r="DU29" s="175">
        <v>29</v>
      </c>
      <c r="DV29" s="175">
        <f>CK29-DU29</f>
        <v>-15</v>
      </c>
      <c r="DW29" s="179">
        <v>-2.2320000000000002</v>
      </c>
      <c r="DX29" s="179">
        <v>-1.623</v>
      </c>
      <c r="DY29" s="179">
        <f>(0.6*CJ29)+(0.4*DW29)</f>
        <v>-1.7429534789864181</v>
      </c>
      <c r="DZ29" s="180">
        <v>156955</v>
      </c>
      <c r="EA29" s="180">
        <v>156955.01</v>
      </c>
      <c r="EB29" s="175">
        <v>66647</v>
      </c>
      <c r="EC29" s="180">
        <v>0</v>
      </c>
      <c r="ED29" s="180">
        <v>156955</v>
      </c>
      <c r="EE29" s="180">
        <v>108468</v>
      </c>
      <c r="EF29" s="180">
        <f t="shared" si="26"/>
        <v>108468</v>
      </c>
      <c r="EG29" s="180">
        <f t="shared" si="70"/>
        <v>0</v>
      </c>
      <c r="EH29" s="180">
        <f>D29*EC$55</f>
        <v>22698.230061349695</v>
      </c>
      <c r="EI29" s="180">
        <f t="shared" si="71"/>
        <v>50820</v>
      </c>
      <c r="EJ29" s="180">
        <f t="shared" si="29"/>
        <v>106135</v>
      </c>
      <c r="EK29" s="180">
        <f t="shared" si="30"/>
        <v>108468</v>
      </c>
      <c r="EL29" s="180">
        <f>EC29-EH29</f>
        <v>-22698.230061349695</v>
      </c>
      <c r="EM29" s="196">
        <f t="shared" si="74"/>
        <v>1.1937947316987099</v>
      </c>
      <c r="EN29" s="196">
        <f t="shared" si="75"/>
        <v>1.0020703580776185</v>
      </c>
      <c r="EO29" s="195">
        <f>(EL29-EL$53)/EL$54</f>
        <v>-0.75770094462006909</v>
      </c>
      <c r="EP29" s="180">
        <v>67832.674499999994</v>
      </c>
      <c r="EQ29" s="175">
        <f>DZ29-EB29</f>
        <v>90308</v>
      </c>
      <c r="ER29" s="180">
        <f t="shared" si="77"/>
        <v>89122.335500000016</v>
      </c>
      <c r="ES29" s="179">
        <v>1.579</v>
      </c>
      <c r="ET29" s="179">
        <f>(ER29-ER$54)/ER$55</f>
        <v>1.486363179151067</v>
      </c>
      <c r="EU29" s="179">
        <f>(0.6*DT29)+(0.4*EO29)</f>
        <v>-0.71192699160976813</v>
      </c>
      <c r="EV29" s="179">
        <f t="shared" si="33"/>
        <v>-0.31029201970609188</v>
      </c>
      <c r="EW29" s="179">
        <f t="shared" si="34"/>
        <v>-0.67589495185207649</v>
      </c>
      <c r="EX29" s="180">
        <v>0</v>
      </c>
      <c r="EY29" s="180">
        <v>0</v>
      </c>
      <c r="EZ29" s="180">
        <f t="shared" si="41"/>
        <v>108468</v>
      </c>
      <c r="FA29" s="180">
        <f t="shared" si="35"/>
        <v>103397.46153846155</v>
      </c>
      <c r="FB29" s="180">
        <f t="shared" si="42"/>
        <v>5070.5384615384537</v>
      </c>
      <c r="FC29" s="189">
        <f>(FB29-FB$56)/FB$57</f>
        <v>4.6020218304023336E-2</v>
      </c>
      <c r="FD29" s="179">
        <f>(0.6*DP29)+(0.4*FC29)</f>
        <v>-0.28103551605997745</v>
      </c>
      <c r="FE29" s="179">
        <f t="shared" si="72"/>
        <v>0.66432346156886324</v>
      </c>
    </row>
    <row r="30" spans="1:161" x14ac:dyDescent="0.35">
      <c r="A30" s="197" t="s">
        <v>217</v>
      </c>
      <c r="B30" s="197" t="s">
        <v>96</v>
      </c>
      <c r="C30" s="175">
        <f t="shared" si="0"/>
        <v>37</v>
      </c>
      <c r="D30" s="175">
        <v>32</v>
      </c>
      <c r="E30" s="175">
        <v>37</v>
      </c>
      <c r="F30" s="175">
        <v>0</v>
      </c>
      <c r="G30" s="175">
        <v>0</v>
      </c>
      <c r="H30" s="179">
        <v>-2.5000000000000001E-2</v>
      </c>
      <c r="I30" s="179">
        <v>-0.17012974843516976</v>
      </c>
      <c r="J30" s="179">
        <f>(0.6*DY30)+(0.4*ET30)</f>
        <v>3.696452935650768E-4</v>
      </c>
      <c r="N30" s="185"/>
      <c r="O30" s="185"/>
      <c r="R30" s="180">
        <v>29</v>
      </c>
      <c r="S30" s="185"/>
      <c r="T30" s="198"/>
      <c r="U30" s="198"/>
      <c r="V30" s="198"/>
      <c r="W30" s="185"/>
      <c r="X30" s="185"/>
      <c r="Y30" s="185"/>
      <c r="Z30" s="185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 t="s">
        <v>436</v>
      </c>
      <c r="AZ30" s="180"/>
      <c r="BA30" s="311">
        <f>SUM(FE3,FE4,FE11,FE31,FE37,FE49,FE50,FE51)</f>
        <v>5.668651197232764</v>
      </c>
      <c r="BB30" s="180">
        <v>19</v>
      </c>
      <c r="BC30" s="180">
        <v>23</v>
      </c>
      <c r="BD30" s="180">
        <f>BB30-BC30</f>
        <v>-4</v>
      </c>
      <c r="BE30" s="180">
        <v>25</v>
      </c>
      <c r="BF30" s="180">
        <v>30</v>
      </c>
      <c r="BG30" s="180">
        <v>40</v>
      </c>
      <c r="BH30" s="180">
        <v>25</v>
      </c>
      <c r="BI30" s="180"/>
      <c r="BJ30" s="180"/>
      <c r="BK30" s="180"/>
      <c r="BL30" s="180"/>
      <c r="BM30" s="179"/>
      <c r="BN30" s="179"/>
      <c r="BQ30" s="175">
        <v>101</v>
      </c>
      <c r="BR30" s="175">
        <f t="shared" si="12"/>
        <v>126</v>
      </c>
      <c r="BS30" s="180">
        <f t="shared" si="50"/>
        <v>0</v>
      </c>
      <c r="BT30" s="194">
        <f t="shared" si="51"/>
        <v>45.967551999999998</v>
      </c>
      <c r="BU30" s="194">
        <f t="shared" si="52"/>
        <v>26.544854399999998</v>
      </c>
      <c r="BV30" s="194">
        <f t="shared" si="16"/>
        <v>126</v>
      </c>
      <c r="BW30" s="194">
        <f t="shared" si="17"/>
        <v>-1.5448543999999984</v>
      </c>
      <c r="BX30" s="194">
        <f t="shared" si="18"/>
        <v>-5.9675519999999977</v>
      </c>
      <c r="BY30" s="194">
        <f>D30*BF$56</f>
        <v>31.345603271983641</v>
      </c>
      <c r="BZ30" s="175">
        <v>31</v>
      </c>
      <c r="CA30" s="194">
        <f>BF30-BY30</f>
        <v>-1.3456032719836415</v>
      </c>
      <c r="CB30" s="175">
        <f>BF30-BZ30</f>
        <v>-1</v>
      </c>
      <c r="CC30" s="179">
        <f t="shared" si="53"/>
        <v>-0.19389187056027607</v>
      </c>
      <c r="CD30" s="179">
        <f t="shared" si="76"/>
        <v>-6.0279543328006883E-2</v>
      </c>
      <c r="CE30" s="179">
        <f t="shared" si="76"/>
        <v>-2.3926623053777119E-2</v>
      </c>
      <c r="CF30" s="194">
        <v>25.994288999999998</v>
      </c>
      <c r="CG30" s="175">
        <f>BB30-BE30</f>
        <v>-6</v>
      </c>
      <c r="CH30" s="194">
        <f>BC30-CF30</f>
        <v>-2.9942889999999984</v>
      </c>
      <c r="CI30" s="179">
        <v>-0.4</v>
      </c>
      <c r="CJ30" s="179">
        <f>(CH30-CH$54)/CH$55</f>
        <v>-0.27906024890372622</v>
      </c>
      <c r="CK30" s="175">
        <v>31</v>
      </c>
      <c r="CL30" s="189">
        <f t="shared" si="54"/>
        <v>0.37725284319765723</v>
      </c>
      <c r="CM30" s="179">
        <f t="shared" si="55"/>
        <v>-0.14386696470300761</v>
      </c>
      <c r="CN30" s="175">
        <v>11</v>
      </c>
      <c r="CO30" s="175">
        <v>24</v>
      </c>
      <c r="CP30" s="194">
        <v>27.2</v>
      </c>
      <c r="CQ30" s="194">
        <f t="shared" si="37"/>
        <v>152.19999999999999</v>
      </c>
      <c r="CR30" s="194">
        <f t="shared" si="22"/>
        <v>98.034452871072588</v>
      </c>
      <c r="CS30" s="194">
        <f t="shared" si="38"/>
        <v>54.1655471289274</v>
      </c>
      <c r="CT30" s="189">
        <f>(CS30-CS$56)/CS$57</f>
        <v>0.79292358843904576</v>
      </c>
      <c r="CU30" s="194">
        <v>1</v>
      </c>
      <c r="CV30" s="175">
        <f t="shared" si="60"/>
        <v>12</v>
      </c>
      <c r="CW30" s="180">
        <f t="shared" si="61"/>
        <v>0</v>
      </c>
      <c r="CX30" s="194">
        <f t="shared" si="62"/>
        <v>17.674729599999999</v>
      </c>
      <c r="CY30" s="175">
        <v>36</v>
      </c>
      <c r="CZ30" s="194">
        <f t="shared" si="63"/>
        <v>22.660784</v>
      </c>
      <c r="DA30" s="194">
        <f t="shared" si="23"/>
        <v>13.339216</v>
      </c>
      <c r="DB30" s="194">
        <f>D30*CN$56</f>
        <v>11.157464212678937</v>
      </c>
      <c r="DC30" s="194">
        <f>CN30-DB30</f>
        <v>-0.15746421267893673</v>
      </c>
      <c r="DD30" s="179">
        <f t="shared" si="64"/>
        <v>0.97965248451962417</v>
      </c>
      <c r="DE30" s="179">
        <f>(DC30-DC$53)/DC$54</f>
        <v>-1.4741206933011479E-2</v>
      </c>
      <c r="DF30" s="180">
        <f t="shared" si="24"/>
        <v>12</v>
      </c>
      <c r="DG30" s="194">
        <f t="shared" si="65"/>
        <v>-6.6747295999999992</v>
      </c>
      <c r="DH30" s="179">
        <f t="shared" si="66"/>
        <v>-0.2297364112747029</v>
      </c>
      <c r="DI30" s="179">
        <f t="shared" si="67"/>
        <v>1.0646245238685775E-2</v>
      </c>
      <c r="DJ30" s="194">
        <v>3</v>
      </c>
      <c r="DK30" s="194">
        <v>15</v>
      </c>
      <c r="DL30" s="194">
        <f t="shared" si="39"/>
        <v>19</v>
      </c>
      <c r="DM30" s="194">
        <f t="shared" si="25"/>
        <v>19.595265438786566</v>
      </c>
      <c r="DN30" s="194">
        <f t="shared" si="40"/>
        <v>-0.59526543878656568</v>
      </c>
      <c r="DO30" s="179">
        <f>(DN30-DM$57)/DM$58</f>
        <v>-3.5945592825143792E-2</v>
      </c>
      <c r="DP30" s="189">
        <f>(0.6*CT30)+(0.4*DO30)</f>
        <v>0.46137591593336991</v>
      </c>
      <c r="DQ30" s="189">
        <f t="shared" si="68"/>
        <v>0.13445714140871318</v>
      </c>
      <c r="DR30" s="179">
        <f t="shared" si="69"/>
        <v>-8.2061680726330258E-2</v>
      </c>
      <c r="DS30" s="179">
        <f t="shared" si="73"/>
        <v>0.27552587147168406</v>
      </c>
      <c r="DT30" s="179">
        <f>(0.6*CD30)+(0.4*DE30)</f>
        <v>-4.2064208770008722E-2</v>
      </c>
      <c r="DU30" s="175">
        <v>12</v>
      </c>
      <c r="DV30" s="175">
        <f>CK30-DU30</f>
        <v>19</v>
      </c>
      <c r="DW30" s="179">
        <v>0.88</v>
      </c>
      <c r="DX30" s="179">
        <v>0.112</v>
      </c>
      <c r="DY30" s="179">
        <f>(0.6*CJ30)+(0.4*DW30)</f>
        <v>0.18456385065776432</v>
      </c>
      <c r="DZ30" s="180">
        <v>0</v>
      </c>
      <c r="EA30" s="180">
        <v>0</v>
      </c>
      <c r="EB30" s="175">
        <v>14142</v>
      </c>
      <c r="EC30" s="180">
        <v>0</v>
      </c>
      <c r="ED30" s="180">
        <v>0</v>
      </c>
      <c r="EE30" s="180">
        <v>0</v>
      </c>
      <c r="EF30" s="180">
        <f t="shared" si="26"/>
        <v>0</v>
      </c>
      <c r="EG30" s="180">
        <f t="shared" si="70"/>
        <v>0</v>
      </c>
      <c r="EH30" s="180">
        <f>D30*EC$55</f>
        <v>9433.0306748466264</v>
      </c>
      <c r="EI30" s="180">
        <f t="shared" si="71"/>
        <v>21120</v>
      </c>
      <c r="EJ30" s="180">
        <f t="shared" si="29"/>
        <v>-21120</v>
      </c>
      <c r="EK30" s="180">
        <f t="shared" si="30"/>
        <v>0</v>
      </c>
      <c r="EL30" s="180">
        <f>EC30-EH30</f>
        <v>-9433.0306748466264</v>
      </c>
      <c r="EM30" s="195">
        <f t="shared" si="74"/>
        <v>-0.36149764046836297</v>
      </c>
      <c r="EN30" s="195">
        <f t="shared" si="75"/>
        <v>-0.38750034260363891</v>
      </c>
      <c r="EO30" s="195">
        <f>(EL30-EL$53)/EL$54</f>
        <v>-0.31672949417143759</v>
      </c>
      <c r="EP30" s="180">
        <v>15603.7394</v>
      </c>
      <c r="EQ30" s="175">
        <f>DZ30-EB30</f>
        <v>-14142</v>
      </c>
      <c r="ER30" s="180">
        <f t="shared" si="77"/>
        <v>-15603.7394</v>
      </c>
      <c r="ES30" s="179">
        <v>-0.23100000000000001</v>
      </c>
      <c r="ET30" s="179">
        <f>(ER30-ER$54)/ER$55</f>
        <v>-0.27592166275273378</v>
      </c>
      <c r="EU30" s="179">
        <f>(0.6*DT30)+(0.4*EO30)</f>
        <v>-0.15193032293058029</v>
      </c>
      <c r="EV30" s="179">
        <f t="shared" si="33"/>
        <v>2.0716466695665237E-2</v>
      </c>
      <c r="EW30" s="179">
        <f t="shared" si="34"/>
        <v>-0.1759288061043732</v>
      </c>
      <c r="EX30" s="180">
        <v>0</v>
      </c>
      <c r="EY30" s="180">
        <v>0</v>
      </c>
      <c r="EZ30" s="180">
        <f t="shared" si="41"/>
        <v>0</v>
      </c>
      <c r="FA30" s="180">
        <f t="shared" si="35"/>
        <v>42232.765980498378</v>
      </c>
      <c r="FB30" s="180">
        <f t="shared" si="42"/>
        <v>-42232.765980498378</v>
      </c>
      <c r="FC30" s="179">
        <f>(FB30-FB$56)/FB$57</f>
        <v>-0.38330467755007802</v>
      </c>
      <c r="FD30" s="179">
        <f>(0.6*DP30)+(0.4*FC30)</f>
        <v>0.1235036785399907</v>
      </c>
      <c r="FE30" s="179">
        <f t="shared" si="72"/>
        <v>-7.4325852196227671E-2</v>
      </c>
    </row>
    <row r="31" spans="1:161" x14ac:dyDescent="0.35">
      <c r="A31" s="188" t="s">
        <v>217</v>
      </c>
      <c r="B31" s="188" t="s">
        <v>112</v>
      </c>
      <c r="C31" s="175">
        <f t="shared" si="0"/>
        <v>29</v>
      </c>
      <c r="D31" s="175">
        <v>19</v>
      </c>
      <c r="E31" s="175">
        <v>29</v>
      </c>
      <c r="F31" s="175">
        <v>0</v>
      </c>
      <c r="G31" s="175">
        <v>0</v>
      </c>
      <c r="H31" s="189">
        <v>0.308</v>
      </c>
      <c r="I31" s="189">
        <v>0.37227880206691533</v>
      </c>
      <c r="J31" s="189">
        <f>(0.6*DY31)+(0.4*ET31)</f>
        <v>0.30975461287394845</v>
      </c>
      <c r="K31" s="190">
        <f>P31*AY$6</f>
        <v>0</v>
      </c>
      <c r="L31" s="191"/>
      <c r="M31" s="190" t="e">
        <f>AD31*AY$8</f>
        <v>#DIV/0!</v>
      </c>
      <c r="N31" s="185" t="e">
        <f>AE31*AY$2</f>
        <v>#DIV/0!</v>
      </c>
      <c r="O31" s="185" t="e">
        <f>N31-K31</f>
        <v>#DIV/0!</v>
      </c>
      <c r="P31" s="191">
        <f>C30*AF31</f>
        <v>1.9644888812273744</v>
      </c>
      <c r="Q31" s="191"/>
      <c r="R31" s="180">
        <v>16</v>
      </c>
      <c r="S31" s="185">
        <v>6314.8738883338719</v>
      </c>
      <c r="T31" s="192">
        <f>AC31*AY$39</f>
        <v>2525.7681853485069</v>
      </c>
      <c r="U31" s="192" t="e">
        <f>AN31*AY$19</f>
        <v>#DIV/0!</v>
      </c>
      <c r="V31" s="192" t="e">
        <f>SUM(W31:X31)</f>
        <v>#DIV/0!</v>
      </c>
      <c r="W31" s="190" t="e">
        <f>AO31*AY$34</f>
        <v>#DIV/0!</v>
      </c>
      <c r="X31" s="185"/>
      <c r="Y31" s="185">
        <f>AB31*AY$24</f>
        <v>-208.69672392276976</v>
      </c>
      <c r="Z31" s="185">
        <f>AVERAGE(S31,T31,Y31)</f>
        <v>2877.3151165865361</v>
      </c>
      <c r="AA31" s="306">
        <f>Z31-(AQ31*Z$55)</f>
        <v>2685.2696632068987</v>
      </c>
      <c r="AB31" s="180">
        <f>D31*AQ31</f>
        <v>-8.012335736971081E-2</v>
      </c>
      <c r="AC31" s="180">
        <f>D31*AR31</f>
        <v>0.77041927297298263</v>
      </c>
      <c r="AD31" s="180" t="e">
        <f>D31*AS31</f>
        <v>#DIV/0!</v>
      </c>
      <c r="AE31" s="180" t="e">
        <f>C31*AT31</f>
        <v>#DIV/0!</v>
      </c>
      <c r="AF31" s="180">
        <f>H31/AZ$3</f>
        <v>5.3094294087226337E-2</v>
      </c>
      <c r="AG31" s="180"/>
      <c r="AH31" s="180"/>
      <c r="AI31" s="180"/>
      <c r="AJ31" s="180"/>
      <c r="AK31" s="180"/>
      <c r="AL31" s="180"/>
      <c r="AM31" s="180"/>
      <c r="AN31" s="180" t="e">
        <f>D31*AU31</f>
        <v>#DIV/0!</v>
      </c>
      <c r="AO31" s="180" t="e">
        <f>D31*AV31</f>
        <v>#DIV/0!</v>
      </c>
      <c r="AP31" s="180"/>
      <c r="AQ31" s="180">
        <f>FE31/BA$30</f>
        <v>-4.2170188089321482E-3</v>
      </c>
      <c r="AR31" s="180">
        <f>EW31/BA$28</f>
        <v>4.0548382788051715E-2</v>
      </c>
      <c r="AS31" s="180" t="e">
        <f>I31/BA$6</f>
        <v>#DIV/0!</v>
      </c>
      <c r="AT31" s="180" t="e">
        <f>J31/BA$3</f>
        <v>#DIV/0!</v>
      </c>
      <c r="AU31" s="180" t="e">
        <f>EV31/BA$8</f>
        <v>#DIV/0!</v>
      </c>
      <c r="AV31" s="180" t="e">
        <f>DS31/BA$21</f>
        <v>#DIV/0!</v>
      </c>
      <c r="AW31" s="180"/>
      <c r="AX31" s="180"/>
      <c r="AY31" s="180"/>
      <c r="AZ31" s="180"/>
      <c r="BA31" s="180"/>
      <c r="BB31" s="180">
        <v>30</v>
      </c>
      <c r="BC31" s="180">
        <v>30</v>
      </c>
      <c r="BD31" s="180">
        <f>BB31-BC31</f>
        <v>0</v>
      </c>
      <c r="BE31" s="180">
        <v>20</v>
      </c>
      <c r="BF31" s="180">
        <v>31</v>
      </c>
      <c r="BG31" s="180">
        <v>49</v>
      </c>
      <c r="BH31" s="180">
        <v>22</v>
      </c>
      <c r="BI31" s="221">
        <v>18222.917416172881</v>
      </c>
      <c r="BJ31" s="307">
        <f>BM31*BP$4</f>
        <v>9861.8855760562583</v>
      </c>
      <c r="BK31" s="180">
        <f>AVERAGE(AA31,BI31,BJ31)</f>
        <v>10256.690885145346</v>
      </c>
      <c r="BL31" s="307">
        <f>BK31-(BN31*BK$55)</f>
        <v>14306.093507547164</v>
      </c>
      <c r="BM31" s="179">
        <f>R31*BN31</f>
        <v>0.99307960659892136</v>
      </c>
      <c r="BN31" s="179">
        <f>FD31/BP3</f>
        <v>6.2067475412432585E-2</v>
      </c>
      <c r="BQ31" s="175">
        <v>63</v>
      </c>
      <c r="BR31" s="175">
        <f t="shared" si="12"/>
        <v>85</v>
      </c>
      <c r="BS31" s="180">
        <f t="shared" si="50"/>
        <v>0</v>
      </c>
      <c r="BT31" s="194">
        <f t="shared" si="51"/>
        <v>27.293233999999998</v>
      </c>
      <c r="BU31" s="194">
        <f t="shared" si="52"/>
        <v>15.761007299999999</v>
      </c>
      <c r="BV31" s="194">
        <f t="shared" si="16"/>
        <v>85</v>
      </c>
      <c r="BW31" s="194">
        <f t="shared" si="17"/>
        <v>6.2389927000000007</v>
      </c>
      <c r="BX31" s="194">
        <f t="shared" si="18"/>
        <v>21.706766000000002</v>
      </c>
      <c r="BY31" s="194">
        <f>D31*BF$56</f>
        <v>18.611451942740288</v>
      </c>
      <c r="BZ31" s="175">
        <v>18</v>
      </c>
      <c r="CA31" s="194">
        <f>BF31-BY31</f>
        <v>12.388548057259712</v>
      </c>
      <c r="CB31" s="175">
        <f>BF31-BZ31</f>
        <v>13</v>
      </c>
      <c r="CC31" s="189">
        <f t="shared" si="53"/>
        <v>0.74292400321231788</v>
      </c>
      <c r="CD31" s="189">
        <f t="shared" si="76"/>
        <v>0.5742275623703087</v>
      </c>
      <c r="CE31" s="189">
        <f t="shared" si="76"/>
        <v>0.62368730760179036</v>
      </c>
      <c r="CF31" s="194">
        <v>20.373902000000001</v>
      </c>
      <c r="CG31" s="175">
        <f>BB31-BE31</f>
        <v>10</v>
      </c>
      <c r="CH31" s="194">
        <f>BC31-CF31</f>
        <v>9.6260979999999989</v>
      </c>
      <c r="CI31" s="179">
        <v>0.224</v>
      </c>
      <c r="CJ31" s="179">
        <f>(CH31-CH$54)/CH$55</f>
        <v>0.27458599730918315</v>
      </c>
      <c r="CK31" s="175">
        <v>21</v>
      </c>
      <c r="CL31" s="189">
        <f t="shared" si="54"/>
        <v>6.0701233767865792E-2</v>
      </c>
      <c r="CM31" s="189">
        <f t="shared" si="55"/>
        <v>0.21304618487320942</v>
      </c>
      <c r="CN31" s="175">
        <v>18</v>
      </c>
      <c r="CO31" s="175">
        <v>12</v>
      </c>
      <c r="CP31" s="194">
        <v>44</v>
      </c>
      <c r="CQ31" s="194">
        <f t="shared" si="37"/>
        <v>119</v>
      </c>
      <c r="CR31" s="194">
        <f t="shared" si="22"/>
        <v>54.087973997833153</v>
      </c>
      <c r="CS31" s="194">
        <f t="shared" si="38"/>
        <v>64.91202600216684</v>
      </c>
      <c r="CT31" s="189">
        <f>(CS31-CS$56)/CS$57</f>
        <v>0.95024013083399272</v>
      </c>
      <c r="CU31" s="194">
        <v>5</v>
      </c>
      <c r="CV31" s="175">
        <f t="shared" si="60"/>
        <v>23</v>
      </c>
      <c r="CW31" s="180">
        <f t="shared" si="61"/>
        <v>0</v>
      </c>
      <c r="CX31" s="194">
        <f t="shared" si="62"/>
        <v>10.494370699999999</v>
      </c>
      <c r="CY31" s="175">
        <v>29</v>
      </c>
      <c r="CZ31" s="194">
        <f t="shared" si="63"/>
        <v>13.4548405</v>
      </c>
      <c r="DA31" s="194">
        <f t="shared" si="23"/>
        <v>15.5451595</v>
      </c>
      <c r="DB31" s="194">
        <f>D31*CN$56</f>
        <v>6.6247443762781186</v>
      </c>
      <c r="DC31" s="194">
        <f>CN31-DB31</f>
        <v>11.37525562372188</v>
      </c>
      <c r="DD31" s="189">
        <f t="shared" si="64"/>
        <v>1.0908875775294615</v>
      </c>
      <c r="DE31" s="189">
        <f>(DC31-DC$53)/DC$54</f>
        <v>1.0649086177256659</v>
      </c>
      <c r="DF31" s="180">
        <f t="shared" si="24"/>
        <v>23</v>
      </c>
      <c r="DG31" s="194">
        <f t="shared" si="65"/>
        <v>7.5056293000000007</v>
      </c>
      <c r="DH31" s="189">
        <f t="shared" si="66"/>
        <v>0.45517868402090655</v>
      </c>
      <c r="DI31" s="179">
        <f t="shared" si="67"/>
        <v>0.79010911652445392</v>
      </c>
      <c r="DJ31" s="194">
        <v>7</v>
      </c>
      <c r="DK31" s="194">
        <v>4</v>
      </c>
      <c r="DL31" s="194">
        <f t="shared" si="39"/>
        <v>16</v>
      </c>
      <c r="DM31" s="194">
        <f t="shared" si="25"/>
        <v>10.811180931744312</v>
      </c>
      <c r="DN31" s="194">
        <f t="shared" si="40"/>
        <v>5.1888190682556878</v>
      </c>
      <c r="DO31" s="189">
        <f>(DN31-DM$57)/DM$58</f>
        <v>0.3133311046095128</v>
      </c>
      <c r="DP31" s="189">
        <f>(0.6*CT31)+(0.4*DO31)</f>
        <v>0.69547652034420071</v>
      </c>
      <c r="DQ31" s="189">
        <f t="shared" si="68"/>
        <v>0.2184922138690821</v>
      </c>
      <c r="DR31" s="189">
        <f t="shared" si="69"/>
        <v>0.44387135753370721</v>
      </c>
      <c r="DS31" s="189">
        <f t="shared" si="73"/>
        <v>0.88210943293917543</v>
      </c>
      <c r="DT31" s="189">
        <f>(0.6*CD31)+(0.4*DE31)</f>
        <v>0.77049998451245161</v>
      </c>
      <c r="DU31" s="175">
        <v>9</v>
      </c>
      <c r="DV31" s="175">
        <f>CK31-DU31</f>
        <v>12</v>
      </c>
      <c r="DW31" s="179">
        <v>1.1910000000000001</v>
      </c>
      <c r="DX31" s="179">
        <v>0.61099999999999999</v>
      </c>
      <c r="DY31" s="179">
        <f>(0.6*CJ31)+(0.4*DW31)</f>
        <v>0.64115159838550995</v>
      </c>
      <c r="DZ31" s="180">
        <v>0</v>
      </c>
      <c r="EA31" s="180">
        <v>0</v>
      </c>
      <c r="EB31" s="175">
        <v>9295</v>
      </c>
      <c r="EC31" s="180">
        <v>0</v>
      </c>
      <c r="ED31" s="180">
        <v>0</v>
      </c>
      <c r="EE31" s="180">
        <v>0</v>
      </c>
      <c r="EF31" s="180">
        <f t="shared" si="26"/>
        <v>0</v>
      </c>
      <c r="EG31" s="180">
        <f t="shared" si="70"/>
        <v>0</v>
      </c>
      <c r="EH31" s="180">
        <f>D31*EC$55</f>
        <v>5600.8619631901847</v>
      </c>
      <c r="EI31" s="180">
        <f t="shared" si="71"/>
        <v>12540</v>
      </c>
      <c r="EJ31" s="180">
        <f t="shared" si="29"/>
        <v>-12540</v>
      </c>
      <c r="EK31" s="180">
        <f t="shared" si="30"/>
        <v>0</v>
      </c>
      <c r="EL31" s="180">
        <f>EC31-EH31</f>
        <v>-5600.8619631901847</v>
      </c>
      <c r="EM31" s="195">
        <f t="shared" si="74"/>
        <v>-0.25663411013011705</v>
      </c>
      <c r="EN31" s="195">
        <f t="shared" si="75"/>
        <v>-0.38750034260363891</v>
      </c>
      <c r="EO31" s="195">
        <f>(EL31-EL$53)/EL$54</f>
        <v>-0.18933774181961077</v>
      </c>
      <c r="EP31" s="180">
        <v>10339.709999999999</v>
      </c>
      <c r="EQ31" s="175">
        <f>DZ31-EB31</f>
        <v>-9295</v>
      </c>
      <c r="ER31" s="180">
        <f t="shared" si="77"/>
        <v>-10339.709999999999</v>
      </c>
      <c r="ES31" s="179">
        <v>-0.14699999999999999</v>
      </c>
      <c r="ET31" s="179">
        <f>(ER31-ER$54)/ER$55</f>
        <v>-0.18734086539339379</v>
      </c>
      <c r="EU31" s="189">
        <f>(0.6*DT31)+(0.4*EO31)</f>
        <v>0.38656489397962668</v>
      </c>
      <c r="EV31" s="189">
        <f t="shared" si="33"/>
        <v>0.42661201571145846</v>
      </c>
      <c r="EW31" s="189">
        <f t="shared" si="34"/>
        <v>0.19058771779238001</v>
      </c>
      <c r="EX31" s="180">
        <v>5000</v>
      </c>
      <c r="EY31" s="180">
        <v>0</v>
      </c>
      <c r="EZ31" s="180">
        <f t="shared" si="41"/>
        <v>5000</v>
      </c>
      <c r="FA31" s="180">
        <f t="shared" si="35"/>
        <v>23300.836403033587</v>
      </c>
      <c r="FB31" s="180">
        <f t="shared" si="42"/>
        <v>-18300.836403033587</v>
      </c>
      <c r="FC31" s="179">
        <f>(FB31-FB$56)/FB$57</f>
        <v>-0.16609843171533467</v>
      </c>
      <c r="FD31" s="189">
        <f>(0.6*DP31)+(0.4*FC31)</f>
        <v>0.35084653952038652</v>
      </c>
      <c r="FE31" s="189">
        <f t="shared" si="72"/>
        <v>-2.3904808720006304E-2</v>
      </c>
    </row>
    <row r="32" spans="1:161" hidden="1" x14ac:dyDescent="0.35">
      <c r="A32" s="188" t="s">
        <v>217</v>
      </c>
      <c r="B32" s="188" t="s">
        <v>218</v>
      </c>
      <c r="C32" s="199">
        <f t="shared" si="0"/>
        <v>2</v>
      </c>
      <c r="D32" s="199">
        <v>2</v>
      </c>
      <c r="E32" s="175">
        <v>0</v>
      </c>
      <c r="F32" s="175">
        <v>2</v>
      </c>
      <c r="G32" s="175">
        <v>0</v>
      </c>
      <c r="K32" s="185"/>
      <c r="L32" s="191"/>
      <c r="M32" s="191"/>
      <c r="N32" s="185"/>
      <c r="O32" s="185"/>
      <c r="P32" s="191"/>
      <c r="Q32" s="191"/>
      <c r="R32" s="194"/>
      <c r="S32" s="185"/>
      <c r="T32" s="198"/>
      <c r="U32" s="198"/>
      <c r="V32" s="198"/>
      <c r="W32" s="185"/>
      <c r="X32" s="185"/>
      <c r="Y32" s="185"/>
      <c r="Z32" s="185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179"/>
      <c r="BN32" s="179"/>
      <c r="BR32" s="175">
        <f t="shared" si="12"/>
        <v>0</v>
      </c>
      <c r="BS32" s="180">
        <f t="shared" si="50"/>
        <v>0</v>
      </c>
      <c r="BT32" s="194">
        <f t="shared" si="51"/>
        <v>2.8729719999999999</v>
      </c>
      <c r="BU32" s="194">
        <f t="shared" si="52"/>
        <v>1.6590533999999999</v>
      </c>
      <c r="BV32" s="194">
        <f t="shared" si="16"/>
        <v>0</v>
      </c>
      <c r="BW32" s="194">
        <f t="shared" si="17"/>
        <v>-1.6590533999999999</v>
      </c>
      <c r="BX32" s="194">
        <f t="shared" si="18"/>
        <v>-2.8729719999999999</v>
      </c>
      <c r="BY32" s="194"/>
      <c r="CC32" s="179">
        <f t="shared" si="53"/>
        <v>-8.9135841282185393E-2</v>
      </c>
      <c r="CD32" s="179"/>
      <c r="CL32" s="179">
        <f t="shared" si="54"/>
        <v>-0.59556429797682386</v>
      </c>
      <c r="CM32" s="179">
        <f t="shared" si="55"/>
        <v>-0.14910333744322432</v>
      </c>
      <c r="CP32" s="194"/>
      <c r="CQ32" s="194">
        <f t="shared" si="37"/>
        <v>0</v>
      </c>
      <c r="CR32" s="194">
        <f t="shared" si="22"/>
        <v>0</v>
      </c>
      <c r="CS32" s="194">
        <f t="shared" si="38"/>
        <v>0</v>
      </c>
      <c r="CT32" s="179">
        <f t="shared" si="43"/>
        <v>4.6974779374770076E-17</v>
      </c>
      <c r="CU32" s="194"/>
      <c r="CV32" s="175">
        <f t="shared" si="60"/>
        <v>0</v>
      </c>
      <c r="CW32" s="180">
        <f t="shared" si="61"/>
        <v>0</v>
      </c>
      <c r="CX32" s="194">
        <f t="shared" si="62"/>
        <v>1.1046705999999999</v>
      </c>
      <c r="CZ32" s="194">
        <f t="shared" si="63"/>
        <v>1.416299</v>
      </c>
      <c r="DA32" s="194">
        <f t="shared" si="23"/>
        <v>-1.416299</v>
      </c>
      <c r="DB32" s="194"/>
      <c r="DC32" s="194"/>
      <c r="DD32" s="179">
        <f t="shared" si="64"/>
        <v>0.23560301841450917</v>
      </c>
      <c r="DE32" s="179"/>
      <c r="DF32" s="180">
        <f t="shared" si="24"/>
        <v>0</v>
      </c>
      <c r="DG32" s="194">
        <f t="shared" si="65"/>
        <v>-1.1046705999999999</v>
      </c>
      <c r="DH32" s="179">
        <f t="shared" si="66"/>
        <v>-0.97691651523354961</v>
      </c>
      <c r="DI32" s="179">
        <f t="shared" si="67"/>
        <v>0.31682003195230235</v>
      </c>
      <c r="DJ32" s="194"/>
      <c r="DK32" s="194"/>
      <c r="DL32" s="194">
        <f t="shared" si="39"/>
        <v>0</v>
      </c>
      <c r="DM32" s="194">
        <f t="shared" si="25"/>
        <v>0</v>
      </c>
      <c r="DN32" s="194">
        <f t="shared" si="40"/>
        <v>0</v>
      </c>
      <c r="DO32" s="179">
        <f t="shared" si="44"/>
        <v>0</v>
      </c>
      <c r="DP32" s="179">
        <f t="shared" si="45"/>
        <v>2.8184867624862046E-17</v>
      </c>
      <c r="DQ32" s="179">
        <f t="shared" si="68"/>
        <v>-0.74810518487951416</v>
      </c>
      <c r="DR32" s="179">
        <f t="shared" si="69"/>
        <v>3.7266010314986345E-2</v>
      </c>
      <c r="DS32" s="179">
        <f t="shared" si="73"/>
        <v>4.0759702596492441E-2</v>
      </c>
      <c r="DT32" s="179"/>
      <c r="DZ32" s="180"/>
      <c r="EA32" s="180">
        <v>0</v>
      </c>
      <c r="EF32" s="180">
        <f t="shared" si="26"/>
        <v>0</v>
      </c>
      <c r="EG32" s="180">
        <f t="shared" si="70"/>
        <v>0</v>
      </c>
      <c r="EI32" s="180">
        <f t="shared" si="71"/>
        <v>1320</v>
      </c>
      <c r="EJ32" s="180">
        <f t="shared" si="29"/>
        <v>-1320</v>
      </c>
      <c r="EK32" s="180">
        <f t="shared" si="30"/>
        <v>0</v>
      </c>
      <c r="EM32" s="195">
        <f t="shared" si="74"/>
        <v>-0.11950487814933393</v>
      </c>
      <c r="EN32" s="195">
        <f t="shared" si="75"/>
        <v>-0.38750034260363891</v>
      </c>
      <c r="EO32" s="195"/>
      <c r="ET32" s="179"/>
      <c r="EU32" s="179"/>
      <c r="EV32" s="179">
        <f t="shared" si="33"/>
        <v>-2.3346129701838112E-2</v>
      </c>
      <c r="EW32" s="179">
        <f t="shared" si="34"/>
        <v>2.2359606188991805E-2</v>
      </c>
      <c r="EX32" s="180"/>
      <c r="EY32" s="180"/>
      <c r="EZ32" s="180">
        <f t="shared" si="41"/>
        <v>0</v>
      </c>
      <c r="FA32" s="180">
        <f t="shared" si="35"/>
        <v>0</v>
      </c>
      <c r="FB32" s="180">
        <f t="shared" si="42"/>
        <v>0</v>
      </c>
      <c r="FC32" s="179">
        <f t="shared" si="48"/>
        <v>-5.3255328561799049E-18</v>
      </c>
      <c r="FD32" s="179">
        <f t="shared" si="49"/>
        <v>1.4780707432445267E-17</v>
      </c>
      <c r="FE32" s="179">
        <f t="shared" si="72"/>
        <v>-0.60386324796916402</v>
      </c>
    </row>
    <row r="33" spans="1:161" x14ac:dyDescent="0.35">
      <c r="A33" s="188" t="s">
        <v>217</v>
      </c>
      <c r="B33" s="188" t="s">
        <v>22</v>
      </c>
      <c r="C33" s="199">
        <v>0</v>
      </c>
      <c r="D33" s="199">
        <v>0</v>
      </c>
      <c r="K33" s="185"/>
      <c r="L33" s="191"/>
      <c r="M33" s="191"/>
      <c r="N33" s="185"/>
      <c r="O33" s="185"/>
      <c r="P33" s="191"/>
      <c r="Q33" s="191"/>
      <c r="R33" s="194">
        <v>28</v>
      </c>
      <c r="S33" s="185"/>
      <c r="T33" s="198"/>
      <c r="U33" s="198"/>
      <c r="V33" s="198"/>
      <c r="W33" s="185"/>
      <c r="X33" s="185"/>
      <c r="Y33" s="185"/>
      <c r="Z33" s="185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80"/>
      <c r="BK33" s="180"/>
      <c r="BL33" s="180"/>
      <c r="BM33" s="179"/>
      <c r="BN33" s="179"/>
      <c r="BQ33" s="175">
        <v>29</v>
      </c>
      <c r="BS33" s="180">
        <f t="shared" si="50"/>
        <v>0</v>
      </c>
      <c r="BT33" s="194">
        <f t="shared" si="51"/>
        <v>0</v>
      </c>
      <c r="BU33" s="194">
        <f t="shared" si="52"/>
        <v>0</v>
      </c>
      <c r="BV33" s="194"/>
      <c r="BW33" s="194">
        <f t="shared" si="17"/>
        <v>0</v>
      </c>
      <c r="BX33" s="194">
        <f t="shared" si="18"/>
        <v>0</v>
      </c>
      <c r="BY33" s="194"/>
      <c r="CC33" s="179">
        <f t="shared" si="53"/>
        <v>8.1184352099831561E-3</v>
      </c>
      <c r="CD33" s="179"/>
      <c r="CL33" s="179"/>
      <c r="CM33" s="179">
        <f t="shared" ref="CM33:CM52" si="78">(BW33-BW$53)/BW$54</f>
        <v>-7.3030674825130065E-2</v>
      </c>
      <c r="CO33" s="175">
        <v>25</v>
      </c>
      <c r="CP33" s="194">
        <v>18</v>
      </c>
      <c r="CQ33" s="194">
        <f t="shared" si="37"/>
        <v>72</v>
      </c>
      <c r="CR33" s="194">
        <f t="shared" si="22"/>
        <v>94.653954496208016</v>
      </c>
      <c r="CS33" s="194">
        <f t="shared" si="38"/>
        <v>-22.653954496208016</v>
      </c>
      <c r="CT33" s="179">
        <f>(CS33-CS$56)/CS$57</f>
        <v>-0.33162879069073325</v>
      </c>
      <c r="CU33" s="194">
        <v>3</v>
      </c>
      <c r="CW33" s="180">
        <f t="shared" si="61"/>
        <v>0</v>
      </c>
      <c r="CX33" s="194">
        <f t="shared" si="62"/>
        <v>0</v>
      </c>
      <c r="CZ33" s="194">
        <f t="shared" si="63"/>
        <v>0</v>
      </c>
      <c r="DA33" s="194">
        <f t="shared" si="23"/>
        <v>0</v>
      </c>
      <c r="DB33" s="194"/>
      <c r="DC33" s="194"/>
      <c r="DD33" s="179">
        <f t="shared" si="64"/>
        <v>0.30702014718264831</v>
      </c>
      <c r="DE33" s="179"/>
      <c r="DF33" s="180"/>
      <c r="DG33" s="194">
        <f t="shared" si="65"/>
        <v>0</v>
      </c>
      <c r="DH33" s="179"/>
      <c r="DI33" s="179">
        <f t="shared" ref="DI33:DI52" si="79">(DG33-DG$53)/DG$54</f>
        <v>0.37754132425337183</v>
      </c>
      <c r="DJ33" s="194">
        <v>3</v>
      </c>
      <c r="DK33" s="194">
        <v>16.329999999999998</v>
      </c>
      <c r="DL33" s="194">
        <f t="shared" si="39"/>
        <v>22.33</v>
      </c>
      <c r="DM33" s="194">
        <f t="shared" si="25"/>
        <v>18.919566630552545</v>
      </c>
      <c r="DN33" s="194">
        <f t="shared" si="40"/>
        <v>3.4104333694474533</v>
      </c>
      <c r="DO33" s="189">
        <f>(DN33-DM$57)/DM$58</f>
        <v>0.20594182236640216</v>
      </c>
      <c r="DP33" s="179">
        <f>(0.6*CT33)+(0.4*DO33)</f>
        <v>-0.11660054546787907</v>
      </c>
      <c r="DQ33" s="179"/>
      <c r="DR33" s="179">
        <f t="shared" ref="DR33:DR52" si="80">(0.6*CM33)+(0.4*DI33)</f>
        <v>0.10719812480627069</v>
      </c>
      <c r="DS33" s="179">
        <f t="shared" si="73"/>
        <v>0.12767911999904921</v>
      </c>
      <c r="DT33" s="179"/>
      <c r="DZ33" s="180"/>
      <c r="EA33" s="180"/>
      <c r="EE33" s="180">
        <v>0</v>
      </c>
      <c r="EG33" s="180">
        <f t="shared" si="70"/>
        <v>0</v>
      </c>
      <c r="EI33" s="180">
        <f t="shared" si="71"/>
        <v>0</v>
      </c>
      <c r="EJ33" s="180">
        <f t="shared" si="29"/>
        <v>0</v>
      </c>
      <c r="EM33" s="195">
        <f t="shared" ref="EM33:EM52" si="81">(EJ33-EJ$53)/EJ$54</f>
        <v>-0.10337202732806533</v>
      </c>
      <c r="EN33" s="195"/>
      <c r="EO33" s="195"/>
      <c r="ET33" s="179"/>
      <c r="EU33" s="179"/>
      <c r="EV33" s="179">
        <f t="shared" si="33"/>
        <v>3.5258661068203384E-2</v>
      </c>
      <c r="EW33" s="179">
        <f t="shared" si="34"/>
        <v>6.4318874883762409E-2</v>
      </c>
      <c r="EX33" s="180">
        <v>0</v>
      </c>
      <c r="EY33" s="180">
        <v>0</v>
      </c>
      <c r="EZ33" s="180">
        <f t="shared" si="41"/>
        <v>0</v>
      </c>
      <c r="FA33" s="180">
        <f t="shared" si="35"/>
        <v>40776.463705308779</v>
      </c>
      <c r="FB33" s="180">
        <f t="shared" si="42"/>
        <v>-40776.463705308779</v>
      </c>
      <c r="FC33" s="179">
        <f>(FB33-FB$56)/FB$57</f>
        <v>-0.3700872748759374</v>
      </c>
      <c r="FD33" s="179">
        <f>(0.6*DP33)+(0.4*FC33)</f>
        <v>-0.21799523723110242</v>
      </c>
      <c r="FE33" s="179"/>
    </row>
    <row r="34" spans="1:161" x14ac:dyDescent="0.35">
      <c r="A34" s="197" t="s">
        <v>219</v>
      </c>
      <c r="B34" s="197" t="s">
        <v>96</v>
      </c>
      <c r="C34" s="175">
        <f t="shared" si="0"/>
        <v>98</v>
      </c>
      <c r="D34" s="175">
        <v>96</v>
      </c>
      <c r="E34" s="175">
        <v>79</v>
      </c>
      <c r="F34" s="175">
        <v>19</v>
      </c>
      <c r="G34" s="175">
        <v>0</v>
      </c>
      <c r="H34" s="179">
        <v>-0.153</v>
      </c>
      <c r="I34" s="179">
        <v>-0.84461889415694547</v>
      </c>
      <c r="J34" s="179">
        <f t="shared" ref="J34:J42" si="82">(0.6*DY34)+(0.4*ET34)</f>
        <v>-0.24982004266338931</v>
      </c>
      <c r="K34" s="185"/>
      <c r="L34" s="191"/>
      <c r="M34" s="191"/>
      <c r="N34" s="185"/>
      <c r="O34" s="185"/>
      <c r="P34" s="191"/>
      <c r="Q34" s="191"/>
      <c r="R34" s="180">
        <v>74</v>
      </c>
      <c r="S34" s="185"/>
      <c r="T34" s="198"/>
      <c r="U34" s="198"/>
      <c r="V34" s="198"/>
      <c r="W34" s="185"/>
      <c r="X34" s="185"/>
      <c r="Y34" s="185"/>
      <c r="Z34" s="185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308"/>
      <c r="AZ34" s="180"/>
      <c r="BA34" s="180"/>
      <c r="BB34" s="180">
        <v>48</v>
      </c>
      <c r="BC34" s="180">
        <v>47</v>
      </c>
      <c r="BD34" s="180">
        <f t="shared" ref="BD34:BD42" si="83">BB34-BC34</f>
        <v>1</v>
      </c>
      <c r="BE34" s="180">
        <v>67</v>
      </c>
      <c r="BF34" s="180">
        <v>52</v>
      </c>
      <c r="BG34" s="180">
        <v>80</v>
      </c>
      <c r="BH34" s="180">
        <v>46</v>
      </c>
      <c r="BI34" s="180"/>
      <c r="BJ34" s="180"/>
      <c r="BK34" s="180"/>
      <c r="BL34" s="180"/>
      <c r="BM34" s="179"/>
      <c r="BN34" s="179"/>
      <c r="BQ34" s="175">
        <v>66</v>
      </c>
      <c r="BR34" s="175">
        <f t="shared" si="12"/>
        <v>112</v>
      </c>
      <c r="BS34" s="180">
        <f t="shared" si="50"/>
        <v>0</v>
      </c>
      <c r="BT34" s="194">
        <f t="shared" si="51"/>
        <v>137.90265599999998</v>
      </c>
      <c r="BU34" s="194">
        <f t="shared" si="52"/>
        <v>79.634563200000002</v>
      </c>
      <c r="BV34" s="194">
        <f t="shared" si="16"/>
        <v>112</v>
      </c>
      <c r="BW34" s="194">
        <f t="shared" si="17"/>
        <v>-33.634563200000002</v>
      </c>
      <c r="BX34" s="194">
        <f t="shared" si="18"/>
        <v>-57.902655999999979</v>
      </c>
      <c r="BY34" s="194">
        <f>D34*BF$56</f>
        <v>94.036809815950932</v>
      </c>
      <c r="BZ34" s="175">
        <v>93</v>
      </c>
      <c r="CA34" s="194">
        <f>BF34-BY34</f>
        <v>-42.036809815950932</v>
      </c>
      <c r="CB34" s="175">
        <f>BF34-BZ34</f>
        <v>-41</v>
      </c>
      <c r="CC34" s="179">
        <f t="shared" si="53"/>
        <v>-1.9519706002052315</v>
      </c>
      <c r="CD34" s="179">
        <f>(CA34-CA$53)/CA$54</f>
        <v>-1.9401816262918379</v>
      </c>
      <c r="CE34" s="179">
        <f>(CB34-CB$53)/CB$54</f>
        <v>-1.8742521392125413</v>
      </c>
      <c r="CF34" s="194">
        <v>68.849739</v>
      </c>
      <c r="CG34" s="175">
        <f t="shared" ref="CG34:CG42" si="84">BB34-BE34</f>
        <v>-19</v>
      </c>
      <c r="CH34" s="194">
        <f t="shared" ref="CH34:CH42" si="85">BC34-CF34</f>
        <v>-21.849739</v>
      </c>
      <c r="CI34" s="179">
        <v>-0.90600000000000003</v>
      </c>
      <c r="CJ34" s="179">
        <f t="shared" ref="CJ34:CJ42" si="86">(CH34-CH$54)/CH$55</f>
        <v>-1.1062337035018464</v>
      </c>
      <c r="CK34" s="175">
        <v>38</v>
      </c>
      <c r="CL34" s="179">
        <f t="shared" ref="CL34:CL52" si="87">(BV34-BV$53)/BV$54</f>
        <v>0.26916204973382601</v>
      </c>
      <c r="CM34" s="179">
        <f t="shared" si="78"/>
        <v>-1.6152780663922548</v>
      </c>
      <c r="CN34" s="175">
        <v>20</v>
      </c>
      <c r="CO34" s="175">
        <v>38</v>
      </c>
      <c r="CP34" s="194">
        <v>35.5</v>
      </c>
      <c r="CQ34" s="194">
        <f t="shared" si="37"/>
        <v>139.5</v>
      </c>
      <c r="CR34" s="194">
        <f t="shared" si="22"/>
        <v>250.15687973997834</v>
      </c>
      <c r="CS34" s="194">
        <f t="shared" si="38"/>
        <v>-110.65687973997834</v>
      </c>
      <c r="CT34" s="179">
        <f>(CS34-CS$56)/CS$57</f>
        <v>-1.6198940991040454</v>
      </c>
      <c r="CU34" s="194">
        <v>14</v>
      </c>
      <c r="CV34" s="175">
        <f t="shared" ref="CV34:CV52" si="88">CN34+CU34</f>
        <v>34</v>
      </c>
      <c r="CW34" s="180">
        <f t="shared" si="61"/>
        <v>0</v>
      </c>
      <c r="CX34" s="194">
        <f t="shared" si="62"/>
        <v>53.024188799999997</v>
      </c>
      <c r="CY34" s="175">
        <v>32</v>
      </c>
      <c r="CZ34" s="194">
        <f t="shared" si="63"/>
        <v>67.982351999999992</v>
      </c>
      <c r="DA34" s="194">
        <f t="shared" si="23"/>
        <v>-35.982351999999992</v>
      </c>
      <c r="DB34" s="194">
        <f>D34*CN$56</f>
        <v>33.472392638036808</v>
      </c>
      <c r="DC34" s="194">
        <f>CN34-DB34</f>
        <v>-13.472392638036808</v>
      </c>
      <c r="DD34" s="179">
        <f t="shared" si="64"/>
        <v>-1.5073963469082938</v>
      </c>
      <c r="DE34" s="179">
        <f>(DC34-DC$53)/DC$54</f>
        <v>-1.261234691878955</v>
      </c>
      <c r="DF34" s="180">
        <f t="shared" si="24"/>
        <v>34</v>
      </c>
      <c r="DG34" s="194">
        <f t="shared" si="65"/>
        <v>-33.024188799999997</v>
      </c>
      <c r="DH34" s="179">
        <f t="shared" ref="DH34:DH52" si="89">(DF34-DF$53)/DF$54</f>
        <v>1.140093779316516</v>
      </c>
      <c r="DI34" s="179">
        <f t="shared" si="79"/>
        <v>-1.4377250738299168</v>
      </c>
      <c r="DJ34" s="194">
        <v>7</v>
      </c>
      <c r="DK34" s="194">
        <v>15</v>
      </c>
      <c r="DL34" s="194">
        <f t="shared" si="39"/>
        <v>36</v>
      </c>
      <c r="DM34" s="194">
        <f t="shared" si="25"/>
        <v>50.001711809317442</v>
      </c>
      <c r="DN34" s="194">
        <f t="shared" si="40"/>
        <v>-14.001711809317442</v>
      </c>
      <c r="DO34" s="179">
        <f>(DN34-DM$57)/DM$58</f>
        <v>-0.84550487691456899</v>
      </c>
      <c r="DP34" s="179">
        <f>(0.6*CT34)+(0.4*DO34)</f>
        <v>-1.3101384102282547</v>
      </c>
      <c r="DQ34" s="179">
        <f t="shared" ref="DQ34:DQ52" si="90">(0.6*CL34)+(0.4*DH34)</f>
        <v>0.61753474156690202</v>
      </c>
      <c r="DR34" s="179">
        <f t="shared" si="80"/>
        <v>-1.5442568693673195</v>
      </c>
      <c r="DS34" s="179">
        <f t="shared" si="73"/>
        <v>-1.7741408988864564</v>
      </c>
      <c r="DT34" s="179">
        <f>(0.6*CD34)+(0.4*DE34)</f>
        <v>-1.6686028525266847</v>
      </c>
      <c r="DU34" s="175">
        <v>31</v>
      </c>
      <c r="DV34" s="175">
        <f t="shared" ref="DV34:DV42" si="91">CK34-DU34</f>
        <v>7</v>
      </c>
      <c r="DW34" s="179">
        <v>-0.78</v>
      </c>
      <c r="DX34" s="179">
        <v>-0.85599999999999998</v>
      </c>
      <c r="DY34" s="179">
        <f t="shared" ref="DY34:DY42" si="92">(0.6*CJ34)+(0.4*DW34)</f>
        <v>-0.97574022210110789</v>
      </c>
      <c r="DZ34" s="180">
        <v>126921</v>
      </c>
      <c r="EA34" s="180">
        <v>126921</v>
      </c>
      <c r="EB34" s="175">
        <v>75723</v>
      </c>
      <c r="EC34" s="180">
        <v>52725</v>
      </c>
      <c r="ED34" s="180">
        <v>58601</v>
      </c>
      <c r="EE34" s="180">
        <v>5815</v>
      </c>
      <c r="EF34" s="180">
        <f t="shared" si="26"/>
        <v>58540</v>
      </c>
      <c r="EG34" s="180">
        <f t="shared" si="70"/>
        <v>0</v>
      </c>
      <c r="EH34" s="180">
        <f>D34*EC$55</f>
        <v>28299.092024539881</v>
      </c>
      <c r="EI34" s="180">
        <f t="shared" si="71"/>
        <v>63360</v>
      </c>
      <c r="EJ34" s="180">
        <f t="shared" si="29"/>
        <v>-4759</v>
      </c>
      <c r="EK34" s="180">
        <f t="shared" si="30"/>
        <v>58540</v>
      </c>
      <c r="EL34" s="180">
        <f>EC34-EH34</f>
        <v>24425.907975460119</v>
      </c>
      <c r="EM34" s="195">
        <f t="shared" si="81"/>
        <v>-0.16153584328141177</v>
      </c>
      <c r="EN34" s="195">
        <f>(EK34-EK$53)/EK$54</f>
        <v>0.36244866371970819</v>
      </c>
      <c r="EO34" s="196">
        <f>(EL34-EL$53)/EL$54</f>
        <v>0.8088340840487771</v>
      </c>
      <c r="EP34" s="180">
        <v>76265.486600000004</v>
      </c>
      <c r="EQ34" s="175">
        <f t="shared" ref="EQ34:EQ42" si="93">DZ34-EB34</f>
        <v>51198</v>
      </c>
      <c r="ER34" s="180">
        <f t="shared" si="77"/>
        <v>50655.513399999996</v>
      </c>
      <c r="ES34" s="179">
        <v>0.90100000000000002</v>
      </c>
      <c r="ET34" s="179">
        <f t="shared" ref="ET34:ET42" si="94">(ER34-ER$54)/ER$55</f>
        <v>0.83906022649318845</v>
      </c>
      <c r="EU34" s="179">
        <f t="shared" ref="EU34:EU42" si="95">(0.6*DT34)+(0.4*EO34)</f>
        <v>-0.67762807789649981</v>
      </c>
      <c r="EV34" s="179">
        <f t="shared" si="33"/>
        <v>-1.1290988766444385</v>
      </c>
      <c r="EW34" s="179">
        <f t="shared" si="34"/>
        <v>-0.60302048800088071</v>
      </c>
      <c r="EX34" s="180">
        <v>58520</v>
      </c>
      <c r="EY34" s="180">
        <v>26985</v>
      </c>
      <c r="EZ34" s="180">
        <f t="shared" si="41"/>
        <v>91320</v>
      </c>
      <c r="FA34" s="180">
        <f t="shared" si="35"/>
        <v>107766.36836403034</v>
      </c>
      <c r="FB34" s="180">
        <f t="shared" si="42"/>
        <v>-16446.368364030335</v>
      </c>
      <c r="FC34" s="179">
        <f>(FB34-FB$56)/FB$57</f>
        <v>-0.14926727568720946</v>
      </c>
      <c r="FD34" s="179">
        <f>(0.6*DP34)+(0.4*FC34)</f>
        <v>-0.84578995641183652</v>
      </c>
      <c r="FE34" s="179">
        <f t="shared" ref="FE34:FE52" si="96">(0.6*DQ34)+(0.4*EN34)</f>
        <v>0.51550031042802447</v>
      </c>
    </row>
    <row r="35" spans="1:161" x14ac:dyDescent="0.35">
      <c r="A35" s="188" t="s">
        <v>219</v>
      </c>
      <c r="B35" s="188" t="s">
        <v>22</v>
      </c>
      <c r="C35" s="175">
        <v>7</v>
      </c>
      <c r="D35" s="175">
        <v>5</v>
      </c>
      <c r="E35" s="175">
        <v>7</v>
      </c>
      <c r="F35" s="175">
        <v>0</v>
      </c>
      <c r="G35" s="175">
        <v>15</v>
      </c>
      <c r="H35" s="179">
        <v>-8.6999999999999994E-2</v>
      </c>
      <c r="I35" s="179">
        <v>1.4588523078287067E-2</v>
      </c>
      <c r="J35" s="179">
        <f t="shared" si="82"/>
        <v>-9.1734409380660048E-2</v>
      </c>
      <c r="K35" s="198"/>
      <c r="L35" s="191" t="e">
        <f>C34*Q35</f>
        <v>#REF!</v>
      </c>
      <c r="M35" s="191"/>
      <c r="N35" s="185"/>
      <c r="O35" s="185"/>
      <c r="P35" s="191"/>
      <c r="Q35" s="191" t="e">
        <f>#REF!/AZ2</f>
        <v>#REF!</v>
      </c>
      <c r="R35" s="180">
        <v>5</v>
      </c>
      <c r="S35" s="185"/>
      <c r="T35" s="198">
        <v>0</v>
      </c>
      <c r="U35" s="198"/>
      <c r="V35" s="198"/>
      <c r="W35" s="185"/>
      <c r="X35" s="185"/>
      <c r="Y35" s="185"/>
      <c r="Z35" s="185"/>
      <c r="AA35" s="180">
        <v>0</v>
      </c>
      <c r="AB35" s="180"/>
      <c r="AC35" s="180"/>
      <c r="AD35" s="180"/>
      <c r="AE35" s="180"/>
      <c r="AF35" s="180"/>
      <c r="AG35" s="180" t="e">
        <f>(0.6*AJ35)+(0.4*#REF!)</f>
        <v>#REF!</v>
      </c>
      <c r="AH35" s="180">
        <v>1.0129999999999999</v>
      </c>
      <c r="AI35" s="180">
        <f>AH35/G35</f>
        <v>6.753333333333332E-2</v>
      </c>
      <c r="AJ35" s="180">
        <f>AI35/AI54</f>
        <v>4.3527461739269586E-2</v>
      </c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308"/>
      <c r="AZ35" s="180"/>
      <c r="BA35" s="180"/>
      <c r="BB35" s="180">
        <v>4</v>
      </c>
      <c r="BC35" s="180">
        <v>4</v>
      </c>
      <c r="BD35" s="180">
        <f t="shared" si="83"/>
        <v>0</v>
      </c>
      <c r="BE35" s="180">
        <v>5</v>
      </c>
      <c r="BF35" s="180">
        <v>4</v>
      </c>
      <c r="BG35" s="180">
        <v>7</v>
      </c>
      <c r="BH35" s="180">
        <v>4</v>
      </c>
      <c r="BI35" s="221">
        <v>14063.471643428211</v>
      </c>
      <c r="BJ35" s="180">
        <f>BM35*BP$4</f>
        <v>0</v>
      </c>
      <c r="BK35" s="180">
        <f>AVERAGE(T35,AA35,BJ35)</f>
        <v>0</v>
      </c>
      <c r="BL35" s="180">
        <f>BK35-(BN35*BK$55)</f>
        <v>0</v>
      </c>
      <c r="BM35" s="179"/>
      <c r="BN35" s="179"/>
      <c r="BQ35" s="175">
        <v>22</v>
      </c>
      <c r="BR35" s="175">
        <f t="shared" si="12"/>
        <v>26</v>
      </c>
      <c r="BS35" s="180">
        <f t="shared" si="50"/>
        <v>0</v>
      </c>
      <c r="BT35" s="194">
        <f t="shared" si="51"/>
        <v>7.1824300000000001</v>
      </c>
      <c r="BU35" s="194">
        <f t="shared" si="52"/>
        <v>4.1476334999999995</v>
      </c>
      <c r="BV35" s="194">
        <f t="shared" si="16"/>
        <v>26</v>
      </c>
      <c r="BW35" s="194">
        <f t="shared" si="17"/>
        <v>-0.14763349999999953</v>
      </c>
      <c r="BX35" s="194">
        <f t="shared" si="18"/>
        <v>-0.18243000000000009</v>
      </c>
      <c r="BY35" s="194">
        <f>D35*BF$56</f>
        <v>4.8977505112474438</v>
      </c>
      <c r="BZ35" s="175">
        <v>5</v>
      </c>
      <c r="CA35" s="194">
        <f>BF35-BY35</f>
        <v>-0.89775051124744376</v>
      </c>
      <c r="CB35" s="175">
        <f>BF35-BZ35</f>
        <v>-1</v>
      </c>
      <c r="CC35" s="179">
        <f t="shared" si="53"/>
        <v>1.9429146478383401E-3</v>
      </c>
      <c r="CD35" s="179">
        <f>(CA35-CA$53)/CA$54</f>
        <v>-3.9589094229148705E-2</v>
      </c>
      <c r="CE35" s="179">
        <f>(CB35-CB$53)/CB$54</f>
        <v>-2.3926623053777119E-2</v>
      </c>
      <c r="CF35" s="194">
        <v>4.9178389999999998</v>
      </c>
      <c r="CG35" s="175">
        <f t="shared" si="84"/>
        <v>-1</v>
      </c>
      <c r="CH35" s="194">
        <f t="shared" si="85"/>
        <v>-0.91783899999999985</v>
      </c>
      <c r="CI35" s="179">
        <v>-0.20499999999999999</v>
      </c>
      <c r="CJ35" s="179">
        <f t="shared" si="86"/>
        <v>-0.1879680543498829</v>
      </c>
      <c r="CK35" s="175">
        <v>16</v>
      </c>
      <c r="CL35" s="179">
        <f t="shared" si="87"/>
        <v>-0.39482425297256579</v>
      </c>
      <c r="CM35" s="179">
        <f t="shared" si="78"/>
        <v>-7.9800121448504818E-2</v>
      </c>
      <c r="CN35" s="175">
        <v>2</v>
      </c>
      <c r="CO35" s="175">
        <v>16</v>
      </c>
      <c r="CP35" s="194">
        <v>21</v>
      </c>
      <c r="CQ35" s="194">
        <f t="shared" si="37"/>
        <v>59</v>
      </c>
      <c r="CR35" s="194">
        <f t="shared" si="22"/>
        <v>16.902491874322859</v>
      </c>
      <c r="CS35" s="194">
        <f t="shared" si="38"/>
        <v>42.097508125677138</v>
      </c>
      <c r="CT35" s="189">
        <f>(CS35-CS$56)/CS$57</f>
        <v>0.61626087017824982</v>
      </c>
      <c r="CU35" s="194">
        <v>1</v>
      </c>
      <c r="CV35" s="175">
        <f t="shared" si="88"/>
        <v>3</v>
      </c>
      <c r="CW35" s="180">
        <f t="shared" si="61"/>
        <v>0</v>
      </c>
      <c r="CX35" s="194">
        <f t="shared" si="62"/>
        <v>2.7616765000000001</v>
      </c>
      <c r="CY35" s="175">
        <v>3</v>
      </c>
      <c r="CZ35" s="194">
        <f t="shared" si="63"/>
        <v>3.5407475000000002</v>
      </c>
      <c r="DA35" s="194">
        <f t="shared" si="23"/>
        <v>-0.54074750000000016</v>
      </c>
      <c r="DB35" s="194">
        <f>D35*CN$56</f>
        <v>1.7433537832310839</v>
      </c>
      <c r="DC35" s="194">
        <f>CN35-DB35</f>
        <v>0.25664621676891608</v>
      </c>
      <c r="DD35" s="179">
        <f t="shared" si="64"/>
        <v>0.27975285839790065</v>
      </c>
      <c r="DE35" s="179">
        <f>(DC35-DC$53)/DC$54</f>
        <v>2.4026252858349851E-2</v>
      </c>
      <c r="DF35" s="180">
        <f t="shared" si="24"/>
        <v>3</v>
      </c>
      <c r="DG35" s="194">
        <f t="shared" si="65"/>
        <v>-0.76167650000000009</v>
      </c>
      <c r="DH35" s="179">
        <f t="shared" si="89"/>
        <v>-0.79012148924383785</v>
      </c>
      <c r="DI35" s="179">
        <f t="shared" si="79"/>
        <v>0.33567365673750277</v>
      </c>
      <c r="DJ35" s="194">
        <v>0</v>
      </c>
      <c r="DK35" s="194">
        <v>2</v>
      </c>
      <c r="DL35" s="194">
        <f t="shared" si="39"/>
        <v>3</v>
      </c>
      <c r="DM35" s="194">
        <f t="shared" si="25"/>
        <v>3.3784940411700974</v>
      </c>
      <c r="DN35" s="194">
        <f t="shared" si="40"/>
        <v>-0.37849404117009744</v>
      </c>
      <c r="DO35" s="179">
        <f>(DN35-DM$57)/DM$58</f>
        <v>-2.2855673795504391E-2</v>
      </c>
      <c r="DP35" s="179">
        <f>(0.6*CT35)+(0.4*DO35)</f>
        <v>0.36061425258874813</v>
      </c>
      <c r="DQ35" s="179">
        <f t="shared" si="90"/>
        <v>-0.55294314748107465</v>
      </c>
      <c r="DR35" s="179">
        <f t="shared" si="80"/>
        <v>8.6389389825898222E-2</v>
      </c>
      <c r="DS35" s="179">
        <f t="shared" si="73"/>
        <v>0.11306689214786327</v>
      </c>
      <c r="DT35" s="179">
        <f>(0.6*CD35)+(0.4*DE35)</f>
        <v>-1.4142955394149281E-2</v>
      </c>
      <c r="DU35" s="175">
        <v>2</v>
      </c>
      <c r="DV35" s="175">
        <f t="shared" si="91"/>
        <v>14</v>
      </c>
      <c r="DW35" s="179">
        <v>-5.3999999999999999E-2</v>
      </c>
      <c r="DX35" s="179">
        <v>-0.14399999999999999</v>
      </c>
      <c r="DY35" s="179">
        <f t="shared" si="92"/>
        <v>-0.13438083260992972</v>
      </c>
      <c r="DZ35" s="180">
        <v>0</v>
      </c>
      <c r="EA35" s="180">
        <v>0</v>
      </c>
      <c r="EB35" s="175">
        <v>803</v>
      </c>
      <c r="EC35" s="180">
        <v>4156</v>
      </c>
      <c r="ED35" s="180">
        <v>4156</v>
      </c>
      <c r="EE35" s="180">
        <v>0</v>
      </c>
      <c r="EF35" s="180">
        <f t="shared" si="26"/>
        <v>4156</v>
      </c>
      <c r="EG35" s="180">
        <f t="shared" si="70"/>
        <v>0</v>
      </c>
      <c r="EH35" s="180">
        <f>D35*EC$55</f>
        <v>1473.9110429447853</v>
      </c>
      <c r="EI35" s="180">
        <f t="shared" si="71"/>
        <v>3300</v>
      </c>
      <c r="EJ35" s="180">
        <f t="shared" si="29"/>
        <v>856</v>
      </c>
      <c r="EK35" s="180">
        <f t="shared" si="30"/>
        <v>4156</v>
      </c>
      <c r="EL35" s="180">
        <f>EC35-EH35</f>
        <v>2682.0889570552145</v>
      </c>
      <c r="EM35" s="195">
        <f t="shared" si="81"/>
        <v>-9.291011800760629E-2</v>
      </c>
      <c r="EN35" s="195">
        <f>(EK35-EK$53)/EK$54</f>
        <v>-0.33425831885441049</v>
      </c>
      <c r="EO35" s="196">
        <f>(EL35-EL$53)/EL$54</f>
        <v>8.6010164749497575E-2</v>
      </c>
      <c r="EP35" s="180">
        <v>856.69269999999995</v>
      </c>
      <c r="EQ35" s="175">
        <f t="shared" si="93"/>
        <v>-803</v>
      </c>
      <c r="ER35" s="180">
        <f t="shared" si="77"/>
        <v>-856.69269999999995</v>
      </c>
      <c r="ES35" s="179">
        <v>0</v>
      </c>
      <c r="ET35" s="179">
        <f t="shared" si="94"/>
        <v>-2.7764774536755538E-2</v>
      </c>
      <c r="EU35" s="179">
        <f t="shared" si="95"/>
        <v>2.5918292663309465E-2</v>
      </c>
      <c r="EV35" s="179">
        <f t="shared" si="33"/>
        <v>3.0676088085675443E-2</v>
      </c>
      <c r="EW35" s="179">
        <f t="shared" si="34"/>
        <v>8.6237699795337963E-2</v>
      </c>
      <c r="EX35" s="180">
        <v>0</v>
      </c>
      <c r="EY35" s="180">
        <v>0</v>
      </c>
      <c r="EZ35" s="180">
        <f t="shared" si="41"/>
        <v>0</v>
      </c>
      <c r="FA35" s="180">
        <f t="shared" si="35"/>
        <v>7281.5113759479955</v>
      </c>
      <c r="FB35" s="180">
        <f t="shared" si="42"/>
        <v>-7281.5113759479955</v>
      </c>
      <c r="FC35" s="179">
        <f>(FB35-FB$56)/FB$57</f>
        <v>-6.6087013370703107E-2</v>
      </c>
      <c r="FD35" s="179">
        <f>(0.6*DP35)+(0.4*FC35)</f>
        <v>0.18993374620496764</v>
      </c>
      <c r="FE35" s="179">
        <f t="shared" si="96"/>
        <v>-0.46546921603040903</v>
      </c>
    </row>
    <row r="36" spans="1:161" hidden="1" x14ac:dyDescent="0.35">
      <c r="A36" s="188" t="s">
        <v>221</v>
      </c>
      <c r="B36" s="188" t="s">
        <v>222</v>
      </c>
      <c r="C36" s="175">
        <v>5</v>
      </c>
      <c r="D36" s="199">
        <v>0</v>
      </c>
      <c r="E36" s="175">
        <v>5</v>
      </c>
      <c r="F36" s="175">
        <v>0</v>
      </c>
      <c r="G36" s="175">
        <v>8</v>
      </c>
      <c r="H36" s="179">
        <v>-0.109</v>
      </c>
      <c r="I36" s="179">
        <v>0</v>
      </c>
      <c r="J36" s="179">
        <f t="shared" si="82"/>
        <v>-0.1232272329210564</v>
      </c>
      <c r="K36" s="198"/>
      <c r="L36" s="191"/>
      <c r="M36" s="191"/>
      <c r="N36" s="185"/>
      <c r="O36" s="185"/>
      <c r="P36" s="191"/>
      <c r="Q36" s="191"/>
      <c r="R36" s="180"/>
      <c r="S36" s="185"/>
      <c r="T36" s="198"/>
      <c r="U36" s="198"/>
      <c r="V36" s="198"/>
      <c r="W36" s="185"/>
      <c r="X36" s="185"/>
      <c r="Y36" s="185"/>
      <c r="Z36" s="185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>
        <v>2</v>
      </c>
      <c r="BC36" s="180">
        <v>2</v>
      </c>
      <c r="BD36" s="180">
        <f t="shared" si="83"/>
        <v>0</v>
      </c>
      <c r="BE36" s="180">
        <v>3</v>
      </c>
      <c r="BF36" s="180"/>
      <c r="BG36" s="180"/>
      <c r="BH36" s="180"/>
      <c r="BI36" s="180"/>
      <c r="BJ36" s="180"/>
      <c r="BK36" s="180"/>
      <c r="BL36" s="180"/>
      <c r="BM36" s="179"/>
      <c r="BN36" s="179"/>
      <c r="BR36" s="175">
        <f t="shared" si="12"/>
        <v>0</v>
      </c>
      <c r="BS36" s="180">
        <f t="shared" si="50"/>
        <v>0</v>
      </c>
      <c r="BT36" s="194">
        <f t="shared" si="51"/>
        <v>0</v>
      </c>
      <c r="BU36" s="194">
        <f t="shared" si="52"/>
        <v>0</v>
      </c>
      <c r="BV36" s="194">
        <f t="shared" si="16"/>
        <v>0</v>
      </c>
      <c r="BW36" s="194">
        <f t="shared" si="17"/>
        <v>0</v>
      </c>
      <c r="BX36" s="194">
        <f t="shared" si="18"/>
        <v>0</v>
      </c>
      <c r="BY36" s="194"/>
      <c r="CC36" s="179">
        <f t="shared" si="53"/>
        <v>8.1184352099831561E-3</v>
      </c>
      <c r="CD36" s="179"/>
      <c r="CF36" s="194">
        <v>3.5127419999999998</v>
      </c>
      <c r="CG36" s="175">
        <f t="shared" si="84"/>
        <v>-1</v>
      </c>
      <c r="CH36" s="194">
        <f t="shared" si="85"/>
        <v>-1.5127419999999998</v>
      </c>
      <c r="CI36" s="179">
        <v>-0.20499999999999999</v>
      </c>
      <c r="CJ36" s="179">
        <f t="shared" si="86"/>
        <v>-0.21406597137974881</v>
      </c>
      <c r="CK36" s="175">
        <v>0</v>
      </c>
      <c r="CL36" s="179">
        <f t="shared" si="87"/>
        <v>-0.59556429797682386</v>
      </c>
      <c r="CM36" s="179">
        <f t="shared" si="78"/>
        <v>-7.3030674825130065E-2</v>
      </c>
      <c r="CP36" s="194"/>
      <c r="CQ36" s="194">
        <f t="shared" si="37"/>
        <v>0</v>
      </c>
      <c r="CR36" s="194">
        <f t="shared" ref="CR36:CR52" si="97">R36*CR$55</f>
        <v>0</v>
      </c>
      <c r="CS36" s="194">
        <f t="shared" si="38"/>
        <v>0</v>
      </c>
      <c r="CT36" s="179">
        <f t="shared" si="43"/>
        <v>4.6974779374770076E-17</v>
      </c>
      <c r="CU36" s="194"/>
      <c r="CV36" s="175">
        <f t="shared" si="88"/>
        <v>0</v>
      </c>
      <c r="CW36" s="180">
        <f t="shared" si="61"/>
        <v>0</v>
      </c>
      <c r="CX36" s="194">
        <f t="shared" si="62"/>
        <v>0</v>
      </c>
      <c r="CZ36" s="194">
        <f t="shared" si="63"/>
        <v>0</v>
      </c>
      <c r="DA36" s="194">
        <f t="shared" si="23"/>
        <v>0</v>
      </c>
      <c r="DB36" s="194"/>
      <c r="DC36" s="194"/>
      <c r="DD36" s="179">
        <f t="shared" si="64"/>
        <v>0.30702014718264831</v>
      </c>
      <c r="DE36" s="179"/>
      <c r="DF36" s="180">
        <f t="shared" si="24"/>
        <v>0</v>
      </c>
      <c r="DG36" s="194">
        <f t="shared" si="65"/>
        <v>0</v>
      </c>
      <c r="DH36" s="179">
        <f t="shared" si="89"/>
        <v>-0.97691651523354961</v>
      </c>
      <c r="DI36" s="179">
        <f t="shared" si="79"/>
        <v>0.37754132425337183</v>
      </c>
      <c r="DJ36" s="194"/>
      <c r="DK36" s="194"/>
      <c r="DL36" s="194">
        <f t="shared" si="39"/>
        <v>0</v>
      </c>
      <c r="DM36" s="194">
        <f t="shared" ref="DM36:DM52" si="98">R36*DL$56</f>
        <v>0</v>
      </c>
      <c r="DN36" s="194">
        <f t="shared" si="40"/>
        <v>0</v>
      </c>
      <c r="DO36" s="179">
        <f t="shared" si="44"/>
        <v>0</v>
      </c>
      <c r="DP36" s="179">
        <f t="shared" si="45"/>
        <v>2.8184867624862046E-17</v>
      </c>
      <c r="DQ36" s="179">
        <f t="shared" si="90"/>
        <v>-0.74810518487951416</v>
      </c>
      <c r="DR36" s="179">
        <f t="shared" si="80"/>
        <v>0.10719812480627069</v>
      </c>
      <c r="DS36" s="179">
        <f t="shared" si="73"/>
        <v>0.12767911999904921</v>
      </c>
      <c r="DT36" s="179"/>
      <c r="DU36" s="175">
        <v>2</v>
      </c>
      <c r="DV36" s="175">
        <f t="shared" si="91"/>
        <v>-2</v>
      </c>
      <c r="DW36" s="179">
        <v>-0.157</v>
      </c>
      <c r="DX36" s="179">
        <v>-0.186</v>
      </c>
      <c r="DY36" s="179">
        <f t="shared" si="92"/>
        <v>-0.19123958282784931</v>
      </c>
      <c r="DZ36" s="180">
        <v>0</v>
      </c>
      <c r="EA36" s="180">
        <v>0</v>
      </c>
      <c r="EB36" s="175">
        <v>450</v>
      </c>
      <c r="EF36" s="180">
        <f t="shared" si="26"/>
        <v>0</v>
      </c>
      <c r="EG36" s="180">
        <f t="shared" si="70"/>
        <v>0</v>
      </c>
      <c r="EI36" s="180">
        <f t="shared" si="71"/>
        <v>0</v>
      </c>
      <c r="EJ36" s="180">
        <f t="shared" si="29"/>
        <v>0</v>
      </c>
      <c r="EK36" s="180">
        <f t="shared" si="30"/>
        <v>0</v>
      </c>
      <c r="EM36" s="195">
        <f t="shared" si="81"/>
        <v>-0.10337202732806533</v>
      </c>
      <c r="EN36" s="195">
        <f t="shared" ref="EN36:EN52" si="99">(EK36-EK$53)/EK$54</f>
        <v>-0.38750034260363891</v>
      </c>
      <c r="EO36" s="195"/>
      <c r="EP36" s="180">
        <v>467.0899</v>
      </c>
      <c r="EQ36" s="175">
        <f t="shared" si="93"/>
        <v>-450</v>
      </c>
      <c r="ER36" s="180">
        <f t="shared" si="77"/>
        <v>-467.0899</v>
      </c>
      <c r="ES36" s="179">
        <v>6.0000000000000001E-3</v>
      </c>
      <c r="ET36" s="179">
        <f t="shared" si="94"/>
        <v>-2.120870806086704E-2</v>
      </c>
      <c r="EU36" s="179">
        <f t="shared" si="95"/>
        <v>0</v>
      </c>
      <c r="EV36" s="179">
        <f t="shared" si="33"/>
        <v>3.5258661068203384E-2</v>
      </c>
      <c r="EW36" s="179">
        <f t="shared" si="34"/>
        <v>6.4318874883762409E-2</v>
      </c>
      <c r="EX36" s="180"/>
      <c r="EY36" s="180"/>
      <c r="EZ36" s="180">
        <f t="shared" si="41"/>
        <v>0</v>
      </c>
      <c r="FA36" s="180">
        <f t="shared" ref="FA36:FA52" si="100">R36*FA$55</f>
        <v>0</v>
      </c>
      <c r="FB36" s="180">
        <f t="shared" si="42"/>
        <v>0</v>
      </c>
      <c r="FC36" s="179">
        <f t="shared" si="48"/>
        <v>-5.3255328561799049E-18</v>
      </c>
      <c r="FD36" s="179">
        <f t="shared" si="49"/>
        <v>1.4780707432445267E-17</v>
      </c>
      <c r="FE36" s="179">
        <f t="shared" si="96"/>
        <v>-0.60386324796916402</v>
      </c>
    </row>
    <row r="37" spans="1:161" x14ac:dyDescent="0.35">
      <c r="A37" s="197" t="s">
        <v>221</v>
      </c>
      <c r="B37" s="197" t="s">
        <v>96</v>
      </c>
      <c r="C37" s="175">
        <v>187</v>
      </c>
      <c r="D37" s="175">
        <v>164</v>
      </c>
      <c r="E37" s="202">
        <v>153</v>
      </c>
      <c r="F37" s="202">
        <v>34</v>
      </c>
      <c r="G37" s="175">
        <v>19</v>
      </c>
      <c r="H37" s="179">
        <v>-1.403</v>
      </c>
      <c r="I37" s="179">
        <v>-1.3443515792625098</v>
      </c>
      <c r="J37" s="179">
        <f t="shared" si="82"/>
        <v>-1.18101090322924</v>
      </c>
      <c r="K37" s="185"/>
      <c r="L37" s="191"/>
      <c r="M37" s="191"/>
      <c r="N37" s="185"/>
      <c r="O37" s="185"/>
      <c r="P37" s="191"/>
      <c r="Q37" s="191"/>
      <c r="R37" s="180">
        <v>97</v>
      </c>
      <c r="S37" s="185">
        <v>0</v>
      </c>
      <c r="T37" s="198">
        <v>0</v>
      </c>
      <c r="U37" s="198"/>
      <c r="V37" s="198"/>
      <c r="W37" s="185"/>
      <c r="X37" s="185"/>
      <c r="Y37" s="185">
        <f>AB37*AY$24</f>
        <v>215931.43894700939</v>
      </c>
      <c r="Z37" s="185">
        <f>AVERAGE(S37,T37,Y37)</f>
        <v>71977.146315669801</v>
      </c>
      <c r="AA37" s="306">
        <f>Z37-(AQ37*Z$55)</f>
        <v>94997.6080326675</v>
      </c>
      <c r="AB37" s="180">
        <f>D37*AQ37</f>
        <v>82.900926880431456</v>
      </c>
      <c r="AC37" s="180"/>
      <c r="AD37" s="180"/>
      <c r="AE37" s="180"/>
      <c r="AF37" s="180"/>
      <c r="AG37" s="180" t="e">
        <f>(0.6*AJ37)+(0.4*#REF!)</f>
        <v>#REF!</v>
      </c>
      <c r="AH37" s="180">
        <v>1.1919999999999999</v>
      </c>
      <c r="AI37" s="180">
        <f>AH37/G37</f>
        <v>6.273684210526316E-2</v>
      </c>
      <c r="AJ37" s="180">
        <f>AI37/AI54</f>
        <v>4.0435964872351036E-2</v>
      </c>
      <c r="AK37" s="180"/>
      <c r="AL37" s="180"/>
      <c r="AM37" s="180"/>
      <c r="AN37" s="180"/>
      <c r="AO37" s="180"/>
      <c r="AP37" s="180"/>
      <c r="AQ37" s="180">
        <f>FE37/BA$30</f>
        <v>0.50549345658799671</v>
      </c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>
        <v>167</v>
      </c>
      <c r="BC37" s="180">
        <v>168</v>
      </c>
      <c r="BD37" s="180">
        <f t="shared" si="83"/>
        <v>-1</v>
      </c>
      <c r="BE37" s="180">
        <v>127</v>
      </c>
      <c r="BF37" s="180">
        <v>156</v>
      </c>
      <c r="BG37" s="180">
        <v>247</v>
      </c>
      <c r="BH37" s="180">
        <v>138</v>
      </c>
      <c r="BI37" s="221">
        <v>170502.4456227801</v>
      </c>
      <c r="BJ37" s="307">
        <f>BM37*BP$4</f>
        <v>462206.93613794172</v>
      </c>
      <c r="BK37" s="180">
        <f>AVERAGE(AA37,BI37,BJ37)</f>
        <v>242568.99659779645</v>
      </c>
      <c r="BL37" s="307">
        <f>BK37-(BN37*BK$55)</f>
        <v>273874.14070844022</v>
      </c>
      <c r="BM37" s="179">
        <f>R37*BN37</f>
        <v>46.543663355980257</v>
      </c>
      <c r="BN37" s="179">
        <f>FD37/BP3</f>
        <v>0.47983158098948719</v>
      </c>
      <c r="BQ37" s="175">
        <v>239</v>
      </c>
      <c r="BR37" s="175">
        <f t="shared" si="12"/>
        <v>377</v>
      </c>
      <c r="BS37" s="180">
        <f t="shared" si="50"/>
        <v>0</v>
      </c>
      <c r="BT37" s="194">
        <f t="shared" si="51"/>
        <v>235.58370399999998</v>
      </c>
      <c r="BU37" s="194">
        <f t="shared" si="52"/>
        <v>136.04237879999999</v>
      </c>
      <c r="BV37" s="194">
        <f t="shared" si="16"/>
        <v>377</v>
      </c>
      <c r="BW37" s="194">
        <f t="shared" si="17"/>
        <v>1.9576212000000055</v>
      </c>
      <c r="BX37" s="194">
        <f t="shared" si="18"/>
        <v>11.416296000000017</v>
      </c>
      <c r="BY37" s="194">
        <f t="shared" ref="BY37:BY42" si="101">D37*BF$56</f>
        <v>160.64621676891616</v>
      </c>
      <c r="BZ37" s="175">
        <v>159</v>
      </c>
      <c r="CA37" s="194">
        <f t="shared" ref="CA37:CA42" si="102">BF37-BY37</f>
        <v>-4.6462167689161618</v>
      </c>
      <c r="CB37" s="175">
        <f t="shared" ref="CB37:CB42" si="103">BF37-BZ37</f>
        <v>-3</v>
      </c>
      <c r="CC37" s="189">
        <f t="shared" si="53"/>
        <v>0.39457664214706417</v>
      </c>
      <c r="CD37" s="179">
        <f t="shared" ref="CD37:CE42" si="104">(CA37-CA$53)/CA$54</f>
        <v>-0.21276531887849573</v>
      </c>
      <c r="CE37" s="179">
        <f t="shared" si="104"/>
        <v>-0.11644289886171534</v>
      </c>
      <c r="CF37" s="194">
        <v>131.376543</v>
      </c>
      <c r="CG37" s="175">
        <f t="shared" si="84"/>
        <v>40</v>
      </c>
      <c r="CH37" s="194">
        <f t="shared" si="85"/>
        <v>36.623457000000002</v>
      </c>
      <c r="CI37" s="179">
        <v>1.3919999999999999</v>
      </c>
      <c r="CJ37" s="179">
        <f t="shared" si="86"/>
        <v>1.4589384635221694</v>
      </c>
      <c r="CK37" s="175">
        <v>53</v>
      </c>
      <c r="CL37" s="179">
        <f t="shared" si="87"/>
        <v>2.315166354584917</v>
      </c>
      <c r="CM37" s="179">
        <f t="shared" si="78"/>
        <v>1.673223279534149E-2</v>
      </c>
      <c r="CN37" s="175">
        <v>33</v>
      </c>
      <c r="CO37" s="175">
        <v>117</v>
      </c>
      <c r="CP37" s="194">
        <v>221</v>
      </c>
      <c r="CQ37" s="194">
        <f t="shared" si="37"/>
        <v>577</v>
      </c>
      <c r="CR37" s="194">
        <f t="shared" si="97"/>
        <v>327.9083423618635</v>
      </c>
      <c r="CS37" s="194">
        <f t="shared" si="38"/>
        <v>249.0916576381365</v>
      </c>
      <c r="CT37" s="189">
        <f t="shared" ref="CT37:CT42" si="105">(CS37-CS$56)/CS$57</f>
        <v>3.6464258462032557</v>
      </c>
      <c r="CU37" s="194">
        <v>8</v>
      </c>
      <c r="CV37" s="175">
        <f t="shared" si="88"/>
        <v>41</v>
      </c>
      <c r="CW37" s="180">
        <f t="shared" si="61"/>
        <v>0</v>
      </c>
      <c r="CX37" s="194">
        <f t="shared" si="62"/>
        <v>90.5829892</v>
      </c>
      <c r="CY37" s="175">
        <v>56</v>
      </c>
      <c r="CZ37" s="194">
        <f t="shared" si="63"/>
        <v>116.136518</v>
      </c>
      <c r="DA37" s="194">
        <f t="shared" si="23"/>
        <v>-60.136517999999995</v>
      </c>
      <c r="DB37" s="194">
        <f t="shared" ref="DB37:DB42" si="106">D37*CN$56</f>
        <v>57.18200408997955</v>
      </c>
      <c r="DC37" s="194">
        <f t="shared" ref="DC37:DC42" si="107">CN37-DB37</f>
        <v>-24.18200408997955</v>
      </c>
      <c r="DD37" s="179">
        <f t="shared" si="64"/>
        <v>-2.7253744599402228</v>
      </c>
      <c r="DE37" s="179">
        <f t="shared" ref="DE37:DE42" si="108">(DC37-DC$53)/DC$54</f>
        <v>-2.2638282075696181</v>
      </c>
      <c r="DF37" s="180">
        <f t="shared" si="24"/>
        <v>41</v>
      </c>
      <c r="DG37" s="194">
        <f t="shared" si="65"/>
        <v>-57.5829892</v>
      </c>
      <c r="DH37" s="179">
        <f t="shared" si="89"/>
        <v>1.5759488399591766</v>
      </c>
      <c r="DI37" s="179">
        <f t="shared" si="79"/>
        <v>-2.7876678510270492</v>
      </c>
      <c r="DJ37" s="194">
        <v>9</v>
      </c>
      <c r="DK37" s="194">
        <v>16.600000000000001</v>
      </c>
      <c r="DL37" s="194">
        <f t="shared" si="39"/>
        <v>33.6</v>
      </c>
      <c r="DM37" s="194">
        <f t="shared" si="98"/>
        <v>65.542784398699894</v>
      </c>
      <c r="DN37" s="194">
        <f t="shared" si="40"/>
        <v>-31.942784398699892</v>
      </c>
      <c r="DO37" s="179">
        <f t="shared" ref="DO37:DO42" si="109">(DN37-DM$57)/DM$58</f>
        <v>-1.9288912926603043</v>
      </c>
      <c r="DP37" s="189">
        <f t="shared" ref="DP37:DP42" si="110">(0.6*CT37)+(0.4*DO37)</f>
        <v>1.4162989906578316</v>
      </c>
      <c r="DQ37" s="179">
        <f t="shared" si="90"/>
        <v>2.0194793487346208</v>
      </c>
      <c r="DR37" s="179">
        <f t="shared" si="80"/>
        <v>-1.1050278007336147</v>
      </c>
      <c r="DS37" s="179">
        <f t="shared" si="73"/>
        <v>-0.85340379868785066</v>
      </c>
      <c r="DT37" s="179">
        <f t="shared" ref="DT37:DT42" si="111">(0.6*CD37)+(0.4*DE37)</f>
        <v>-1.0331904743549447</v>
      </c>
      <c r="DU37" s="175">
        <v>59</v>
      </c>
      <c r="DV37" s="175">
        <f t="shared" si="91"/>
        <v>-6</v>
      </c>
      <c r="DW37" s="179">
        <v>-1.298</v>
      </c>
      <c r="DX37" s="179">
        <v>0.316</v>
      </c>
      <c r="DY37" s="179">
        <f t="shared" si="92"/>
        <v>0.35616307811330161</v>
      </c>
      <c r="DZ37" s="180">
        <v>0</v>
      </c>
      <c r="EA37" s="180">
        <v>0</v>
      </c>
      <c r="EB37" s="175">
        <v>230473</v>
      </c>
      <c r="EC37" s="180">
        <v>0</v>
      </c>
      <c r="ED37" s="180">
        <v>0</v>
      </c>
      <c r="EE37" s="180">
        <v>352977</v>
      </c>
      <c r="EF37" s="180">
        <f t="shared" si="26"/>
        <v>352977</v>
      </c>
      <c r="EG37" s="180">
        <f t="shared" si="70"/>
        <v>0</v>
      </c>
      <c r="EH37" s="180">
        <f t="shared" ref="EH37:EH42" si="112">D37*EC$55</f>
        <v>48344.282208588964</v>
      </c>
      <c r="EI37" s="180">
        <f t="shared" si="71"/>
        <v>108240</v>
      </c>
      <c r="EJ37" s="180">
        <f t="shared" si="29"/>
        <v>-108240</v>
      </c>
      <c r="EK37" s="180">
        <f t="shared" si="30"/>
        <v>352977</v>
      </c>
      <c r="EL37" s="180">
        <f t="shared" ref="EL37:EL42" si="113">EC37-EH37</f>
        <v>-48344.282208588964</v>
      </c>
      <c r="EM37" s="195">
        <f t="shared" si="81"/>
        <v>-1.4262657946720909</v>
      </c>
      <c r="EN37" s="196">
        <f t="shared" si="99"/>
        <v>4.1344461966002575</v>
      </c>
      <c r="EO37" s="195">
        <f t="shared" ref="EO37:EO42" si="114">(EL37-EL$53)/EL$54</f>
        <v>-1.6102457488207564</v>
      </c>
      <c r="EP37" s="180">
        <v>206412.70050000001</v>
      </c>
      <c r="EQ37" s="175">
        <f t="shared" si="93"/>
        <v>-230473</v>
      </c>
      <c r="ER37" s="180">
        <f t="shared" si="77"/>
        <v>-206412.70050000001</v>
      </c>
      <c r="ES37" s="179">
        <v>-3.98</v>
      </c>
      <c r="ET37" s="179">
        <f t="shared" si="94"/>
        <v>-3.4867718752430519</v>
      </c>
      <c r="EU37" s="179">
        <f t="shared" si="95"/>
        <v>-1.2640125841412695</v>
      </c>
      <c r="EV37" s="179">
        <f t="shared" si="33"/>
        <v>-1.0825485970815469</v>
      </c>
      <c r="EW37" s="179">
        <f t="shared" si="34"/>
        <v>-1.3071149799684716</v>
      </c>
      <c r="EX37" s="180">
        <v>101326</v>
      </c>
      <c r="EY37" s="180">
        <v>200000</v>
      </c>
      <c r="EZ37" s="180">
        <f t="shared" si="41"/>
        <v>654303</v>
      </c>
      <c r="FA37" s="180">
        <f t="shared" si="100"/>
        <v>141261.32069339111</v>
      </c>
      <c r="FB37" s="180">
        <f t="shared" si="42"/>
        <v>513041.67930660886</v>
      </c>
      <c r="FC37" s="189">
        <f t="shared" ref="FC37:FC42" si="115">(FB37-FB$56)/FB$57</f>
        <v>4.6563674173549741</v>
      </c>
      <c r="FD37" s="189">
        <f t="shared" ref="FD37:FD42" si="116">(0.6*DP37)+(0.4*FC37)</f>
        <v>2.7123263613366886</v>
      </c>
      <c r="FE37" s="189">
        <f t="shared" si="96"/>
        <v>2.8654660878808755</v>
      </c>
    </row>
    <row r="38" spans="1:161" x14ac:dyDescent="0.35">
      <c r="A38" s="197" t="s">
        <v>221</v>
      </c>
      <c r="B38" s="197" t="s">
        <v>126</v>
      </c>
      <c r="C38" s="175">
        <v>10</v>
      </c>
      <c r="D38" s="175">
        <v>18</v>
      </c>
      <c r="E38" s="175">
        <v>11</v>
      </c>
      <c r="F38" s="175">
        <v>0</v>
      </c>
      <c r="G38" s="199">
        <v>1</v>
      </c>
      <c r="H38" s="189">
        <v>0.51800000000000002</v>
      </c>
      <c r="I38" s="179">
        <v>0.13551634832837212</v>
      </c>
      <c r="J38" s="189">
        <f t="shared" si="82"/>
        <v>0.51059157627293295</v>
      </c>
      <c r="K38" s="190">
        <f>P38*AY$6</f>
        <v>0</v>
      </c>
      <c r="L38" s="191"/>
      <c r="M38" s="191"/>
      <c r="N38" s="185" t="e">
        <f>AE38*AY$2</f>
        <v>#DIV/0!</v>
      </c>
      <c r="O38" s="185" t="e">
        <f>N38-K38</f>
        <v>#DIV/0!</v>
      </c>
      <c r="P38" s="191">
        <f>C37*AF38</f>
        <v>16.698155490432683</v>
      </c>
      <c r="Q38" s="191"/>
      <c r="R38" s="180">
        <v>17</v>
      </c>
      <c r="S38" s="185">
        <v>3593.1749849936355</v>
      </c>
      <c r="T38" s="198">
        <v>0</v>
      </c>
      <c r="U38" s="198"/>
      <c r="V38" s="198"/>
      <c r="W38" s="185"/>
      <c r="X38" s="185"/>
      <c r="Y38" s="185">
        <v>0</v>
      </c>
      <c r="Z38" s="185">
        <f>AVERAGE(S38,T38,Y38)</f>
        <v>1197.7249949978784</v>
      </c>
      <c r="AA38" s="306">
        <f>Z38-(AQ38*Z$55)</f>
        <v>1197.7249949978784</v>
      </c>
      <c r="AB38" s="180"/>
      <c r="AC38" s="180"/>
      <c r="AD38" s="180"/>
      <c r="AE38" s="180" t="e">
        <f>C38*AT38</f>
        <v>#DIV/0!</v>
      </c>
      <c r="AF38" s="180">
        <f>H38/AZ$3</f>
        <v>8.9294949146698846E-2</v>
      </c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 t="e">
        <f>J38/BA$3</f>
        <v>#DIV/0!</v>
      </c>
      <c r="AU38" s="180"/>
      <c r="AV38" s="180"/>
      <c r="AW38" s="180"/>
      <c r="AX38" s="180" t="s">
        <v>400</v>
      </c>
      <c r="AY38" s="307">
        <v>356817.4046543556</v>
      </c>
      <c r="AZ38" s="180"/>
      <c r="BA38" s="180"/>
      <c r="BB38" s="180">
        <v>13</v>
      </c>
      <c r="BC38" s="180">
        <v>13</v>
      </c>
      <c r="BD38" s="180">
        <f t="shared" si="83"/>
        <v>0</v>
      </c>
      <c r="BE38" s="180">
        <v>7</v>
      </c>
      <c r="BF38" s="180">
        <v>14</v>
      </c>
      <c r="BG38" s="180">
        <v>23</v>
      </c>
      <c r="BH38" s="180">
        <v>13</v>
      </c>
      <c r="BI38" s="221">
        <v>399.24166499929282</v>
      </c>
      <c r="BJ38" s="307">
        <v>0</v>
      </c>
      <c r="BK38" s="180">
        <f>AVERAGE(AA38,BI38,BJ38)</f>
        <v>532.3222199990571</v>
      </c>
      <c r="BL38" s="307">
        <f>BK38-(BN38*BK$55)</f>
        <v>532.3222199990571</v>
      </c>
      <c r="BM38" s="179"/>
      <c r="BN38" s="179"/>
      <c r="BQ38" s="175">
        <v>16</v>
      </c>
      <c r="BR38" s="175">
        <f t="shared" si="12"/>
        <v>29</v>
      </c>
      <c r="BS38" s="180">
        <f t="shared" si="50"/>
        <v>0</v>
      </c>
      <c r="BT38" s="194">
        <f t="shared" si="51"/>
        <v>25.856748</v>
      </c>
      <c r="BU38" s="194">
        <f t="shared" si="52"/>
        <v>14.931480599999999</v>
      </c>
      <c r="BV38" s="194">
        <f t="shared" si="16"/>
        <v>29</v>
      </c>
      <c r="BW38" s="194">
        <f t="shared" si="17"/>
        <v>-1.9314805999999987</v>
      </c>
      <c r="BX38" s="194">
        <f t="shared" si="18"/>
        <v>-2.8567479999999996</v>
      </c>
      <c r="BY38" s="194">
        <f t="shared" si="101"/>
        <v>17.631901840490798</v>
      </c>
      <c r="BZ38" s="175">
        <v>17</v>
      </c>
      <c r="CA38" s="194">
        <f t="shared" si="102"/>
        <v>-3.6319018404907979</v>
      </c>
      <c r="CB38" s="175">
        <f t="shared" si="103"/>
        <v>-3</v>
      </c>
      <c r="CC38" s="179">
        <f t="shared" si="53"/>
        <v>-8.8586635309482228E-2</v>
      </c>
      <c r="CD38" s="179">
        <f t="shared" si="104"/>
        <v>-0.16590475836236016</v>
      </c>
      <c r="CE38" s="179">
        <f t="shared" si="104"/>
        <v>-0.11644289886171534</v>
      </c>
      <c r="CF38" s="194">
        <v>7.7280319999999998</v>
      </c>
      <c r="CG38" s="175">
        <f t="shared" si="84"/>
        <v>6</v>
      </c>
      <c r="CH38" s="194">
        <f t="shared" si="85"/>
        <v>5.2719680000000002</v>
      </c>
      <c r="CI38" s="179">
        <v>6.8000000000000005E-2</v>
      </c>
      <c r="CJ38" s="179">
        <f t="shared" si="86"/>
        <v>8.3573809646236313E-2</v>
      </c>
      <c r="CK38" s="175">
        <v>3</v>
      </c>
      <c r="CL38" s="179">
        <f t="shared" si="87"/>
        <v>-0.37166194008745912</v>
      </c>
      <c r="CM38" s="179">
        <f t="shared" si="78"/>
        <v>-0.16159495614193048</v>
      </c>
      <c r="CN38" s="175">
        <v>19</v>
      </c>
      <c r="CO38" s="175">
        <v>7</v>
      </c>
      <c r="CP38" s="194">
        <v>21.5</v>
      </c>
      <c r="CQ38" s="194">
        <f t="shared" si="37"/>
        <v>44.5</v>
      </c>
      <c r="CR38" s="194">
        <f t="shared" si="97"/>
        <v>57.468472372697725</v>
      </c>
      <c r="CS38" s="194">
        <f t="shared" si="38"/>
        <v>-12.968472372697725</v>
      </c>
      <c r="CT38" s="179">
        <f t="shared" si="105"/>
        <v>-0.18984406500789147</v>
      </c>
      <c r="CU38" s="194">
        <v>0</v>
      </c>
      <c r="CV38" s="175">
        <f t="shared" si="88"/>
        <v>19</v>
      </c>
      <c r="CW38" s="180">
        <f t="shared" si="61"/>
        <v>0</v>
      </c>
      <c r="CX38" s="194">
        <f t="shared" si="62"/>
        <v>9.9420354</v>
      </c>
      <c r="CY38" s="175">
        <v>22</v>
      </c>
      <c r="CZ38" s="194">
        <f t="shared" si="63"/>
        <v>12.746691</v>
      </c>
      <c r="DA38" s="194">
        <f t="shared" si="23"/>
        <v>9.2533089999999998</v>
      </c>
      <c r="DB38" s="194">
        <f t="shared" si="106"/>
        <v>6.2760736196319016</v>
      </c>
      <c r="DC38" s="194">
        <f t="shared" si="107"/>
        <v>12.723926380368098</v>
      </c>
      <c r="DD38" s="189">
        <f t="shared" si="64"/>
        <v>0.77361989793046393</v>
      </c>
      <c r="DE38" s="189">
        <f t="shared" si="108"/>
        <v>1.1911660978856797</v>
      </c>
      <c r="DF38" s="180">
        <f t="shared" si="24"/>
        <v>19</v>
      </c>
      <c r="DG38" s="194">
        <f t="shared" si="65"/>
        <v>9.0579646</v>
      </c>
      <c r="DH38" s="189">
        <f t="shared" si="89"/>
        <v>0.20611864936795768</v>
      </c>
      <c r="DI38" s="179">
        <f t="shared" si="79"/>
        <v>0.87543754429339093</v>
      </c>
      <c r="DJ38" s="194">
        <v>1</v>
      </c>
      <c r="DK38" s="194">
        <v>4.7</v>
      </c>
      <c r="DL38" s="194">
        <f t="shared" si="39"/>
        <v>5.7</v>
      </c>
      <c r="DM38" s="194">
        <f t="shared" si="98"/>
        <v>11.486879739978331</v>
      </c>
      <c r="DN38" s="194">
        <f t="shared" si="40"/>
        <v>-5.7868797399783309</v>
      </c>
      <c r="DO38" s="179">
        <f t="shared" si="109"/>
        <v>-0.34944548987316348</v>
      </c>
      <c r="DP38" s="179">
        <f t="shared" si="110"/>
        <v>-0.25368463495400029</v>
      </c>
      <c r="DQ38" s="179">
        <f t="shared" si="90"/>
        <v>-0.1405497043052924</v>
      </c>
      <c r="DR38" s="179">
        <f t="shared" si="80"/>
        <v>0.25321804403219811</v>
      </c>
      <c r="DS38" s="179">
        <f t="shared" si="73"/>
        <v>0.25629597798649628</v>
      </c>
      <c r="DT38" s="189">
        <f t="shared" si="111"/>
        <v>0.37692358413685578</v>
      </c>
      <c r="DU38" s="175">
        <v>3</v>
      </c>
      <c r="DV38" s="175">
        <f t="shared" si="91"/>
        <v>0</v>
      </c>
      <c r="DW38" s="179">
        <v>1.917</v>
      </c>
      <c r="DX38" s="179">
        <v>0.80800000000000005</v>
      </c>
      <c r="DY38" s="179">
        <f t="shared" si="92"/>
        <v>0.81694428578774181</v>
      </c>
      <c r="DZ38" s="180">
        <v>5746</v>
      </c>
      <c r="EA38" s="180">
        <v>5746</v>
      </c>
      <c r="EB38" s="175">
        <v>1750</v>
      </c>
      <c r="EC38" s="180">
        <v>0</v>
      </c>
      <c r="ED38" s="180">
        <v>5746</v>
      </c>
      <c r="EE38" s="180">
        <v>2840</v>
      </c>
      <c r="EF38" s="180">
        <f t="shared" si="26"/>
        <v>2840</v>
      </c>
      <c r="EG38" s="180">
        <f t="shared" si="70"/>
        <v>0</v>
      </c>
      <c r="EH38" s="180">
        <f t="shared" si="112"/>
        <v>5306.0797546012273</v>
      </c>
      <c r="EI38" s="180">
        <f t="shared" si="71"/>
        <v>11880</v>
      </c>
      <c r="EJ38" s="180">
        <f t="shared" si="29"/>
        <v>-6134</v>
      </c>
      <c r="EK38" s="180">
        <f t="shared" si="30"/>
        <v>2840</v>
      </c>
      <c r="EL38" s="180">
        <f t="shared" si="113"/>
        <v>-5306.0797546012273</v>
      </c>
      <c r="EM38" s="195">
        <f t="shared" si="81"/>
        <v>-0.17834089622023322</v>
      </c>
      <c r="EN38" s="195">
        <f t="shared" si="99"/>
        <v>-0.35111743898289571</v>
      </c>
      <c r="EO38" s="195">
        <f t="shared" si="114"/>
        <v>-0.17953837625408561</v>
      </c>
      <c r="EP38" s="180">
        <v>1918.2783999999999</v>
      </c>
      <c r="EQ38" s="175">
        <f t="shared" si="93"/>
        <v>3996</v>
      </c>
      <c r="ER38" s="180">
        <f t="shared" si="77"/>
        <v>3827.7215999999999</v>
      </c>
      <c r="ES38" s="179">
        <v>8.3000000000000004E-2</v>
      </c>
      <c r="ET38" s="179">
        <f t="shared" si="94"/>
        <v>5.106251200071979E-2</v>
      </c>
      <c r="EU38" s="179">
        <f t="shared" si="95"/>
        <v>0.15433879998047922</v>
      </c>
      <c r="EV38" s="179">
        <f t="shared" si="33"/>
        <v>8.2441228303804473E-2</v>
      </c>
      <c r="EW38" s="179">
        <f t="shared" si="34"/>
        <v>8.01154759176846E-2</v>
      </c>
      <c r="EX38" s="180">
        <v>7075</v>
      </c>
      <c r="EY38" s="180">
        <v>0</v>
      </c>
      <c r="EZ38" s="180">
        <f t="shared" si="41"/>
        <v>9915</v>
      </c>
      <c r="FA38" s="180">
        <f t="shared" si="100"/>
        <v>24757.138678223186</v>
      </c>
      <c r="FB38" s="180">
        <f t="shared" si="42"/>
        <v>-14842.138678223186</v>
      </c>
      <c r="FC38" s="179">
        <f t="shared" si="115"/>
        <v>-0.13470728350676558</v>
      </c>
      <c r="FD38" s="179">
        <f t="shared" si="116"/>
        <v>-0.20609369437510641</v>
      </c>
      <c r="FE38" s="179">
        <f t="shared" si="96"/>
        <v>-0.22477679817633373</v>
      </c>
    </row>
    <row r="39" spans="1:161" x14ac:dyDescent="0.35">
      <c r="A39" s="197" t="s">
        <v>223</v>
      </c>
      <c r="B39" s="197" t="s">
        <v>96</v>
      </c>
      <c r="C39" s="175">
        <v>74</v>
      </c>
      <c r="D39" s="175">
        <v>68</v>
      </c>
      <c r="E39" s="175">
        <v>56</v>
      </c>
      <c r="F39" s="175">
        <v>18</v>
      </c>
      <c r="G39" s="175">
        <v>19</v>
      </c>
      <c r="H39" s="189">
        <v>0.51300000000000001</v>
      </c>
      <c r="I39" s="189">
        <v>0.367626640961428</v>
      </c>
      <c r="J39" s="189">
        <f t="shared" si="82"/>
        <v>0.59622430554670813</v>
      </c>
      <c r="K39" s="190">
        <f>P39*AY$6</f>
        <v>0</v>
      </c>
      <c r="L39" s="191"/>
      <c r="M39" s="190" t="e">
        <f>AD39*AY$8</f>
        <v>#DIV/0!</v>
      </c>
      <c r="N39" s="185" t="e">
        <f>AE39*AY$2</f>
        <v>#DIV/0!</v>
      </c>
      <c r="O39" s="185" t="e">
        <f>N39-K39</f>
        <v>#DIV/0!</v>
      </c>
      <c r="P39" s="191">
        <f>C39*AF39</f>
        <v>6.5440441303223587</v>
      </c>
      <c r="Q39" s="191"/>
      <c r="R39" s="180">
        <v>74</v>
      </c>
      <c r="S39" s="185">
        <v>30985.913016799313</v>
      </c>
      <c r="T39" s="192">
        <f>AC39*AY$39</f>
        <v>11444.710997479187</v>
      </c>
      <c r="U39" s="192" t="e">
        <f>AN39*AY$19</f>
        <v>#DIV/0!</v>
      </c>
      <c r="V39" s="192" t="e">
        <f>SUM(W39:X39)</f>
        <v>#DIV/0!</v>
      </c>
      <c r="W39" s="190" t="e">
        <f>AO39*AY$34</f>
        <v>#DIV/0!</v>
      </c>
      <c r="X39" s="185"/>
      <c r="Y39" s="185">
        <v>0</v>
      </c>
      <c r="Z39" s="185">
        <f>AVERAGE(S39,T39,Y39)</f>
        <v>14143.541338092835</v>
      </c>
      <c r="AA39" s="306">
        <f>Z39-(AQ39*Z$55)</f>
        <v>14143.541338092835</v>
      </c>
      <c r="AB39" s="180"/>
      <c r="AC39" s="180">
        <f>D39*AR39</f>
        <v>3.4909086183010922</v>
      </c>
      <c r="AD39" s="180" t="e">
        <f>D39*AS39</f>
        <v>#DIV/0!</v>
      </c>
      <c r="AE39" s="180" t="e">
        <f>C39*AT39</f>
        <v>#DIV/0!</v>
      </c>
      <c r="AF39" s="180">
        <f>H39/AZ$3</f>
        <v>8.8433028788139981E-2</v>
      </c>
      <c r="AG39" s="180" t="e">
        <f>(0.6*AJ39)+(0.4*#REF!)</f>
        <v>#REF!</v>
      </c>
      <c r="AH39" s="180">
        <v>0.54700000000000004</v>
      </c>
      <c r="AI39" s="180">
        <f>AH39/G39</f>
        <v>2.8789473684210528E-2</v>
      </c>
      <c r="AJ39" s="180">
        <f>AI39/AI54</f>
        <v>1.8555765759375852E-2</v>
      </c>
      <c r="AK39" s="180"/>
      <c r="AL39" s="180"/>
      <c r="AM39" s="180"/>
      <c r="AN39" s="180" t="e">
        <f>D39*AU39</f>
        <v>#DIV/0!</v>
      </c>
      <c r="AO39" s="180" t="e">
        <f>D39*AV39</f>
        <v>#DIV/0!</v>
      </c>
      <c r="AP39" s="180"/>
      <c r="AQ39" s="180"/>
      <c r="AR39" s="180">
        <f>EW39/BA$28</f>
        <v>5.1336891445604299E-2</v>
      </c>
      <c r="AS39" s="180" t="e">
        <f>I39/BA$6</f>
        <v>#DIV/0!</v>
      </c>
      <c r="AT39" s="180" t="e">
        <f>J39/BA$3</f>
        <v>#DIV/0!</v>
      </c>
      <c r="AU39" s="180" t="e">
        <f>EV39/BA$8</f>
        <v>#DIV/0!</v>
      </c>
      <c r="AV39" s="180" t="e">
        <f>DS39/BA$21</f>
        <v>#DIV/0!</v>
      </c>
      <c r="AW39" s="180"/>
      <c r="AX39" s="180" t="s">
        <v>401</v>
      </c>
      <c r="AY39" s="309">
        <f>AY38/AC54</f>
        <v>3278.4332816620513</v>
      </c>
      <c r="AZ39" s="180"/>
      <c r="BA39" s="180"/>
      <c r="BB39" s="180">
        <v>102</v>
      </c>
      <c r="BC39" s="180">
        <v>104</v>
      </c>
      <c r="BD39" s="180">
        <f t="shared" si="83"/>
        <v>-2</v>
      </c>
      <c r="BE39" s="180">
        <v>50</v>
      </c>
      <c r="BF39" s="180">
        <v>88</v>
      </c>
      <c r="BG39" s="180">
        <v>144</v>
      </c>
      <c r="BH39" s="180">
        <v>83</v>
      </c>
      <c r="BI39" s="221">
        <v>8529.4174451906747</v>
      </c>
      <c r="BJ39" s="307">
        <f>BM39*BP$4</f>
        <v>76379.808701774731</v>
      </c>
      <c r="BK39" s="180">
        <f>AVERAGE(AA39,BI39,BJ39)</f>
        <v>33017.589161686083</v>
      </c>
      <c r="BL39" s="307">
        <f>BK39-(BN39*BK$55)</f>
        <v>39798.652950453237</v>
      </c>
      <c r="BM39" s="179">
        <f>R39*BN39</f>
        <v>7.6913516986872228</v>
      </c>
      <c r="BN39" s="179">
        <f>FD39/BP3</f>
        <v>0.1039371851173949</v>
      </c>
      <c r="BQ39" s="175">
        <v>108</v>
      </c>
      <c r="BR39" s="175">
        <f t="shared" si="12"/>
        <v>191</v>
      </c>
      <c r="BS39" s="180">
        <f t="shared" si="50"/>
        <v>0</v>
      </c>
      <c r="BT39" s="194">
        <f t="shared" si="51"/>
        <v>97.68104799999999</v>
      </c>
      <c r="BU39" s="194">
        <f t="shared" si="52"/>
        <v>56.407815599999999</v>
      </c>
      <c r="BV39" s="194">
        <f t="shared" si="16"/>
        <v>191</v>
      </c>
      <c r="BW39" s="194">
        <f t="shared" si="17"/>
        <v>26.592184400000001</v>
      </c>
      <c r="BX39" s="194">
        <f t="shared" si="18"/>
        <v>46.31895200000001</v>
      </c>
      <c r="BY39" s="194">
        <f t="shared" si="101"/>
        <v>66.609406952965244</v>
      </c>
      <c r="BZ39" s="175">
        <v>66</v>
      </c>
      <c r="CA39" s="194">
        <f t="shared" si="102"/>
        <v>21.390593047034756</v>
      </c>
      <c r="CB39" s="175">
        <f t="shared" si="103"/>
        <v>22</v>
      </c>
      <c r="CC39" s="189">
        <f t="shared" si="53"/>
        <v>1.5760822596522279</v>
      </c>
      <c r="CD39" s="189">
        <f t="shared" si="104"/>
        <v>0.99011503695100911</v>
      </c>
      <c r="CE39" s="189">
        <f t="shared" si="104"/>
        <v>1.0400105487375124</v>
      </c>
      <c r="CF39" s="194">
        <v>51.988579000000001</v>
      </c>
      <c r="CG39" s="175">
        <f t="shared" si="84"/>
        <v>52</v>
      </c>
      <c r="CH39" s="194">
        <f t="shared" si="85"/>
        <v>52.011420999999999</v>
      </c>
      <c r="CI39" s="179">
        <v>1.86</v>
      </c>
      <c r="CJ39" s="179">
        <f t="shared" si="86"/>
        <v>2.1339960909514541</v>
      </c>
      <c r="CK39" s="175">
        <v>24</v>
      </c>
      <c r="CL39" s="189">
        <f t="shared" si="87"/>
        <v>0.87910295570830221</v>
      </c>
      <c r="CM39" s="189">
        <f t="shared" si="78"/>
        <v>1.1463021520382786</v>
      </c>
      <c r="CN39" s="175">
        <v>38</v>
      </c>
      <c r="CO39" s="175">
        <v>73</v>
      </c>
      <c r="CP39" s="194">
        <v>51</v>
      </c>
      <c r="CQ39" s="194">
        <f t="shared" si="37"/>
        <v>232</v>
      </c>
      <c r="CR39" s="194">
        <f t="shared" si="97"/>
        <v>250.15687973997834</v>
      </c>
      <c r="CS39" s="194">
        <f t="shared" si="38"/>
        <v>-18.156879739978336</v>
      </c>
      <c r="CT39" s="179">
        <f t="shared" si="105"/>
        <v>-0.26579659952499624</v>
      </c>
      <c r="CU39" s="194">
        <v>8</v>
      </c>
      <c r="CV39" s="175">
        <f t="shared" si="88"/>
        <v>46</v>
      </c>
      <c r="CW39" s="180">
        <f t="shared" si="61"/>
        <v>0</v>
      </c>
      <c r="CX39" s="194">
        <f t="shared" si="62"/>
        <v>37.558800399999996</v>
      </c>
      <c r="CY39" s="175">
        <v>50</v>
      </c>
      <c r="CZ39" s="194">
        <f t="shared" si="63"/>
        <v>48.154165999999996</v>
      </c>
      <c r="DA39" s="194">
        <f t="shared" si="23"/>
        <v>1.8458340000000035</v>
      </c>
      <c r="DB39" s="194">
        <f t="shared" si="106"/>
        <v>23.709611451942742</v>
      </c>
      <c r="DC39" s="194">
        <f t="shared" si="107"/>
        <v>14.290388548057258</v>
      </c>
      <c r="DD39" s="179">
        <f t="shared" si="64"/>
        <v>0.40009665465925426</v>
      </c>
      <c r="DE39" s="189">
        <f t="shared" si="108"/>
        <v>1.3378123902322612</v>
      </c>
      <c r="DF39" s="180">
        <f t="shared" si="24"/>
        <v>46</v>
      </c>
      <c r="DG39" s="194">
        <f t="shared" si="65"/>
        <v>0.44119960000000447</v>
      </c>
      <c r="DH39" s="179">
        <f t="shared" si="89"/>
        <v>1.8872738832753626</v>
      </c>
      <c r="DI39" s="179">
        <f t="shared" si="79"/>
        <v>0.40179308751629855</v>
      </c>
      <c r="DJ39" s="194">
        <v>60</v>
      </c>
      <c r="DK39" s="194">
        <v>38.799999999999997</v>
      </c>
      <c r="DL39" s="194">
        <f t="shared" si="39"/>
        <v>106.8</v>
      </c>
      <c r="DM39" s="194">
        <f t="shared" si="98"/>
        <v>50.001711809317442</v>
      </c>
      <c r="DN39" s="194">
        <f t="shared" si="40"/>
        <v>56.798288190682555</v>
      </c>
      <c r="DO39" s="189">
        <f t="shared" si="109"/>
        <v>3.4298113201890219</v>
      </c>
      <c r="DP39" s="189">
        <f t="shared" si="110"/>
        <v>1.2124465683606112</v>
      </c>
      <c r="DQ39" s="189">
        <f t="shared" si="90"/>
        <v>1.2823713267351264</v>
      </c>
      <c r="DR39" s="189">
        <f t="shared" si="80"/>
        <v>0.84849852622948663</v>
      </c>
      <c r="DS39" s="189">
        <f t="shared" si="73"/>
        <v>1.1056880176550383</v>
      </c>
      <c r="DT39" s="189">
        <f t="shared" si="111"/>
        <v>1.1291939782635099</v>
      </c>
      <c r="DU39" s="175">
        <v>23</v>
      </c>
      <c r="DV39" s="175">
        <f t="shared" si="91"/>
        <v>1</v>
      </c>
      <c r="DW39" s="179">
        <v>0.67300000000000004</v>
      </c>
      <c r="DX39" s="179">
        <v>1.385</v>
      </c>
      <c r="DY39" s="179">
        <f t="shared" si="92"/>
        <v>1.5495976545708725</v>
      </c>
      <c r="DZ39" s="180">
        <v>0</v>
      </c>
      <c r="EA39" s="180">
        <v>0</v>
      </c>
      <c r="EB39" s="175">
        <v>46674</v>
      </c>
      <c r="EC39" s="180">
        <v>0</v>
      </c>
      <c r="ED39" s="180">
        <v>0</v>
      </c>
      <c r="EE39" s="180">
        <v>0</v>
      </c>
      <c r="EF39" s="180">
        <f t="shared" si="26"/>
        <v>0</v>
      </c>
      <c r="EG39" s="180">
        <f t="shared" si="70"/>
        <v>0</v>
      </c>
      <c r="EH39" s="180">
        <f t="shared" si="112"/>
        <v>20045.190184049083</v>
      </c>
      <c r="EI39" s="180">
        <f t="shared" si="71"/>
        <v>44880</v>
      </c>
      <c r="EJ39" s="180">
        <f t="shared" si="29"/>
        <v>-44880</v>
      </c>
      <c r="EK39" s="180">
        <f t="shared" si="30"/>
        <v>0</v>
      </c>
      <c r="EL39" s="180">
        <f t="shared" si="113"/>
        <v>-20045.190184049083</v>
      </c>
      <c r="EM39" s="195">
        <f t="shared" si="81"/>
        <v>-0.65188895525119783</v>
      </c>
      <c r="EN39" s="195">
        <f t="shared" si="99"/>
        <v>-0.38750034260363891</v>
      </c>
      <c r="EO39" s="195">
        <f t="shared" si="114"/>
        <v>-0.66950665453034286</v>
      </c>
      <c r="EP39" s="180">
        <v>48758.509700000002</v>
      </c>
      <c r="EQ39" s="175">
        <f t="shared" si="93"/>
        <v>-46674</v>
      </c>
      <c r="ER39" s="180">
        <f t="shared" si="77"/>
        <v>-48758.509700000002</v>
      </c>
      <c r="ES39" s="179">
        <v>-0.79500000000000004</v>
      </c>
      <c r="ET39" s="179">
        <f t="shared" si="94"/>
        <v>-0.83383571798953826</v>
      </c>
      <c r="EU39" s="189">
        <f t="shared" si="95"/>
        <v>0.40971372514596877</v>
      </c>
      <c r="EV39" s="189">
        <f t="shared" si="33"/>
        <v>0.40265722849254376</v>
      </c>
      <c r="EW39" s="189">
        <f t="shared" si="34"/>
        <v>0.24129645392555482</v>
      </c>
      <c r="EX39" s="180">
        <v>69218</v>
      </c>
      <c r="EY39" s="180">
        <v>0</v>
      </c>
      <c r="EZ39" s="180">
        <f t="shared" si="41"/>
        <v>69218</v>
      </c>
      <c r="FA39" s="180">
        <f t="shared" si="100"/>
        <v>107766.36836403034</v>
      </c>
      <c r="FB39" s="180">
        <f t="shared" si="42"/>
        <v>-38548.368364030335</v>
      </c>
      <c r="FC39" s="179">
        <f t="shared" si="115"/>
        <v>-0.34986507662508332</v>
      </c>
      <c r="FD39" s="189">
        <f t="shared" si="116"/>
        <v>0.58752191036633339</v>
      </c>
      <c r="FE39" s="179">
        <f t="shared" si="96"/>
        <v>0.61442265899962034</v>
      </c>
    </row>
    <row r="40" spans="1:161" x14ac:dyDescent="0.35">
      <c r="A40" s="197" t="s">
        <v>223</v>
      </c>
      <c r="B40" s="197" t="s">
        <v>130</v>
      </c>
      <c r="C40" s="175">
        <f t="shared" si="0"/>
        <v>19</v>
      </c>
      <c r="D40" s="175">
        <v>17</v>
      </c>
      <c r="E40" s="175">
        <v>13</v>
      </c>
      <c r="F40" s="175">
        <v>6</v>
      </c>
      <c r="G40" s="175">
        <v>0</v>
      </c>
      <c r="H40" s="189">
        <v>0.39</v>
      </c>
      <c r="I40" s="179">
        <v>9.086734324649294E-2</v>
      </c>
      <c r="J40" s="189">
        <f t="shared" si="82"/>
        <v>0.39445845728437479</v>
      </c>
      <c r="K40" s="190">
        <f>P40*AY$6</f>
        <v>0</v>
      </c>
      <c r="L40" s="191" t="e">
        <f>C40*Q40</f>
        <v>#REF!</v>
      </c>
      <c r="M40" s="191"/>
      <c r="N40" s="185" t="e">
        <f>AE40*AY$2</f>
        <v>#DIV/0!</v>
      </c>
      <c r="O40" s="185" t="e">
        <f>N40-K40</f>
        <v>#DIV/0!</v>
      </c>
      <c r="P40" s="191">
        <f>C40*AF40</f>
        <v>1.2773659713842442</v>
      </c>
      <c r="Q40" s="191" t="e">
        <f>#REF!/AZ2</f>
        <v>#REF!</v>
      </c>
      <c r="R40" s="180">
        <v>18</v>
      </c>
      <c r="S40" s="185">
        <v>5409.9158106079221</v>
      </c>
      <c r="T40" s="198">
        <v>0</v>
      </c>
      <c r="U40" s="192" t="e">
        <f>AN40*AY$19</f>
        <v>#DIV/0!</v>
      </c>
      <c r="V40" s="192" t="e">
        <f>SUM(W40:X40)</f>
        <v>#DIV/0!</v>
      </c>
      <c r="W40" s="190" t="e">
        <f>AO40*AY$34</f>
        <v>#DIV/0!</v>
      </c>
      <c r="X40" s="190" t="e">
        <f>AP40*AY$35</f>
        <v>#DIV/0!</v>
      </c>
      <c r="Y40" s="185">
        <v>0</v>
      </c>
      <c r="Z40" s="185">
        <f>AVERAGE(S40,T40,Y40)</f>
        <v>1803.3052702026407</v>
      </c>
      <c r="AA40" s="306">
        <f>Z40-(AQ40*Z$55)</f>
        <v>1803.3052702026407</v>
      </c>
      <c r="AB40" s="180"/>
      <c r="AC40" s="180"/>
      <c r="AD40" s="180"/>
      <c r="AE40" s="180" t="e">
        <f>C40*AT40</f>
        <v>#DIV/0!</v>
      </c>
      <c r="AF40" s="180">
        <f>H40/AZ$3</f>
        <v>6.7229787967591798E-2</v>
      </c>
      <c r="AG40" s="180"/>
      <c r="AH40" s="180"/>
      <c r="AI40" s="180"/>
      <c r="AJ40" s="180"/>
      <c r="AK40" s="180"/>
      <c r="AL40" s="180"/>
      <c r="AM40" s="180"/>
      <c r="AN40" s="180" t="e">
        <f>D40*AU40</f>
        <v>#DIV/0!</v>
      </c>
      <c r="AO40" s="180" t="e">
        <f>D40*AV40</f>
        <v>#DIV/0!</v>
      </c>
      <c r="AP40" s="180" t="e">
        <f>D40*AW40</f>
        <v>#DIV/0!</v>
      </c>
      <c r="AQ40" s="180"/>
      <c r="AR40" s="180"/>
      <c r="AS40" s="180"/>
      <c r="AT40" s="180" t="e">
        <f>J40/BA$3</f>
        <v>#DIV/0!</v>
      </c>
      <c r="AU40" s="180" t="e">
        <f>EV40/BA$8</f>
        <v>#DIV/0!</v>
      </c>
      <c r="AV40" s="180" t="e">
        <f>DS40/BA$21</f>
        <v>#DIV/0!</v>
      </c>
      <c r="AW40" s="180" t="e">
        <f>EM40/BA$24</f>
        <v>#DIV/0!</v>
      </c>
      <c r="AX40" s="180"/>
      <c r="AY40" s="180"/>
      <c r="AZ40" s="180"/>
      <c r="BA40" s="180"/>
      <c r="BB40" s="180">
        <v>27</v>
      </c>
      <c r="BC40" s="180">
        <v>27</v>
      </c>
      <c r="BD40" s="180">
        <f t="shared" si="83"/>
        <v>0</v>
      </c>
      <c r="BE40" s="180">
        <v>13</v>
      </c>
      <c r="BF40" s="180">
        <v>20</v>
      </c>
      <c r="BG40" s="180">
        <v>35</v>
      </c>
      <c r="BH40" s="180">
        <v>15</v>
      </c>
      <c r="BI40" s="221">
        <v>14853.667921159264</v>
      </c>
      <c r="BJ40" s="307">
        <f>BM40*BP$4</f>
        <v>8304.750778780317</v>
      </c>
      <c r="BK40" s="180">
        <f>AVERAGE(AA40,BI40,BJ40)</f>
        <v>8320.5746567140741</v>
      </c>
      <c r="BL40" s="307">
        <f>BK40-(BN40*BK$55)</f>
        <v>11351.708280322779</v>
      </c>
      <c r="BM40" s="179">
        <f>R40*BN40</f>
        <v>0.83627807001907106</v>
      </c>
      <c r="BN40" s="179">
        <f>FD40/BP3</f>
        <v>4.6459892778837282E-2</v>
      </c>
      <c r="BQ40" s="175">
        <v>19</v>
      </c>
      <c r="BR40" s="175">
        <f t="shared" si="12"/>
        <v>34</v>
      </c>
      <c r="BS40" s="180">
        <f t="shared" si="50"/>
        <v>0</v>
      </c>
      <c r="BT40" s="194">
        <f t="shared" si="51"/>
        <v>24.420261999999997</v>
      </c>
      <c r="BU40" s="194">
        <f t="shared" si="52"/>
        <v>14.1019539</v>
      </c>
      <c r="BV40" s="194">
        <f t="shared" si="16"/>
        <v>34</v>
      </c>
      <c r="BW40" s="194">
        <f t="shared" si="17"/>
        <v>0.89804610000000018</v>
      </c>
      <c r="BX40" s="194">
        <f t="shared" si="18"/>
        <v>10.579738000000003</v>
      </c>
      <c r="BY40" s="194">
        <f t="shared" si="101"/>
        <v>16.652351738241311</v>
      </c>
      <c r="BZ40" s="175">
        <v>17</v>
      </c>
      <c r="CA40" s="194">
        <f t="shared" si="102"/>
        <v>3.3476482617586889</v>
      </c>
      <c r="CB40" s="175">
        <f t="shared" si="103"/>
        <v>3</v>
      </c>
      <c r="CC40" s="189">
        <f t="shared" si="53"/>
        <v>0.36625793836793336</v>
      </c>
      <c r="CD40" s="179">
        <f t="shared" si="104"/>
        <v>0.15654502599564324</v>
      </c>
      <c r="CE40" s="179">
        <f t="shared" si="104"/>
        <v>0.16110592856209932</v>
      </c>
      <c r="CF40" s="194">
        <v>13.348419</v>
      </c>
      <c r="CG40" s="175">
        <f t="shared" si="84"/>
        <v>14</v>
      </c>
      <c r="CH40" s="194">
        <f t="shared" si="85"/>
        <v>13.651581</v>
      </c>
      <c r="CI40" s="179">
        <v>0.38</v>
      </c>
      <c r="CJ40" s="179">
        <f t="shared" si="86"/>
        <v>0.45118070491552537</v>
      </c>
      <c r="CK40" s="175">
        <v>13</v>
      </c>
      <c r="CL40" s="179">
        <f t="shared" si="87"/>
        <v>-0.33305808527894798</v>
      </c>
      <c r="CM40" s="179">
        <f t="shared" si="78"/>
        <v>-3.1852519871952943E-2</v>
      </c>
      <c r="CN40" s="175">
        <v>11</v>
      </c>
      <c r="CO40" s="175">
        <v>20</v>
      </c>
      <c r="CP40" s="194">
        <v>12</v>
      </c>
      <c r="CQ40" s="194">
        <f t="shared" si="37"/>
        <v>51</v>
      </c>
      <c r="CR40" s="194">
        <f t="shared" si="97"/>
        <v>60.848970747562298</v>
      </c>
      <c r="CS40" s="194">
        <f t="shared" si="38"/>
        <v>-9.8489707475622978</v>
      </c>
      <c r="CT40" s="179">
        <f t="shared" si="105"/>
        <v>-0.14417801797514918</v>
      </c>
      <c r="CU40" s="194">
        <v>1</v>
      </c>
      <c r="CV40" s="175">
        <f t="shared" si="88"/>
        <v>12</v>
      </c>
      <c r="CW40" s="180">
        <f t="shared" si="61"/>
        <v>0</v>
      </c>
      <c r="CX40" s="194">
        <f t="shared" si="62"/>
        <v>9.3897000999999989</v>
      </c>
      <c r="CY40" s="175">
        <v>14</v>
      </c>
      <c r="CZ40" s="194">
        <f t="shared" si="63"/>
        <v>12.038541499999999</v>
      </c>
      <c r="DA40" s="194">
        <f t="shared" si="23"/>
        <v>1.9614585000000009</v>
      </c>
      <c r="DB40" s="194">
        <f t="shared" si="106"/>
        <v>5.9274028629856854</v>
      </c>
      <c r="DC40" s="194">
        <f t="shared" si="107"/>
        <v>5.0725971370143146</v>
      </c>
      <c r="DD40" s="189">
        <f t="shared" si="64"/>
        <v>0.40592704061959989</v>
      </c>
      <c r="DE40" s="179">
        <f t="shared" si="108"/>
        <v>0.47487745191344077</v>
      </c>
      <c r="DF40" s="180">
        <f t="shared" si="24"/>
        <v>12</v>
      </c>
      <c r="DG40" s="194">
        <f t="shared" si="65"/>
        <v>1.6102999000000011</v>
      </c>
      <c r="DH40" s="179">
        <f t="shared" si="89"/>
        <v>-0.2297364112747029</v>
      </c>
      <c r="DI40" s="179">
        <f t="shared" si="79"/>
        <v>0.4660559374967071</v>
      </c>
      <c r="DJ40" s="194">
        <v>17</v>
      </c>
      <c r="DK40" s="194">
        <v>16.5</v>
      </c>
      <c r="DL40" s="194">
        <f t="shared" si="39"/>
        <v>34.5</v>
      </c>
      <c r="DM40" s="194">
        <f t="shared" si="98"/>
        <v>12.162578548212352</v>
      </c>
      <c r="DN40" s="194">
        <f t="shared" si="40"/>
        <v>22.337421451787648</v>
      </c>
      <c r="DO40" s="189">
        <f t="shared" si="109"/>
        <v>1.3488635555700133</v>
      </c>
      <c r="DP40" s="189">
        <f t="shared" si="110"/>
        <v>0.4530386114429158</v>
      </c>
      <c r="DQ40" s="179">
        <f t="shared" si="90"/>
        <v>-0.29172941567724997</v>
      </c>
      <c r="DR40" s="179">
        <f t="shared" si="80"/>
        <v>0.1673108630755111</v>
      </c>
      <c r="DS40" s="189">
        <f t="shared" si="73"/>
        <v>0.38212557926859997</v>
      </c>
      <c r="DT40" s="179">
        <f t="shared" si="111"/>
        <v>0.28387799636276223</v>
      </c>
      <c r="DU40" s="175">
        <v>6</v>
      </c>
      <c r="DV40" s="175">
        <f t="shared" si="91"/>
        <v>7</v>
      </c>
      <c r="DW40" s="179">
        <v>0.05</v>
      </c>
      <c r="DX40" s="179">
        <v>0.248</v>
      </c>
      <c r="DY40" s="179">
        <f t="shared" si="92"/>
        <v>0.2907084229493152</v>
      </c>
      <c r="DZ40" s="180">
        <v>38484</v>
      </c>
      <c r="EA40" s="180">
        <v>38484</v>
      </c>
      <c r="EB40" s="175">
        <v>4486</v>
      </c>
      <c r="EC40" s="180">
        <v>0</v>
      </c>
      <c r="ED40" s="180">
        <v>38484</v>
      </c>
      <c r="EE40" s="180">
        <v>23679</v>
      </c>
      <c r="EF40" s="180">
        <f t="shared" si="26"/>
        <v>23679</v>
      </c>
      <c r="EG40" s="180">
        <f t="shared" si="70"/>
        <v>0</v>
      </c>
      <c r="EH40" s="180">
        <f t="shared" si="112"/>
        <v>5011.2975460122707</v>
      </c>
      <c r="EI40" s="180">
        <f t="shared" si="71"/>
        <v>11220</v>
      </c>
      <c r="EJ40" s="180">
        <f t="shared" si="29"/>
        <v>27264</v>
      </c>
      <c r="EK40" s="180">
        <f t="shared" si="30"/>
        <v>23679</v>
      </c>
      <c r="EL40" s="180">
        <f t="shared" si="113"/>
        <v>-5011.2975460122707</v>
      </c>
      <c r="EM40" s="196">
        <f t="shared" si="81"/>
        <v>0.22984467327122801</v>
      </c>
      <c r="EN40" s="196">
        <f t="shared" si="99"/>
        <v>-8.4151478224914353E-2</v>
      </c>
      <c r="EO40" s="195">
        <f t="shared" si="114"/>
        <v>-0.16973901068856048</v>
      </c>
      <c r="EP40" s="180">
        <v>5001.3049000000001</v>
      </c>
      <c r="EQ40" s="175">
        <f t="shared" si="93"/>
        <v>33998</v>
      </c>
      <c r="ER40" s="180">
        <f t="shared" si="77"/>
        <v>33482.695099999997</v>
      </c>
      <c r="ES40" s="179">
        <v>0.60299999999999998</v>
      </c>
      <c r="ET40" s="179">
        <f t="shared" si="94"/>
        <v>0.55008350878696421</v>
      </c>
      <c r="EU40" s="179">
        <f t="shared" si="95"/>
        <v>0.10243119354223314</v>
      </c>
      <c r="EV40" s="189">
        <f t="shared" si="33"/>
        <v>0.32121321686965121</v>
      </c>
      <c r="EW40" s="179">
        <f t="shared" si="34"/>
        <v>3.2490913569882457E-2</v>
      </c>
      <c r="EX40" s="180">
        <v>0</v>
      </c>
      <c r="EY40" s="180">
        <v>0</v>
      </c>
      <c r="EZ40" s="180">
        <f t="shared" si="41"/>
        <v>23679</v>
      </c>
      <c r="FA40" s="180">
        <f t="shared" si="100"/>
        <v>26213.440953412784</v>
      </c>
      <c r="FB40" s="180">
        <f t="shared" si="42"/>
        <v>-2534.4409534127844</v>
      </c>
      <c r="FC40" s="179">
        <f t="shared" si="115"/>
        <v>-2.3002591704890645E-2</v>
      </c>
      <c r="FD40" s="189">
        <f t="shared" si="116"/>
        <v>0.26262213018379321</v>
      </c>
      <c r="FE40" s="179">
        <f t="shared" si="96"/>
        <v>-0.20869824069631571</v>
      </c>
    </row>
    <row r="41" spans="1:161" x14ac:dyDescent="0.35">
      <c r="A41" s="188" t="s">
        <v>223</v>
      </c>
      <c r="B41" s="188" t="s">
        <v>108</v>
      </c>
      <c r="C41" s="175">
        <f t="shared" si="0"/>
        <v>5</v>
      </c>
      <c r="D41" s="175">
        <v>10</v>
      </c>
      <c r="E41" s="175">
        <v>5</v>
      </c>
      <c r="F41" s="175">
        <v>0</v>
      </c>
      <c r="G41" s="175">
        <v>0</v>
      </c>
      <c r="H41" s="189">
        <v>0.157</v>
      </c>
      <c r="I41" s="179">
        <v>0.19793629019151091</v>
      </c>
      <c r="J41" s="189">
        <f t="shared" si="82"/>
        <v>0.14807150006945669</v>
      </c>
      <c r="K41" s="190">
        <f>P41*AY$6</f>
        <v>0</v>
      </c>
      <c r="L41" s="191" t="e">
        <f>C41*Q41</f>
        <v>#REF!</v>
      </c>
      <c r="M41" s="191"/>
      <c r="N41" s="185" t="e">
        <f>AE41*AY$2</f>
        <v>#DIV/0!</v>
      </c>
      <c r="O41" s="185" t="e">
        <f>N41-K41</f>
        <v>#DIV/0!</v>
      </c>
      <c r="P41" s="191">
        <f>C41*AF41</f>
        <v>0.13532149629374246</v>
      </c>
      <c r="Q41" s="191" t="e">
        <f>#REF!/AZ2</f>
        <v>#REF!</v>
      </c>
      <c r="R41" s="180">
        <v>10</v>
      </c>
      <c r="S41" s="185">
        <v>526.02863771984221</v>
      </c>
      <c r="T41" s="198">
        <v>0</v>
      </c>
      <c r="U41" s="198"/>
      <c r="V41" s="192" t="e">
        <f>SUM(W41:X41)</f>
        <v>#DIV/0!</v>
      </c>
      <c r="W41" s="190" t="e">
        <f>AO41*AY$34</f>
        <v>#DIV/0!</v>
      </c>
      <c r="X41" s="185"/>
      <c r="Y41" s="185">
        <v>0</v>
      </c>
      <c r="Z41" s="185">
        <f>AVERAGE(S41,T41,Y41)</f>
        <v>175.34287923994739</v>
      </c>
      <c r="AA41" s="306">
        <f>Z41-(AQ41*Z$55)</f>
        <v>175.34287923994739</v>
      </c>
      <c r="AB41" s="180"/>
      <c r="AC41" s="180"/>
      <c r="AD41" s="180"/>
      <c r="AE41" s="180" t="e">
        <f>C41*AT41</f>
        <v>#DIV/0!</v>
      </c>
      <c r="AF41" s="180">
        <f>H41/AZ$3</f>
        <v>2.7064299258748491E-2</v>
      </c>
      <c r="AG41" s="180"/>
      <c r="AH41" s="180"/>
      <c r="AI41" s="180"/>
      <c r="AJ41" s="180"/>
      <c r="AK41" s="180"/>
      <c r="AL41" s="180"/>
      <c r="AM41" s="180"/>
      <c r="AN41" s="180"/>
      <c r="AO41" s="180" t="e">
        <f>D41*AV41</f>
        <v>#DIV/0!</v>
      </c>
      <c r="AP41" s="180"/>
      <c r="AQ41" s="180"/>
      <c r="AR41" s="180"/>
      <c r="AS41" s="180"/>
      <c r="AT41" s="180" t="e">
        <f>J41/BA$3</f>
        <v>#DIV/0!</v>
      </c>
      <c r="AU41" s="180"/>
      <c r="AV41" s="180" t="e">
        <f>DS41/BA$21</f>
        <v>#DIV/0!</v>
      </c>
      <c r="AW41" s="180"/>
      <c r="AX41" s="180"/>
      <c r="AY41" s="180"/>
      <c r="AZ41" s="180"/>
      <c r="BA41" s="180"/>
      <c r="BB41" s="180">
        <v>5</v>
      </c>
      <c r="BC41" s="180">
        <v>5</v>
      </c>
      <c r="BD41" s="180">
        <f t="shared" si="83"/>
        <v>0</v>
      </c>
      <c r="BE41" s="180">
        <v>3</v>
      </c>
      <c r="BF41" s="180">
        <v>8</v>
      </c>
      <c r="BG41" s="180">
        <v>11</v>
      </c>
      <c r="BH41" s="180">
        <v>6</v>
      </c>
      <c r="BI41" s="221">
        <v>17732.063911488134</v>
      </c>
      <c r="BJ41" s="307">
        <f>BM41*BP$4</f>
        <v>7830.88216195722</v>
      </c>
      <c r="BK41" s="180">
        <f>AVERAGE(AA41,BI41,BJ41)</f>
        <v>8579.4296508950993</v>
      </c>
      <c r="BL41" s="307">
        <f>BK41-(BN41*BK$55)</f>
        <v>13724.148805104567</v>
      </c>
      <c r="BM41" s="179">
        <f>R41*BN41</f>
        <v>0.78856008992844795</v>
      </c>
      <c r="BN41" s="179">
        <f>FD41/BP3</f>
        <v>7.8856008992844798E-2</v>
      </c>
      <c r="BQ41" s="175">
        <v>9</v>
      </c>
      <c r="BR41" s="175">
        <f t="shared" si="12"/>
        <v>15</v>
      </c>
      <c r="BS41" s="180">
        <f t="shared" si="50"/>
        <v>0</v>
      </c>
      <c r="BT41" s="194">
        <f t="shared" si="51"/>
        <v>14.36486</v>
      </c>
      <c r="BU41" s="194">
        <f t="shared" si="52"/>
        <v>8.2952669999999991</v>
      </c>
      <c r="BV41" s="194">
        <f t="shared" si="16"/>
        <v>15</v>
      </c>
      <c r="BW41" s="194">
        <f t="shared" si="17"/>
        <v>-2.2952669999999991</v>
      </c>
      <c r="BX41" s="194">
        <f t="shared" si="18"/>
        <v>-3.3648600000000002</v>
      </c>
      <c r="BY41" s="194">
        <f t="shared" si="101"/>
        <v>9.7955010224948875</v>
      </c>
      <c r="BZ41" s="175">
        <v>10</v>
      </c>
      <c r="CA41" s="194">
        <f t="shared" si="102"/>
        <v>-1.7955010224948875</v>
      </c>
      <c r="CB41" s="175">
        <f t="shared" si="103"/>
        <v>-2</v>
      </c>
      <c r="CC41" s="179">
        <f t="shared" si="53"/>
        <v>-0.10578696477213929</v>
      </c>
      <c r="CD41" s="179">
        <f t="shared" si="104"/>
        <v>-8.1064469363389402E-2</v>
      </c>
      <c r="CE41" s="179">
        <f t="shared" si="104"/>
        <v>-7.0184760957746228E-2</v>
      </c>
      <c r="CF41" s="194">
        <v>3.5127419999999998</v>
      </c>
      <c r="CG41" s="175">
        <f t="shared" si="84"/>
        <v>2</v>
      </c>
      <c r="CH41" s="194">
        <f t="shared" si="85"/>
        <v>1.4872580000000002</v>
      </c>
      <c r="CI41" s="179">
        <v>-8.7999999999999995E-2</v>
      </c>
      <c r="CJ41" s="179">
        <f t="shared" si="86"/>
        <v>-8.2458379739434734E-2</v>
      </c>
      <c r="CK41" s="175">
        <v>8</v>
      </c>
      <c r="CL41" s="179">
        <f t="shared" si="87"/>
        <v>-0.47975273355129033</v>
      </c>
      <c r="CM41" s="179">
        <f t="shared" si="78"/>
        <v>-0.17827567303281</v>
      </c>
      <c r="CN41" s="175">
        <v>16</v>
      </c>
      <c r="CO41" s="175">
        <v>5</v>
      </c>
      <c r="CP41" s="194">
        <v>1</v>
      </c>
      <c r="CQ41" s="194">
        <f t="shared" si="37"/>
        <v>15</v>
      </c>
      <c r="CR41" s="194">
        <f t="shared" si="97"/>
        <v>33.804983748645718</v>
      </c>
      <c r="CS41" s="194">
        <f t="shared" si="38"/>
        <v>-18.804983748645718</v>
      </c>
      <c r="CT41" s="179">
        <f t="shared" si="105"/>
        <v>-0.27528412403963043</v>
      </c>
      <c r="CU41" s="194">
        <v>10</v>
      </c>
      <c r="CV41" s="175">
        <f t="shared" si="88"/>
        <v>26</v>
      </c>
      <c r="CW41" s="180">
        <f t="shared" si="61"/>
        <v>0</v>
      </c>
      <c r="CX41" s="194">
        <f t="shared" si="62"/>
        <v>5.5233530000000002</v>
      </c>
      <c r="CY41" s="175">
        <v>18</v>
      </c>
      <c r="CZ41" s="194">
        <f t="shared" si="63"/>
        <v>7.0814950000000003</v>
      </c>
      <c r="DA41" s="194">
        <f t="shared" si="23"/>
        <v>10.918505</v>
      </c>
      <c r="DB41" s="194">
        <f t="shared" si="106"/>
        <v>3.4867075664621678</v>
      </c>
      <c r="DC41" s="194">
        <f t="shared" si="107"/>
        <v>12.513292433537831</v>
      </c>
      <c r="DD41" s="189">
        <f t="shared" si="64"/>
        <v>0.85758770215555358</v>
      </c>
      <c r="DE41" s="189">
        <f t="shared" si="108"/>
        <v>1.1714473405597032</v>
      </c>
      <c r="DF41" s="180">
        <f t="shared" si="24"/>
        <v>26</v>
      </c>
      <c r="DG41" s="194">
        <f t="shared" si="65"/>
        <v>10.476647</v>
      </c>
      <c r="DH41" s="189">
        <f t="shared" si="89"/>
        <v>0.6419737100106182</v>
      </c>
      <c r="DI41" s="179">
        <f t="shared" si="79"/>
        <v>0.95341936864246202</v>
      </c>
      <c r="DJ41" s="194">
        <v>26</v>
      </c>
      <c r="DK41" s="194">
        <v>12</v>
      </c>
      <c r="DL41" s="194">
        <f t="shared" si="39"/>
        <v>48</v>
      </c>
      <c r="DM41" s="194">
        <f t="shared" si="98"/>
        <v>6.7569880823401949</v>
      </c>
      <c r="DN41" s="194">
        <f t="shared" si="40"/>
        <v>41.243011917659807</v>
      </c>
      <c r="DO41" s="189">
        <f t="shared" si="109"/>
        <v>2.4904931761145113</v>
      </c>
      <c r="DP41" s="189">
        <f t="shared" si="110"/>
        <v>0.83102679602202634</v>
      </c>
      <c r="DQ41" s="179">
        <f t="shared" si="90"/>
        <v>-3.1062156126526907E-2</v>
      </c>
      <c r="DR41" s="189">
        <f t="shared" si="80"/>
        <v>0.27440234363729882</v>
      </c>
      <c r="DS41" s="189">
        <f t="shared" si="73"/>
        <v>0.27956290199893785</v>
      </c>
      <c r="DT41" s="189">
        <f t="shared" si="111"/>
        <v>0.41994025460584766</v>
      </c>
      <c r="DU41" s="175">
        <v>2</v>
      </c>
      <c r="DV41" s="175">
        <f t="shared" si="91"/>
        <v>6</v>
      </c>
      <c r="DW41" s="179">
        <v>0.77600000000000002</v>
      </c>
      <c r="DX41" s="179">
        <v>0.25800000000000001</v>
      </c>
      <c r="DY41" s="179">
        <f t="shared" si="92"/>
        <v>0.26092497215633914</v>
      </c>
      <c r="DZ41" s="180">
        <v>0</v>
      </c>
      <c r="EA41" s="180">
        <v>0</v>
      </c>
      <c r="EB41" s="175">
        <v>450</v>
      </c>
      <c r="EC41" s="180">
        <v>0</v>
      </c>
      <c r="ED41" s="180">
        <v>0</v>
      </c>
      <c r="EE41" s="180">
        <v>0</v>
      </c>
      <c r="EF41" s="180">
        <f t="shared" si="26"/>
        <v>0</v>
      </c>
      <c r="EG41" s="180">
        <f t="shared" si="70"/>
        <v>0</v>
      </c>
      <c r="EH41" s="180">
        <f t="shared" si="112"/>
        <v>2947.8220858895706</v>
      </c>
      <c r="EI41" s="180">
        <f t="shared" si="71"/>
        <v>6600</v>
      </c>
      <c r="EJ41" s="180">
        <f t="shared" si="29"/>
        <v>-6600</v>
      </c>
      <c r="EK41" s="180">
        <f t="shared" si="30"/>
        <v>0</v>
      </c>
      <c r="EL41" s="180">
        <f t="shared" si="113"/>
        <v>-2947.8220858895706</v>
      </c>
      <c r="EM41" s="195">
        <f t="shared" si="81"/>
        <v>-0.18403628143440834</v>
      </c>
      <c r="EN41" s="195">
        <f t="shared" si="99"/>
        <v>-0.38750034260363891</v>
      </c>
      <c r="EO41" s="195">
        <f t="shared" si="114"/>
        <v>-0.10114345172988445</v>
      </c>
      <c r="EP41" s="180">
        <v>467.0899</v>
      </c>
      <c r="EQ41" s="175">
        <f t="shared" si="93"/>
        <v>-450</v>
      </c>
      <c r="ER41" s="180">
        <f t="shared" si="77"/>
        <v>-467.0899</v>
      </c>
      <c r="ES41" s="179">
        <v>6.0000000000000001E-3</v>
      </c>
      <c r="ET41" s="179">
        <f t="shared" si="94"/>
        <v>-2.120870806086704E-2</v>
      </c>
      <c r="EU41" s="179">
        <f t="shared" si="95"/>
        <v>0.2115067720715548</v>
      </c>
      <c r="EV41" s="179">
        <f t="shared" si="33"/>
        <v>9.4123228625599381E-2</v>
      </c>
      <c r="EW41" s="179">
        <f t="shared" si="34"/>
        <v>0.12418402549042551</v>
      </c>
      <c r="EX41" s="180">
        <v>0</v>
      </c>
      <c r="EY41" s="180">
        <v>0</v>
      </c>
      <c r="EZ41" s="180">
        <f t="shared" si="41"/>
        <v>0</v>
      </c>
      <c r="FA41" s="180">
        <f t="shared" si="100"/>
        <v>14563.022751895991</v>
      </c>
      <c r="FB41" s="180">
        <f t="shared" si="42"/>
        <v>-14563.022751895991</v>
      </c>
      <c r="FC41" s="179">
        <f t="shared" si="115"/>
        <v>-0.13217402674140621</v>
      </c>
      <c r="FD41" s="189">
        <f t="shared" si="116"/>
        <v>0.44574646691665332</v>
      </c>
      <c r="FE41" s="179">
        <f t="shared" si="96"/>
        <v>-0.17363743071737173</v>
      </c>
    </row>
    <row r="42" spans="1:161" x14ac:dyDescent="0.35">
      <c r="A42" s="188" t="s">
        <v>223</v>
      </c>
      <c r="B42" s="188" t="s">
        <v>225</v>
      </c>
      <c r="C42" s="175">
        <f t="shared" si="0"/>
        <v>15</v>
      </c>
      <c r="D42" s="175">
        <v>15</v>
      </c>
      <c r="E42" s="175">
        <v>15</v>
      </c>
      <c r="F42" s="175">
        <v>0</v>
      </c>
      <c r="G42" s="175">
        <v>0</v>
      </c>
      <c r="H42" s="179">
        <v>-0.28499999999999998</v>
      </c>
      <c r="I42" s="189">
        <v>1.0620953580101644</v>
      </c>
      <c r="J42" s="179">
        <f t="shared" si="82"/>
        <v>-0.31217968181057759</v>
      </c>
      <c r="K42" s="185"/>
      <c r="L42" s="191"/>
      <c r="M42" s="190" t="e">
        <f>AD42*AY$8</f>
        <v>#DIV/0!</v>
      </c>
      <c r="N42" s="185"/>
      <c r="O42" s="185"/>
      <c r="P42" s="191"/>
      <c r="Q42" s="191"/>
      <c r="R42" s="180">
        <v>14</v>
      </c>
      <c r="S42" s="185"/>
      <c r="T42" s="198"/>
      <c r="U42" s="198"/>
      <c r="V42" s="198"/>
      <c r="W42" s="185"/>
      <c r="X42" s="185"/>
      <c r="Y42" s="185"/>
      <c r="Z42" s="185"/>
      <c r="AA42" s="180"/>
      <c r="AB42" s="180"/>
      <c r="AC42" s="180"/>
      <c r="AD42" s="180" t="e">
        <f>D42*AS42</f>
        <v>#DIV/0!</v>
      </c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 t="e">
        <f>I42/BA$6</f>
        <v>#DIV/0!</v>
      </c>
      <c r="AT42" s="180"/>
      <c r="AU42" s="180"/>
      <c r="AV42" s="180"/>
      <c r="AW42" s="180"/>
      <c r="AX42" s="180"/>
      <c r="AY42" s="180"/>
      <c r="AZ42" s="180"/>
      <c r="BA42" s="180"/>
      <c r="BB42" s="180">
        <v>3</v>
      </c>
      <c r="BC42" s="180">
        <v>3</v>
      </c>
      <c r="BD42" s="180">
        <f t="shared" si="83"/>
        <v>0</v>
      </c>
      <c r="BE42" s="180">
        <v>10</v>
      </c>
      <c r="BF42" s="180">
        <v>2</v>
      </c>
      <c r="BG42" s="180">
        <v>5</v>
      </c>
      <c r="BH42" s="180">
        <v>2</v>
      </c>
      <c r="BI42" s="180"/>
      <c r="BJ42" s="180"/>
      <c r="BK42" s="180"/>
      <c r="BL42" s="180"/>
      <c r="BM42" s="179"/>
      <c r="BN42" s="179"/>
      <c r="BQ42" s="175">
        <v>1</v>
      </c>
      <c r="BR42" s="175">
        <f t="shared" si="12"/>
        <v>3</v>
      </c>
      <c r="BS42" s="180">
        <f t="shared" si="50"/>
        <v>0</v>
      </c>
      <c r="BT42" s="194">
        <f t="shared" si="51"/>
        <v>21.54729</v>
      </c>
      <c r="BU42" s="194">
        <f t="shared" si="52"/>
        <v>12.442900499999999</v>
      </c>
      <c r="BV42" s="194">
        <f t="shared" si="16"/>
        <v>3</v>
      </c>
      <c r="BW42" s="194">
        <f t="shared" si="17"/>
        <v>-10.442900499999999</v>
      </c>
      <c r="BX42" s="194">
        <f t="shared" si="18"/>
        <v>-16.54729</v>
      </c>
      <c r="BY42" s="194">
        <f t="shared" si="101"/>
        <v>14.693251533742332</v>
      </c>
      <c r="BZ42" s="175">
        <v>15</v>
      </c>
      <c r="CA42" s="194">
        <f t="shared" si="102"/>
        <v>-12.693251533742332</v>
      </c>
      <c r="CB42" s="175">
        <f t="shared" si="103"/>
        <v>-13</v>
      </c>
      <c r="CC42" s="179">
        <f t="shared" si="53"/>
        <v>-0.5520313737182263</v>
      </c>
      <c r="CD42" s="179">
        <f t="shared" si="104"/>
        <v>-0.58453206410227043</v>
      </c>
      <c r="CE42" s="179">
        <f t="shared" si="104"/>
        <v>-0.57902427790140643</v>
      </c>
      <c r="CF42" s="194">
        <v>10.538225000000001</v>
      </c>
      <c r="CG42" s="175">
        <f t="shared" si="84"/>
        <v>-7</v>
      </c>
      <c r="CH42" s="194">
        <f t="shared" si="85"/>
        <v>-7.5382250000000006</v>
      </c>
      <c r="CI42" s="179">
        <v>-0.439</v>
      </c>
      <c r="CJ42" s="179">
        <f t="shared" si="86"/>
        <v>-0.47839907341296706</v>
      </c>
      <c r="CK42" s="175">
        <v>0</v>
      </c>
      <c r="CL42" s="179">
        <f t="shared" si="87"/>
        <v>-0.57240198509171714</v>
      </c>
      <c r="CM42" s="179">
        <f t="shared" si="78"/>
        <v>-0.55186953949990658</v>
      </c>
      <c r="CN42" s="175">
        <v>2</v>
      </c>
      <c r="CO42" s="175">
        <v>2</v>
      </c>
      <c r="CP42" s="194">
        <v>0.5</v>
      </c>
      <c r="CQ42" s="194">
        <f t="shared" si="37"/>
        <v>3.5</v>
      </c>
      <c r="CR42" s="194">
        <f t="shared" si="97"/>
        <v>47.326977248104008</v>
      </c>
      <c r="CS42" s="194">
        <f t="shared" si="38"/>
        <v>-43.826977248104008</v>
      </c>
      <c r="CT42" s="179">
        <f t="shared" si="105"/>
        <v>-0.64157838168395143</v>
      </c>
      <c r="CU42" s="194">
        <v>5</v>
      </c>
      <c r="CV42" s="175">
        <f t="shared" si="88"/>
        <v>7</v>
      </c>
      <c r="CW42" s="180">
        <f t="shared" si="61"/>
        <v>0</v>
      </c>
      <c r="CX42" s="194">
        <f t="shared" si="62"/>
        <v>8.2850295000000003</v>
      </c>
      <c r="CY42" s="175">
        <v>2</v>
      </c>
      <c r="CZ42" s="194">
        <f t="shared" si="63"/>
        <v>10.6222425</v>
      </c>
      <c r="DA42" s="194">
        <f t="shared" si="23"/>
        <v>-8.6222425000000005</v>
      </c>
      <c r="DB42" s="194">
        <f t="shared" si="106"/>
        <v>5.2300613496932513</v>
      </c>
      <c r="DC42" s="194">
        <f t="shared" si="107"/>
        <v>-3.2300613496932513</v>
      </c>
      <c r="DD42" s="179">
        <f t="shared" si="64"/>
        <v>-0.12775796315466165</v>
      </c>
      <c r="DE42" s="179">
        <f t="shared" si="108"/>
        <v>-0.30238618637261833</v>
      </c>
      <c r="DF42" s="180">
        <f t="shared" si="24"/>
        <v>7</v>
      </c>
      <c r="DG42" s="194">
        <f t="shared" si="65"/>
        <v>-6.2850295000000003</v>
      </c>
      <c r="DH42" s="179">
        <f t="shared" si="89"/>
        <v>-0.54106145459088906</v>
      </c>
      <c r="DI42" s="179">
        <f t="shared" si="79"/>
        <v>3.2067195232155274E-2</v>
      </c>
      <c r="DJ42" s="194">
        <v>5</v>
      </c>
      <c r="DK42" s="194">
        <v>4</v>
      </c>
      <c r="DL42" s="194">
        <f t="shared" si="39"/>
        <v>14</v>
      </c>
      <c r="DM42" s="194">
        <f t="shared" si="98"/>
        <v>9.4597833152762725</v>
      </c>
      <c r="DN42" s="194">
        <f t="shared" si="40"/>
        <v>4.5402166847237275</v>
      </c>
      <c r="DO42" s="189">
        <f t="shared" si="109"/>
        <v>0.27416471653332375</v>
      </c>
      <c r="DP42" s="179">
        <f t="shared" si="110"/>
        <v>-0.27528114239704138</v>
      </c>
      <c r="DQ42" s="179">
        <f t="shared" si="90"/>
        <v>-0.55986577289138595</v>
      </c>
      <c r="DR42" s="179">
        <f t="shared" si="80"/>
        <v>-0.31829484560708182</v>
      </c>
      <c r="DS42" s="179">
        <f t="shared" si="73"/>
        <v>-0.38232200949280049</v>
      </c>
      <c r="DT42" s="179">
        <f t="shared" si="111"/>
        <v>-0.47167371301040961</v>
      </c>
      <c r="DU42" s="175">
        <v>5</v>
      </c>
      <c r="DV42" s="175">
        <f t="shared" si="91"/>
        <v>-5</v>
      </c>
      <c r="DW42" s="179">
        <v>-0.46800000000000003</v>
      </c>
      <c r="DX42" s="179">
        <v>-0.45100000000000001</v>
      </c>
      <c r="DY42" s="179">
        <f t="shared" si="92"/>
        <v>-0.47423944404778023</v>
      </c>
      <c r="DZ42" s="180">
        <v>0</v>
      </c>
      <c r="EA42" s="180">
        <v>0</v>
      </c>
      <c r="EB42" s="175">
        <v>2986</v>
      </c>
      <c r="EC42" s="180">
        <v>0</v>
      </c>
      <c r="ED42" s="180">
        <v>0</v>
      </c>
      <c r="EE42" s="180">
        <v>0</v>
      </c>
      <c r="EF42" s="180">
        <f t="shared" si="26"/>
        <v>0</v>
      </c>
      <c r="EG42" s="180">
        <f t="shared" si="70"/>
        <v>0</v>
      </c>
      <c r="EH42" s="180">
        <f t="shared" si="112"/>
        <v>4421.7331288343557</v>
      </c>
      <c r="EI42" s="180">
        <f t="shared" si="71"/>
        <v>9900</v>
      </c>
      <c r="EJ42" s="180">
        <f t="shared" si="29"/>
        <v>-9900</v>
      </c>
      <c r="EK42" s="180">
        <f t="shared" si="30"/>
        <v>0</v>
      </c>
      <c r="EL42" s="180">
        <f t="shared" si="113"/>
        <v>-4421.7331288343557</v>
      </c>
      <c r="EM42" s="195">
        <f t="shared" si="81"/>
        <v>-0.22436840848757986</v>
      </c>
      <c r="EN42" s="195">
        <f t="shared" si="99"/>
        <v>-0.38750034260363891</v>
      </c>
      <c r="EO42" s="195">
        <f t="shared" si="114"/>
        <v>-0.15014027955751016</v>
      </c>
      <c r="EP42" s="180">
        <v>3312.5003999999999</v>
      </c>
      <c r="EQ42" s="175">
        <f t="shared" si="93"/>
        <v>-2986</v>
      </c>
      <c r="ER42" s="180">
        <f t="shared" si="77"/>
        <v>-3312.5003999999999</v>
      </c>
      <c r="ES42" s="179">
        <v>-3.7999999999999999E-2</v>
      </c>
      <c r="ET42" s="179">
        <f t="shared" si="94"/>
        <v>-6.9090038454773697E-2</v>
      </c>
      <c r="EU42" s="179">
        <f t="shared" si="95"/>
        <v>-0.34306033962924981</v>
      </c>
      <c r="EV42" s="179">
        <f t="shared" si="33"/>
        <v>-0.3191405690907122</v>
      </c>
      <c r="EW42" s="179">
        <f t="shared" si="34"/>
        <v>-0.25103301918725313</v>
      </c>
      <c r="EX42" s="180">
        <v>0</v>
      </c>
      <c r="EY42" s="180">
        <v>0</v>
      </c>
      <c r="EZ42" s="180">
        <f t="shared" si="41"/>
        <v>0</v>
      </c>
      <c r="FA42" s="180">
        <f t="shared" si="100"/>
        <v>20388.23185265439</v>
      </c>
      <c r="FB42" s="180">
        <f t="shared" si="42"/>
        <v>-20388.23185265439</v>
      </c>
      <c r="FC42" s="179">
        <f t="shared" si="115"/>
        <v>-0.1850436374379687</v>
      </c>
      <c r="FD42" s="179">
        <f t="shared" si="116"/>
        <v>-0.2391861404134123</v>
      </c>
      <c r="FE42" s="179">
        <f t="shared" si="96"/>
        <v>-0.49091960077628716</v>
      </c>
    </row>
    <row r="43" spans="1:161" hidden="1" x14ac:dyDescent="0.35">
      <c r="A43" s="197" t="s">
        <v>227</v>
      </c>
      <c r="B43" s="197" t="s">
        <v>228</v>
      </c>
      <c r="C43" s="199">
        <f t="shared" si="0"/>
        <v>31</v>
      </c>
      <c r="D43" s="199">
        <v>0</v>
      </c>
      <c r="E43" s="175">
        <v>0</v>
      </c>
      <c r="F43" s="175">
        <v>0</v>
      </c>
      <c r="G43" s="175">
        <v>31</v>
      </c>
      <c r="H43" s="179"/>
      <c r="I43" s="179"/>
      <c r="J43" s="179"/>
      <c r="K43" s="185"/>
      <c r="L43" s="191"/>
      <c r="M43" s="191"/>
      <c r="N43" s="185"/>
      <c r="O43" s="185"/>
      <c r="P43" s="191"/>
      <c r="Q43" s="191"/>
      <c r="R43" s="194"/>
      <c r="S43" s="185"/>
      <c r="T43" s="198"/>
      <c r="U43" s="198"/>
      <c r="V43" s="198"/>
      <c r="W43" s="185"/>
      <c r="X43" s="185"/>
      <c r="Y43" s="185"/>
      <c r="Z43" s="185"/>
      <c r="AA43" s="180"/>
      <c r="AB43" s="180"/>
      <c r="AC43" s="180"/>
      <c r="AD43" s="180"/>
      <c r="AE43" s="180"/>
      <c r="AF43" s="180"/>
      <c r="AG43" s="180" t="e">
        <f>(0.6*AJ43)+(0.4*#REF!)</f>
        <v>#REF!</v>
      </c>
      <c r="AH43" s="180">
        <v>19.085000000000001</v>
      </c>
      <c r="AI43" s="180">
        <f>AH43/(G43+G44+G45)</f>
        <v>0.17836448598130841</v>
      </c>
      <c r="AJ43" s="180">
        <f>AI43/AI54</f>
        <v>0.1149617967304426</v>
      </c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79"/>
      <c r="BN43" s="179"/>
      <c r="BR43" s="175">
        <f t="shared" si="12"/>
        <v>0</v>
      </c>
      <c r="BS43" s="180">
        <f t="shared" si="50"/>
        <v>0</v>
      </c>
      <c r="BT43" s="194">
        <f t="shared" si="51"/>
        <v>0</v>
      </c>
      <c r="BU43" s="194">
        <f t="shared" si="52"/>
        <v>0</v>
      </c>
      <c r="BV43" s="194">
        <f t="shared" si="16"/>
        <v>0</v>
      </c>
      <c r="BW43" s="194">
        <f t="shared" si="17"/>
        <v>0</v>
      </c>
      <c r="BX43" s="194">
        <f t="shared" si="18"/>
        <v>0</v>
      </c>
      <c r="BY43" s="194"/>
      <c r="CC43" s="179">
        <f t="shared" si="53"/>
        <v>8.1184352099831561E-3</v>
      </c>
      <c r="CD43" s="179"/>
      <c r="CL43" s="179">
        <f t="shared" si="87"/>
        <v>-0.59556429797682386</v>
      </c>
      <c r="CM43" s="179">
        <f t="shared" si="78"/>
        <v>-7.3030674825130065E-2</v>
      </c>
      <c r="CP43" s="194"/>
      <c r="CQ43" s="194">
        <f t="shared" si="37"/>
        <v>0</v>
      </c>
      <c r="CR43" s="194">
        <f t="shared" si="97"/>
        <v>0</v>
      </c>
      <c r="CS43" s="194">
        <f t="shared" si="38"/>
        <v>0</v>
      </c>
      <c r="CT43" s="179">
        <f t="shared" si="43"/>
        <v>4.6974779374770076E-17</v>
      </c>
      <c r="CU43" s="194"/>
      <c r="CV43" s="175">
        <f t="shared" si="88"/>
        <v>0</v>
      </c>
      <c r="CW43" s="180">
        <f t="shared" si="61"/>
        <v>0</v>
      </c>
      <c r="CX43" s="194">
        <f t="shared" si="62"/>
        <v>0</v>
      </c>
      <c r="CZ43" s="194">
        <f t="shared" si="63"/>
        <v>0</v>
      </c>
      <c r="DA43" s="194">
        <f t="shared" si="23"/>
        <v>0</v>
      </c>
      <c r="DB43" s="194"/>
      <c r="DC43" s="194"/>
      <c r="DD43" s="179">
        <f t="shared" si="64"/>
        <v>0.30702014718264831</v>
      </c>
      <c r="DE43" s="179"/>
      <c r="DF43" s="180">
        <f t="shared" si="24"/>
        <v>0</v>
      </c>
      <c r="DG43" s="194">
        <f t="shared" si="65"/>
        <v>0</v>
      </c>
      <c r="DH43" s="179">
        <f t="shared" si="89"/>
        <v>-0.97691651523354961</v>
      </c>
      <c r="DI43" s="179">
        <f t="shared" si="79"/>
        <v>0.37754132425337183</v>
      </c>
      <c r="DJ43" s="194"/>
      <c r="DK43" s="194"/>
      <c r="DL43" s="194">
        <f t="shared" si="39"/>
        <v>0</v>
      </c>
      <c r="DM43" s="194">
        <f t="shared" si="98"/>
        <v>0</v>
      </c>
      <c r="DN43" s="194">
        <f t="shared" si="40"/>
        <v>0</v>
      </c>
      <c r="DO43" s="179">
        <f t="shared" si="44"/>
        <v>0</v>
      </c>
      <c r="DP43" s="179">
        <f t="shared" si="45"/>
        <v>2.8184867624862046E-17</v>
      </c>
      <c r="DQ43" s="179">
        <f t="shared" si="90"/>
        <v>-0.74810518487951416</v>
      </c>
      <c r="DR43" s="179">
        <f t="shared" si="80"/>
        <v>0.10719812480627069</v>
      </c>
      <c r="DS43" s="179">
        <f t="shared" si="73"/>
        <v>0.12767911999904921</v>
      </c>
      <c r="DT43" s="179"/>
      <c r="DZ43" s="180"/>
      <c r="EA43" s="180">
        <v>0</v>
      </c>
      <c r="EF43" s="180">
        <f t="shared" si="26"/>
        <v>0</v>
      </c>
      <c r="EG43" s="180">
        <f t="shared" si="70"/>
        <v>0</v>
      </c>
      <c r="EI43" s="180">
        <f t="shared" si="71"/>
        <v>0</v>
      </c>
      <c r="EJ43" s="180">
        <f t="shared" si="29"/>
        <v>0</v>
      </c>
      <c r="EK43" s="180">
        <f t="shared" si="30"/>
        <v>0</v>
      </c>
      <c r="EM43" s="195">
        <f t="shared" si="81"/>
        <v>-0.10337202732806533</v>
      </c>
      <c r="EN43" s="195">
        <f t="shared" si="99"/>
        <v>-0.38750034260363891</v>
      </c>
      <c r="EO43" s="195"/>
      <c r="ET43" s="179"/>
      <c r="EU43" s="179"/>
      <c r="EV43" s="179">
        <f t="shared" si="33"/>
        <v>3.5258661068203384E-2</v>
      </c>
      <c r="EW43" s="179">
        <f t="shared" si="34"/>
        <v>6.4318874883762409E-2</v>
      </c>
      <c r="EX43" s="180"/>
      <c r="EY43" s="180"/>
      <c r="EZ43" s="180">
        <f t="shared" si="41"/>
        <v>0</v>
      </c>
      <c r="FA43" s="180">
        <f t="shared" si="100"/>
        <v>0</v>
      </c>
      <c r="FB43" s="180">
        <f t="shared" si="42"/>
        <v>0</v>
      </c>
      <c r="FC43" s="179">
        <f t="shared" si="48"/>
        <v>-5.3255328561799049E-18</v>
      </c>
      <c r="FD43" s="179">
        <f t="shared" si="49"/>
        <v>1.4780707432445267E-17</v>
      </c>
      <c r="FE43" s="179">
        <f t="shared" si="96"/>
        <v>-0.60386324796916402</v>
      </c>
    </row>
    <row r="44" spans="1:161" hidden="1" x14ac:dyDescent="0.35">
      <c r="A44" s="188" t="s">
        <v>227</v>
      </c>
      <c r="B44" s="188" t="s">
        <v>229</v>
      </c>
      <c r="C44" s="199">
        <f t="shared" si="0"/>
        <v>32</v>
      </c>
      <c r="D44" s="199">
        <v>0</v>
      </c>
      <c r="E44" s="175">
        <v>0</v>
      </c>
      <c r="F44" s="175">
        <v>0</v>
      </c>
      <c r="G44" s="175">
        <v>32</v>
      </c>
      <c r="H44" s="179"/>
      <c r="I44" s="179"/>
      <c r="J44" s="179"/>
      <c r="K44" s="185"/>
      <c r="L44" s="191"/>
      <c r="M44" s="191"/>
      <c r="N44" s="185"/>
      <c r="O44" s="185"/>
      <c r="P44" s="191"/>
      <c r="Q44" s="191"/>
      <c r="R44" s="194"/>
      <c r="S44" s="185"/>
      <c r="T44" s="198"/>
      <c r="U44" s="198"/>
      <c r="V44" s="198"/>
      <c r="W44" s="185"/>
      <c r="X44" s="185"/>
      <c r="Y44" s="185"/>
      <c r="Z44" s="185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0"/>
      <c r="BD44" s="180"/>
      <c r="BE44" s="180"/>
      <c r="BF44" s="180"/>
      <c r="BG44" s="180"/>
      <c r="BH44" s="180"/>
      <c r="BI44" s="180"/>
      <c r="BJ44" s="180"/>
      <c r="BK44" s="180"/>
      <c r="BL44" s="180"/>
      <c r="BM44" s="179"/>
      <c r="BN44" s="179"/>
      <c r="BR44" s="175">
        <f t="shared" si="12"/>
        <v>0</v>
      </c>
      <c r="BS44" s="180">
        <f t="shared" si="50"/>
        <v>0</v>
      </c>
      <c r="BT44" s="194">
        <f t="shared" si="51"/>
        <v>0</v>
      </c>
      <c r="BU44" s="194">
        <f t="shared" si="52"/>
        <v>0</v>
      </c>
      <c r="BV44" s="194">
        <f t="shared" si="16"/>
        <v>0</v>
      </c>
      <c r="BW44" s="194">
        <f t="shared" si="17"/>
        <v>0</v>
      </c>
      <c r="BX44" s="194">
        <f t="shared" si="18"/>
        <v>0</v>
      </c>
      <c r="BY44" s="194"/>
      <c r="CC44" s="179">
        <f t="shared" si="53"/>
        <v>8.1184352099831561E-3</v>
      </c>
      <c r="CD44" s="179"/>
      <c r="CL44" s="179">
        <f t="shared" si="87"/>
        <v>-0.59556429797682386</v>
      </c>
      <c r="CM44" s="179">
        <f t="shared" si="78"/>
        <v>-7.3030674825130065E-2</v>
      </c>
      <c r="CP44" s="194"/>
      <c r="CQ44" s="194">
        <f t="shared" si="37"/>
        <v>0</v>
      </c>
      <c r="CR44" s="194">
        <f t="shared" si="97"/>
        <v>0</v>
      </c>
      <c r="CS44" s="194">
        <f t="shared" si="38"/>
        <v>0</v>
      </c>
      <c r="CT44" s="179">
        <f t="shared" si="43"/>
        <v>4.6974779374770076E-17</v>
      </c>
      <c r="CU44" s="194"/>
      <c r="CV44" s="175">
        <f t="shared" si="88"/>
        <v>0</v>
      </c>
      <c r="CW44" s="180">
        <f t="shared" si="61"/>
        <v>0</v>
      </c>
      <c r="CX44" s="194">
        <f t="shared" si="62"/>
        <v>0</v>
      </c>
      <c r="CZ44" s="194">
        <f t="shared" si="63"/>
        <v>0</v>
      </c>
      <c r="DA44" s="194">
        <f t="shared" si="23"/>
        <v>0</v>
      </c>
      <c r="DB44" s="194"/>
      <c r="DC44" s="194"/>
      <c r="DD44" s="179">
        <f t="shared" si="64"/>
        <v>0.30702014718264831</v>
      </c>
      <c r="DE44" s="179"/>
      <c r="DF44" s="180">
        <f t="shared" si="24"/>
        <v>0</v>
      </c>
      <c r="DG44" s="194">
        <f t="shared" si="65"/>
        <v>0</v>
      </c>
      <c r="DH44" s="179">
        <f t="shared" si="89"/>
        <v>-0.97691651523354961</v>
      </c>
      <c r="DI44" s="179">
        <f t="shared" si="79"/>
        <v>0.37754132425337183</v>
      </c>
      <c r="DJ44" s="194"/>
      <c r="DK44" s="194"/>
      <c r="DL44" s="194">
        <f t="shared" si="39"/>
        <v>0</v>
      </c>
      <c r="DM44" s="194">
        <f t="shared" si="98"/>
        <v>0</v>
      </c>
      <c r="DN44" s="194">
        <f t="shared" si="40"/>
        <v>0</v>
      </c>
      <c r="DO44" s="179">
        <f t="shared" si="44"/>
        <v>0</v>
      </c>
      <c r="DP44" s="179">
        <f t="shared" si="45"/>
        <v>2.8184867624862046E-17</v>
      </c>
      <c r="DQ44" s="179">
        <f t="shared" si="90"/>
        <v>-0.74810518487951416</v>
      </c>
      <c r="DR44" s="179">
        <f t="shared" si="80"/>
        <v>0.10719812480627069</v>
      </c>
      <c r="DS44" s="179">
        <f t="shared" si="73"/>
        <v>0.12767911999904921</v>
      </c>
      <c r="DT44" s="179"/>
      <c r="DZ44" s="180"/>
      <c r="EA44" s="180">
        <v>0</v>
      </c>
      <c r="EF44" s="180">
        <f t="shared" si="26"/>
        <v>0</v>
      </c>
      <c r="EG44" s="180">
        <f t="shared" si="70"/>
        <v>0</v>
      </c>
      <c r="EI44" s="180">
        <f t="shared" si="71"/>
        <v>0</v>
      </c>
      <c r="EJ44" s="180">
        <f t="shared" si="29"/>
        <v>0</v>
      </c>
      <c r="EK44" s="180">
        <f t="shared" si="30"/>
        <v>0</v>
      </c>
      <c r="EM44" s="195">
        <f t="shared" si="81"/>
        <v>-0.10337202732806533</v>
      </c>
      <c r="EN44" s="195">
        <f t="shared" si="99"/>
        <v>-0.38750034260363891</v>
      </c>
      <c r="EO44" s="195"/>
      <c r="ET44" s="179"/>
      <c r="EU44" s="179"/>
      <c r="EV44" s="179">
        <f t="shared" si="33"/>
        <v>3.5258661068203384E-2</v>
      </c>
      <c r="EW44" s="179">
        <f t="shared" si="34"/>
        <v>6.4318874883762409E-2</v>
      </c>
      <c r="EX44" s="180"/>
      <c r="EY44" s="180"/>
      <c r="EZ44" s="180">
        <f t="shared" si="41"/>
        <v>0</v>
      </c>
      <c r="FA44" s="180">
        <f t="shared" si="100"/>
        <v>0</v>
      </c>
      <c r="FB44" s="180">
        <f t="shared" si="42"/>
        <v>0</v>
      </c>
      <c r="FC44" s="179">
        <f t="shared" si="48"/>
        <v>-5.3255328561799049E-18</v>
      </c>
      <c r="FD44" s="179">
        <f t="shared" si="49"/>
        <v>1.4780707432445267E-17</v>
      </c>
      <c r="FE44" s="179">
        <f t="shared" si="96"/>
        <v>-0.60386324796916402</v>
      </c>
    </row>
    <row r="45" spans="1:161" hidden="1" x14ac:dyDescent="0.35">
      <c r="A45" s="197" t="s">
        <v>227</v>
      </c>
      <c r="B45" s="197" t="s">
        <v>230</v>
      </c>
      <c r="C45" s="199">
        <f t="shared" si="0"/>
        <v>44</v>
      </c>
      <c r="D45" s="199">
        <v>0</v>
      </c>
      <c r="E45" s="175">
        <v>0</v>
      </c>
      <c r="F45" s="175">
        <v>0</v>
      </c>
      <c r="G45" s="175">
        <v>44</v>
      </c>
      <c r="H45" s="179"/>
      <c r="I45" s="179"/>
      <c r="J45" s="179"/>
      <c r="K45" s="185"/>
      <c r="L45" s="191"/>
      <c r="M45" s="191"/>
      <c r="N45" s="185"/>
      <c r="O45" s="185"/>
      <c r="P45" s="191"/>
      <c r="Q45" s="191"/>
      <c r="R45" s="194"/>
      <c r="S45" s="185"/>
      <c r="T45" s="198"/>
      <c r="U45" s="198"/>
      <c r="V45" s="198"/>
      <c r="W45" s="185"/>
      <c r="X45" s="185"/>
      <c r="Y45" s="185"/>
      <c r="Z45" s="185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  <c r="BE45" s="180"/>
      <c r="BF45" s="180"/>
      <c r="BG45" s="180"/>
      <c r="BH45" s="180"/>
      <c r="BI45" s="180"/>
      <c r="BJ45" s="180"/>
      <c r="BK45" s="180"/>
      <c r="BL45" s="180"/>
      <c r="BM45" s="179"/>
      <c r="BN45" s="179"/>
      <c r="BR45" s="175">
        <f t="shared" si="12"/>
        <v>0</v>
      </c>
      <c r="BS45" s="180">
        <f t="shared" si="50"/>
        <v>0</v>
      </c>
      <c r="BT45" s="194">
        <f t="shared" si="51"/>
        <v>0</v>
      </c>
      <c r="BU45" s="194">
        <f t="shared" si="52"/>
        <v>0</v>
      </c>
      <c r="BV45" s="194">
        <f t="shared" si="16"/>
        <v>0</v>
      </c>
      <c r="BW45" s="194">
        <f t="shared" si="17"/>
        <v>0</v>
      </c>
      <c r="BX45" s="194">
        <f t="shared" si="18"/>
        <v>0</v>
      </c>
      <c r="BY45" s="194"/>
      <c r="CC45" s="179">
        <f t="shared" si="53"/>
        <v>8.1184352099831561E-3</v>
      </c>
      <c r="CD45" s="179"/>
      <c r="CL45" s="179">
        <f t="shared" si="87"/>
        <v>-0.59556429797682386</v>
      </c>
      <c r="CM45" s="179">
        <f t="shared" si="78"/>
        <v>-7.3030674825130065E-2</v>
      </c>
      <c r="CP45" s="194"/>
      <c r="CQ45" s="194">
        <f t="shared" si="37"/>
        <v>0</v>
      </c>
      <c r="CR45" s="194">
        <f t="shared" si="97"/>
        <v>0</v>
      </c>
      <c r="CS45" s="194">
        <f t="shared" si="38"/>
        <v>0</v>
      </c>
      <c r="CT45" s="179">
        <f t="shared" si="43"/>
        <v>4.6974779374770076E-17</v>
      </c>
      <c r="CU45" s="194"/>
      <c r="CV45" s="175">
        <f t="shared" si="88"/>
        <v>0</v>
      </c>
      <c r="CW45" s="180">
        <f t="shared" si="61"/>
        <v>0</v>
      </c>
      <c r="CX45" s="194">
        <f t="shared" si="62"/>
        <v>0</v>
      </c>
      <c r="CZ45" s="194">
        <f t="shared" si="63"/>
        <v>0</v>
      </c>
      <c r="DA45" s="194">
        <f t="shared" si="23"/>
        <v>0</v>
      </c>
      <c r="DB45" s="194"/>
      <c r="DC45" s="194"/>
      <c r="DD45" s="179">
        <f t="shared" si="64"/>
        <v>0.30702014718264831</v>
      </c>
      <c r="DE45" s="179"/>
      <c r="DF45" s="180">
        <f t="shared" si="24"/>
        <v>0</v>
      </c>
      <c r="DG45" s="194">
        <f t="shared" si="65"/>
        <v>0</v>
      </c>
      <c r="DH45" s="179">
        <f t="shared" si="89"/>
        <v>-0.97691651523354961</v>
      </c>
      <c r="DI45" s="179">
        <f t="shared" si="79"/>
        <v>0.37754132425337183</v>
      </c>
      <c r="DJ45" s="194"/>
      <c r="DK45" s="194"/>
      <c r="DL45" s="194">
        <f t="shared" si="39"/>
        <v>0</v>
      </c>
      <c r="DM45" s="194">
        <f t="shared" si="98"/>
        <v>0</v>
      </c>
      <c r="DN45" s="194">
        <f t="shared" si="40"/>
        <v>0</v>
      </c>
      <c r="DO45" s="179">
        <f t="shared" si="44"/>
        <v>0</v>
      </c>
      <c r="DP45" s="179">
        <f t="shared" si="45"/>
        <v>2.8184867624862046E-17</v>
      </c>
      <c r="DQ45" s="179">
        <f t="shared" si="90"/>
        <v>-0.74810518487951416</v>
      </c>
      <c r="DR45" s="179">
        <f t="shared" si="80"/>
        <v>0.10719812480627069</v>
      </c>
      <c r="DS45" s="179">
        <f t="shared" si="73"/>
        <v>0.12767911999904921</v>
      </c>
      <c r="DT45" s="179"/>
      <c r="DZ45" s="180"/>
      <c r="EA45" s="180">
        <v>0</v>
      </c>
      <c r="EF45" s="180">
        <f t="shared" si="26"/>
        <v>0</v>
      </c>
      <c r="EG45" s="180">
        <f t="shared" si="70"/>
        <v>0</v>
      </c>
      <c r="EI45" s="180">
        <f t="shared" si="71"/>
        <v>0</v>
      </c>
      <c r="EJ45" s="180">
        <f t="shared" si="29"/>
        <v>0</v>
      </c>
      <c r="EK45" s="180">
        <f t="shared" si="30"/>
        <v>0</v>
      </c>
      <c r="EM45" s="195">
        <f t="shared" si="81"/>
        <v>-0.10337202732806533</v>
      </c>
      <c r="EN45" s="195">
        <f t="shared" si="99"/>
        <v>-0.38750034260363891</v>
      </c>
      <c r="EO45" s="195"/>
      <c r="ET45" s="179"/>
      <c r="EU45" s="179"/>
      <c r="EV45" s="179">
        <f t="shared" si="33"/>
        <v>3.5258661068203384E-2</v>
      </c>
      <c r="EW45" s="179">
        <f t="shared" si="34"/>
        <v>6.4318874883762409E-2</v>
      </c>
      <c r="EX45" s="180"/>
      <c r="EY45" s="180"/>
      <c r="EZ45" s="180">
        <f t="shared" si="41"/>
        <v>0</v>
      </c>
      <c r="FA45" s="180">
        <f t="shared" si="100"/>
        <v>0</v>
      </c>
      <c r="FB45" s="180">
        <f t="shared" si="42"/>
        <v>0</v>
      </c>
      <c r="FC45" s="179">
        <f t="shared" si="48"/>
        <v>-5.3255328561799049E-18</v>
      </c>
      <c r="FD45" s="179">
        <f t="shared" si="49"/>
        <v>1.4780707432445267E-17</v>
      </c>
      <c r="FE45" s="179">
        <f t="shared" si="96"/>
        <v>-0.60386324796916402</v>
      </c>
    </row>
    <row r="46" spans="1:161" x14ac:dyDescent="0.35">
      <c r="A46" s="188" t="s">
        <v>237</v>
      </c>
      <c r="B46" s="188" t="s">
        <v>96</v>
      </c>
      <c r="C46" s="175">
        <f t="shared" si="0"/>
        <v>70</v>
      </c>
      <c r="D46" s="175">
        <v>65</v>
      </c>
      <c r="E46" s="175">
        <v>52</v>
      </c>
      <c r="F46" s="175">
        <v>18</v>
      </c>
      <c r="G46" s="175">
        <v>0</v>
      </c>
      <c r="H46" s="179">
        <v>-0.55500000000000005</v>
      </c>
      <c r="I46" s="179">
        <v>-0.38452644060398899</v>
      </c>
      <c r="J46" s="179">
        <f t="shared" ref="J46" si="117">(0.6*DY46)+(0.4*ET46)</f>
        <v>-0.56493446499966071</v>
      </c>
      <c r="K46" s="198"/>
      <c r="L46" s="191" t="e">
        <f>C46*Q46</f>
        <v>#REF!</v>
      </c>
      <c r="M46" s="191"/>
      <c r="N46" s="185"/>
      <c r="O46" s="185"/>
      <c r="P46" s="191"/>
      <c r="Q46" s="191" t="e">
        <f>#REF!/AZ2</f>
        <v>#REF!</v>
      </c>
      <c r="R46" s="180">
        <v>58</v>
      </c>
      <c r="S46" s="185"/>
      <c r="T46" s="198"/>
      <c r="U46" s="198"/>
      <c r="V46" s="198"/>
      <c r="W46" s="185"/>
      <c r="X46" s="185"/>
      <c r="Y46" s="185"/>
      <c r="Z46" s="185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>
        <v>59</v>
      </c>
      <c r="BC46" s="180">
        <v>59</v>
      </c>
      <c r="BD46" s="180">
        <f>BB46-BC46</f>
        <v>0</v>
      </c>
      <c r="BE46" s="180">
        <v>48</v>
      </c>
      <c r="BF46" s="180">
        <v>72</v>
      </c>
      <c r="BG46" s="180">
        <v>97</v>
      </c>
      <c r="BH46" s="180">
        <v>65</v>
      </c>
      <c r="BI46" s="180"/>
      <c r="BJ46" s="180"/>
      <c r="BK46" s="180"/>
      <c r="BL46" s="180"/>
      <c r="BM46" s="179"/>
      <c r="BN46" s="179"/>
      <c r="BQ46" s="175">
        <v>102</v>
      </c>
      <c r="BR46" s="175">
        <f t="shared" si="12"/>
        <v>167</v>
      </c>
      <c r="BS46" s="180">
        <f t="shared" si="50"/>
        <v>0</v>
      </c>
      <c r="BT46" s="194">
        <f t="shared" si="51"/>
        <v>93.371589999999998</v>
      </c>
      <c r="BU46" s="194">
        <f t="shared" si="52"/>
        <v>53.919235499999999</v>
      </c>
      <c r="BV46" s="194">
        <f t="shared" si="16"/>
        <v>167</v>
      </c>
      <c r="BW46" s="194">
        <f t="shared" si="17"/>
        <v>11.080764500000001</v>
      </c>
      <c r="BX46" s="194">
        <f t="shared" si="18"/>
        <v>3.6284100000000024</v>
      </c>
      <c r="BY46" s="194">
        <f>D46*BF$56</f>
        <v>63.670756646216773</v>
      </c>
      <c r="BZ46" s="175">
        <v>63</v>
      </c>
      <c r="CA46" s="194">
        <f>BF46-BY46</f>
        <v>8.3292433537832267</v>
      </c>
      <c r="CB46" s="175">
        <f>BF46-BZ46</f>
        <v>9</v>
      </c>
      <c r="CC46" s="179">
        <f t="shared" si="53"/>
        <v>0.13094538561776628</v>
      </c>
      <c r="CD46" s="189">
        <f>(CA46-CA$53)/CA$54</f>
        <v>0.38669084336924303</v>
      </c>
      <c r="CE46" s="189">
        <f>(CB46-CB$53)/CB$54</f>
        <v>0.43865475598591391</v>
      </c>
      <c r="CF46" s="194">
        <v>49.178384999999999</v>
      </c>
      <c r="CG46" s="175">
        <f>BB46-BE46</f>
        <v>11</v>
      </c>
      <c r="CH46" s="194">
        <f>BC46-CF46</f>
        <v>9.8216150000000013</v>
      </c>
      <c r="CI46" s="179">
        <v>0.26300000000000001</v>
      </c>
      <c r="CJ46" s="179">
        <f>(CH46-CH$54)/CH$55</f>
        <v>0.28316317114076306</v>
      </c>
      <c r="CK46" s="175">
        <v>33</v>
      </c>
      <c r="CL46" s="179">
        <f t="shared" si="87"/>
        <v>0.69380445262744872</v>
      </c>
      <c r="CM46" s="189">
        <f t="shared" si="78"/>
        <v>0.43505620131704598</v>
      </c>
      <c r="CN46" s="175">
        <v>12</v>
      </c>
      <c r="CO46" s="175">
        <v>48</v>
      </c>
      <c r="CP46" s="194">
        <v>60</v>
      </c>
      <c r="CQ46" s="194">
        <f t="shared" si="37"/>
        <v>210</v>
      </c>
      <c r="CR46" s="194">
        <f t="shared" si="97"/>
        <v>196.06890574214518</v>
      </c>
      <c r="CS46" s="194">
        <f t="shared" si="38"/>
        <v>13.931094257854824</v>
      </c>
      <c r="CT46" s="179">
        <f>(CS46-CS$56)/CS$57</f>
        <v>0.20393578271309479</v>
      </c>
      <c r="CU46" s="194">
        <v>10</v>
      </c>
      <c r="CV46" s="175">
        <f t="shared" si="88"/>
        <v>22</v>
      </c>
      <c r="CW46" s="180">
        <f t="shared" si="61"/>
        <v>0</v>
      </c>
      <c r="CX46" s="194">
        <f t="shared" si="62"/>
        <v>35.901794500000001</v>
      </c>
      <c r="CY46" s="175">
        <v>17</v>
      </c>
      <c r="CZ46" s="194">
        <f t="shared" si="63"/>
        <v>46.029717499999997</v>
      </c>
      <c r="DA46" s="194">
        <f t="shared" si="23"/>
        <v>-29.029717499999997</v>
      </c>
      <c r="DB46" s="194">
        <f>D46*CN$56</f>
        <v>22.663599182004091</v>
      </c>
      <c r="DC46" s="194">
        <f>CN46-DB46</f>
        <v>-10.663599182004091</v>
      </c>
      <c r="DD46" s="179">
        <f t="shared" si="64"/>
        <v>-1.1568085166801385</v>
      </c>
      <c r="DE46" s="179">
        <f>(DC46-DC$53)/DC$54</f>
        <v>-0.9982860201582896</v>
      </c>
      <c r="DF46" s="180">
        <f t="shared" si="24"/>
        <v>22</v>
      </c>
      <c r="DG46" s="194">
        <f t="shared" si="65"/>
        <v>-23.901794500000001</v>
      </c>
      <c r="DH46" s="179">
        <f t="shared" si="89"/>
        <v>0.39291367535766936</v>
      </c>
      <c r="DI46" s="179">
        <f t="shared" si="79"/>
        <v>-0.93628729611055861</v>
      </c>
      <c r="DJ46" s="194">
        <v>6</v>
      </c>
      <c r="DK46" s="194">
        <v>17.5</v>
      </c>
      <c r="DL46" s="194">
        <f t="shared" si="39"/>
        <v>33.5</v>
      </c>
      <c r="DM46" s="194">
        <f t="shared" si="98"/>
        <v>39.190530877573131</v>
      </c>
      <c r="DN46" s="194">
        <f t="shared" si="40"/>
        <v>-5.6905308775731314</v>
      </c>
      <c r="DO46" s="179">
        <f>(DN46-DM$57)/DM$58</f>
        <v>-0.34362738461873615</v>
      </c>
      <c r="DP46" s="179">
        <f>(0.6*CT46)+(0.4*DO46)</f>
        <v>-1.5089484219637614E-2</v>
      </c>
      <c r="DQ46" s="179">
        <f t="shared" si="90"/>
        <v>0.57344814171953695</v>
      </c>
      <c r="DR46" s="179">
        <f t="shared" si="80"/>
        <v>-0.11348119765399589</v>
      </c>
      <c r="DS46" s="179">
        <f t="shared" si="73"/>
        <v>-0.38415617530139567</v>
      </c>
      <c r="DT46" s="179">
        <f>(0.6*CD46)+(0.4*DE46)</f>
        <v>-0.16729990204177006</v>
      </c>
      <c r="DU46" s="175">
        <v>22</v>
      </c>
      <c r="DV46" s="175">
        <f>CK46-DU46</f>
        <v>11</v>
      </c>
      <c r="DW46" s="179">
        <v>-1.506</v>
      </c>
      <c r="DX46" s="179">
        <v>-0.44500000000000001</v>
      </c>
      <c r="DY46" s="179">
        <f>(0.6*CJ46)+(0.4*DW46)</f>
        <v>-0.43250209731554223</v>
      </c>
      <c r="DZ46" s="180">
        <v>0</v>
      </c>
      <c r="EA46" s="180">
        <v>0</v>
      </c>
      <c r="EB46" s="175">
        <v>42413</v>
      </c>
      <c r="EC46" s="180">
        <v>0</v>
      </c>
      <c r="ED46" s="180">
        <v>0</v>
      </c>
      <c r="EE46" s="180">
        <v>0</v>
      </c>
      <c r="EF46" s="180">
        <f t="shared" si="26"/>
        <v>0</v>
      </c>
      <c r="EG46" s="180">
        <f t="shared" si="70"/>
        <v>0</v>
      </c>
      <c r="EH46" s="180">
        <f>D46*EC$55</f>
        <v>19160.843558282209</v>
      </c>
      <c r="EI46" s="180">
        <f t="shared" si="71"/>
        <v>42900</v>
      </c>
      <c r="EJ46" s="180">
        <f t="shared" si="29"/>
        <v>-42900</v>
      </c>
      <c r="EK46" s="180">
        <f t="shared" si="30"/>
        <v>0</v>
      </c>
      <c r="EL46" s="180">
        <f>EC46-EH46</f>
        <v>-19160.843558282209</v>
      </c>
      <c r="EM46" s="195">
        <f t="shared" si="81"/>
        <v>-0.62768967901929495</v>
      </c>
      <c r="EN46" s="195">
        <f t="shared" si="99"/>
        <v>-0.38750034260363891</v>
      </c>
      <c r="EO46" s="195">
        <f>(EL46-EL$53)/EL$54</f>
        <v>-0.6401085578337673</v>
      </c>
      <c r="EP46" s="180">
        <v>44583.651299999998</v>
      </c>
      <c r="EQ46" s="175">
        <f>DZ46-EB46</f>
        <v>-42413</v>
      </c>
      <c r="ER46" s="180">
        <f t="shared" ref="ER46" si="118">EA46-EP46</f>
        <v>-44583.651299999998</v>
      </c>
      <c r="ES46" s="179">
        <v>-0.72099999999999997</v>
      </c>
      <c r="ET46" s="179">
        <f>(ER46-ER$54)/ER$55</f>
        <v>-0.76358301652583849</v>
      </c>
      <c r="EU46" s="179">
        <f>(0.6*DT46)+(0.4*EO46)</f>
        <v>-0.35642336435856897</v>
      </c>
      <c r="EV46" s="179">
        <f t="shared" si="33"/>
        <v>-0.48156957678855539</v>
      </c>
      <c r="EW46" s="179">
        <f t="shared" si="34"/>
        <v>-0.32413214172590443</v>
      </c>
      <c r="EX46" s="180">
        <v>0</v>
      </c>
      <c r="EY46" s="180">
        <v>0</v>
      </c>
      <c r="EZ46" s="180">
        <f t="shared" si="41"/>
        <v>0</v>
      </c>
      <c r="FA46" s="180">
        <f t="shared" si="100"/>
        <v>84465.531960996756</v>
      </c>
      <c r="FB46" s="180">
        <f t="shared" si="42"/>
        <v>-84465.531960996756</v>
      </c>
      <c r="FC46" s="179">
        <f>(FB46-FB$56)/FB$57</f>
        <v>-0.76660935510015604</v>
      </c>
      <c r="FD46" s="179">
        <f>(0.6*DP46)+(0.4*FC46)</f>
        <v>-0.31569743257184502</v>
      </c>
      <c r="FE46" s="179">
        <f t="shared" si="96"/>
        <v>0.1890687479902666</v>
      </c>
    </row>
    <row r="47" spans="1:161" hidden="1" x14ac:dyDescent="0.35">
      <c r="A47" s="197" t="s">
        <v>237</v>
      </c>
      <c r="B47" s="197" t="s">
        <v>24</v>
      </c>
      <c r="C47" s="199">
        <f t="shared" si="0"/>
        <v>2</v>
      </c>
      <c r="D47" s="199">
        <v>2</v>
      </c>
      <c r="E47" s="175">
        <v>2</v>
      </c>
      <c r="F47" s="175">
        <v>0</v>
      </c>
      <c r="G47" s="175">
        <v>0</v>
      </c>
      <c r="H47" s="179"/>
      <c r="I47" s="179"/>
      <c r="J47" s="179"/>
      <c r="K47" s="185"/>
      <c r="L47" s="191"/>
      <c r="M47" s="191"/>
      <c r="N47" s="185"/>
      <c r="O47" s="185"/>
      <c r="P47" s="191"/>
      <c r="Q47" s="191"/>
      <c r="R47" s="180"/>
      <c r="S47" s="185"/>
      <c r="T47" s="198"/>
      <c r="U47" s="198"/>
      <c r="V47" s="198"/>
      <c r="W47" s="185"/>
      <c r="X47" s="185"/>
      <c r="Y47" s="185"/>
      <c r="Z47" s="185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180"/>
      <c r="BC47" s="180"/>
      <c r="BD47" s="180"/>
      <c r="BE47" s="180"/>
      <c r="BF47" s="180"/>
      <c r="BG47" s="180"/>
      <c r="BH47" s="180"/>
      <c r="BI47" s="180"/>
      <c r="BJ47" s="180"/>
      <c r="BK47" s="180"/>
      <c r="BL47" s="180"/>
      <c r="BM47" s="179"/>
      <c r="BN47" s="179"/>
      <c r="BR47" s="175">
        <f t="shared" si="12"/>
        <v>0</v>
      </c>
      <c r="BS47" s="180">
        <f t="shared" si="50"/>
        <v>0</v>
      </c>
      <c r="BT47" s="194">
        <f t="shared" si="51"/>
        <v>2.8729719999999999</v>
      </c>
      <c r="BU47" s="194">
        <f t="shared" si="52"/>
        <v>1.6590533999999999</v>
      </c>
      <c r="BV47" s="194">
        <f t="shared" si="16"/>
        <v>0</v>
      </c>
      <c r="BW47" s="194">
        <f t="shared" si="17"/>
        <v>-1.6590533999999999</v>
      </c>
      <c r="BX47" s="194">
        <f t="shared" si="18"/>
        <v>-2.8729719999999999</v>
      </c>
      <c r="BY47" s="194"/>
      <c r="CC47" s="179">
        <f t="shared" si="53"/>
        <v>-8.9135841282185393E-2</v>
      </c>
      <c r="CD47" s="179"/>
      <c r="CL47" s="179">
        <f t="shared" si="87"/>
        <v>-0.59556429797682386</v>
      </c>
      <c r="CM47" s="179">
        <f t="shared" si="78"/>
        <v>-0.14910333744322432</v>
      </c>
      <c r="CP47" s="194"/>
      <c r="CQ47" s="194">
        <f t="shared" si="37"/>
        <v>0</v>
      </c>
      <c r="CR47" s="194">
        <f t="shared" si="97"/>
        <v>0</v>
      </c>
      <c r="CS47" s="194">
        <f t="shared" si="38"/>
        <v>0</v>
      </c>
      <c r="CT47" s="179">
        <f t="shared" si="43"/>
        <v>4.6974779374770076E-17</v>
      </c>
      <c r="CU47" s="194"/>
      <c r="CV47" s="175">
        <f t="shared" si="88"/>
        <v>0</v>
      </c>
      <c r="CW47" s="180">
        <f t="shared" si="61"/>
        <v>0</v>
      </c>
      <c r="CX47" s="194">
        <f t="shared" si="62"/>
        <v>1.1046705999999999</v>
      </c>
      <c r="CZ47" s="194">
        <f t="shared" si="63"/>
        <v>1.416299</v>
      </c>
      <c r="DA47" s="194">
        <f t="shared" si="23"/>
        <v>-1.416299</v>
      </c>
      <c r="DB47" s="194"/>
      <c r="DC47" s="194"/>
      <c r="DD47" s="179">
        <f t="shared" si="64"/>
        <v>0.23560301841450917</v>
      </c>
      <c r="DE47" s="179"/>
      <c r="DF47" s="180">
        <f t="shared" si="24"/>
        <v>0</v>
      </c>
      <c r="DG47" s="194">
        <f t="shared" si="65"/>
        <v>-1.1046705999999999</v>
      </c>
      <c r="DH47" s="179">
        <f t="shared" si="89"/>
        <v>-0.97691651523354961</v>
      </c>
      <c r="DI47" s="179">
        <f t="shared" si="79"/>
        <v>0.31682003195230235</v>
      </c>
      <c r="DJ47" s="194"/>
      <c r="DK47" s="194"/>
      <c r="DL47" s="194">
        <f t="shared" si="39"/>
        <v>0</v>
      </c>
      <c r="DM47" s="194">
        <f t="shared" si="98"/>
        <v>0</v>
      </c>
      <c r="DN47" s="194">
        <f t="shared" si="40"/>
        <v>0</v>
      </c>
      <c r="DO47" s="179">
        <f t="shared" si="44"/>
        <v>0</v>
      </c>
      <c r="DP47" s="179">
        <f t="shared" si="45"/>
        <v>2.8184867624862046E-17</v>
      </c>
      <c r="DQ47" s="179">
        <f t="shared" si="90"/>
        <v>-0.74810518487951416</v>
      </c>
      <c r="DR47" s="179">
        <f t="shared" si="80"/>
        <v>3.7266010314986345E-2</v>
      </c>
      <c r="DS47" s="179">
        <f t="shared" si="73"/>
        <v>4.0759702596492441E-2</v>
      </c>
      <c r="DT47" s="179"/>
      <c r="DZ47" s="180"/>
      <c r="EA47" s="180">
        <v>0</v>
      </c>
      <c r="EF47" s="180">
        <f t="shared" si="26"/>
        <v>0</v>
      </c>
      <c r="EG47" s="180">
        <f t="shared" si="70"/>
        <v>0</v>
      </c>
      <c r="EI47" s="180">
        <f t="shared" si="71"/>
        <v>1320</v>
      </c>
      <c r="EJ47" s="180">
        <f t="shared" si="29"/>
        <v>-1320</v>
      </c>
      <c r="EK47" s="180">
        <f t="shared" si="30"/>
        <v>0</v>
      </c>
      <c r="EM47" s="195">
        <f t="shared" si="81"/>
        <v>-0.11950487814933393</v>
      </c>
      <c r="EN47" s="195">
        <f t="shared" si="99"/>
        <v>-0.38750034260363891</v>
      </c>
      <c r="EO47" s="195"/>
      <c r="ET47" s="179"/>
      <c r="EU47" s="179"/>
      <c r="EV47" s="179">
        <f t="shared" si="33"/>
        <v>-2.3346129701838112E-2</v>
      </c>
      <c r="EW47" s="179">
        <f t="shared" si="34"/>
        <v>2.2359606188991805E-2</v>
      </c>
      <c r="EX47" s="180"/>
      <c r="EY47" s="180"/>
      <c r="EZ47" s="180">
        <f t="shared" si="41"/>
        <v>0</v>
      </c>
      <c r="FA47" s="180">
        <f t="shared" si="100"/>
        <v>0</v>
      </c>
      <c r="FB47" s="180">
        <f t="shared" si="42"/>
        <v>0</v>
      </c>
      <c r="FC47" s="179">
        <f t="shared" si="48"/>
        <v>-5.3255328561799049E-18</v>
      </c>
      <c r="FD47" s="179">
        <f t="shared" si="49"/>
        <v>1.4780707432445267E-17</v>
      </c>
      <c r="FE47" s="179">
        <f t="shared" si="96"/>
        <v>-0.60386324796916402</v>
      </c>
    </row>
    <row r="48" spans="1:161" x14ac:dyDescent="0.35">
      <c r="A48" s="188" t="s">
        <v>241</v>
      </c>
      <c r="B48" s="188" t="s">
        <v>22</v>
      </c>
      <c r="C48" s="175">
        <f>C322</f>
        <v>0</v>
      </c>
      <c r="D48" s="175">
        <v>11</v>
      </c>
      <c r="E48" s="175">
        <v>22</v>
      </c>
      <c r="F48" s="175">
        <v>0</v>
      </c>
      <c r="G48" s="175">
        <v>9</v>
      </c>
      <c r="H48" s="179">
        <v>-0.24399999999999999</v>
      </c>
      <c r="I48" s="179">
        <v>-0.13359595297751586</v>
      </c>
      <c r="J48" s="179">
        <f t="shared" ref="J48:J52" si="119">(0.6*DY48)+(0.4*ET48)</f>
        <v>-0.1941478767702752</v>
      </c>
      <c r="K48" s="185"/>
      <c r="L48" s="191"/>
      <c r="M48" s="191"/>
      <c r="N48" s="185"/>
      <c r="O48" s="185"/>
      <c r="P48" s="191"/>
      <c r="Q48" s="191"/>
      <c r="R48" s="180">
        <v>12</v>
      </c>
      <c r="S48" s="185"/>
      <c r="T48" s="198"/>
      <c r="U48" s="198"/>
      <c r="V48" s="198"/>
      <c r="W48" s="185"/>
      <c r="X48" s="185"/>
      <c r="Y48" s="185"/>
      <c r="Z48" s="185"/>
      <c r="AA48" s="180"/>
      <c r="AB48" s="180"/>
      <c r="AC48" s="180"/>
      <c r="AD48" s="180"/>
      <c r="AE48" s="180"/>
      <c r="AF48" s="180"/>
      <c r="AG48" s="180" t="e">
        <f>(0.6*AJ48)+(0.4*#REF!)</f>
        <v>#REF!</v>
      </c>
      <c r="AH48" s="180">
        <v>1.274</v>
      </c>
      <c r="AI48" s="180">
        <f>AH48/G48</f>
        <v>0.14155555555555555</v>
      </c>
      <c r="AJ48" s="180">
        <f>AI48/AI54</f>
        <v>9.1237226482114936E-2</v>
      </c>
      <c r="AK48" s="180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  <c r="BA48" s="180"/>
      <c r="BB48" s="180">
        <v>7</v>
      </c>
      <c r="BC48" s="180">
        <v>12</v>
      </c>
      <c r="BD48" s="180">
        <f>BB48-BC48</f>
        <v>-5</v>
      </c>
      <c r="BE48" s="180">
        <v>15</v>
      </c>
      <c r="BF48" s="180">
        <v>3</v>
      </c>
      <c r="BG48" s="180">
        <v>8</v>
      </c>
      <c r="BH48" s="180">
        <v>3</v>
      </c>
      <c r="BI48" s="180"/>
      <c r="BJ48" s="180"/>
      <c r="BK48" s="180"/>
      <c r="BL48" s="180"/>
      <c r="BM48" s="179"/>
      <c r="BN48" s="179"/>
      <c r="BQ48" s="175">
        <v>6</v>
      </c>
      <c r="BR48" s="175">
        <f t="shared" si="12"/>
        <v>9</v>
      </c>
      <c r="BS48" s="180">
        <f t="shared" si="50"/>
        <v>0</v>
      </c>
      <c r="BT48" s="194">
        <f t="shared" si="51"/>
        <v>15.801345999999999</v>
      </c>
      <c r="BU48" s="194">
        <f t="shared" si="52"/>
        <v>9.1247936999999997</v>
      </c>
      <c r="BV48" s="194">
        <f t="shared" si="16"/>
        <v>9</v>
      </c>
      <c r="BW48" s="194">
        <f t="shared" si="17"/>
        <v>-6.1247936999999997</v>
      </c>
      <c r="BX48" s="194">
        <f t="shared" si="18"/>
        <v>-7.8013459999999988</v>
      </c>
      <c r="BY48" s="194">
        <f>D48*BF$56</f>
        <v>10.775051124744376</v>
      </c>
      <c r="BZ48" s="175">
        <v>11</v>
      </c>
      <c r="CA48" s="194">
        <f>BF48-BY48</f>
        <v>-7.7750511247443761</v>
      </c>
      <c r="CB48" s="175">
        <f>BF48-BZ48</f>
        <v>-8</v>
      </c>
      <c r="CC48" s="179">
        <f t="shared" si="53"/>
        <v>-0.25596846187605632</v>
      </c>
      <c r="CD48" s="179">
        <f t="shared" ref="CD48:CE52" si="120">(CA48-CA$53)/CA$54</f>
        <v>-0.35731503176092888</v>
      </c>
      <c r="CE48" s="179">
        <f t="shared" si="120"/>
        <v>-0.34773358838156088</v>
      </c>
      <c r="CF48" s="194">
        <v>15.456064</v>
      </c>
      <c r="CG48" s="175">
        <f>BB48-BE48</f>
        <v>-8</v>
      </c>
      <c r="CH48" s="194">
        <f>BC48-CF48</f>
        <v>-3.4560639999999996</v>
      </c>
      <c r="CI48" s="179">
        <v>-0.47799999999999998</v>
      </c>
      <c r="CJ48" s="179">
        <f>(CH48-CH$54)/CH$55</f>
        <v>-0.29931794744696161</v>
      </c>
      <c r="CK48" s="175">
        <v>7</v>
      </c>
      <c r="CL48" s="179">
        <f t="shared" si="87"/>
        <v>-0.52607735932150379</v>
      </c>
      <c r="CM48" s="179">
        <f t="shared" si="78"/>
        <v>-0.35387116178325284</v>
      </c>
      <c r="CN48" s="175">
        <v>6</v>
      </c>
      <c r="CO48" s="175">
        <v>1</v>
      </c>
      <c r="CP48" s="194">
        <v>9</v>
      </c>
      <c r="CQ48" s="194">
        <f t="shared" si="37"/>
        <v>16</v>
      </c>
      <c r="CR48" s="194">
        <f t="shared" si="97"/>
        <v>40.565980498374863</v>
      </c>
      <c r="CS48" s="194">
        <f t="shared" si="38"/>
        <v>-24.565980498374863</v>
      </c>
      <c r="CT48" s="179">
        <f>(CS48-CS$56)/CS$57</f>
        <v>-0.35961873262223865</v>
      </c>
      <c r="CU48" s="194">
        <v>4</v>
      </c>
      <c r="CV48" s="175">
        <f t="shared" si="88"/>
        <v>10</v>
      </c>
      <c r="CW48" s="180">
        <f t="shared" si="61"/>
        <v>0</v>
      </c>
      <c r="CX48" s="194">
        <f t="shared" si="62"/>
        <v>6.0756882999999995</v>
      </c>
      <c r="CY48" s="175">
        <v>9</v>
      </c>
      <c r="CZ48" s="194">
        <f t="shared" si="63"/>
        <v>7.7896444999999996</v>
      </c>
      <c r="DA48" s="194">
        <f t="shared" si="23"/>
        <v>1.2103555000000004</v>
      </c>
      <c r="DB48" s="194">
        <f>D48*CN$56</f>
        <v>3.8353783231083844</v>
      </c>
      <c r="DC48" s="194">
        <f>CN48-DB48</f>
        <v>2.1646216768916156</v>
      </c>
      <c r="DD48" s="179">
        <f t="shared" si="64"/>
        <v>0.3680525383646836</v>
      </c>
      <c r="DE48" s="179">
        <f>(DC48-DC$53)/DC$54</f>
        <v>0.20264373426743684</v>
      </c>
      <c r="DF48" s="180">
        <f t="shared" si="24"/>
        <v>10</v>
      </c>
      <c r="DG48" s="194">
        <f t="shared" si="65"/>
        <v>-7.5688299999999487E-2</v>
      </c>
      <c r="DH48" s="189">
        <f t="shared" si="89"/>
        <v>-0.35426642860117735</v>
      </c>
      <c r="DI48" s="179">
        <f t="shared" si="79"/>
        <v>0.37338090630790371</v>
      </c>
      <c r="DJ48" s="194">
        <v>2</v>
      </c>
      <c r="DK48" s="194">
        <v>3.16</v>
      </c>
      <c r="DL48" s="194">
        <f t="shared" si="39"/>
        <v>9.16</v>
      </c>
      <c r="DM48" s="194">
        <f t="shared" si="98"/>
        <v>8.1083856988082346</v>
      </c>
      <c r="DN48" s="194">
        <f t="shared" si="40"/>
        <v>1.0516143011917656</v>
      </c>
      <c r="DO48" s="179">
        <f>(DN48-DM$57)/DM$58</f>
        <v>6.3502593997047024E-2</v>
      </c>
      <c r="DP48" s="179">
        <f>(0.6*CT48)+(0.4*DO48)</f>
        <v>-0.19037020197452437</v>
      </c>
      <c r="DQ48" s="179">
        <f t="shared" si="90"/>
        <v>-0.45735298703337318</v>
      </c>
      <c r="DR48" s="179">
        <f t="shared" si="80"/>
        <v>-6.2970334546790185E-2</v>
      </c>
      <c r="DS48" s="179">
        <f t="shared" si="73"/>
        <v>-6.3600617797603398E-3</v>
      </c>
      <c r="DT48" s="179">
        <f>(0.6*CD48)+(0.4*DE48)</f>
        <v>-0.13333152534958259</v>
      </c>
      <c r="DU48" s="175">
        <v>7</v>
      </c>
      <c r="DV48" s="175">
        <f>CK48-DU48</f>
        <v>0</v>
      </c>
      <c r="DW48" s="179">
        <v>-0.157</v>
      </c>
      <c r="DX48" s="179">
        <v>-0.34899999999999998</v>
      </c>
      <c r="DY48" s="179">
        <f>(0.6*CJ48)+(0.4*DW48)</f>
        <v>-0.24239076846817698</v>
      </c>
      <c r="DZ48" s="180">
        <v>0</v>
      </c>
      <c r="EA48" s="180">
        <v>0</v>
      </c>
      <c r="EB48" s="175">
        <v>5775</v>
      </c>
      <c r="EC48" s="180">
        <v>0</v>
      </c>
      <c r="ED48" s="180">
        <v>0</v>
      </c>
      <c r="EE48" s="180">
        <v>0</v>
      </c>
      <c r="EF48" s="180">
        <f t="shared" si="26"/>
        <v>0</v>
      </c>
      <c r="EG48" s="180">
        <f t="shared" si="70"/>
        <v>0</v>
      </c>
      <c r="EH48" s="180">
        <f>D48*EC$55</f>
        <v>3242.6042944785277</v>
      </c>
      <c r="EI48" s="180">
        <f t="shared" si="71"/>
        <v>7260</v>
      </c>
      <c r="EJ48" s="180">
        <f t="shared" si="29"/>
        <v>-7260</v>
      </c>
      <c r="EK48" s="180">
        <f t="shared" si="30"/>
        <v>0</v>
      </c>
      <c r="EL48" s="180">
        <f>EC48-EH48</f>
        <v>-3242.6042944785277</v>
      </c>
      <c r="EM48" s="195">
        <f t="shared" si="81"/>
        <v>-0.19210270684504266</v>
      </c>
      <c r="EN48" s="195">
        <f t="shared" si="99"/>
        <v>-0.38750034260363891</v>
      </c>
      <c r="EO48" s="195">
        <f>(EL48-EL$53)/EL$54</f>
        <v>-0.1109428172954096</v>
      </c>
      <c r="EP48" s="180">
        <v>6443.8804</v>
      </c>
      <c r="EQ48" s="175">
        <f>DZ48-EB48</f>
        <v>-5775</v>
      </c>
      <c r="ER48" s="180">
        <f t="shared" ref="ER48:ER52" si="121">EA48-EP48</f>
        <v>-6443.8804</v>
      </c>
      <c r="ES48" s="179">
        <v>-8.5999999999999993E-2</v>
      </c>
      <c r="ET48" s="179">
        <f>(ER48-ER$54)/ER$55</f>
        <v>-0.12178353922342251</v>
      </c>
      <c r="EU48" s="179">
        <f>(0.6*DT48)+(0.4*EO48)</f>
        <v>-0.12437604212791339</v>
      </c>
      <c r="EV48" s="179">
        <f t="shared" si="33"/>
        <v>-8.065711980587327E-2</v>
      </c>
      <c r="EW48" s="179">
        <f t="shared" si="34"/>
        <v>-8.2159327646237956E-2</v>
      </c>
      <c r="EX48" s="180">
        <v>0</v>
      </c>
      <c r="EY48" s="180">
        <v>0</v>
      </c>
      <c r="EZ48" s="180">
        <f t="shared" si="41"/>
        <v>0</v>
      </c>
      <c r="FA48" s="180">
        <f t="shared" si="100"/>
        <v>17475.627302275192</v>
      </c>
      <c r="FB48" s="180">
        <f t="shared" si="42"/>
        <v>-17475.627302275192</v>
      </c>
      <c r="FC48" s="179">
        <f>(FB48-FB$56)/FB$57</f>
        <v>-0.15860883208968748</v>
      </c>
      <c r="FD48" s="179">
        <f>(0.6*DP48)+(0.4*FC48)</f>
        <v>-0.17766565402058959</v>
      </c>
      <c r="FE48" s="179">
        <f t="shared" si="96"/>
        <v>-0.42941192926147942</v>
      </c>
    </row>
    <row r="49" spans="1:161" x14ac:dyDescent="0.35">
      <c r="A49" s="197" t="s">
        <v>241</v>
      </c>
      <c r="B49" s="197" t="s">
        <v>112</v>
      </c>
      <c r="C49" s="175">
        <v>23</v>
      </c>
      <c r="D49" s="175">
        <v>21</v>
      </c>
      <c r="E49" s="175">
        <v>23</v>
      </c>
      <c r="F49" s="175">
        <v>0</v>
      </c>
      <c r="G49" s="199">
        <v>1</v>
      </c>
      <c r="H49" s="189">
        <v>0.38500000000000001</v>
      </c>
      <c r="I49" s="189">
        <v>0.31362014623823825</v>
      </c>
      <c r="J49" s="189">
        <f t="shared" si="119"/>
        <v>0.34253667280451788</v>
      </c>
      <c r="K49" s="190">
        <f>P49*AY$6</f>
        <v>0</v>
      </c>
      <c r="L49" s="191" t="e">
        <f>C49*Q49</f>
        <v>#REF!</v>
      </c>
      <c r="M49" s="190" t="e">
        <f>AD49*AY$8</f>
        <v>#DIV/0!</v>
      </c>
      <c r="N49" s="185" t="e">
        <f>AE49*AY$2</f>
        <v>#DIV/0!</v>
      </c>
      <c r="O49" s="185" t="e">
        <f>N49-K49</f>
        <v>#DIV/0!</v>
      </c>
      <c r="P49" s="191">
        <f>C49*AF49</f>
        <v>1.526460955007757</v>
      </c>
      <c r="Q49" s="191" t="e">
        <f>#REF!/AZ2</f>
        <v>#REF!</v>
      </c>
      <c r="R49" s="180">
        <v>27</v>
      </c>
      <c r="S49" s="185">
        <v>5656.1201621859509</v>
      </c>
      <c r="T49" s="192">
        <f>AC49*AY$39</f>
        <v>5769.8564113926095</v>
      </c>
      <c r="U49" s="192" t="e">
        <f>AN49*AY$19</f>
        <v>#DIV/0!</v>
      </c>
      <c r="V49" s="192" t="e">
        <f>SUM(W49:X49)</f>
        <v>#DIV/0!</v>
      </c>
      <c r="W49" s="185"/>
      <c r="X49" s="190" t="e">
        <f>AP49*AY$35</f>
        <v>#DIV/0!</v>
      </c>
      <c r="Y49" s="185">
        <f>AB49*AY$24</f>
        <v>2210.4258486042604</v>
      </c>
      <c r="Z49" s="185">
        <f>AVERAGE(S49,T49,Y49)</f>
        <v>4545.4674740609398</v>
      </c>
      <c r="AA49" s="306">
        <f>Z49-(AQ49*Z$55)</f>
        <v>6385.8099711689729</v>
      </c>
      <c r="AB49" s="180">
        <f>D49*AQ49</f>
        <v>0.84863210537270106</v>
      </c>
      <c r="AC49" s="180">
        <f>D49*AR49</f>
        <v>1.7599432154579318</v>
      </c>
      <c r="AD49" s="180" t="e">
        <f>D49*AS49</f>
        <v>#DIV/0!</v>
      </c>
      <c r="AE49" s="180" t="e">
        <f>C49*AT49</f>
        <v>#DIV/0!</v>
      </c>
      <c r="AF49" s="180">
        <f>H49/AZ$3</f>
        <v>6.6367867609032918E-2</v>
      </c>
      <c r="AG49" s="180"/>
      <c r="AH49" s="180"/>
      <c r="AI49" s="180"/>
      <c r="AJ49" s="180"/>
      <c r="AK49" s="180"/>
      <c r="AL49" s="180"/>
      <c r="AM49" s="180"/>
      <c r="AN49" s="180" t="e">
        <f>D49*AU49</f>
        <v>#DIV/0!</v>
      </c>
      <c r="AO49" s="180"/>
      <c r="AP49" s="180" t="e">
        <f>D49*AW49</f>
        <v>#DIV/0!</v>
      </c>
      <c r="AQ49" s="180">
        <f>FE49/BA$30</f>
        <v>4.0411052636795286E-2</v>
      </c>
      <c r="AR49" s="180">
        <f>EW49/BA$28</f>
        <v>8.3806819783711031E-2</v>
      </c>
      <c r="AS49" s="180" t="e">
        <f>I49/BA$6</f>
        <v>#DIV/0!</v>
      </c>
      <c r="AT49" s="180" t="e">
        <f>J49/BA$3</f>
        <v>#DIV/0!</v>
      </c>
      <c r="AU49" s="180" t="e">
        <f>EV49/BA$8</f>
        <v>#DIV/0!</v>
      </c>
      <c r="AV49" s="180"/>
      <c r="AW49" s="180" t="e">
        <f>EM49/BA$24</f>
        <v>#DIV/0!</v>
      </c>
      <c r="AX49" s="180"/>
      <c r="AY49" s="180"/>
      <c r="AZ49" s="180"/>
      <c r="BA49" s="180"/>
      <c r="BB49" s="180">
        <v>4</v>
      </c>
      <c r="BC49" s="180">
        <v>4</v>
      </c>
      <c r="BD49" s="180">
        <f>BB49-BC49</f>
        <v>0</v>
      </c>
      <c r="BE49" s="180">
        <v>16</v>
      </c>
      <c r="BF49" s="180">
        <v>8</v>
      </c>
      <c r="BG49" s="180">
        <v>12</v>
      </c>
      <c r="BH49" s="180">
        <v>8</v>
      </c>
      <c r="BI49" s="180">
        <v>43687.055776236739</v>
      </c>
      <c r="BJ49" s="307">
        <f>BM49*BP$4</f>
        <v>32665.04460674966</v>
      </c>
      <c r="BK49" s="180">
        <f>AVERAGE(AA49,BI49,BJ49)</f>
        <v>27579.303451385127</v>
      </c>
      <c r="BL49" s="307">
        <f>BK49-(BN49*BK$55)</f>
        <v>35527.53434248628</v>
      </c>
      <c r="BM49" s="179">
        <f>R49*BN49</f>
        <v>3.2893293475606757</v>
      </c>
      <c r="BN49" s="179">
        <f>FD49/BP3</f>
        <v>0.12182701287261762</v>
      </c>
      <c r="BQ49" s="175">
        <v>31</v>
      </c>
      <c r="BR49" s="175">
        <f t="shared" si="12"/>
        <v>39</v>
      </c>
      <c r="BS49" s="180">
        <f t="shared" si="50"/>
        <v>0</v>
      </c>
      <c r="BT49" s="194">
        <f t="shared" si="51"/>
        <v>30.166205999999999</v>
      </c>
      <c r="BU49" s="194">
        <f t="shared" si="52"/>
        <v>17.420060700000001</v>
      </c>
      <c r="BV49" s="194">
        <f t="shared" si="16"/>
        <v>39</v>
      </c>
      <c r="BW49" s="194">
        <f t="shared" si="17"/>
        <v>-9.4200607000000005</v>
      </c>
      <c r="BX49" s="194">
        <f t="shared" si="18"/>
        <v>-18.166205999999999</v>
      </c>
      <c r="BY49" s="194">
        <f>D49*BF$56</f>
        <v>20.570552147239265</v>
      </c>
      <c r="BZ49" s="175">
        <v>20</v>
      </c>
      <c r="CA49" s="194">
        <f>BF49-BY49</f>
        <v>-12.570552147239265</v>
      </c>
      <c r="CB49" s="175">
        <f>BF49-BZ49</f>
        <v>-12</v>
      </c>
      <c r="CC49" s="179">
        <f t="shared" si="53"/>
        <v>-0.6068340325264554</v>
      </c>
      <c r="CD49" s="179">
        <f t="shared" si="120"/>
        <v>-0.57886344791080246</v>
      </c>
      <c r="CE49" s="179">
        <f t="shared" si="120"/>
        <v>-0.53276613999743727</v>
      </c>
      <c r="CF49" s="194">
        <v>16.158612000000002</v>
      </c>
      <c r="CG49" s="175">
        <f>BB49-BE49</f>
        <v>-12</v>
      </c>
      <c r="CH49" s="194">
        <f>BC49-CF49</f>
        <v>-12.158612000000002</v>
      </c>
      <c r="CI49" s="179">
        <v>-0.63300000000000001</v>
      </c>
      <c r="CJ49" s="179">
        <f>(CH49-CH$54)/CH$55</f>
        <v>-0.68109174191837241</v>
      </c>
      <c r="CK49" s="175">
        <v>26</v>
      </c>
      <c r="CL49" s="179">
        <f t="shared" si="87"/>
        <v>-0.29445423047043684</v>
      </c>
      <c r="CM49" s="179">
        <f t="shared" si="78"/>
        <v>-0.50496921247139803</v>
      </c>
      <c r="CN49" s="175">
        <v>16</v>
      </c>
      <c r="CO49" s="175">
        <v>39</v>
      </c>
      <c r="CP49" s="194">
        <v>76</v>
      </c>
      <c r="CQ49" s="194">
        <f t="shared" si="37"/>
        <v>146</v>
      </c>
      <c r="CR49" s="194">
        <f t="shared" si="97"/>
        <v>91.273456121343443</v>
      </c>
      <c r="CS49" s="194">
        <f t="shared" si="38"/>
        <v>54.726543878656557</v>
      </c>
      <c r="CT49" s="189">
        <f>(CS49-CS$56)/CS$57</f>
        <v>0.8011359592074806</v>
      </c>
      <c r="CU49" s="194">
        <v>2</v>
      </c>
      <c r="CV49" s="175">
        <f t="shared" si="88"/>
        <v>18</v>
      </c>
      <c r="CW49" s="180">
        <f t="shared" si="61"/>
        <v>0</v>
      </c>
      <c r="CX49" s="194">
        <f t="shared" si="62"/>
        <v>11.5990413</v>
      </c>
      <c r="CY49" s="175">
        <v>25</v>
      </c>
      <c r="CZ49" s="194">
        <f t="shared" si="63"/>
        <v>14.8711395</v>
      </c>
      <c r="DA49" s="194">
        <f t="shared" si="23"/>
        <v>10.1288605</v>
      </c>
      <c r="DB49" s="194">
        <f>D49*CN$56</f>
        <v>7.3220858895705518</v>
      </c>
      <c r="DC49" s="194">
        <f>CN49-DB49</f>
        <v>8.6779141104294482</v>
      </c>
      <c r="DD49" s="189">
        <f t="shared" si="64"/>
        <v>0.81776973791385554</v>
      </c>
      <c r="DE49" s="189">
        <f>(DC49-DC$53)/DC$54</f>
        <v>0.8123936574056384</v>
      </c>
      <c r="DF49" s="180">
        <f t="shared" si="24"/>
        <v>18</v>
      </c>
      <c r="DG49" s="194">
        <f t="shared" si="65"/>
        <v>4.4009587000000003</v>
      </c>
      <c r="DH49" s="189">
        <f t="shared" si="89"/>
        <v>0.14385364070472045</v>
      </c>
      <c r="DI49" s="179">
        <f t="shared" si="79"/>
        <v>0.61945226098657979</v>
      </c>
      <c r="DJ49" s="194">
        <v>3</v>
      </c>
      <c r="DK49" s="194">
        <v>8</v>
      </c>
      <c r="DL49" s="194">
        <f t="shared" si="39"/>
        <v>13</v>
      </c>
      <c r="DM49" s="194">
        <f t="shared" si="98"/>
        <v>18.243867822318528</v>
      </c>
      <c r="DN49" s="194">
        <f t="shared" si="40"/>
        <v>-5.2438678223185278</v>
      </c>
      <c r="DO49" s="179">
        <f>(DN49-DM$57)/DM$58</f>
        <v>-0.31665526887328727</v>
      </c>
      <c r="DP49" s="179">
        <f>(0.6*CT49)+(0.4*DO49)</f>
        <v>0.35401946797517336</v>
      </c>
      <c r="DQ49" s="179">
        <f t="shared" si="90"/>
        <v>-0.11913108200037391</v>
      </c>
      <c r="DR49" s="179">
        <f t="shared" si="80"/>
        <v>-5.5200623088206863E-2</v>
      </c>
      <c r="DS49" s="179">
        <f t="shared" si="73"/>
        <v>-3.6992524350331013E-2</v>
      </c>
      <c r="DT49" s="179">
        <f>(0.6*CD49)+(0.4*DE49)</f>
        <v>-2.2360605784226106E-2</v>
      </c>
      <c r="DU49" s="175">
        <v>7</v>
      </c>
      <c r="DV49" s="175">
        <f>CK49-DU49</f>
        <v>19</v>
      </c>
      <c r="DW49" s="179">
        <v>1.1910000000000001</v>
      </c>
      <c r="DX49" s="179">
        <v>9.6000000000000002E-2</v>
      </c>
      <c r="DY49" s="179">
        <f>(0.6*CJ49)+(0.4*DW49)</f>
        <v>6.7744954848976635E-2</v>
      </c>
      <c r="DZ49" s="180">
        <v>52600</v>
      </c>
      <c r="EA49" s="180">
        <v>52600</v>
      </c>
      <c r="EB49" s="175">
        <v>6235</v>
      </c>
      <c r="EC49" s="180">
        <v>38400</v>
      </c>
      <c r="ED49" s="180">
        <v>95300</v>
      </c>
      <c r="EE49" s="180">
        <v>50500</v>
      </c>
      <c r="EF49" s="180">
        <f t="shared" si="26"/>
        <v>88900</v>
      </c>
      <c r="EG49" s="180">
        <f t="shared" si="70"/>
        <v>0</v>
      </c>
      <c r="EH49" s="180">
        <f>D49*EC$55</f>
        <v>6190.4263803680988</v>
      </c>
      <c r="EI49" s="180">
        <f t="shared" si="71"/>
        <v>13860</v>
      </c>
      <c r="EJ49" s="180">
        <f t="shared" si="29"/>
        <v>81440</v>
      </c>
      <c r="EK49" s="180">
        <f t="shared" si="30"/>
        <v>88900</v>
      </c>
      <c r="EL49" s="180">
        <f>EC49-EH49</f>
        <v>32209.573619631901</v>
      </c>
      <c r="EM49" s="196">
        <f t="shared" si="81"/>
        <v>0.89197598091747632</v>
      </c>
      <c r="EN49" s="196">
        <f t="shared" si="99"/>
        <v>0.75138702777807542</v>
      </c>
      <c r="EO49" s="196">
        <f>(EL49-EL$53)/EL$54</f>
        <v>1.0675843846594071</v>
      </c>
      <c r="EP49" s="180">
        <v>6956.2619999999997</v>
      </c>
      <c r="EQ49" s="175">
        <f>DZ49-EB49</f>
        <v>46365</v>
      </c>
      <c r="ER49" s="180">
        <f t="shared" si="121"/>
        <v>45643.737999999998</v>
      </c>
      <c r="ES49" s="179">
        <v>0.81699999999999995</v>
      </c>
      <c r="ET49" s="179">
        <f>(ER49-ER$54)/ER$55</f>
        <v>0.7547242497378297</v>
      </c>
      <c r="EU49" s="189">
        <f>(0.6*DT49)+(0.4*EO49)</f>
        <v>0.4136173903932272</v>
      </c>
      <c r="EV49" s="189">
        <f t="shared" si="33"/>
        <v>0.33459487775679198</v>
      </c>
      <c r="EW49" s="189">
        <f t="shared" si="34"/>
        <v>0.39391338001083875</v>
      </c>
      <c r="EX49" s="180">
        <v>45000</v>
      </c>
      <c r="EY49" s="180">
        <v>75000</v>
      </c>
      <c r="EZ49" s="180">
        <f t="shared" si="41"/>
        <v>170500</v>
      </c>
      <c r="FA49" s="180">
        <f t="shared" si="100"/>
        <v>39320.16143011918</v>
      </c>
      <c r="FB49" s="180">
        <f t="shared" si="42"/>
        <v>131179.83856988081</v>
      </c>
      <c r="FC49" s="189">
        <f>(FB49-FB$56)/FB$57</f>
        <v>1.1905885053164138</v>
      </c>
      <c r="FD49" s="189">
        <f>(0.6*DP49)+(0.4*FC49)</f>
        <v>0.68864708291166954</v>
      </c>
      <c r="FE49" s="189">
        <f t="shared" si="96"/>
        <v>0.22907616191100583</v>
      </c>
    </row>
    <row r="50" spans="1:161" x14ac:dyDescent="0.35">
      <c r="A50" s="188" t="s">
        <v>241</v>
      </c>
      <c r="B50" s="188" t="s">
        <v>96</v>
      </c>
      <c r="C50" s="175">
        <f t="shared" si="0"/>
        <v>35</v>
      </c>
      <c r="D50" s="175">
        <v>7</v>
      </c>
      <c r="E50" s="175">
        <v>28</v>
      </c>
      <c r="F50" s="175">
        <v>7</v>
      </c>
      <c r="G50" s="175">
        <v>0</v>
      </c>
      <c r="H50" s="179">
        <v>-0.32700000000000001</v>
      </c>
      <c r="I50" s="189">
        <v>0.62785895793752622</v>
      </c>
      <c r="J50" s="179">
        <f t="shared" si="119"/>
        <v>-0.32698872096022669</v>
      </c>
      <c r="K50" s="185"/>
      <c r="L50" s="191"/>
      <c r="M50" s="190" t="e">
        <f>AD50*AY$8</f>
        <v>#DIV/0!</v>
      </c>
      <c r="N50" s="193"/>
      <c r="O50" s="193"/>
      <c r="P50" s="191"/>
      <c r="Q50" s="191"/>
      <c r="R50" s="180">
        <v>22</v>
      </c>
      <c r="S50" s="185">
        <v>0</v>
      </c>
      <c r="T50" s="192">
        <f>AC50*AY$39</f>
        <v>3200.8841261298062</v>
      </c>
      <c r="U50" s="192" t="e">
        <f>AN50*AY$19</f>
        <v>#DIV/0!</v>
      </c>
      <c r="V50" s="192" t="e">
        <f>SUM(W50:X50)</f>
        <v>#DIV/0!</v>
      </c>
      <c r="W50" s="190" t="e">
        <f>AO50*AY$34</f>
        <v>#DIV/0!</v>
      </c>
      <c r="X50" s="185"/>
      <c r="Y50" s="185">
        <f>AB50*AY$24</f>
        <v>-732.64693947266267</v>
      </c>
      <c r="Z50" s="185">
        <f>AVERAGE(S50,T50,Y50)</f>
        <v>822.74572888571447</v>
      </c>
      <c r="AA50" s="306">
        <v>1007.2</v>
      </c>
      <c r="AB50" s="180">
        <f>D50*AQ50</f>
        <v>-0.28127960733545743</v>
      </c>
      <c r="AC50" s="180">
        <f>D50*AR50</f>
        <v>0.97634566609422335</v>
      </c>
      <c r="AD50" s="180" t="e">
        <f>D50*AS50</f>
        <v>#DIV/0!</v>
      </c>
      <c r="AE50" s="180"/>
      <c r="AF50" s="180"/>
      <c r="AG50" s="180"/>
      <c r="AH50" s="180"/>
      <c r="AI50" s="180"/>
      <c r="AJ50" s="180"/>
      <c r="AK50" s="180"/>
      <c r="AL50" s="180"/>
      <c r="AM50" s="180"/>
      <c r="AN50" s="180" t="e">
        <f>D50*AU50</f>
        <v>#DIV/0!</v>
      </c>
      <c r="AO50" s="180" t="e">
        <f>D50*AV50</f>
        <v>#DIV/0!</v>
      </c>
      <c r="AP50" s="180"/>
      <c r="AQ50" s="180">
        <f>FE50/BA$30</f>
        <v>-4.018280104792249E-2</v>
      </c>
      <c r="AR50" s="180">
        <f>EW50/BA$28</f>
        <v>0.13947795229917476</v>
      </c>
      <c r="AS50" s="180" t="e">
        <f>I50/BA$6</f>
        <v>#DIV/0!</v>
      </c>
      <c r="AT50" s="180"/>
      <c r="AU50" s="180" t="e">
        <f>EV50/BA$8</f>
        <v>#DIV/0!</v>
      </c>
      <c r="AV50" s="180" t="e">
        <f>DS50/BA$21</f>
        <v>#DIV/0!</v>
      </c>
      <c r="AW50" s="180"/>
      <c r="AX50" s="180"/>
      <c r="AY50" s="180"/>
      <c r="AZ50" s="180"/>
      <c r="BA50" s="180"/>
      <c r="BB50" s="180">
        <v>26</v>
      </c>
      <c r="BC50" s="180">
        <v>26</v>
      </c>
      <c r="BD50" s="180">
        <f>BB50-BC50</f>
        <v>0</v>
      </c>
      <c r="BE50" s="180">
        <v>24</v>
      </c>
      <c r="BF50" s="180">
        <v>42</v>
      </c>
      <c r="BG50" s="180">
        <v>53</v>
      </c>
      <c r="BH50" s="180">
        <v>41</v>
      </c>
      <c r="BI50" s="180">
        <v>23830.541266276232</v>
      </c>
      <c r="BJ50" s="307">
        <f>BM50*BP$4</f>
        <v>0</v>
      </c>
      <c r="BK50" s="180">
        <f>AVERAGE(AA50,BI50,BJ50)</f>
        <v>8279.2470887587442</v>
      </c>
      <c r="BL50" s="307">
        <f>BK50-(BN50*BK$55)</f>
        <v>8279.2470887587442</v>
      </c>
      <c r="BM50" s="179"/>
      <c r="BN50" s="179"/>
      <c r="BQ50" s="175">
        <v>30</v>
      </c>
      <c r="BR50" s="175">
        <f t="shared" si="12"/>
        <v>71</v>
      </c>
      <c r="BS50" s="180">
        <f t="shared" si="50"/>
        <v>0</v>
      </c>
      <c r="BT50" s="194">
        <f t="shared" si="51"/>
        <v>10.055401999999999</v>
      </c>
      <c r="BU50" s="194">
        <f t="shared" si="52"/>
        <v>5.8066868999999999</v>
      </c>
      <c r="BV50" s="194">
        <f t="shared" si="16"/>
        <v>71</v>
      </c>
      <c r="BW50" s="194">
        <f t="shared" si="17"/>
        <v>35.193313099999997</v>
      </c>
      <c r="BX50" s="194">
        <f t="shared" si="18"/>
        <v>42.944597999999999</v>
      </c>
      <c r="BY50" s="194">
        <f>D50*BF$56</f>
        <v>6.8568507157464218</v>
      </c>
      <c r="BZ50" s="175">
        <v>7</v>
      </c>
      <c r="CA50" s="194">
        <f>BF50-BY50</f>
        <v>35.143149284253582</v>
      </c>
      <c r="CB50" s="175">
        <f>BF50-BZ50</f>
        <v>35</v>
      </c>
      <c r="CC50" s="189">
        <f t="shared" si="53"/>
        <v>1.461855473975773</v>
      </c>
      <c r="CD50" s="189">
        <f t="shared" si="120"/>
        <v>1.6254724350780454</v>
      </c>
      <c r="CE50" s="189">
        <f t="shared" si="120"/>
        <v>1.6413663414891109</v>
      </c>
      <c r="CF50" s="194">
        <v>24.589193000000002</v>
      </c>
      <c r="CG50" s="175">
        <f>BB50-BE50</f>
        <v>2</v>
      </c>
      <c r="CH50" s="194">
        <f>BC50-CF50</f>
        <v>1.4108069999999984</v>
      </c>
      <c r="CI50" s="179">
        <v>-8.7999999999999995E-2</v>
      </c>
      <c r="CJ50" s="179">
        <f>(CH50-CH$54)/CH$55</f>
        <v>-8.5812223735599366E-2</v>
      </c>
      <c r="CK50" s="175">
        <v>4</v>
      </c>
      <c r="CL50" s="189">
        <f t="shared" si="87"/>
        <v>-4.7389559695965436E-2</v>
      </c>
      <c r="CM50" s="189">
        <f t="shared" si="78"/>
        <v>1.540690157710614</v>
      </c>
      <c r="CN50" s="175">
        <v>4</v>
      </c>
      <c r="CO50" s="175">
        <v>27</v>
      </c>
      <c r="CP50" s="194">
        <v>13</v>
      </c>
      <c r="CQ50" s="194">
        <f t="shared" si="37"/>
        <v>70</v>
      </c>
      <c r="CR50" s="194">
        <f t="shared" si="97"/>
        <v>74.370964247020581</v>
      </c>
      <c r="CS50" s="194">
        <f t="shared" si="38"/>
        <v>-4.3709642470205807</v>
      </c>
      <c r="CT50" s="179">
        <f>(CS50-CS$56)/CS$57</f>
        <v>-6.3986073055567402E-2</v>
      </c>
      <c r="CU50" s="194">
        <v>7</v>
      </c>
      <c r="CV50" s="175">
        <f t="shared" si="88"/>
        <v>11</v>
      </c>
      <c r="CW50" s="180">
        <f t="shared" si="61"/>
        <v>0</v>
      </c>
      <c r="CX50" s="194">
        <f t="shared" si="62"/>
        <v>3.8663470999999996</v>
      </c>
      <c r="CY50" s="175">
        <v>6</v>
      </c>
      <c r="CZ50" s="194">
        <f t="shared" si="63"/>
        <v>4.9570464999999997</v>
      </c>
      <c r="DA50" s="194">
        <f t="shared" si="23"/>
        <v>1.0429535000000003</v>
      </c>
      <c r="DB50" s="194">
        <f>D50*CN$56</f>
        <v>2.4406952965235176</v>
      </c>
      <c r="DC50" s="194">
        <f>CN50-DB50</f>
        <v>1.5593047034764824</v>
      </c>
      <c r="DD50" s="179">
        <f t="shared" si="64"/>
        <v>0.35961126276536171</v>
      </c>
      <c r="DE50" s="179">
        <f>(DC50-DC$53)/DC$54</f>
        <v>0.14597623748599015</v>
      </c>
      <c r="DF50" s="180">
        <f t="shared" si="24"/>
        <v>11</v>
      </c>
      <c r="DG50" s="194">
        <f t="shared" si="65"/>
        <v>0.13365290000000041</v>
      </c>
      <c r="DH50" s="189">
        <f t="shared" si="89"/>
        <v>-0.2920014199379401</v>
      </c>
      <c r="DI50" s="179">
        <f t="shared" si="79"/>
        <v>0.38488792767323798</v>
      </c>
      <c r="DJ50" s="194">
        <v>3</v>
      </c>
      <c r="DK50" s="194">
        <v>10.5</v>
      </c>
      <c r="DL50" s="194">
        <f t="shared" si="39"/>
        <v>20.5</v>
      </c>
      <c r="DM50" s="194">
        <f t="shared" si="98"/>
        <v>14.865373781148429</v>
      </c>
      <c r="DN50" s="194">
        <f t="shared" si="40"/>
        <v>5.6346262188515706</v>
      </c>
      <c r="DO50" s="189">
        <f>(DN50-DM$57)/DM$58</f>
        <v>0.34025153584859724</v>
      </c>
      <c r="DP50" s="179">
        <f>(0.6*CT50)+(0.4*DO50)</f>
        <v>9.7708970506098461E-2</v>
      </c>
      <c r="DQ50" s="189">
        <f t="shared" si="90"/>
        <v>-0.14523430379275531</v>
      </c>
      <c r="DR50" s="189">
        <f t="shared" si="80"/>
        <v>1.0783692656956636</v>
      </c>
      <c r="DS50" s="189">
        <f t="shared" si="73"/>
        <v>1.0209577894916084</v>
      </c>
      <c r="DT50" s="189">
        <f>(0.6*CD50)+(0.4*DE50)</f>
        <v>1.0336739560412231</v>
      </c>
      <c r="DU50" s="175">
        <v>11</v>
      </c>
      <c r="DV50" s="175">
        <f>CK50-DU50</f>
        <v>-7</v>
      </c>
      <c r="DW50" s="179">
        <v>-0.88300000000000001</v>
      </c>
      <c r="DX50" s="179">
        <v>-0.40600000000000003</v>
      </c>
      <c r="DY50" s="179">
        <f>(0.6*CJ50)+(0.4*DW50)</f>
        <v>-0.40468733424135961</v>
      </c>
      <c r="DZ50" s="180">
        <v>0</v>
      </c>
      <c r="EA50" s="180">
        <v>2500</v>
      </c>
      <c r="EB50" s="175">
        <v>12851</v>
      </c>
      <c r="EC50" s="180">
        <v>2802</v>
      </c>
      <c r="ED50" s="180">
        <v>5302</v>
      </c>
      <c r="EE50" s="180">
        <v>0</v>
      </c>
      <c r="EF50" s="180">
        <f t="shared" si="26"/>
        <v>2802</v>
      </c>
      <c r="EG50" s="180">
        <f t="shared" si="70"/>
        <v>0</v>
      </c>
      <c r="EH50" s="180">
        <f>D50*EC$55</f>
        <v>2063.4754601226996</v>
      </c>
      <c r="EI50" s="180">
        <f t="shared" si="71"/>
        <v>4620</v>
      </c>
      <c r="EJ50" s="180">
        <f t="shared" si="29"/>
        <v>682</v>
      </c>
      <c r="EK50" s="180">
        <f t="shared" si="30"/>
        <v>2802</v>
      </c>
      <c r="EL50" s="180">
        <f>EC50-EH50</f>
        <v>738.52453987730041</v>
      </c>
      <c r="EM50" s="195">
        <f t="shared" si="81"/>
        <v>-9.5036721070409891E-2</v>
      </c>
      <c r="EN50" s="195">
        <f t="shared" si="99"/>
        <v>-0.35160425248204652</v>
      </c>
      <c r="EO50" s="196">
        <f>(EL50-EL$53)/EL$54</f>
        <v>2.1400776295425614E-2</v>
      </c>
      <c r="EP50" s="180">
        <v>14212.453799999999</v>
      </c>
      <c r="EQ50" s="175">
        <f>DZ50-EB50</f>
        <v>-12851</v>
      </c>
      <c r="ER50" s="180">
        <f t="shared" si="121"/>
        <v>-11712.453799999999</v>
      </c>
      <c r="ES50" s="179">
        <v>-0.20899999999999999</v>
      </c>
      <c r="ET50" s="179">
        <f>(ER50-ER$54)/ER$55</f>
        <v>-0.21044080103852722</v>
      </c>
      <c r="EU50" s="189">
        <f>(0.6*DT50)+(0.4*EO50)</f>
        <v>0.62876468414290421</v>
      </c>
      <c r="EV50" s="189">
        <f t="shared" si="33"/>
        <v>0.57455998526680108</v>
      </c>
      <c r="EW50" s="189">
        <f t="shared" si="34"/>
        <v>0.65558186993556844</v>
      </c>
      <c r="EX50" s="180">
        <v>45449</v>
      </c>
      <c r="EY50" s="180">
        <v>0</v>
      </c>
      <c r="EZ50" s="180">
        <f t="shared" si="41"/>
        <v>45449</v>
      </c>
      <c r="FA50" s="180">
        <f t="shared" si="100"/>
        <v>32038.650054171183</v>
      </c>
      <c r="FB50" s="180">
        <f t="shared" si="42"/>
        <v>13410.349945828817</v>
      </c>
      <c r="FC50" s="189">
        <f>(FB50-FB$56)/FB$57</f>
        <v>0.12171236580131194</v>
      </c>
      <c r="FD50" s="179">
        <f>(0.6*DP50)+(0.4*FC50)</f>
        <v>0.10731032862418385</v>
      </c>
      <c r="FE50" s="189">
        <f t="shared" si="96"/>
        <v>-0.2277822832684718</v>
      </c>
    </row>
    <row r="51" spans="1:161" x14ac:dyDescent="0.35">
      <c r="A51" s="188" t="s">
        <v>242</v>
      </c>
      <c r="B51" s="188" t="s">
        <v>22</v>
      </c>
      <c r="C51" s="175">
        <f t="shared" si="0"/>
        <v>10</v>
      </c>
      <c r="D51" s="175">
        <v>9</v>
      </c>
      <c r="E51" s="175">
        <v>10</v>
      </c>
      <c r="F51" s="175">
        <v>0</v>
      </c>
      <c r="G51" s="175">
        <v>0</v>
      </c>
      <c r="H51" s="179">
        <v>4.2000000000000003E-2</v>
      </c>
      <c r="I51" s="189">
        <v>0.6724531195637321</v>
      </c>
      <c r="J51" s="179">
        <f t="shared" si="119"/>
        <v>4.7221675822874884E-2</v>
      </c>
      <c r="K51" s="198"/>
      <c r="L51" s="191" t="e">
        <f>C51*Q51</f>
        <v>#REF!</v>
      </c>
      <c r="M51" s="190" t="e">
        <f>AD51*AY$8</f>
        <v>#DIV/0!</v>
      </c>
      <c r="N51" s="193"/>
      <c r="O51" s="193"/>
      <c r="P51" s="191"/>
      <c r="Q51" s="191" t="e">
        <f>#REF!/AZ2</f>
        <v>#REF!</v>
      </c>
      <c r="R51" s="180">
        <v>25</v>
      </c>
      <c r="S51" s="185">
        <v>0</v>
      </c>
      <c r="T51" s="192">
        <f>AC51*AY$39</f>
        <v>3110.7032851623435</v>
      </c>
      <c r="U51" s="192" t="e">
        <f>AN51*AY$19</f>
        <v>#DIV/0!</v>
      </c>
      <c r="V51" s="192" t="e">
        <f>SUM(W51:X51)</f>
        <v>#DIV/0!</v>
      </c>
      <c r="W51" s="190" t="e">
        <f>AO51*AY$34</f>
        <v>#DIV/0!</v>
      </c>
      <c r="X51" s="185"/>
      <c r="Y51" s="185">
        <f>AB51*AY$24</f>
        <v>-59.917553226261212</v>
      </c>
      <c r="Z51" s="185">
        <f>AVERAGE(S51,T51,Y51)</f>
        <v>1016.9285773120274</v>
      </c>
      <c r="AA51" s="306">
        <f>Z51-(AQ51*Z$55)</f>
        <v>900.52842193585252</v>
      </c>
      <c r="AB51" s="180">
        <f>D51*AQ51</f>
        <v>-2.3003693779318629E-2</v>
      </c>
      <c r="AC51" s="180">
        <f>D51*AR51</f>
        <v>0.9488383681809518</v>
      </c>
      <c r="AD51" s="180" t="e">
        <f>D51*AS51</f>
        <v>#DIV/0!</v>
      </c>
      <c r="AE51" s="180"/>
      <c r="AF51" s="180"/>
      <c r="AG51" s="180"/>
      <c r="AH51" s="180"/>
      <c r="AI51" s="180"/>
      <c r="AJ51" s="180"/>
      <c r="AK51" s="180"/>
      <c r="AL51" s="180"/>
      <c r="AM51" s="180"/>
      <c r="AN51" s="180" t="e">
        <f>D51*AU51</f>
        <v>#DIV/0!</v>
      </c>
      <c r="AO51" s="180" t="e">
        <f>D51*AV51</f>
        <v>#DIV/0!</v>
      </c>
      <c r="AP51" s="180"/>
      <c r="AQ51" s="180">
        <f>FE51/BA$30</f>
        <v>-2.5559659754798478E-3</v>
      </c>
      <c r="AR51" s="180">
        <f>EW51/BA$28</f>
        <v>0.10542648535343908</v>
      </c>
      <c r="AS51" s="180" t="e">
        <f>I51/BA$6</f>
        <v>#DIV/0!</v>
      </c>
      <c r="AT51" s="180"/>
      <c r="AU51" s="180" t="e">
        <f>EV51/BA$8</f>
        <v>#DIV/0!</v>
      </c>
      <c r="AV51" s="180" t="e">
        <f>DS51/BA$21</f>
        <v>#DIV/0!</v>
      </c>
      <c r="AW51" s="180"/>
      <c r="AX51" s="180"/>
      <c r="AY51" s="180"/>
      <c r="AZ51" s="180"/>
      <c r="BA51" s="180"/>
      <c r="BB51" s="180">
        <v>13</v>
      </c>
      <c r="BC51" s="180">
        <v>13</v>
      </c>
      <c r="BD51" s="180">
        <f>BB51-BC51</f>
        <v>0</v>
      </c>
      <c r="BE51" s="180">
        <v>7</v>
      </c>
      <c r="BF51" s="180">
        <v>15</v>
      </c>
      <c r="BG51" s="180">
        <v>20</v>
      </c>
      <c r="BH51" s="180">
        <v>15</v>
      </c>
      <c r="BI51" s="180">
        <v>3323.1863498758107</v>
      </c>
      <c r="BJ51" s="307">
        <v>0</v>
      </c>
      <c r="BK51" s="180">
        <f>AVERAGE(AA51,BI51,BJ51)</f>
        <v>1407.9049239372209</v>
      </c>
      <c r="BL51" s="307">
        <f>BK51-(BN51*BK$55)</f>
        <v>1407.9049239372209</v>
      </c>
      <c r="BM51" s="179"/>
      <c r="BN51" s="179"/>
      <c r="BQ51" s="175">
        <v>25</v>
      </c>
      <c r="BR51" s="175">
        <f t="shared" si="12"/>
        <v>40</v>
      </c>
      <c r="BS51" s="180">
        <f t="shared" si="50"/>
        <v>0</v>
      </c>
      <c r="BT51" s="194">
        <f t="shared" si="51"/>
        <v>12.928374</v>
      </c>
      <c r="BU51" s="194">
        <f t="shared" si="52"/>
        <v>7.4657402999999993</v>
      </c>
      <c r="BV51" s="194">
        <f t="shared" si="16"/>
        <v>40</v>
      </c>
      <c r="BW51" s="194">
        <f t="shared" si="17"/>
        <v>7.5342597000000007</v>
      </c>
      <c r="BX51" s="194">
        <f t="shared" si="18"/>
        <v>7.0716260000000002</v>
      </c>
      <c r="BY51" s="194">
        <f>D51*BF$56</f>
        <v>8.8159509202453989</v>
      </c>
      <c r="BZ51" s="175">
        <v>9</v>
      </c>
      <c r="CA51" s="194">
        <f>BF51-BY51</f>
        <v>6.1840490797546011</v>
      </c>
      <c r="CB51" s="175">
        <f>BF51-BZ51</f>
        <v>6</v>
      </c>
      <c r="CC51" s="179">
        <f t="shared" si="53"/>
        <v>0.24750325004744345</v>
      </c>
      <c r="CD51" s="189">
        <f t="shared" si="120"/>
        <v>0.28758453695507807</v>
      </c>
      <c r="CE51" s="189">
        <f t="shared" si="120"/>
        <v>0.29988034227400662</v>
      </c>
      <c r="CF51" s="194">
        <v>7.0254839999999996</v>
      </c>
      <c r="CG51" s="175">
        <f>BB51-BE51</f>
        <v>6</v>
      </c>
      <c r="CH51" s="194">
        <f>BC51-CF51</f>
        <v>5.9745160000000004</v>
      </c>
      <c r="CI51" s="179">
        <v>6.8000000000000005E-2</v>
      </c>
      <c r="CJ51" s="179">
        <f>(CH51-CH$54)/CH$55</f>
        <v>0.11439402641014278</v>
      </c>
      <c r="CK51" s="175">
        <v>22</v>
      </c>
      <c r="CL51" s="179">
        <f t="shared" si="87"/>
        <v>-0.28673345950873458</v>
      </c>
      <c r="CM51" s="189">
        <f t="shared" si="78"/>
        <v>0.2724381306004241</v>
      </c>
      <c r="CN51" s="175">
        <v>31</v>
      </c>
      <c r="CO51" s="175">
        <v>11</v>
      </c>
      <c r="CP51" s="194">
        <v>15.5</v>
      </c>
      <c r="CQ51" s="194">
        <f t="shared" si="37"/>
        <v>51.5</v>
      </c>
      <c r="CR51" s="194">
        <f t="shared" si="97"/>
        <v>84.512459371614298</v>
      </c>
      <c r="CS51" s="194">
        <f t="shared" si="38"/>
        <v>-33.012459371614298</v>
      </c>
      <c r="CT51" s="179">
        <f>(CS51-CS$56)/CS$57</f>
        <v>-0.48326582367630122</v>
      </c>
      <c r="CU51" s="194">
        <v>1</v>
      </c>
      <c r="CV51" s="175">
        <f t="shared" si="88"/>
        <v>32</v>
      </c>
      <c r="CW51" s="180">
        <f t="shared" si="61"/>
        <v>0</v>
      </c>
      <c r="CX51" s="194">
        <f t="shared" si="62"/>
        <v>4.9710177</v>
      </c>
      <c r="CY51" s="175">
        <v>32</v>
      </c>
      <c r="CZ51" s="194">
        <f t="shared" si="63"/>
        <v>6.3733455000000001</v>
      </c>
      <c r="DA51" s="194">
        <f t="shared" si="23"/>
        <v>25.626654500000001</v>
      </c>
      <c r="DB51" s="194">
        <f>D51*CN$56</f>
        <v>3.1380368098159508</v>
      </c>
      <c r="DC51" s="194">
        <f>CN51-DB51</f>
        <v>27.861963190184049</v>
      </c>
      <c r="DD51" s="189">
        <f t="shared" si="64"/>
        <v>1.5992487545057572</v>
      </c>
      <c r="DE51" s="189">
        <f>(DC51-DC$53)/DC$54</f>
        <v>2.608332128036555</v>
      </c>
      <c r="DF51" s="180">
        <f t="shared" si="24"/>
        <v>32</v>
      </c>
      <c r="DG51" s="194">
        <f t="shared" si="65"/>
        <v>26.028982299999999</v>
      </c>
      <c r="DH51" s="189">
        <f t="shared" si="89"/>
        <v>1.0155637619900415</v>
      </c>
      <c r="DI51" s="179">
        <f t="shared" si="79"/>
        <v>1.8082967390690319</v>
      </c>
      <c r="DJ51" s="194">
        <v>2</v>
      </c>
      <c r="DK51" s="194">
        <v>14</v>
      </c>
      <c r="DL51" s="194">
        <f t="shared" si="39"/>
        <v>17</v>
      </c>
      <c r="DM51" s="194">
        <f t="shared" si="98"/>
        <v>16.892470205850486</v>
      </c>
      <c r="DN51" s="194">
        <f t="shared" si="40"/>
        <v>0.10752979414951369</v>
      </c>
      <c r="DO51" s="179">
        <f>(DN51-DM$57)/DM$58</f>
        <v>6.493275008455238E-3</v>
      </c>
      <c r="DP51" s="179">
        <f>(0.6*CT51)+(0.4*DO51)</f>
        <v>-0.28736218420239862</v>
      </c>
      <c r="DQ51" s="189">
        <f t="shared" si="90"/>
        <v>0.23418542909077586</v>
      </c>
      <c r="DR51" s="189">
        <f t="shared" si="80"/>
        <v>0.88678157398786717</v>
      </c>
      <c r="DS51" s="189">
        <f t="shared" si="73"/>
        <v>0.78820145183076895</v>
      </c>
      <c r="DT51" s="189">
        <f>(0.6*CD51)+(0.4*DE51)</f>
        <v>1.2158835733876689</v>
      </c>
      <c r="DU51" s="175">
        <v>3</v>
      </c>
      <c r="DV51" s="175">
        <f>CK51-DU51</f>
        <v>19</v>
      </c>
      <c r="DW51" s="179">
        <v>0.05</v>
      </c>
      <c r="DX51" s="179">
        <v>6.0999999999999999E-2</v>
      </c>
      <c r="DY51" s="179">
        <f>(0.6*CJ51)+(0.4*DW51)</f>
        <v>8.863641584608567E-2</v>
      </c>
      <c r="DZ51" s="180">
        <v>1528</v>
      </c>
      <c r="EA51" s="180">
        <v>1527.7</v>
      </c>
      <c r="EB51" s="175">
        <v>1485</v>
      </c>
      <c r="EC51" s="180">
        <v>0</v>
      </c>
      <c r="ED51" s="180">
        <v>0</v>
      </c>
      <c r="EE51" s="180">
        <v>0</v>
      </c>
      <c r="EF51" s="180">
        <f t="shared" si="26"/>
        <v>0</v>
      </c>
      <c r="EG51" s="180">
        <f t="shared" si="70"/>
        <v>0</v>
      </c>
      <c r="EH51" s="180">
        <f>D51*EC$55</f>
        <v>2653.0398773006136</v>
      </c>
      <c r="EI51" s="180">
        <f t="shared" si="71"/>
        <v>5940</v>
      </c>
      <c r="EJ51" s="180">
        <f t="shared" si="29"/>
        <v>-5940</v>
      </c>
      <c r="EK51" s="180">
        <f t="shared" si="30"/>
        <v>0</v>
      </c>
      <c r="EL51" s="180">
        <f>EC51-EH51</f>
        <v>-2653.0398773006136</v>
      </c>
      <c r="EM51" s="195">
        <f t="shared" si="81"/>
        <v>-0.17596985602377405</v>
      </c>
      <c r="EN51" s="195">
        <f t="shared" si="99"/>
        <v>-0.38750034260363891</v>
      </c>
      <c r="EO51" s="195">
        <f>(EL51-EL$53)/EL$54</f>
        <v>-9.1344086164359323E-2</v>
      </c>
      <c r="EP51" s="180">
        <v>1619.9124999999999</v>
      </c>
      <c r="EQ51" s="175">
        <f>DZ51-EB51</f>
        <v>43</v>
      </c>
      <c r="ER51" s="180">
        <f t="shared" si="121"/>
        <v>-92.212499999999864</v>
      </c>
      <c r="ES51" s="179">
        <v>1.4999999999999999E-2</v>
      </c>
      <c r="ET51" s="179">
        <f>(ER51-ER$54)/ER$55</f>
        <v>-1.4900434211941304E-2</v>
      </c>
      <c r="EU51" s="189">
        <f>(0.6*DT51)+(0.4*EO51)</f>
        <v>0.69299250956685754</v>
      </c>
      <c r="EV51" s="189">
        <f t="shared" si="33"/>
        <v>0.40253292868895174</v>
      </c>
      <c r="EW51" s="189">
        <f t="shared" si="34"/>
        <v>0.49553130992697653</v>
      </c>
      <c r="EX51" s="180">
        <v>0</v>
      </c>
      <c r="EY51" s="180">
        <v>0</v>
      </c>
      <c r="EZ51" s="180">
        <f t="shared" si="41"/>
        <v>0</v>
      </c>
      <c r="FA51" s="180">
        <f t="shared" si="100"/>
        <v>36407.556879739983</v>
      </c>
      <c r="FB51" s="180">
        <f t="shared" si="42"/>
        <v>-36407.556879739983</v>
      </c>
      <c r="FC51" s="179">
        <f>(FB51-FB$56)/FB$57</f>
        <v>-0.33043506685351559</v>
      </c>
      <c r="FD51" s="179">
        <f>(0.6*DP51)+(0.4*FC51)</f>
        <v>-0.30459133726284537</v>
      </c>
      <c r="FE51" s="189">
        <f t="shared" si="96"/>
        <v>-1.448887958699005E-2</v>
      </c>
    </row>
    <row r="52" spans="1:161" x14ac:dyDescent="0.35">
      <c r="A52" s="197" t="s">
        <v>242</v>
      </c>
      <c r="B52" s="197" t="s">
        <v>245</v>
      </c>
      <c r="C52" s="175">
        <f t="shared" si="0"/>
        <v>7</v>
      </c>
      <c r="D52" s="175">
        <v>11</v>
      </c>
      <c r="E52" s="175">
        <v>7</v>
      </c>
      <c r="F52" s="175">
        <v>0</v>
      </c>
      <c r="G52" s="175">
        <v>0</v>
      </c>
      <c r="H52" s="179">
        <v>-8.3000000000000004E-2</v>
      </c>
      <c r="I52" s="179">
        <v>8.3998877308868028E-2</v>
      </c>
      <c r="J52" s="179">
        <f t="shared" si="119"/>
        <v>-6.9075676390146987E-2</v>
      </c>
      <c r="K52" s="185"/>
      <c r="L52" s="191"/>
      <c r="M52" s="191"/>
      <c r="N52" s="193"/>
      <c r="O52" s="193"/>
      <c r="P52" s="191"/>
      <c r="Q52" s="191"/>
      <c r="R52" s="180">
        <v>16</v>
      </c>
      <c r="S52" s="185"/>
      <c r="T52" s="185"/>
      <c r="U52" s="185"/>
      <c r="V52" s="185"/>
      <c r="W52" s="185"/>
      <c r="X52" s="185"/>
      <c r="Y52" s="185"/>
      <c r="Z52" s="185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>
        <v>6</v>
      </c>
      <c r="BC52" s="180">
        <v>7</v>
      </c>
      <c r="BD52" s="180">
        <f>BB52-BC52</f>
        <v>-1</v>
      </c>
      <c r="BE52" s="180">
        <v>5</v>
      </c>
      <c r="BF52" s="180">
        <v>12</v>
      </c>
      <c r="BG52" s="180">
        <v>15</v>
      </c>
      <c r="BH52" s="180">
        <v>12</v>
      </c>
      <c r="BI52" s="180"/>
      <c r="BJ52" s="180"/>
      <c r="BK52" s="180"/>
      <c r="BL52" s="180"/>
      <c r="BM52" s="179"/>
      <c r="BN52" s="179"/>
      <c r="BQ52" s="175">
        <v>7</v>
      </c>
      <c r="BR52" s="175">
        <f t="shared" si="12"/>
        <v>19</v>
      </c>
      <c r="BS52" s="180">
        <f t="shared" si="50"/>
        <v>0</v>
      </c>
      <c r="BT52" s="194">
        <f t="shared" si="51"/>
        <v>15.801345999999999</v>
      </c>
      <c r="BU52" s="194">
        <f t="shared" si="52"/>
        <v>9.1247936999999997</v>
      </c>
      <c r="BV52" s="194">
        <f t="shared" si="16"/>
        <v>19</v>
      </c>
      <c r="BW52" s="194">
        <f t="shared" si="17"/>
        <v>2.8752063000000003</v>
      </c>
      <c r="BX52" s="194">
        <f t="shared" si="18"/>
        <v>-0.80134599999999878</v>
      </c>
      <c r="BY52" s="194">
        <f>D52*BF$56</f>
        <v>10.775051124744376</v>
      </c>
      <c r="BZ52" s="175">
        <v>11</v>
      </c>
      <c r="CA52" s="194">
        <f>BF52-BY52</f>
        <v>1.2249488752556239</v>
      </c>
      <c r="CB52" s="175">
        <f>BF52-BZ52</f>
        <v>1</v>
      </c>
      <c r="CC52" s="179">
        <f t="shared" si="53"/>
        <v>-1.9008291207779766E-2</v>
      </c>
      <c r="CD52" s="179">
        <f t="shared" si="120"/>
        <v>5.8477965883247329E-2</v>
      </c>
      <c r="CE52" s="179">
        <f t="shared" si="120"/>
        <v>6.8589652754161096E-2</v>
      </c>
      <c r="CF52" s="194">
        <v>4.9178389999999998</v>
      </c>
      <c r="CG52" s="175">
        <f>BB52-BE52</f>
        <v>1</v>
      </c>
      <c r="CH52" s="194">
        <f>BC52-CF52</f>
        <v>2.0821610000000002</v>
      </c>
      <c r="CI52" s="179">
        <v>-0.127</v>
      </c>
      <c r="CJ52" s="179">
        <f>(CH52-CH$54)/CH$55</f>
        <v>-5.6360462709568813E-2</v>
      </c>
      <c r="CK52" s="175">
        <v>0</v>
      </c>
      <c r="CL52" s="179">
        <f t="shared" si="87"/>
        <v>-0.44886964970448145</v>
      </c>
      <c r="CM52" s="189">
        <f t="shared" si="78"/>
        <v>5.8806310540934187E-2</v>
      </c>
      <c r="CN52" s="175">
        <v>9</v>
      </c>
      <c r="CO52" s="175">
        <v>16</v>
      </c>
      <c r="CP52" s="194">
        <v>6</v>
      </c>
      <c r="CQ52" s="194">
        <f t="shared" si="37"/>
        <v>29</v>
      </c>
      <c r="CR52" s="194">
        <f t="shared" si="97"/>
        <v>54.087973997833153</v>
      </c>
      <c r="CS52" s="194">
        <f t="shared" si="38"/>
        <v>-25.087973997833153</v>
      </c>
      <c r="CT52" s="179">
        <f>(CS52-CS$56)/CS$57</f>
        <v>-0.3672601390267034</v>
      </c>
      <c r="CU52" s="194">
        <v>1</v>
      </c>
      <c r="CV52" s="175">
        <f t="shared" si="88"/>
        <v>10</v>
      </c>
      <c r="CW52" s="180">
        <f t="shared" si="61"/>
        <v>0</v>
      </c>
      <c r="CX52" s="194">
        <f t="shared" si="62"/>
        <v>6.0756882999999995</v>
      </c>
      <c r="CY52" s="175">
        <v>9</v>
      </c>
      <c r="CZ52" s="194">
        <f t="shared" si="63"/>
        <v>7.7896444999999996</v>
      </c>
      <c r="DA52" s="194">
        <f t="shared" si="23"/>
        <v>1.2103555000000004</v>
      </c>
      <c r="DB52" s="194">
        <f>D52*CN$56</f>
        <v>3.8353783231083844</v>
      </c>
      <c r="DC52" s="194">
        <f>CN52-DB52</f>
        <v>5.1646216768916151</v>
      </c>
      <c r="DD52" s="179">
        <f t="shared" si="64"/>
        <v>0.3680525383646836</v>
      </c>
      <c r="DE52" s="189">
        <f>(DC52-DC$53)/DC$54</f>
        <v>0.48349244297818772</v>
      </c>
      <c r="DF52" s="180">
        <f t="shared" si="24"/>
        <v>10</v>
      </c>
      <c r="DG52" s="194">
        <f t="shared" si="65"/>
        <v>2.9243117000000005</v>
      </c>
      <c r="DH52" s="189">
        <f t="shared" si="89"/>
        <v>-0.35426642860117735</v>
      </c>
      <c r="DI52" s="179">
        <f t="shared" si="79"/>
        <v>0.53828425116311085</v>
      </c>
      <c r="DJ52" s="194">
        <v>0</v>
      </c>
      <c r="DK52" s="194">
        <v>4</v>
      </c>
      <c r="DL52" s="194">
        <f t="shared" si="39"/>
        <v>5</v>
      </c>
      <c r="DM52" s="194">
        <f t="shared" si="98"/>
        <v>10.811180931744312</v>
      </c>
      <c r="DN52" s="194">
        <f t="shared" si="40"/>
        <v>-5.8111809317443122</v>
      </c>
      <c r="DO52" s="179">
        <f>(DN52-DM$57)/DM$58</f>
        <v>-0.35091293731336154</v>
      </c>
      <c r="DP52" s="179">
        <f>(0.6*CT52)+(0.4*DO52)</f>
        <v>-0.36072125834136665</v>
      </c>
      <c r="DQ52" s="179">
        <f t="shared" si="90"/>
        <v>-0.41102836126315978</v>
      </c>
      <c r="DR52" s="179">
        <f t="shared" si="80"/>
        <v>0.25059748678980487</v>
      </c>
      <c r="DS52" s="179">
        <f t="shared" si="73"/>
        <v>0.13581604062120559</v>
      </c>
      <c r="DT52" s="179">
        <f>(0.6*CD52)+(0.4*DE52)</f>
        <v>0.22848375672122351</v>
      </c>
      <c r="DU52" s="175">
        <v>2</v>
      </c>
      <c r="DV52" s="175">
        <f>CK52-DU52</f>
        <v>-2</v>
      </c>
      <c r="DW52" s="179">
        <v>-0.157</v>
      </c>
      <c r="DX52" s="179">
        <v>-0.13900000000000001</v>
      </c>
      <c r="DY52" s="179">
        <f>(0.6*CJ52)+(0.4*DW52)</f>
        <v>-9.6616277625741293E-2</v>
      </c>
      <c r="DZ52" s="180">
        <v>0</v>
      </c>
      <c r="EA52" s="180">
        <v>0</v>
      </c>
      <c r="EB52" s="175">
        <v>803</v>
      </c>
      <c r="EC52" s="180">
        <v>0</v>
      </c>
      <c r="ED52" s="180">
        <v>0</v>
      </c>
      <c r="EE52" s="180">
        <v>0</v>
      </c>
      <c r="EF52" s="180">
        <f t="shared" si="26"/>
        <v>0</v>
      </c>
      <c r="EG52" s="180">
        <f t="shared" si="70"/>
        <v>0</v>
      </c>
      <c r="EH52" s="180">
        <f>D52*EC$55</f>
        <v>3242.6042944785277</v>
      </c>
      <c r="EI52" s="180">
        <f t="shared" si="71"/>
        <v>7260</v>
      </c>
      <c r="EJ52" s="180">
        <f t="shared" si="29"/>
        <v>-7260</v>
      </c>
      <c r="EK52" s="180">
        <f t="shared" si="30"/>
        <v>0</v>
      </c>
      <c r="EL52" s="180">
        <f>EC52-EH52</f>
        <v>-3242.6042944785277</v>
      </c>
      <c r="EM52" s="195">
        <f t="shared" si="81"/>
        <v>-0.19210270684504266</v>
      </c>
      <c r="EN52" s="195">
        <f t="shared" si="99"/>
        <v>-0.38750034260363891</v>
      </c>
      <c r="EO52" s="195">
        <f>(EL52-EL$53)/EL$54</f>
        <v>-0.1109428172954096</v>
      </c>
      <c r="EP52" s="180">
        <v>856.69269999999995</v>
      </c>
      <c r="EQ52" s="175">
        <f>DZ52-EB52</f>
        <v>-803</v>
      </c>
      <c r="ER52" s="180">
        <f t="shared" si="121"/>
        <v>-856.69269999999995</v>
      </c>
      <c r="ES52" s="179">
        <v>0</v>
      </c>
      <c r="ET52" s="179">
        <f>(ER52-ER$54)/ER$55</f>
        <v>-2.7764774536755538E-2</v>
      </c>
      <c r="EU52" s="179">
        <f>(0.6*DT52)+(0.4*EO52)</f>
        <v>9.2713127114570248E-2</v>
      </c>
      <c r="EV52" s="179">
        <f t="shared" si="33"/>
        <v>4.6485416347062797E-3</v>
      </c>
      <c r="EW52" s="179">
        <f t="shared" si="34"/>
        <v>0.10598136515571907</v>
      </c>
      <c r="EX52" s="180">
        <v>13775</v>
      </c>
      <c r="EY52" s="180">
        <v>13846</v>
      </c>
      <c r="EZ52" s="180">
        <f t="shared" si="41"/>
        <v>27621</v>
      </c>
      <c r="FA52" s="180">
        <f t="shared" si="100"/>
        <v>23300.836403033587</v>
      </c>
      <c r="FB52" s="180">
        <f t="shared" si="42"/>
        <v>4320.163596966413</v>
      </c>
      <c r="FC52" s="189">
        <f>(FB52-FB$56)/FB$57</f>
        <v>3.920981437170018E-2</v>
      </c>
      <c r="FD52" s="179">
        <f>(0.6*DP52)+(0.4*FC52)</f>
        <v>-0.2007488292561399</v>
      </c>
      <c r="FE52" s="179">
        <f t="shared" si="96"/>
        <v>-0.40161715379935142</v>
      </c>
    </row>
    <row r="53" spans="1:161" x14ac:dyDescent="0.35">
      <c r="C53" s="178">
        <f>SUM(C3:C52)</f>
        <v>1389</v>
      </c>
      <c r="D53" s="178">
        <f>SUM(D3:D5,D8,D10,D11,D15,D19,D20:D21,D24,D25,D28,D29,D30,D31,D34,D35,D37,D38,D39,D40,D41,D42,D46,D48,D49,D50,D51,D52)</f>
        <v>978</v>
      </c>
      <c r="E53" s="178">
        <f>SUM(E3:E52)</f>
        <v>947</v>
      </c>
      <c r="F53" s="178">
        <f>SUM(F3:F52)</f>
        <v>178</v>
      </c>
      <c r="G53" s="178">
        <f>SUM(G3:G52)</f>
        <v>496</v>
      </c>
      <c r="H53" s="203"/>
      <c r="I53" s="203"/>
      <c r="J53" s="203"/>
      <c r="K53" s="192">
        <f>SUM(K3:K52)</f>
        <v>0</v>
      </c>
      <c r="L53" s="203"/>
      <c r="M53" s="203"/>
      <c r="N53" s="204" t="e">
        <f>SUM(N3:N52)</f>
        <v>#DIV/0!</v>
      </c>
      <c r="O53" s="204"/>
      <c r="P53" s="203"/>
      <c r="Q53" s="203" t="e">
        <f>SUM(Q3:Q52)</f>
        <v>#REF!</v>
      </c>
      <c r="R53" s="205">
        <f>SUM(R3:R52)</f>
        <v>923</v>
      </c>
      <c r="S53" s="203"/>
      <c r="T53" s="203"/>
      <c r="U53" s="198"/>
      <c r="V53" s="198"/>
      <c r="W53" s="198"/>
      <c r="X53" s="198"/>
      <c r="Y53" s="198"/>
      <c r="Z53" s="198"/>
      <c r="AA53" s="187"/>
      <c r="AB53" s="187"/>
      <c r="AC53" s="187"/>
      <c r="AD53" s="187"/>
      <c r="AE53" s="187"/>
      <c r="AF53" s="187">
        <f>SUM(AF3:AF52)</f>
        <v>1</v>
      </c>
      <c r="AG53" s="187" t="e">
        <f>SUM(AG3:AG52)</f>
        <v>#REF!</v>
      </c>
      <c r="AH53" s="187">
        <f>SUM(AH3:AH52)</f>
        <v>96.146999999999991</v>
      </c>
      <c r="AI53" s="308">
        <f>AH53/G53</f>
        <v>0.19384475806451612</v>
      </c>
      <c r="AJ53" s="187">
        <f>SUM(AJ3:AJ52)</f>
        <v>1</v>
      </c>
      <c r="AK53" s="180"/>
      <c r="AL53" s="180"/>
      <c r="AM53" s="180"/>
      <c r="AN53" s="180"/>
      <c r="AO53" s="180"/>
      <c r="AP53" s="180"/>
      <c r="AQ53" s="180"/>
      <c r="AR53" s="180"/>
      <c r="AS53" s="180"/>
      <c r="AT53" s="180"/>
      <c r="AU53" s="180"/>
      <c r="AV53" s="180"/>
      <c r="AW53" s="180"/>
      <c r="AX53" s="180"/>
      <c r="AY53" s="180"/>
      <c r="AZ53" s="180"/>
      <c r="BA53" s="180"/>
      <c r="BB53" s="187">
        <f>SUM(BB3:BB52)</f>
        <v>884</v>
      </c>
      <c r="BC53" s="187">
        <f>SUM(BC3:BC52)</f>
        <v>877</v>
      </c>
      <c r="BD53" s="187"/>
      <c r="BE53" s="180"/>
      <c r="BF53" s="187">
        <f>SUM(BF3:BF5,BF8,BF10,BF11,BF15,BF19:BF21,BF24:BF25,BF28:BF31,BF34:BF35,BF37:BF42,BF46,BF48:BF52)</f>
        <v>958</v>
      </c>
      <c r="BG53" s="187">
        <f>SUM(BG3:BG52)</f>
        <v>1397</v>
      </c>
      <c r="BH53" s="187">
        <f>SUM(BH3:BH52)</f>
        <v>858</v>
      </c>
      <c r="BI53" s="187"/>
      <c r="BJ53" s="187"/>
      <c r="BK53" s="187"/>
      <c r="BL53" s="187"/>
      <c r="BM53" s="186"/>
      <c r="BN53" s="186"/>
      <c r="BO53" s="178"/>
      <c r="BP53" s="178"/>
      <c r="BQ53" s="178">
        <f>SUM(BQ3:BQ52)</f>
        <v>1416</v>
      </c>
      <c r="BR53" s="178">
        <f>SUM(BR3:BR52)</f>
        <v>2237</v>
      </c>
      <c r="BS53" s="178"/>
      <c r="BT53" s="178"/>
      <c r="BU53" s="178"/>
      <c r="BV53" s="186">
        <f>AVERAGE(BV3:BV5,BV8,BV10,BV11,BV15,BV19,BV20,BV21,BV24,BV25,BV28:BV31,BV34,BV35,BV37:BV42,BV46,BV48:BV52)</f>
        <v>77.137931034482762</v>
      </c>
      <c r="BW53" s="186">
        <f>AVERAGE(BW3:BW5,BW8,BW10,BW11,BW15,BW19,BW20,BW21,BW24,BW25,BW28:BW31,BW34,BW35,BW37:BW42,BW46,BW48:BW52)</f>
        <v>1.5927113000000017</v>
      </c>
      <c r="BX53" s="186">
        <f>AVERAGE(BX3:BX5,BX8,BX10,BX11,BX15,BX19,BX20,BX21,BX24,BX25,BX28:BX31,BX34,BX35,BX37:BX42,BX46,BX48:BX52)</f>
        <v>-0.23982531034482488</v>
      </c>
      <c r="BY53" s="178"/>
      <c r="BZ53" s="178"/>
      <c r="CA53" s="186">
        <f>AVERAGE(CA3:CA5,CA8,CA10,CA11,CA15,CA19,CA20,CA21,CA24,CA25,CA28:CA31,CA34,CA35,CA37:CA42,CA46,CA48:CA52)</f>
        <v>-4.0829278612229215E-2</v>
      </c>
      <c r="CB53" s="186">
        <f>AVERAGE(CB3:CB5,CB8,CB10,CB11,CB15,CB19,CB20,CB21,CB24,CB25,CB28:CB31,CB34,CB35,CB37:CB42,CB46,CB48:CB52)</f>
        <v>-0.48275862068965519</v>
      </c>
      <c r="CC53" s="186"/>
      <c r="CD53" s="186"/>
      <c r="CE53" s="186"/>
      <c r="CK53" s="178">
        <f>SUM(CK3:CK52)</f>
        <v>391</v>
      </c>
      <c r="CL53" s="178"/>
      <c r="CM53" s="178"/>
      <c r="CN53" s="178">
        <f>SUM(CN48:CN52,CN3:CN5,CN8,CN10:CN11,CN15,CN19:CN21,CN24:CN25,CN28:CN31,CN34:CN35,CN37:CN42,CN46)</f>
        <v>341</v>
      </c>
      <c r="CO53" s="178">
        <f>SUM(CO3:CO52)</f>
        <v>776</v>
      </c>
      <c r="CP53" s="205">
        <f>SUM(CP4:CP52)</f>
        <v>928.2</v>
      </c>
      <c r="CQ53" s="205">
        <f>SUM(CQ3:CQ52)</f>
        <v>3120.2</v>
      </c>
      <c r="CR53" s="178"/>
      <c r="CS53" s="178"/>
      <c r="CT53" s="178"/>
      <c r="CU53" s="205">
        <f>SUM(CU4:CU52)</f>
        <v>117</v>
      </c>
      <c r="CV53" s="178">
        <f>SUM(CV3:CV52)</f>
        <v>455</v>
      </c>
      <c r="CW53" s="178"/>
      <c r="CX53" s="178"/>
      <c r="CY53" s="178">
        <f>SUM(CY3:CY52)</f>
        <v>516</v>
      </c>
      <c r="CZ53" s="178"/>
      <c r="DA53" s="186">
        <f>AVERAGE(DA48:DA52,DA3:DA5,DA8,DA10:DA11,DA15,DA19:DA21,DA24:DA25,DA28:DA31,DA34:DA35,DA37:DA42,DA46)</f>
        <v>-6.0886279655172402</v>
      </c>
      <c r="DB53" s="178"/>
      <c r="DC53" s="186">
        <f>AVERAGE(DC48:DC52,DC3:DC5,DC8,DC10:DC11,DC15,DC19:DC21,DC24:DC25,DC28:DC31,DC34:DC35,DC37:DC42,DC46)</f>
        <v>0</v>
      </c>
      <c r="DD53" s="186"/>
      <c r="DE53" s="186"/>
      <c r="DF53" s="186">
        <f>AVERAGE(DF3:DF5,DF8,DF10,DF11,DF15,DF19,DF20,DF21,DF24,DF25,DF28:DF31,DF34,DF35,DF37:DF42,DF46,DF48:DF52)</f>
        <v>15.689655172413794</v>
      </c>
      <c r="DG53" s="186">
        <f>AVERAGE(DG3:DG5,DG8,DG10,DG11,DG15,DG19,DG20,DG21,DG24,DG25,DG28:DG31,DG34,DG35,DG37:DG42,DG46,DG48:DG52)</f>
        <v>-6.8684111517241382</v>
      </c>
      <c r="DH53" s="186"/>
      <c r="DI53" s="186"/>
      <c r="DJ53" s="205">
        <f>SUM(DJ4:DJ52)</f>
        <v>186</v>
      </c>
      <c r="DK53" s="205">
        <f>SUM(DK4:DK52)</f>
        <v>320.66999999999996</v>
      </c>
      <c r="DL53" s="205">
        <f>SUM(DL4:DL52)</f>
        <v>623.66999999999996</v>
      </c>
      <c r="DM53" s="186"/>
      <c r="DN53" s="186"/>
      <c r="DO53" s="186"/>
      <c r="DP53" s="186"/>
      <c r="DQ53" s="186"/>
      <c r="DR53" s="186"/>
      <c r="DS53" s="186"/>
      <c r="DT53" s="186"/>
      <c r="DZ53" s="187">
        <f>SUM(DZ3:DZ52)</f>
        <v>786525</v>
      </c>
      <c r="EA53" s="187">
        <f>SUM(EA3:EA52)</f>
        <v>798303</v>
      </c>
      <c r="EC53" s="187">
        <f>SUM(EC48:EC52,EC46,EC3:EC5,EC7,EC8,EC10,EC11,EC15,EC19:EC21,EC24:EC25,EC28:EC31,EC34:EC35,EC37:EC42)</f>
        <v>288297</v>
      </c>
      <c r="ED53" s="187">
        <f>SUM(ED3:ED52)</f>
        <v>876363</v>
      </c>
      <c r="EE53" s="187">
        <f>SUM(EE3:EE52)</f>
        <v>558640</v>
      </c>
      <c r="EF53" s="187">
        <f>SUM(EF3:EF52)</f>
        <v>846937</v>
      </c>
      <c r="EG53" s="187"/>
      <c r="EH53" s="187"/>
      <c r="EI53" s="187"/>
      <c r="EJ53" s="187">
        <f>AVERAGE(EJ48:EJ52,EJ46,EJ3:EJ5,EJ8,EJ10:EJ11,EJ15,EJ19:EJ21,EJ24:EJ25,EJ28:EJ31,EJ34:EJ35,EJ37:EJ42)</f>
        <v>8457.9642857142862</v>
      </c>
      <c r="EK53" s="187">
        <f>AVERAGE(EK48:EK52,EK46,EK3:EK5,EK8,EK10:EK11,EK15,EK19:EK21,EK24:EK25,EK28:EK31,EK34:EK35,EK37:EK42)</f>
        <v>30247.75</v>
      </c>
      <c r="EL53" s="187">
        <f>AVERAGE(EL48:EL52,EL46,EL3:EL5,EL8,EL10:EL11,EL15,EL19:EL21,EL24:EL25,EL28:EL31,EL34:EL35,EL37:EL42)</f>
        <v>94.751424189306434</v>
      </c>
      <c r="EM53" s="187"/>
      <c r="EN53" s="187"/>
      <c r="EO53" s="187"/>
      <c r="EX53" s="187">
        <f>SUM(EX4:EX52)</f>
        <v>347121</v>
      </c>
      <c r="EY53" s="187">
        <f>SUM(EY4:EY52)</f>
        <v>438406</v>
      </c>
      <c r="EZ53" s="187">
        <f>SUM(EZ4:EZ52)</f>
        <v>1344167</v>
      </c>
    </row>
    <row r="54" spans="1:161" x14ac:dyDescent="0.35">
      <c r="C54" s="175">
        <v>339</v>
      </c>
      <c r="L54" s="203" t="e">
        <f>SUM(L3:L53)</f>
        <v>#REF!</v>
      </c>
      <c r="M54" s="198" t="e">
        <f>SUM(M3:M53)</f>
        <v>#DIV/0!</v>
      </c>
      <c r="N54" s="203"/>
      <c r="O54" s="203"/>
      <c r="P54" s="203">
        <f>SUM(P3:P53)</f>
        <v>127.95793828650233</v>
      </c>
      <c r="T54" s="198">
        <f>SUM(T3:T53)</f>
        <v>356817.40465435555</v>
      </c>
      <c r="U54" s="198" t="e">
        <f t="shared" ref="U54:AE54" si="122">SUM(U3:U53)</f>
        <v>#DIV/0!</v>
      </c>
      <c r="V54" s="198" t="e">
        <f t="shared" si="122"/>
        <v>#DIV/0!</v>
      </c>
      <c r="W54" s="198" t="e">
        <f t="shared" si="122"/>
        <v>#DIV/0!</v>
      </c>
      <c r="X54" s="198" t="e">
        <f t="shared" si="122"/>
        <v>#DIV/0!</v>
      </c>
      <c r="Y54" s="198">
        <f>SUM(Y3:Y53)</f>
        <v>476551.57121766615</v>
      </c>
      <c r="Z54" s="198">
        <f>SUM(Z3:Z53)</f>
        <v>431010.99810642889</v>
      </c>
      <c r="AA54" s="187">
        <f>SUM(AA3:AA53)</f>
        <v>484189.83617281669</v>
      </c>
      <c r="AB54" s="187">
        <f>SUM(AB3:AB53)</f>
        <v>182.9588463492135</v>
      </c>
      <c r="AC54" s="187">
        <f>SUM(AC3:AC53)</f>
        <v>108.83778134214818</v>
      </c>
      <c r="AD54" s="187" t="e">
        <f t="shared" si="122"/>
        <v>#DIV/0!</v>
      </c>
      <c r="AE54" s="187" t="e">
        <f t="shared" si="122"/>
        <v>#DIV/0!</v>
      </c>
      <c r="AF54" s="180"/>
      <c r="AG54" s="180"/>
      <c r="AH54" s="180"/>
      <c r="AI54" s="180">
        <f>SUM(AI3:AI52)</f>
        <v>1.5515109458451635</v>
      </c>
      <c r="AJ54" s="180"/>
      <c r="AK54" s="180"/>
      <c r="AL54" s="187" t="e">
        <f>SUM(AL12:AL53)</f>
        <v>#REF!</v>
      </c>
      <c r="AM54" s="180"/>
      <c r="AN54" s="187" t="e">
        <f>SUM(AN3:AN53)</f>
        <v>#DIV/0!</v>
      </c>
      <c r="AO54" s="187" t="e">
        <f>SUM(AO3:AO53)</f>
        <v>#DIV/0!</v>
      </c>
      <c r="AP54" s="187" t="e">
        <f>SUM(AP3:AP53)</f>
        <v>#DIV/0!</v>
      </c>
      <c r="AQ54" s="187"/>
      <c r="AR54" s="187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307">
        <f>(BC53/BB53)*100</f>
        <v>99.208144796380097</v>
      </c>
      <c r="BD54" s="180"/>
      <c r="BE54" s="180"/>
      <c r="BF54" s="180"/>
      <c r="BG54" s="180"/>
      <c r="BH54" s="180"/>
      <c r="BI54" s="180"/>
      <c r="BJ54" s="187">
        <f>SUM(BJ3:BJ53)</f>
        <v>607943.00000000012</v>
      </c>
      <c r="BK54" s="187">
        <f>SUM(BK3:BK53)</f>
        <v>542701.05813763314</v>
      </c>
      <c r="BL54" s="187">
        <f>SUM(BL3:BL53)</f>
        <v>607943.00000000012</v>
      </c>
      <c r="BM54" s="186">
        <f>SUM(BM3:BM53)</f>
        <v>61.219103650967362</v>
      </c>
      <c r="BN54" s="186">
        <f>SUM(BN3:BN53)</f>
        <v>1.0000000000000002</v>
      </c>
      <c r="BV54" s="179">
        <f>STDEV(BV3:BV5,BV8,BV10,BV11,BV15,BV19:BV21,BV24,BV25,BV28:BV31,BV34,BV35,BV37:BV42,BV46,BV48:BV52)</f>
        <v>129.52074410189806</v>
      </c>
      <c r="BW54" s="179">
        <f>STDEV(BW3:BW5,BW8,BW10,BW11,BW15,BW19:BW21,BW24,BW25,BW28:BW31,BW34,BW35,BW37:BW42,BW46,BW48:BW52)</f>
        <v>21.808798889147674</v>
      </c>
      <c r="BX54" s="179">
        <f>STDEV(BX3:BX5,BX8,BX10,BX11,BX15,BX19:BX21,BX24,BX25,BX28:BX31,BX34,BX35,BX37:BX42,BX46,BX48:BX52)</f>
        <v>29.540829499989623</v>
      </c>
      <c r="CA54" s="179">
        <f>STDEV(CA3:CA5,CA8,CA10,CA11,CA15,CA19:CA21,CA24,CA25,CA28:CA31,CA34,CA35,CA37:CA42,CA46,CA48:CA52)</f>
        <v>21.64538616809979</v>
      </c>
      <c r="CB54" s="179">
        <f>STDEV(CB3:CB5,CB8,CB10,CB11,CB15,CB19:CB21,CB24,CB25,CB28:CB31,CB34,CB35,CB37:CB42,CB46,CB48:CB52)</f>
        <v>21.617817865387888</v>
      </c>
      <c r="CC54" s="179"/>
      <c r="CD54" s="179"/>
      <c r="CE54" s="179"/>
      <c r="CG54" s="178" t="s">
        <v>466</v>
      </c>
      <c r="CH54" s="194">
        <f>AVERAGE(CH3:CH5,CH7:CH8,CH10:CH11,CH15:CH16,CH19,CH24:CH25,CH28:CH31,CH34:CH42,CH46,CH48:CH52)</f>
        <v>3.3668998666666656</v>
      </c>
      <c r="CK54" s="178">
        <f>BB53+CK53</f>
        <v>1275</v>
      </c>
      <c r="CL54" s="178"/>
      <c r="CM54" s="178"/>
      <c r="CN54" s="178"/>
      <c r="CO54" s="178"/>
      <c r="CP54" s="178"/>
      <c r="CQ54" s="178"/>
      <c r="CR54" s="178"/>
      <c r="CS54" s="178"/>
      <c r="CT54" s="178"/>
      <c r="CU54" s="178"/>
      <c r="CV54" s="178"/>
      <c r="CW54" s="178"/>
      <c r="CX54" s="178"/>
      <c r="CY54" s="178"/>
      <c r="CZ54" s="178"/>
      <c r="DA54" s="186">
        <f>STDEV(DA3:DA5,DA8,DA10:DA11,DA15,DA19:DA21,DA24:DA25,DA28:DA31,DA34:DA35,DA37:DA42,DA46,DA48:DA52)</f>
        <v>19.831362929726808</v>
      </c>
      <c r="DB54" s="178"/>
      <c r="DC54" s="186">
        <f>STDEV(DC3:DC5,DC8,DC10:DC11,DC15,DC19:DC21,DC24:DC25,DC28:DC31,DC34:DC35,DC37:DC42,DC46,DC48:DC52)</f>
        <v>10.681907756569862</v>
      </c>
      <c r="DD54" s="186"/>
      <c r="DE54" s="186"/>
      <c r="DF54" s="179">
        <f>STDEV(DF3:DF5,DF8,DF10,DF11,DF15,DF19:DF21,DF24,DF25,DF28:DF31,DF34,DF35,DF37:DF42,DF46,DF48:DF52)</f>
        <v>16.060384820767307</v>
      </c>
      <c r="DG54" s="179">
        <f>STDEV(DG3:DG5,DG8,DG10,DG11,DG15,DG19:DG21,DG24,DG25,DG28:DG31,DG34,DG35,DG37:DG42,DG46,DG48:DG52)</f>
        <v>18.192475129198513</v>
      </c>
      <c r="DH54" s="179"/>
      <c r="DI54" s="179"/>
      <c r="DJ54" s="179"/>
      <c r="DK54" s="179"/>
      <c r="DL54" s="179"/>
      <c r="DM54" s="179"/>
      <c r="DN54" s="179"/>
      <c r="DO54" s="179"/>
      <c r="DP54" s="179"/>
      <c r="DQ54" s="179"/>
      <c r="DR54" s="179"/>
      <c r="DS54" s="186"/>
      <c r="DT54" s="186"/>
      <c r="EJ54" s="180">
        <f>STDEV(EJ3:EJ5,EJ8,EJ10:EJ11,EJ15,EJ19:EJ21,EJ24:EJ25,EJ28:EJ31,EJ34:EJ35,EJ37:EJ42,EJ46,EJ48:EJ52)</f>
        <v>81820.628890945271</v>
      </c>
      <c r="EK54" s="180">
        <f>STDEV(EK3:EK5,EK8,EK10:EK11,EK15,EK19:EK21,EK24:EK25,EK28:EK31,EK34:EK35,EK37:EK42,EK46,EK48:EK52)</f>
        <v>78058.640662775899</v>
      </c>
      <c r="EL54" s="180">
        <f>STDEV(EL3:EL5,EL8,EL10:EL11,EL15,EL19:EL21,EL24:EL25,EL28:EL31,EL34:EL35,EL37:EL42,EL46,EL48:EL52)</f>
        <v>30081.764642603153</v>
      </c>
      <c r="EQ54" s="178" t="s">
        <v>466</v>
      </c>
      <c r="ER54" s="180">
        <f>AVERAGE(ER3:ER5,ER7:ER8,ER10:ER11,ER15:ER16,ER19,ER24:ER25,ER28:ER31,ER34:ER42,ER46,ER48:ER52)</f>
        <v>793.26523448276077</v>
      </c>
      <c r="ET54" s="179"/>
    </row>
    <row r="55" spans="1:161" ht="18.5" x14ac:dyDescent="0.45">
      <c r="A55" s="206"/>
      <c r="C55" s="175">
        <f>C54/C53</f>
        <v>0.24406047516198703</v>
      </c>
      <c r="Z55" s="185">
        <f>Z54-Y54</f>
        <v>-45540.57311123726</v>
      </c>
      <c r="AA55" s="185"/>
      <c r="AS55" s="179"/>
      <c r="BK55" s="180">
        <f>BK54-BJ54</f>
        <v>-65241.941862366977</v>
      </c>
      <c r="CG55" s="178" t="s">
        <v>409</v>
      </c>
      <c r="CH55" s="175">
        <f>STDEV(CH3:CH5,CH7:CH8,CH10:CH11,CH15:CH16,CH19,CH24:CH25,CH28:CH31,CH34:CH42,CH46,CH48:CH52)</f>
        <v>22.795037600863132</v>
      </c>
      <c r="CQ55" s="303" t="s">
        <v>596</v>
      </c>
      <c r="CR55" s="179">
        <f>CQ53/R53</f>
        <v>3.3804983748645721</v>
      </c>
      <c r="DR55" s="175" t="s">
        <v>445</v>
      </c>
      <c r="DT55" s="175" t="s">
        <v>445</v>
      </c>
      <c r="EA55" s="175" t="s">
        <v>408</v>
      </c>
      <c r="EC55" s="180">
        <f>EC53/D53</f>
        <v>294.78220858895708</v>
      </c>
      <c r="ED55" s="180">
        <f>ED53/D53</f>
        <v>896.07668711656447</v>
      </c>
      <c r="EQ55" s="178" t="s">
        <v>409</v>
      </c>
      <c r="ER55" s="175">
        <f>STDEV(ER3:ER5,ER7:ER8,ER10:ER11,ER15:ER16,ER19,ER24:ER25,ER28:ER31,ER34:ER42,ER46,ER48:ER52)</f>
        <v>59426.304085362368</v>
      </c>
      <c r="EZ55" s="303" t="s">
        <v>596</v>
      </c>
      <c r="FA55" s="180">
        <f>EZ53/R53</f>
        <v>1456.3022751895992</v>
      </c>
    </row>
    <row r="56" spans="1:161" x14ac:dyDescent="0.35">
      <c r="BA56" s="175" t="s">
        <v>445</v>
      </c>
      <c r="BC56" s="175" t="s">
        <v>557</v>
      </c>
      <c r="BF56" s="175">
        <f>BF53/D53</f>
        <v>0.9795501022494888</v>
      </c>
      <c r="BG56" s="175">
        <f>BG53/D53</f>
        <v>1.4284253578732107</v>
      </c>
      <c r="BH56" s="175">
        <f>BH53/D53</f>
        <v>0.87730061349693256</v>
      </c>
      <c r="CD56" s="175" t="s">
        <v>445</v>
      </c>
      <c r="CK56" s="175" t="s">
        <v>558</v>
      </c>
      <c r="CN56" s="175">
        <f>CN53/D53</f>
        <v>0.34867075664621677</v>
      </c>
      <c r="CR56" s="303" t="s">
        <v>598</v>
      </c>
      <c r="CS56" s="179">
        <f>AVERAGE(CS4,CS5,CS8,CS10,CS11,CS13,CS14,CS15,CS19,CS21,CS24,CS25,CS28,CS29,CS30,CS31,CS33,CS34,CS35,CS37,CS38,CS39,CS40,CS41,CS42,CS46,CS48,CS49,CS50,CS51,CS52)</f>
        <v>-3.2089026776262588E-15</v>
      </c>
      <c r="CY56" s="175">
        <f>CY53/D53</f>
        <v>0.52760736196319014</v>
      </c>
      <c r="DK56" s="303" t="s">
        <v>596</v>
      </c>
      <c r="DL56" s="179">
        <f>DL53/R53</f>
        <v>0.67569880823401951</v>
      </c>
      <c r="DR56" s="175" t="s">
        <v>414</v>
      </c>
      <c r="DT56" s="175" t="s">
        <v>414</v>
      </c>
      <c r="EA56" s="175" t="s">
        <v>413</v>
      </c>
      <c r="EC56" s="180">
        <v>429</v>
      </c>
      <c r="ED56" s="180">
        <v>660</v>
      </c>
      <c r="FA56" s="303" t="s">
        <v>598</v>
      </c>
      <c r="FB56" s="179">
        <f>AVERAGE(FB4,FB5,FB8,FB10,FB11,FB13,FB14,FB15,FB19,FB21,FB24,FB25,FB28,FB29,FB30,FB31,FB33,FB34,FB35,FB37,FB38,FB39,FB40,FB41,FB42,FB46,FB48,FB49,FB50,FB51,FB52)</f>
        <v>5.8677077533737304E-13</v>
      </c>
    </row>
    <row r="57" spans="1:161" x14ac:dyDescent="0.35">
      <c r="BA57" s="175" t="s">
        <v>414</v>
      </c>
      <c r="BC57" s="175" t="s">
        <v>559</v>
      </c>
      <c r="BF57" s="175">
        <v>0.9686131</v>
      </c>
      <c r="BG57" s="175">
        <v>1.4364859999999999</v>
      </c>
      <c r="BH57" s="175">
        <v>0.82952669999999995</v>
      </c>
      <c r="CD57" s="175" t="s">
        <v>414</v>
      </c>
      <c r="CK57" s="175" t="s">
        <v>560</v>
      </c>
      <c r="CN57" s="175">
        <v>0.55233529999999997</v>
      </c>
      <c r="CR57" s="303" t="s">
        <v>599</v>
      </c>
      <c r="CS57" s="179">
        <f>STDEV(CS4,CS5,CS8,CS10,CS11,CS13,CS14,CS15,CS19,CS21,CS24,CS25,CS28,CS29,CS30,CS31,CS33,CS34,CS35,CS37,CS38,CS39,CS40,CS41,CS42,CS46,CS48,CS49,CS50,CS51,CS52)</f>
        <v>68.31118145388767</v>
      </c>
      <c r="CY57" s="175">
        <v>0.70814949999999999</v>
      </c>
      <c r="DL57" s="303" t="s">
        <v>598</v>
      </c>
      <c r="DM57" s="179">
        <f>AVERAGE(DN4,DN5,DN8,DN10,DN11,DN13,DN14,DN15,DN19,DN21,DN24,DN25,DN28,DN29,DN30,DN31,DN33,DN34,DN35,DN37,DN38,DN39,DN40,DN41,DN42,DN46,DN48,DN49,DN50,DN51,DN52)</f>
        <v>0</v>
      </c>
      <c r="EA57" s="175" t="s">
        <v>417</v>
      </c>
      <c r="EC57" s="180">
        <v>2023</v>
      </c>
      <c r="FA57" s="303" t="s">
        <v>599</v>
      </c>
      <c r="FB57" s="179">
        <f>STDEV(FB4,FB5,FB8,FB10,FB11,FB13,FB14,FB15,FB19,FB21,FB24,FB25,FB28,FB29,FB30,FB31,FB33,FB34,FB35,FB37,FB38,FB39,FB40,FB41,FB42,FB46,FB48,FB49,FB50,FB51,FB52)</f>
        <v>110180.66946229934</v>
      </c>
    </row>
    <row r="58" spans="1:161" x14ac:dyDescent="0.35">
      <c r="BC58" s="175" t="s">
        <v>416</v>
      </c>
      <c r="BH58" s="175">
        <v>2023</v>
      </c>
      <c r="CK58" s="175" t="s">
        <v>416</v>
      </c>
      <c r="CN58" s="175">
        <v>2023</v>
      </c>
      <c r="DL58" s="303" t="s">
        <v>599</v>
      </c>
      <c r="DM58" s="179">
        <f>STDEV(DN4,DN5,DN8,DN10,DN11,DN13,DN14,DN15,DN19,DN21,DN24,DN25,DN28,DN29,DN30,DN31,DN33,DN34,DN35,DN37,DN38,DN39,DN40,DN41,DN42,DN46,DN48,DN49,DN50,DN51,DN52)</f>
        <v>16.560178647830785</v>
      </c>
    </row>
  </sheetData>
  <dataValidations count="1">
    <dataValidation type="list" showInputMessage="1" showErrorMessage="1" sqref="E1:G1" xr:uid="{00000000-0002-0000-0900-000000000000}">
      <formula1>$A$55:$A$79</formula1>
    </dataValidation>
  </dataValidations>
  <pageMargins left="0.75" right="0.75" top="1" bottom="1" header="0.5" footer="0.5"/>
  <pageSetup paperSize="9" orientation="portrait" r:id="rId1"/>
  <ignoredErrors>
    <ignoredError sqref="C3:C47 C49:C51" formulaRange="1"/>
    <ignoredError sqref="CP53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33"/>
  <sheetViews>
    <sheetView workbookViewId="0">
      <pane ySplit="1" topLeftCell="A2" activePane="bottomLeft" state="frozen"/>
      <selection pane="bottomLeft" activeCell="N7" sqref="N7"/>
    </sheetView>
  </sheetViews>
  <sheetFormatPr defaultRowHeight="14.5" x14ac:dyDescent="0.35"/>
  <cols>
    <col min="1" max="1" width="29.54296875" customWidth="1"/>
    <col min="2" max="2" width="27.54296875" bestFit="1" customWidth="1"/>
    <col min="4" max="4" width="12.54296875" customWidth="1"/>
    <col min="5" max="5" width="10.54296875" bestFit="1" customWidth="1"/>
    <col min="6" max="6" width="10.54296875" hidden="1" customWidth="1"/>
    <col min="7" max="7" width="11.453125" hidden="1" customWidth="1"/>
    <col min="8" max="8" width="13" hidden="1" customWidth="1"/>
    <col min="9" max="9" width="12" hidden="1" customWidth="1"/>
    <col min="10" max="11" width="12" customWidth="1"/>
    <col min="12" max="12" width="11.453125" bestFit="1" customWidth="1"/>
    <col min="13" max="13" width="11.453125" customWidth="1"/>
    <col min="14" max="14" width="10" bestFit="1" customWidth="1"/>
    <col min="15" max="15" width="11" bestFit="1" customWidth="1"/>
    <col min="16" max="17" width="10" customWidth="1"/>
    <col min="18" max="18" width="10.54296875" bestFit="1" customWidth="1"/>
    <col min="19" max="19" width="24.81640625" bestFit="1" customWidth="1"/>
  </cols>
  <sheetData>
    <row r="1" spans="1:39" x14ac:dyDescent="0.35">
      <c r="A1" s="1"/>
      <c r="B1" s="222" t="s">
        <v>315</v>
      </c>
      <c r="C1" s="219">
        <v>1165800</v>
      </c>
      <c r="D1" s="144"/>
      <c r="E1" s="144"/>
      <c r="F1" s="144"/>
      <c r="G1" s="144"/>
      <c r="H1" s="1" t="s">
        <v>561</v>
      </c>
      <c r="L1" s="1"/>
      <c r="M1" s="1"/>
      <c r="N1" s="1"/>
      <c r="O1" s="1"/>
      <c r="P1" s="1"/>
      <c r="Q1" s="1"/>
      <c r="R1" s="1"/>
      <c r="S1" s="23"/>
    </row>
    <row r="2" spans="1:39" ht="15" thickBot="1" x14ac:dyDescent="0.4">
      <c r="G2" s="18"/>
      <c r="H2" s="35">
        <v>1134635.6400000001</v>
      </c>
      <c r="I2" s="12"/>
      <c r="J2" s="12"/>
      <c r="K2" s="12"/>
    </row>
    <row r="3" spans="1:39" ht="15" thickBot="1" x14ac:dyDescent="0.4">
      <c r="A3" s="329" t="s">
        <v>562</v>
      </c>
      <c r="B3" s="330"/>
      <c r="C3" s="332" t="s">
        <v>563</v>
      </c>
      <c r="D3" s="332" t="s">
        <v>300</v>
      </c>
      <c r="E3" s="87" t="s">
        <v>564</v>
      </c>
      <c r="F3" s="87" t="s">
        <v>565</v>
      </c>
      <c r="G3" s="87" t="s">
        <v>566</v>
      </c>
      <c r="H3" s="87" t="s">
        <v>567</v>
      </c>
      <c r="I3" s="87" t="s">
        <v>309</v>
      </c>
      <c r="J3" s="87" t="s">
        <v>568</v>
      </c>
      <c r="K3" s="87" t="s">
        <v>612</v>
      </c>
      <c r="L3" s="140" t="s">
        <v>311</v>
      </c>
      <c r="M3" s="87" t="s">
        <v>352</v>
      </c>
      <c r="N3" s="87" t="s">
        <v>353</v>
      </c>
      <c r="O3" s="87" t="s">
        <v>354</v>
      </c>
      <c r="P3" s="87" t="s">
        <v>355</v>
      </c>
      <c r="S3" s="87" t="s">
        <v>562</v>
      </c>
      <c r="T3" s="65">
        <v>2024</v>
      </c>
      <c r="U3" s="1"/>
      <c r="V3" s="1"/>
      <c r="W3" s="1"/>
      <c r="X3" s="1"/>
      <c r="Y3" s="1"/>
      <c r="Z3" s="1"/>
      <c r="AA3" s="1"/>
      <c r="AB3" s="1"/>
    </row>
    <row r="4" spans="1:39" ht="15" thickBot="1" x14ac:dyDescent="0.4">
      <c r="A4" s="317" t="s">
        <v>569</v>
      </c>
      <c r="B4" s="331"/>
      <c r="C4" s="333">
        <f>AM6</f>
        <v>1</v>
      </c>
      <c r="D4" s="336">
        <v>12</v>
      </c>
      <c r="E4" s="12">
        <f t="shared" ref="E4:E10" si="0">C4/D4</f>
        <v>8.3333333333333329E-2</v>
      </c>
      <c r="F4" s="54"/>
      <c r="G4" s="12"/>
      <c r="L4" s="16"/>
      <c r="M4" s="16"/>
      <c r="N4" s="16"/>
      <c r="O4" s="16"/>
      <c r="P4" s="16"/>
      <c r="R4" t="s">
        <v>570</v>
      </c>
      <c r="AD4" t="s">
        <v>571</v>
      </c>
      <c r="AM4" t="s">
        <v>572</v>
      </c>
    </row>
    <row r="5" spans="1:39" ht="15" thickBot="1" x14ac:dyDescent="0.4">
      <c r="A5" s="160" t="s">
        <v>573</v>
      </c>
      <c r="B5" s="100"/>
      <c r="C5" s="334">
        <f>AM8</f>
        <v>103</v>
      </c>
      <c r="D5" s="337">
        <v>20</v>
      </c>
      <c r="E5" s="12">
        <f t="shared" si="0"/>
        <v>5.15</v>
      </c>
      <c r="F5" s="12">
        <f>E5/E13</f>
        <v>0.38877955931219155</v>
      </c>
      <c r="G5" s="35">
        <f>F5*D13</f>
        <v>267065.3384624811</v>
      </c>
      <c r="H5">
        <v>0</v>
      </c>
      <c r="I5" s="63">
        <f>AVERAGE(G5,H5)</f>
        <v>133532.66923124055</v>
      </c>
      <c r="J5" s="18">
        <f>E5/E13</f>
        <v>0.38877955931219155</v>
      </c>
      <c r="K5" s="18"/>
      <c r="L5" s="127">
        <f>I5</f>
        <v>133532.66923124055</v>
      </c>
      <c r="M5" s="211">
        <v>262711.09578283032</v>
      </c>
      <c r="N5" s="285">
        <v>0</v>
      </c>
      <c r="O5" s="16">
        <f>AVERAGE(L5,M5,N5)</f>
        <v>132081.25500469029</v>
      </c>
      <c r="P5" s="285">
        <f>O5-(K5*O12)</f>
        <v>132081.25500469029</v>
      </c>
      <c r="R5" s="328" t="s">
        <v>0</v>
      </c>
      <c r="S5" s="92"/>
      <c r="T5" s="93" t="s">
        <v>574</v>
      </c>
      <c r="U5" s="93" t="s">
        <v>575</v>
      </c>
      <c r="V5" s="93" t="s">
        <v>576</v>
      </c>
      <c r="W5" s="93" t="s">
        <v>577</v>
      </c>
      <c r="X5" s="93" t="s">
        <v>578</v>
      </c>
      <c r="Y5" s="93" t="s">
        <v>579</v>
      </c>
      <c r="Z5" s="93" t="s">
        <v>580</v>
      </c>
      <c r="AA5" s="93" t="s">
        <v>581</v>
      </c>
      <c r="AB5" s="94" t="s">
        <v>582</v>
      </c>
      <c r="AD5" s="95" t="s">
        <v>574</v>
      </c>
      <c r="AE5" s="93" t="s">
        <v>575</v>
      </c>
      <c r="AF5" s="93" t="s">
        <v>576</v>
      </c>
      <c r="AG5" s="93" t="s">
        <v>577</v>
      </c>
      <c r="AH5" s="93" t="s">
        <v>578</v>
      </c>
      <c r="AI5" s="93" t="s">
        <v>579</v>
      </c>
      <c r="AJ5" s="93" t="s">
        <v>580</v>
      </c>
      <c r="AK5" s="93" t="s">
        <v>581</v>
      </c>
      <c r="AL5" s="94" t="s">
        <v>582</v>
      </c>
      <c r="AM5" s="96" t="s">
        <v>260</v>
      </c>
    </row>
    <row r="6" spans="1:39" x14ac:dyDescent="0.35">
      <c r="A6" s="160" t="s">
        <v>583</v>
      </c>
      <c r="B6" s="100"/>
      <c r="C6" s="334">
        <f>AM9</f>
        <v>271.7</v>
      </c>
      <c r="D6" s="337">
        <v>26</v>
      </c>
      <c r="E6" s="14">
        <f t="shared" si="0"/>
        <v>10.45</v>
      </c>
      <c r="F6" s="12"/>
      <c r="G6" s="18"/>
      <c r="J6" s="121">
        <f>C6/(C6+C9)</f>
        <v>0.2228876127973749</v>
      </c>
      <c r="K6" s="121">
        <f>C6/(C6+C9)</f>
        <v>0.2228876127973749</v>
      </c>
      <c r="L6" s="16">
        <v>0</v>
      </c>
      <c r="M6" s="16">
        <v>0</v>
      </c>
      <c r="N6" s="285">
        <f>J6*D13</f>
        <v>153108.75874270464</v>
      </c>
      <c r="O6" s="16">
        <f>AVERAGE(L6,M6,N6)</f>
        <v>51036.252914234879</v>
      </c>
      <c r="P6" s="285">
        <f>O6-(K6*O12)</f>
        <v>50861.423043480201</v>
      </c>
      <c r="R6" s="283" t="s">
        <v>111</v>
      </c>
      <c r="S6" s="99"/>
      <c r="T6" s="97">
        <v>0</v>
      </c>
      <c r="U6" s="98">
        <v>0</v>
      </c>
      <c r="V6" s="98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81">
        <v>1</v>
      </c>
      <c r="AD6" s="76">
        <f t="shared" ref="AD6:AD12" si="1">T6*12</f>
        <v>0</v>
      </c>
      <c r="AE6" s="77">
        <f t="shared" ref="AE6:AE12" si="2">U6*11</f>
        <v>0</v>
      </c>
      <c r="AF6" s="77">
        <f t="shared" ref="AF6:AF12" si="3">V6*10</f>
        <v>0</v>
      </c>
      <c r="AG6" s="77">
        <f t="shared" ref="AG6:AG12" si="4">W6*3</f>
        <v>0</v>
      </c>
      <c r="AH6" s="78">
        <f t="shared" ref="AH6:AH12" si="5">X6*2</f>
        <v>0</v>
      </c>
      <c r="AI6" s="10">
        <f t="shared" ref="AI6:AI12" si="6">Y6*1</f>
        <v>0</v>
      </c>
      <c r="AJ6" s="10">
        <f>Z6*8</f>
        <v>0</v>
      </c>
      <c r="AK6" s="10">
        <f t="shared" ref="AK6:AK12" si="7">AA6*7</f>
        <v>0</v>
      </c>
      <c r="AL6" s="131">
        <f t="shared" ref="AL6:AL12" si="8">AB6*1</f>
        <v>1</v>
      </c>
      <c r="AM6" s="83">
        <f>SUM(AD6:AL6)</f>
        <v>1</v>
      </c>
    </row>
    <row r="7" spans="1:39" x14ac:dyDescent="0.35">
      <c r="A7" s="160" t="s">
        <v>584</v>
      </c>
      <c r="B7" s="100"/>
      <c r="C7" s="334">
        <f>AM10</f>
        <v>139</v>
      </c>
      <c r="D7" s="337"/>
      <c r="E7" s="12"/>
      <c r="F7" s="12"/>
      <c r="G7" s="18"/>
      <c r="L7" s="16"/>
      <c r="M7" s="16"/>
      <c r="N7" s="16"/>
      <c r="O7" s="16"/>
      <c r="P7" s="16"/>
      <c r="R7" s="313" t="s">
        <v>23</v>
      </c>
      <c r="S7" s="99"/>
      <c r="T7" s="76">
        <v>0</v>
      </c>
      <c r="U7" s="77">
        <v>0</v>
      </c>
      <c r="V7" s="77">
        <v>1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81">
        <v>1</v>
      </c>
      <c r="AD7" s="76">
        <f t="shared" si="1"/>
        <v>0</v>
      </c>
      <c r="AE7" s="77">
        <f t="shared" si="2"/>
        <v>0</v>
      </c>
      <c r="AF7" s="77">
        <f t="shared" si="3"/>
        <v>10</v>
      </c>
      <c r="AG7" s="77">
        <f t="shared" si="4"/>
        <v>0</v>
      </c>
      <c r="AH7" s="78">
        <f t="shared" si="5"/>
        <v>0</v>
      </c>
      <c r="AI7" s="10">
        <f t="shared" si="6"/>
        <v>0</v>
      </c>
      <c r="AJ7" s="10">
        <f>Z7*8</f>
        <v>0</v>
      </c>
      <c r="AK7" s="10">
        <f t="shared" si="7"/>
        <v>0</v>
      </c>
      <c r="AL7" s="131">
        <f t="shared" si="8"/>
        <v>1</v>
      </c>
      <c r="AM7" s="83">
        <f>SUM(AD7:AL7)</f>
        <v>11</v>
      </c>
    </row>
    <row r="8" spans="1:39" x14ac:dyDescent="0.35">
      <c r="A8" s="160" t="s">
        <v>217</v>
      </c>
      <c r="B8" s="100"/>
      <c r="C8" s="334">
        <f>AM13</f>
        <v>33</v>
      </c>
      <c r="D8" s="337">
        <v>11</v>
      </c>
      <c r="E8" s="12">
        <f t="shared" si="0"/>
        <v>3</v>
      </c>
      <c r="F8" s="12"/>
      <c r="G8" s="18"/>
      <c r="L8" s="16"/>
      <c r="M8" s="16"/>
      <c r="N8" s="16"/>
      <c r="O8" s="16"/>
      <c r="P8" s="16"/>
      <c r="R8" s="160" t="s">
        <v>11</v>
      </c>
      <c r="S8" s="100"/>
      <c r="T8" s="78">
        <v>4</v>
      </c>
      <c r="U8" s="10">
        <v>1</v>
      </c>
      <c r="V8" s="10">
        <v>2</v>
      </c>
      <c r="W8" s="10">
        <v>0</v>
      </c>
      <c r="X8" s="10">
        <v>0</v>
      </c>
      <c r="Y8" s="10">
        <v>0</v>
      </c>
      <c r="Z8" s="10">
        <v>0</v>
      </c>
      <c r="AA8" s="10">
        <v>2</v>
      </c>
      <c r="AB8" s="81">
        <v>10</v>
      </c>
      <c r="AD8" s="76">
        <f t="shared" si="1"/>
        <v>48</v>
      </c>
      <c r="AE8" s="77">
        <f t="shared" si="2"/>
        <v>11</v>
      </c>
      <c r="AF8" s="77">
        <f t="shared" si="3"/>
        <v>20</v>
      </c>
      <c r="AG8" s="77">
        <f t="shared" si="4"/>
        <v>0</v>
      </c>
      <c r="AH8" s="78">
        <f t="shared" si="5"/>
        <v>0</v>
      </c>
      <c r="AI8" s="10">
        <f t="shared" si="6"/>
        <v>0</v>
      </c>
      <c r="AJ8" s="10">
        <f t="shared" ref="AJ8:AJ13" si="9">Z8*8</f>
        <v>0</v>
      </c>
      <c r="AK8" s="10">
        <f t="shared" si="7"/>
        <v>14</v>
      </c>
      <c r="AL8" s="131">
        <f t="shared" si="8"/>
        <v>10</v>
      </c>
      <c r="AM8" s="83">
        <f t="shared" ref="AM8:AM13" si="10">SUM(AD8:AL8)</f>
        <v>103</v>
      </c>
    </row>
    <row r="9" spans="1:39" x14ac:dyDescent="0.35">
      <c r="A9" s="160" t="s">
        <v>585</v>
      </c>
      <c r="B9" s="100"/>
      <c r="C9" s="334">
        <f>AM11</f>
        <v>947.3</v>
      </c>
      <c r="D9" s="337">
        <v>117</v>
      </c>
      <c r="E9" s="14">
        <f t="shared" si="0"/>
        <v>8.0965811965811962</v>
      </c>
      <c r="F9" s="12">
        <f>E9/E13</f>
        <v>0.61122044068780845</v>
      </c>
      <c r="G9" s="35">
        <f>F9*D13</f>
        <v>419867.22284542077</v>
      </c>
      <c r="H9" s="35">
        <v>365733.76853067882</v>
      </c>
      <c r="I9" s="63">
        <f>AVERAGE(G9,H9)</f>
        <v>392800.49568804982</v>
      </c>
      <c r="J9" s="63">
        <f>C9/(C6+C9)</f>
        <v>0.7771123872026251</v>
      </c>
      <c r="K9" s="63">
        <f>C9/(C6+C9)</f>
        <v>0.7771123872026251</v>
      </c>
      <c r="L9" s="127">
        <f>I9</f>
        <v>392800.49568804982</v>
      </c>
      <c r="M9" s="211">
        <v>587174.0192097812</v>
      </c>
      <c r="N9" s="285">
        <f>J9*D13</f>
        <v>533823.80256519723</v>
      </c>
      <c r="O9" s="16">
        <f>AVERAGE(L9,M9,N9)</f>
        <v>504599.43915434275</v>
      </c>
      <c r="P9" s="285">
        <f>O9-(K9*O12)</f>
        <v>503989.8832597314</v>
      </c>
      <c r="R9" s="160" t="s">
        <v>28</v>
      </c>
      <c r="S9" s="100"/>
      <c r="T9" s="78">
        <v>21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2</v>
      </c>
      <c r="AA9" s="10">
        <v>0</v>
      </c>
      <c r="AB9" s="81">
        <v>3.7</v>
      </c>
      <c r="AD9" s="76">
        <f t="shared" si="1"/>
        <v>252</v>
      </c>
      <c r="AE9" s="77">
        <f t="shared" si="2"/>
        <v>0</v>
      </c>
      <c r="AF9" s="77">
        <f t="shared" si="3"/>
        <v>0</v>
      </c>
      <c r="AG9" s="77">
        <f t="shared" si="4"/>
        <v>0</v>
      </c>
      <c r="AH9" s="78">
        <f t="shared" si="5"/>
        <v>0</v>
      </c>
      <c r="AI9" s="10">
        <f t="shared" si="6"/>
        <v>0</v>
      </c>
      <c r="AJ9" s="10">
        <f t="shared" si="9"/>
        <v>16</v>
      </c>
      <c r="AK9" s="10">
        <f t="shared" si="7"/>
        <v>0</v>
      </c>
      <c r="AL9" s="131">
        <f t="shared" si="8"/>
        <v>3.7</v>
      </c>
      <c r="AM9" s="83">
        <f t="shared" si="10"/>
        <v>271.7</v>
      </c>
    </row>
    <row r="10" spans="1:39" x14ac:dyDescent="0.35">
      <c r="A10" s="160" t="s">
        <v>227</v>
      </c>
      <c r="B10" s="100"/>
      <c r="C10" s="334">
        <f>AM12</f>
        <v>62</v>
      </c>
      <c r="D10" s="337">
        <v>26</v>
      </c>
      <c r="E10" s="12">
        <f t="shared" si="0"/>
        <v>2.3846153846153846</v>
      </c>
      <c r="F10" s="54"/>
      <c r="G10" s="18">
        <f>SUM(G4:G9)</f>
        <v>686932.56130790187</v>
      </c>
      <c r="I10" s="18">
        <f>SUM(I4:I9)</f>
        <v>526333.16491929034</v>
      </c>
      <c r="J10" s="18"/>
      <c r="K10" s="18"/>
      <c r="R10" s="160" t="s">
        <v>586</v>
      </c>
      <c r="S10" s="100"/>
      <c r="T10" s="78">
        <v>0</v>
      </c>
      <c r="U10" s="10">
        <v>1</v>
      </c>
      <c r="V10" s="10">
        <v>12</v>
      </c>
      <c r="W10" s="10">
        <v>0</v>
      </c>
      <c r="X10" s="10">
        <v>0</v>
      </c>
      <c r="Y10" s="10">
        <v>0</v>
      </c>
      <c r="Z10" s="10">
        <v>1</v>
      </c>
      <c r="AA10" s="10">
        <v>0</v>
      </c>
      <c r="AB10" s="81">
        <v>0</v>
      </c>
      <c r="AD10" s="76">
        <f t="shared" si="1"/>
        <v>0</v>
      </c>
      <c r="AE10" s="77">
        <f t="shared" si="2"/>
        <v>11</v>
      </c>
      <c r="AF10" s="77">
        <f t="shared" si="3"/>
        <v>120</v>
      </c>
      <c r="AG10" s="77">
        <f t="shared" si="4"/>
        <v>0</v>
      </c>
      <c r="AH10" s="78">
        <f t="shared" si="5"/>
        <v>0</v>
      </c>
      <c r="AI10" s="10">
        <f t="shared" si="6"/>
        <v>0</v>
      </c>
      <c r="AJ10" s="10">
        <f t="shared" si="9"/>
        <v>8</v>
      </c>
      <c r="AK10" s="10">
        <f t="shared" si="7"/>
        <v>0</v>
      </c>
      <c r="AL10" s="131">
        <f t="shared" si="8"/>
        <v>0</v>
      </c>
      <c r="AM10" s="83">
        <f t="shared" si="10"/>
        <v>139</v>
      </c>
    </row>
    <row r="11" spans="1:39" ht="15" thickBot="1" x14ac:dyDescent="0.4">
      <c r="A11" s="320" t="s">
        <v>611</v>
      </c>
      <c r="B11" s="323"/>
      <c r="C11" s="335">
        <f>AM7</f>
        <v>11</v>
      </c>
      <c r="D11" s="338"/>
      <c r="E11" s="12"/>
      <c r="F11" s="54"/>
      <c r="G11" s="18"/>
      <c r="M11" s="24">
        <v>849885.11499261158</v>
      </c>
      <c r="N11" s="24">
        <f>SUM(N4:N10)</f>
        <v>686932.56130790187</v>
      </c>
      <c r="O11" s="24">
        <f>SUM(O4:O10)</f>
        <v>687716.94707326789</v>
      </c>
      <c r="P11" s="24">
        <f>SUM(P4:P10)</f>
        <v>686932.56130790187</v>
      </c>
      <c r="R11" s="160" t="s">
        <v>138</v>
      </c>
      <c r="S11" s="100"/>
      <c r="T11" s="78">
        <v>31</v>
      </c>
      <c r="U11" s="10">
        <v>35</v>
      </c>
      <c r="V11" s="10">
        <v>13</v>
      </c>
      <c r="W11" s="10">
        <v>6</v>
      </c>
      <c r="X11" s="10">
        <v>5</v>
      </c>
      <c r="Y11" s="10">
        <v>3</v>
      </c>
      <c r="Z11" s="10">
        <v>3</v>
      </c>
      <c r="AA11" s="10">
        <v>0</v>
      </c>
      <c r="AB11" s="81">
        <v>5.3</v>
      </c>
      <c r="AD11" s="76">
        <f t="shared" si="1"/>
        <v>372</v>
      </c>
      <c r="AE11" s="77">
        <f t="shared" si="2"/>
        <v>385</v>
      </c>
      <c r="AF11" s="77">
        <f t="shared" si="3"/>
        <v>130</v>
      </c>
      <c r="AG11" s="77">
        <f t="shared" si="4"/>
        <v>18</v>
      </c>
      <c r="AH11" s="78">
        <f t="shared" si="5"/>
        <v>10</v>
      </c>
      <c r="AI11" s="10">
        <f t="shared" si="6"/>
        <v>3</v>
      </c>
      <c r="AJ11" s="10">
        <f t="shared" si="9"/>
        <v>24</v>
      </c>
      <c r="AK11" s="10">
        <f t="shared" si="7"/>
        <v>0</v>
      </c>
      <c r="AL11" s="131">
        <f t="shared" si="8"/>
        <v>5.3</v>
      </c>
      <c r="AM11" s="83">
        <f t="shared" si="10"/>
        <v>947.3</v>
      </c>
    </row>
    <row r="12" spans="1:39" x14ac:dyDescent="0.35">
      <c r="C12">
        <f>SUM(C4:C10)</f>
        <v>1557</v>
      </c>
      <c r="D12" s="144" t="s">
        <v>292</v>
      </c>
      <c r="F12" s="12"/>
      <c r="G12" s="18"/>
      <c r="O12" s="16">
        <f>O11-N11</f>
        <v>784.38576536602341</v>
      </c>
      <c r="R12" s="160" t="s">
        <v>140</v>
      </c>
      <c r="S12" s="100"/>
      <c r="T12" s="78">
        <v>0</v>
      </c>
      <c r="U12" s="10">
        <v>3</v>
      </c>
      <c r="V12" s="10">
        <v>1</v>
      </c>
      <c r="W12" s="10">
        <v>1</v>
      </c>
      <c r="X12" s="10">
        <v>0</v>
      </c>
      <c r="Y12" s="10">
        <v>0</v>
      </c>
      <c r="Z12" s="10">
        <v>0</v>
      </c>
      <c r="AA12" s="10">
        <v>2</v>
      </c>
      <c r="AB12" s="81">
        <v>2</v>
      </c>
      <c r="AD12" s="76">
        <f t="shared" si="1"/>
        <v>0</v>
      </c>
      <c r="AE12" s="77">
        <f t="shared" si="2"/>
        <v>33</v>
      </c>
      <c r="AF12" s="77">
        <f t="shared" si="3"/>
        <v>10</v>
      </c>
      <c r="AG12" s="77">
        <f t="shared" si="4"/>
        <v>3</v>
      </c>
      <c r="AH12" s="78">
        <f t="shared" si="5"/>
        <v>0</v>
      </c>
      <c r="AI12" s="10">
        <f t="shared" si="6"/>
        <v>0</v>
      </c>
      <c r="AJ12" s="10">
        <f t="shared" si="9"/>
        <v>0</v>
      </c>
      <c r="AK12" s="10">
        <f t="shared" si="7"/>
        <v>14</v>
      </c>
      <c r="AL12" s="131">
        <f t="shared" si="8"/>
        <v>2</v>
      </c>
      <c r="AM12" s="83">
        <f t="shared" si="10"/>
        <v>62</v>
      </c>
    </row>
    <row r="13" spans="1:39" ht="15" thickBot="1" x14ac:dyDescent="0.4">
      <c r="B13" s="144" t="s">
        <v>587</v>
      </c>
      <c r="C13">
        <f>C12/C14</f>
        <v>0.5892370572207084</v>
      </c>
      <c r="D13" s="130">
        <f>C13*C1</f>
        <v>686932.56130790187</v>
      </c>
      <c r="E13" s="12">
        <f>E5+E9</f>
        <v>13.246581196581197</v>
      </c>
      <c r="F13" s="54"/>
      <c r="G13" s="18"/>
      <c r="R13" s="284" t="s">
        <v>589</v>
      </c>
      <c r="S13" s="57"/>
      <c r="T13" s="133">
        <v>0</v>
      </c>
      <c r="U13" s="134">
        <v>0</v>
      </c>
      <c r="V13" s="134">
        <v>0</v>
      </c>
      <c r="W13" s="134">
        <v>1</v>
      </c>
      <c r="X13" s="134">
        <v>1</v>
      </c>
      <c r="Y13" s="134">
        <v>0</v>
      </c>
      <c r="Z13" s="134">
        <v>1</v>
      </c>
      <c r="AA13" s="134">
        <v>0</v>
      </c>
      <c r="AB13" s="136">
        <v>20</v>
      </c>
      <c r="AD13" s="133">
        <f t="shared" ref="AD13" si="11">T13*12</f>
        <v>0</v>
      </c>
      <c r="AE13" s="134">
        <f t="shared" ref="AE13" si="12">U13*11</f>
        <v>0</v>
      </c>
      <c r="AF13" s="134">
        <f t="shared" ref="AF13" si="13">V13*10</f>
        <v>0</v>
      </c>
      <c r="AG13" s="134">
        <f t="shared" ref="AG13" si="14">W13*3</f>
        <v>3</v>
      </c>
      <c r="AH13" s="79">
        <f t="shared" ref="AH13" si="15">X13*2</f>
        <v>2</v>
      </c>
      <c r="AI13" s="80">
        <f t="shared" ref="AI13" si="16">Y13*1</f>
        <v>0</v>
      </c>
      <c r="AJ13" s="80">
        <f t="shared" si="9"/>
        <v>8</v>
      </c>
      <c r="AK13" s="80">
        <f t="shared" ref="AK13" si="17">AA13*7</f>
        <v>0</v>
      </c>
      <c r="AL13" s="57">
        <f t="shared" ref="AL13" si="18">AB13*1</f>
        <v>20</v>
      </c>
      <c r="AM13" s="135">
        <f t="shared" si="10"/>
        <v>33</v>
      </c>
    </row>
    <row r="14" spans="1:39" x14ac:dyDescent="0.35">
      <c r="B14" s="144" t="s">
        <v>588</v>
      </c>
      <c r="C14">
        <f>C12+C26</f>
        <v>2642.4</v>
      </c>
      <c r="F14" s="54"/>
      <c r="G14" s="18"/>
      <c r="H14" s="30"/>
      <c r="R14" s="1"/>
      <c r="AM14" s="16">
        <f>SUM(AM6:AM13)</f>
        <v>1568</v>
      </c>
    </row>
    <row r="15" spans="1:39" x14ac:dyDescent="0.35">
      <c r="C15" s="110"/>
      <c r="D15" s="1"/>
      <c r="F15" s="54"/>
      <c r="G15" s="18"/>
      <c r="R15" s="1"/>
    </row>
    <row r="16" spans="1:39" ht="15" thickBot="1" x14ac:dyDescent="0.4">
      <c r="G16" s="18"/>
    </row>
    <row r="17" spans="1:39" ht="15" thickBot="1" x14ac:dyDescent="0.4">
      <c r="A17" s="86" t="s">
        <v>590</v>
      </c>
      <c r="B17" s="111"/>
      <c r="C17" s="88" t="s">
        <v>563</v>
      </c>
      <c r="D17" s="88" t="s">
        <v>300</v>
      </c>
      <c r="E17" s="87" t="s">
        <v>564</v>
      </c>
      <c r="F17" s="87" t="s">
        <v>565</v>
      </c>
      <c r="G17" s="137"/>
      <c r="H17" s="87"/>
      <c r="I17" s="87"/>
      <c r="J17" s="87"/>
      <c r="K17" s="87"/>
      <c r="L17" s="209" t="s">
        <v>311</v>
      </c>
      <c r="M17" s="341" t="s">
        <v>352</v>
      </c>
      <c r="N17" s="87" t="s">
        <v>353</v>
      </c>
      <c r="O17" s="87" t="s">
        <v>354</v>
      </c>
      <c r="P17" s="87" t="s">
        <v>355</v>
      </c>
      <c r="S17" s="87" t="s">
        <v>590</v>
      </c>
      <c r="T17" s="1">
        <v>2024</v>
      </c>
      <c r="U17" s="1"/>
      <c r="V17" s="1"/>
      <c r="W17" s="1"/>
      <c r="X17" s="1"/>
      <c r="Y17" s="1"/>
      <c r="Z17" s="1"/>
      <c r="AA17" s="1"/>
      <c r="AB17" s="1"/>
    </row>
    <row r="18" spans="1:39" ht="15" thickBot="1" x14ac:dyDescent="0.4">
      <c r="A18" s="160" t="s">
        <v>591</v>
      </c>
      <c r="B18" s="81"/>
      <c r="C18" s="84">
        <f>AM25</f>
        <v>13.200000000000001</v>
      </c>
      <c r="D18" s="89">
        <v>21</v>
      </c>
      <c r="E18" s="12">
        <v>0</v>
      </c>
      <c r="F18" s="54"/>
      <c r="G18" s="18"/>
      <c r="I18" s="112"/>
      <c r="J18" s="112"/>
      <c r="K18" s="112"/>
      <c r="R18" t="s">
        <v>570</v>
      </c>
      <c r="AD18" t="s">
        <v>571</v>
      </c>
      <c r="AM18" t="s">
        <v>592</v>
      </c>
    </row>
    <row r="19" spans="1:39" ht="15" thickBot="1" x14ac:dyDescent="0.4">
      <c r="A19" s="319" t="s">
        <v>613</v>
      </c>
      <c r="B19" s="81"/>
      <c r="C19" s="84">
        <f>AM20</f>
        <v>58.3</v>
      </c>
      <c r="D19" s="89"/>
      <c r="E19" s="54"/>
      <c r="F19" s="54"/>
      <c r="G19" s="18"/>
      <c r="H19" s="1"/>
      <c r="I19" s="87"/>
      <c r="J19" s="87"/>
      <c r="K19" s="87"/>
      <c r="L19" s="87"/>
      <c r="M19" s="87"/>
      <c r="R19" s="328" t="s">
        <v>0</v>
      </c>
      <c r="S19" s="92"/>
      <c r="T19" s="93" t="s">
        <v>574</v>
      </c>
      <c r="U19" s="93" t="s">
        <v>575</v>
      </c>
      <c r="V19" s="93" t="s">
        <v>576</v>
      </c>
      <c r="W19" s="93" t="s">
        <v>577</v>
      </c>
      <c r="X19" s="93" t="s">
        <v>578</v>
      </c>
      <c r="Y19" s="93" t="s">
        <v>579</v>
      </c>
      <c r="Z19" s="93" t="s">
        <v>580</v>
      </c>
      <c r="AA19" s="93" t="s">
        <v>581</v>
      </c>
      <c r="AB19" s="94" t="s">
        <v>582</v>
      </c>
      <c r="AC19" s="111"/>
      <c r="AD19" s="95" t="s">
        <v>574</v>
      </c>
      <c r="AE19" s="93" t="s">
        <v>575</v>
      </c>
      <c r="AF19" s="93" t="s">
        <v>576</v>
      </c>
      <c r="AG19" s="93" t="s">
        <v>577</v>
      </c>
      <c r="AH19" s="93" t="s">
        <v>578</v>
      </c>
      <c r="AI19" s="93" t="s">
        <v>579</v>
      </c>
      <c r="AJ19" s="93" t="s">
        <v>580</v>
      </c>
      <c r="AK19" s="93" t="s">
        <v>581</v>
      </c>
      <c r="AL19" s="94" t="s">
        <v>582</v>
      </c>
      <c r="AM19" s="325" t="s">
        <v>260</v>
      </c>
    </row>
    <row r="20" spans="1:39" x14ac:dyDescent="0.35">
      <c r="A20" s="160" t="s">
        <v>593</v>
      </c>
      <c r="B20" s="81"/>
      <c r="C20" s="84">
        <f>AM21</f>
        <v>679.40000000000009</v>
      </c>
      <c r="D20" s="89">
        <v>110</v>
      </c>
      <c r="E20" s="14">
        <f>C20/D20</f>
        <v>6.1763636363636376</v>
      </c>
      <c r="F20" s="12">
        <f>E20/E27</f>
        <v>0.67008580727882439</v>
      </c>
      <c r="G20" s="35">
        <f>F20*D27</f>
        <v>320882.27423553751</v>
      </c>
      <c r="H20" s="138">
        <v>395309.57158135611</v>
      </c>
      <c r="I20" s="18">
        <f>AVERAGE(G20,H20)</f>
        <v>358095.92290844681</v>
      </c>
      <c r="J20" s="18">
        <f>E20/E27</f>
        <v>0.67008580727882439</v>
      </c>
      <c r="K20" s="18"/>
      <c r="L20" s="340">
        <v>444506.71233382833</v>
      </c>
      <c r="M20" s="340">
        <v>185812</v>
      </c>
      <c r="N20" s="285">
        <f>J20*D27</f>
        <v>320882.27423553751</v>
      </c>
      <c r="O20" s="16">
        <f>AVERAGE(L20,M20,N20)</f>
        <v>317066.99552312196</v>
      </c>
      <c r="P20" s="285">
        <f>O20-(J20*O23)</f>
        <v>245221.25102175184</v>
      </c>
      <c r="R20" s="317" t="s">
        <v>5</v>
      </c>
      <c r="S20" s="98"/>
      <c r="T20" s="98">
        <v>2.4</v>
      </c>
      <c r="U20" s="98">
        <v>0</v>
      </c>
      <c r="V20" s="98">
        <v>2</v>
      </c>
      <c r="W20" s="98">
        <v>1.5</v>
      </c>
      <c r="X20" s="98">
        <v>0.5</v>
      </c>
      <c r="Y20" s="98">
        <v>0.5</v>
      </c>
      <c r="Z20" s="98">
        <v>0</v>
      </c>
      <c r="AA20" s="98">
        <v>0</v>
      </c>
      <c r="AB20" s="318">
        <v>3.5</v>
      </c>
      <c r="AD20" s="97">
        <f>T20*12</f>
        <v>28.799999999999997</v>
      </c>
      <c r="AE20" s="98">
        <f>U20*11</f>
        <v>0</v>
      </c>
      <c r="AF20" s="98">
        <f>V20*10</f>
        <v>20</v>
      </c>
      <c r="AG20" s="98">
        <f>W20*3</f>
        <v>4.5</v>
      </c>
      <c r="AH20" s="97">
        <f>X20*2</f>
        <v>1</v>
      </c>
      <c r="AI20" s="98">
        <f>Y20*1</f>
        <v>0.5</v>
      </c>
      <c r="AJ20" s="98">
        <f>Z20*8</f>
        <v>0</v>
      </c>
      <c r="AK20" s="98">
        <f>AA20*7</f>
        <v>0</v>
      </c>
      <c r="AL20" s="321">
        <f>AB20*1</f>
        <v>3.5</v>
      </c>
      <c r="AM20" s="327">
        <f>SUM(AD20:AL20)</f>
        <v>58.3</v>
      </c>
    </row>
    <row r="21" spans="1:39" x14ac:dyDescent="0.35">
      <c r="A21" s="160" t="s">
        <v>227</v>
      </c>
      <c r="B21" s="81"/>
      <c r="C21" s="84">
        <f>AM22</f>
        <v>267.60000000000002</v>
      </c>
      <c r="D21" s="223">
        <v>88</v>
      </c>
      <c r="E21" s="14">
        <f>C21/D21</f>
        <v>3.040909090909091</v>
      </c>
      <c r="F21" s="12">
        <f>E21/E27</f>
        <v>0.32991419272117561</v>
      </c>
      <c r="G21" s="35">
        <f>F21*D27</f>
        <v>157985.16445656063</v>
      </c>
      <c r="H21" s="139">
        <v>358445.43788796506</v>
      </c>
      <c r="I21" s="18">
        <f>AVERAGE(G21,H21)</f>
        <v>258215.30117226284</v>
      </c>
      <c r="J21" s="18">
        <f>E21/E27</f>
        <v>0.32991419272117561</v>
      </c>
      <c r="K21" s="18"/>
      <c r="L21" s="340">
        <v>385376.33380193886</v>
      </c>
      <c r="M21" s="340">
        <v>263696</v>
      </c>
      <c r="N21" s="285">
        <f>J21*D27</f>
        <v>157985.16445656063</v>
      </c>
      <c r="O21" s="16">
        <f>AVERAGE(L21,M21,N21)</f>
        <v>269019.16608616652</v>
      </c>
      <c r="P21" s="285">
        <f>O21-(J21*O23)</f>
        <v>233646.18767034623</v>
      </c>
      <c r="R21" s="160" t="s">
        <v>136</v>
      </c>
      <c r="S21" s="10"/>
      <c r="T21" s="10">
        <v>27.6</v>
      </c>
      <c r="U21" s="10">
        <v>7</v>
      </c>
      <c r="V21" s="10">
        <v>4</v>
      </c>
      <c r="W21" s="10">
        <v>12.4</v>
      </c>
      <c r="X21" s="10">
        <v>11.5</v>
      </c>
      <c r="Y21" s="10">
        <v>11.5</v>
      </c>
      <c r="Z21" s="10">
        <v>11.7</v>
      </c>
      <c r="AA21" s="10">
        <v>7.3</v>
      </c>
      <c r="AB21" s="81">
        <v>14.8</v>
      </c>
      <c r="AD21" s="76">
        <f>T21*12</f>
        <v>331.20000000000005</v>
      </c>
      <c r="AE21" s="77">
        <f>U21*11</f>
        <v>77</v>
      </c>
      <c r="AF21" s="77">
        <f>V21*10</f>
        <v>40</v>
      </c>
      <c r="AG21" s="77">
        <f>W21*3</f>
        <v>37.200000000000003</v>
      </c>
      <c r="AH21" s="78">
        <f>X21*2</f>
        <v>23</v>
      </c>
      <c r="AI21" s="10">
        <f>Y21*1</f>
        <v>11.5</v>
      </c>
      <c r="AJ21" s="10">
        <f>Z21*8</f>
        <v>93.6</v>
      </c>
      <c r="AK21" s="10">
        <f>AA21*7</f>
        <v>51.1</v>
      </c>
      <c r="AL21" s="322">
        <f>AB21*1</f>
        <v>14.8</v>
      </c>
      <c r="AM21" s="132">
        <f>SUM(AD21:AL21)</f>
        <v>679.40000000000009</v>
      </c>
    </row>
    <row r="22" spans="1:39" ht="15" thickBot="1" x14ac:dyDescent="0.4">
      <c r="A22" s="339" t="s">
        <v>614</v>
      </c>
      <c r="B22" s="316"/>
      <c r="C22" s="326">
        <f>AM24</f>
        <v>8</v>
      </c>
      <c r="D22" s="223"/>
      <c r="E22" s="14"/>
      <c r="F22" s="12"/>
      <c r="G22" s="35"/>
      <c r="H22" s="139"/>
      <c r="I22" s="18"/>
      <c r="J22" s="18"/>
      <c r="K22" s="18"/>
      <c r="L22" s="212"/>
      <c r="M22" s="212"/>
      <c r="N22" s="24">
        <f>SUM(N20:N21)</f>
        <v>478867.43869209813</v>
      </c>
      <c r="O22" s="24">
        <f>SUM(O20:O21)</f>
        <v>586086.16160928854</v>
      </c>
      <c r="P22" s="24">
        <f>SUM(P20:P21)</f>
        <v>478867.43869209808</v>
      </c>
      <c r="R22" s="314" t="s">
        <v>140</v>
      </c>
      <c r="S22" s="315"/>
      <c r="T22" s="315">
        <v>9.4</v>
      </c>
      <c r="U22" s="315">
        <v>3</v>
      </c>
      <c r="V22" s="315">
        <v>3</v>
      </c>
      <c r="W22" s="315">
        <v>10.7</v>
      </c>
      <c r="X22" s="315">
        <v>1</v>
      </c>
      <c r="Y22" s="315">
        <v>0</v>
      </c>
      <c r="Z22" s="315">
        <v>3.3</v>
      </c>
      <c r="AA22" s="315">
        <v>2.7</v>
      </c>
      <c r="AB22" s="316">
        <v>12.4</v>
      </c>
      <c r="AC22" s="57"/>
      <c r="AD22" s="78">
        <f>T22*12</f>
        <v>112.80000000000001</v>
      </c>
      <c r="AE22" s="10">
        <f>U22*11</f>
        <v>33</v>
      </c>
      <c r="AF22" s="10">
        <f>V22*10</f>
        <v>30</v>
      </c>
      <c r="AG22" s="10">
        <f>W22*3</f>
        <v>32.099999999999994</v>
      </c>
      <c r="AH22" s="10">
        <f>X22*2</f>
        <v>2</v>
      </c>
      <c r="AI22" s="10">
        <f>Y22*1</f>
        <v>0</v>
      </c>
      <c r="AJ22" s="10">
        <f>Z22*8</f>
        <v>26.4</v>
      </c>
      <c r="AK22" s="10">
        <f>AA22*7</f>
        <v>18.900000000000002</v>
      </c>
      <c r="AL22" s="81">
        <f>AB22*1</f>
        <v>12.4</v>
      </c>
      <c r="AM22" s="324">
        <f>SUM(AD22:AL22)</f>
        <v>267.60000000000002</v>
      </c>
    </row>
    <row r="23" spans="1:39" x14ac:dyDescent="0.35">
      <c r="A23" s="339" t="s">
        <v>611</v>
      </c>
      <c r="B23" s="316"/>
      <c r="C23" s="326">
        <f>AM23</f>
        <v>10.399999999999999</v>
      </c>
      <c r="D23" s="223"/>
      <c r="E23" s="14"/>
      <c r="F23" s="12"/>
      <c r="G23" s="35"/>
      <c r="H23" s="139"/>
      <c r="I23" s="18"/>
      <c r="J23" s="18"/>
      <c r="K23" s="18"/>
      <c r="L23" s="212"/>
      <c r="M23" s="212"/>
      <c r="N23" s="16"/>
      <c r="O23" s="16">
        <f>O22-N22</f>
        <v>107218.7229171904</v>
      </c>
      <c r="P23" s="16"/>
      <c r="R23" s="319" t="s">
        <v>23</v>
      </c>
      <c r="S23" s="10"/>
      <c r="T23" s="10">
        <v>0.7</v>
      </c>
      <c r="U23" s="10">
        <v>0</v>
      </c>
      <c r="V23" s="10">
        <v>0</v>
      </c>
      <c r="W23" s="10">
        <v>0</v>
      </c>
      <c r="X23" s="10">
        <v>1</v>
      </c>
      <c r="Y23" s="10">
        <v>0</v>
      </c>
      <c r="Z23" s="10">
        <v>0</v>
      </c>
      <c r="AA23" s="10">
        <v>0</v>
      </c>
      <c r="AB23" s="81">
        <v>0</v>
      </c>
      <c r="AD23" s="78">
        <f t="shared" ref="AD23:AD27" si="19">T23*12</f>
        <v>8.3999999999999986</v>
      </c>
      <c r="AE23" s="10">
        <f t="shared" ref="AE23:AE27" si="20">U23*11</f>
        <v>0</v>
      </c>
      <c r="AF23" s="10">
        <f t="shared" ref="AF23:AF27" si="21">V23*10</f>
        <v>0</v>
      </c>
      <c r="AG23" s="10">
        <f t="shared" ref="AG23:AG27" si="22">W23*3</f>
        <v>0</v>
      </c>
      <c r="AH23" s="10">
        <f t="shared" ref="AH23:AH27" si="23">X23*2</f>
        <v>2</v>
      </c>
      <c r="AI23" s="10">
        <f t="shared" ref="AI23:AI27" si="24">Y23*1</f>
        <v>0</v>
      </c>
      <c r="AJ23" s="10">
        <f t="shared" ref="AJ23:AJ27" si="25">Z23*8</f>
        <v>0</v>
      </c>
      <c r="AK23" s="10">
        <f t="shared" ref="AK23:AK27" si="26">AA23*7</f>
        <v>0</v>
      </c>
      <c r="AL23" s="81">
        <f t="shared" ref="AL23:AL27" si="27">AB23*1</f>
        <v>0</v>
      </c>
      <c r="AM23" s="324">
        <f t="shared" ref="AM23:AM27" si="28">SUM(AD23:AL23)</f>
        <v>10.399999999999999</v>
      </c>
    </row>
    <row r="24" spans="1:39" x14ac:dyDescent="0.35">
      <c r="A24" s="160" t="s">
        <v>585</v>
      </c>
      <c r="B24" s="316"/>
      <c r="C24" s="326">
        <f>AM27</f>
        <v>23</v>
      </c>
      <c r="D24" s="223"/>
      <c r="E24" s="14"/>
      <c r="F24" s="12"/>
      <c r="G24" s="35"/>
      <c r="H24" s="139"/>
      <c r="I24" s="18"/>
      <c r="J24" s="18"/>
      <c r="K24" s="18"/>
      <c r="L24" s="212"/>
      <c r="M24" s="212"/>
      <c r="N24" s="16"/>
      <c r="O24" s="16"/>
      <c r="P24" s="16"/>
      <c r="R24" s="319" t="s">
        <v>48</v>
      </c>
      <c r="S24" s="10"/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1</v>
      </c>
      <c r="AA24" s="10">
        <v>0</v>
      </c>
      <c r="AB24" s="81">
        <v>0</v>
      </c>
      <c r="AD24" s="78">
        <f t="shared" si="19"/>
        <v>0</v>
      </c>
      <c r="AE24" s="10">
        <f t="shared" si="20"/>
        <v>0</v>
      </c>
      <c r="AF24" s="10">
        <f t="shared" si="21"/>
        <v>0</v>
      </c>
      <c r="AG24" s="10">
        <f t="shared" si="22"/>
        <v>0</v>
      </c>
      <c r="AH24" s="10">
        <f t="shared" si="23"/>
        <v>0</v>
      </c>
      <c r="AI24" s="10">
        <f t="shared" si="24"/>
        <v>0</v>
      </c>
      <c r="AJ24" s="10">
        <f t="shared" si="25"/>
        <v>8</v>
      </c>
      <c r="AK24" s="10">
        <f t="shared" si="26"/>
        <v>0</v>
      </c>
      <c r="AL24" s="81">
        <f t="shared" si="27"/>
        <v>0</v>
      </c>
      <c r="AM24" s="324">
        <f t="shared" si="28"/>
        <v>8</v>
      </c>
    </row>
    <row r="25" spans="1:39" ht="15" thickBot="1" x14ac:dyDescent="0.4">
      <c r="A25" s="320" t="s">
        <v>573</v>
      </c>
      <c r="B25" s="82"/>
      <c r="C25" s="85">
        <f>AM26</f>
        <v>25.5</v>
      </c>
      <c r="D25" s="90"/>
      <c r="E25" s="54"/>
      <c r="F25" s="54"/>
      <c r="G25" s="18">
        <f>SUM(G18:G21)</f>
        <v>478867.43869209813</v>
      </c>
      <c r="I25" s="18">
        <f>SUM(I18:I21)</f>
        <v>616311.22408070962</v>
      </c>
      <c r="J25" s="18"/>
      <c r="K25" s="18"/>
      <c r="L25" s="18"/>
      <c r="M25" s="18"/>
      <c r="N25" s="16"/>
      <c r="O25" s="16"/>
      <c r="R25" s="319" t="s">
        <v>31</v>
      </c>
      <c r="S25" s="10"/>
      <c r="T25" s="10">
        <v>0</v>
      </c>
      <c r="U25" s="10">
        <v>0</v>
      </c>
      <c r="V25" s="10">
        <v>1</v>
      </c>
      <c r="W25" s="10">
        <v>0.3</v>
      </c>
      <c r="X25" s="10">
        <v>0</v>
      </c>
      <c r="Y25" s="10">
        <v>1</v>
      </c>
      <c r="Z25" s="10">
        <v>0</v>
      </c>
      <c r="AA25" s="10">
        <v>0</v>
      </c>
      <c r="AB25" s="81">
        <v>1.3</v>
      </c>
      <c r="AD25" s="78">
        <f t="shared" si="19"/>
        <v>0</v>
      </c>
      <c r="AE25" s="10">
        <f t="shared" si="20"/>
        <v>0</v>
      </c>
      <c r="AF25" s="10">
        <f t="shared" si="21"/>
        <v>10</v>
      </c>
      <c r="AG25" s="10">
        <f t="shared" si="22"/>
        <v>0.89999999999999991</v>
      </c>
      <c r="AH25" s="10">
        <f t="shared" si="23"/>
        <v>0</v>
      </c>
      <c r="AI25" s="10">
        <f t="shared" si="24"/>
        <v>1</v>
      </c>
      <c r="AJ25" s="10">
        <f t="shared" si="25"/>
        <v>0</v>
      </c>
      <c r="AK25" s="10">
        <f t="shared" si="26"/>
        <v>0</v>
      </c>
      <c r="AL25" s="81">
        <f t="shared" si="27"/>
        <v>1.3</v>
      </c>
      <c r="AM25" s="324">
        <f t="shared" si="28"/>
        <v>13.200000000000001</v>
      </c>
    </row>
    <row r="26" spans="1:39" x14ac:dyDescent="0.35">
      <c r="C26">
        <f>SUM(C18:C25)</f>
        <v>1085.4000000000001</v>
      </c>
      <c r="F26" s="54"/>
      <c r="H26" s="12"/>
      <c r="I26" s="12"/>
      <c r="J26" s="12"/>
      <c r="K26" s="12"/>
      <c r="L26" s="18"/>
      <c r="M26" s="18"/>
      <c r="O26" s="16"/>
      <c r="R26" s="319" t="s">
        <v>11</v>
      </c>
      <c r="S26" s="10"/>
      <c r="T26" s="10">
        <v>2</v>
      </c>
      <c r="U26" s="10">
        <v>0</v>
      </c>
      <c r="V26" s="10">
        <v>0</v>
      </c>
      <c r="W26" s="10">
        <v>0.5</v>
      </c>
      <c r="X26" s="10">
        <v>0</v>
      </c>
      <c r="Y26" s="10">
        <v>0</v>
      </c>
      <c r="Z26" s="10">
        <v>0</v>
      </c>
      <c r="AA26" s="10">
        <v>0</v>
      </c>
      <c r="AB26" s="81">
        <v>0</v>
      </c>
      <c r="AD26" s="78">
        <f t="shared" si="19"/>
        <v>24</v>
      </c>
      <c r="AE26" s="10">
        <f t="shared" si="20"/>
        <v>0</v>
      </c>
      <c r="AF26" s="10">
        <f t="shared" si="21"/>
        <v>0</v>
      </c>
      <c r="AG26" s="10">
        <f t="shared" si="22"/>
        <v>1.5</v>
      </c>
      <c r="AH26" s="10">
        <f t="shared" si="23"/>
        <v>0</v>
      </c>
      <c r="AI26" s="10">
        <f t="shared" si="24"/>
        <v>0</v>
      </c>
      <c r="AJ26" s="10">
        <f t="shared" si="25"/>
        <v>0</v>
      </c>
      <c r="AK26" s="10">
        <f t="shared" si="26"/>
        <v>0</v>
      </c>
      <c r="AL26" s="81">
        <f t="shared" si="27"/>
        <v>0</v>
      </c>
      <c r="AM26" s="324">
        <f t="shared" si="28"/>
        <v>25.5</v>
      </c>
    </row>
    <row r="27" spans="1:39" ht="15" thickBot="1" x14ac:dyDescent="0.4">
      <c r="A27" s="144"/>
      <c r="B27" s="144" t="s">
        <v>594</v>
      </c>
      <c r="C27" s="113">
        <f>C26/C14</f>
        <v>0.4107629427792916</v>
      </c>
      <c r="D27" s="130">
        <f>C27*C1</f>
        <v>478867.43869209813</v>
      </c>
      <c r="E27" s="12">
        <f>SUM(E20:E21)</f>
        <v>9.2172727272727286</v>
      </c>
      <c r="F27" s="54"/>
      <c r="G27" s="12"/>
      <c r="H27" s="12"/>
      <c r="I27" s="12"/>
      <c r="J27" s="12"/>
      <c r="K27" s="12"/>
      <c r="L27" s="18"/>
      <c r="M27" s="18"/>
      <c r="R27" s="320" t="s">
        <v>138</v>
      </c>
      <c r="S27" s="80"/>
      <c r="T27" s="80">
        <v>1</v>
      </c>
      <c r="U27" s="80">
        <v>1</v>
      </c>
      <c r="V27" s="80">
        <v>0</v>
      </c>
      <c r="W27" s="80">
        <v>0</v>
      </c>
      <c r="X27" s="80">
        <v>0</v>
      </c>
      <c r="Y27" s="80">
        <v>0</v>
      </c>
      <c r="Z27" s="80">
        <v>0</v>
      </c>
      <c r="AA27" s="80">
        <v>0</v>
      </c>
      <c r="AB27" s="82">
        <v>0</v>
      </c>
      <c r="AD27" s="79">
        <f t="shared" si="19"/>
        <v>12</v>
      </c>
      <c r="AE27" s="80">
        <f t="shared" si="20"/>
        <v>11</v>
      </c>
      <c r="AF27" s="80">
        <f t="shared" si="21"/>
        <v>0</v>
      </c>
      <c r="AG27" s="80">
        <f t="shared" si="22"/>
        <v>0</v>
      </c>
      <c r="AH27" s="80">
        <f t="shared" si="23"/>
        <v>0</v>
      </c>
      <c r="AI27" s="80">
        <f t="shared" si="24"/>
        <v>0</v>
      </c>
      <c r="AJ27" s="80">
        <f t="shared" si="25"/>
        <v>0</v>
      </c>
      <c r="AK27" s="80">
        <f t="shared" si="26"/>
        <v>0</v>
      </c>
      <c r="AL27" s="82">
        <f t="shared" si="27"/>
        <v>0</v>
      </c>
      <c r="AM27" s="324">
        <f t="shared" si="28"/>
        <v>23</v>
      </c>
    </row>
    <row r="28" spans="1:39" x14ac:dyDescent="0.35">
      <c r="A28" s="144"/>
      <c r="B28" s="144"/>
      <c r="C28" s="110"/>
      <c r="D28" s="1"/>
      <c r="F28" s="54"/>
      <c r="H28" s="12"/>
      <c r="I28" s="12"/>
      <c r="J28" s="12"/>
      <c r="K28" s="12"/>
      <c r="L28" s="18"/>
      <c r="M28" s="18"/>
      <c r="AM28" s="16">
        <f>SUM(AM20:AM27)</f>
        <v>1085.4000000000001</v>
      </c>
    </row>
    <row r="29" spans="1:39" x14ac:dyDescent="0.35">
      <c r="A29" s="144"/>
      <c r="C29" s="110"/>
      <c r="D29" s="1"/>
      <c r="H29" s="12"/>
      <c r="I29" s="18">
        <f>SUM(I25,I10)</f>
        <v>1142644.389</v>
      </c>
      <c r="J29" s="18"/>
      <c r="K29" s="18"/>
      <c r="L29" s="18"/>
      <c r="M29" s="18"/>
    </row>
    <row r="30" spans="1:39" x14ac:dyDescent="0.35">
      <c r="F30" s="54"/>
      <c r="H30" s="12"/>
      <c r="I30" s="12">
        <f>H2-I29</f>
        <v>-8008.7489999998361</v>
      </c>
      <c r="J30" s="12"/>
      <c r="K30" s="12"/>
      <c r="L30" s="18"/>
      <c r="M30" s="18"/>
    </row>
    <row r="31" spans="1:39" x14ac:dyDescent="0.35">
      <c r="A31" s="144"/>
      <c r="C31" s="110"/>
      <c r="D31" s="1"/>
      <c r="F31" s="54"/>
      <c r="H31" s="149" t="s">
        <v>136</v>
      </c>
      <c r="I31" s="12">
        <f>I30*F20</f>
        <v>-5366.5490389583674</v>
      </c>
      <c r="J31" s="12"/>
      <c r="K31" s="12"/>
      <c r="L31" s="18"/>
      <c r="M31" s="18"/>
    </row>
    <row r="32" spans="1:39" x14ac:dyDescent="0.35">
      <c r="F32" s="54"/>
      <c r="H32" s="144" t="s">
        <v>140</v>
      </c>
      <c r="I32" s="12">
        <f>I30*F21</f>
        <v>-2642.1999610414682</v>
      </c>
      <c r="J32" s="12"/>
      <c r="K32" s="12"/>
      <c r="L32" s="18"/>
      <c r="M32" s="18"/>
    </row>
    <row r="33" spans="1:13" x14ac:dyDescent="0.35">
      <c r="A33" s="144"/>
      <c r="C33" s="110"/>
      <c r="D33" s="1"/>
      <c r="I33" s="12"/>
      <c r="J33" s="12"/>
      <c r="K33" s="12"/>
      <c r="L33" s="30"/>
      <c r="M33" s="30"/>
    </row>
  </sheetData>
  <pageMargins left="0.75" right="0.75" top="1" bottom="1" header="0.5" footer="0.5"/>
  <pageSetup paperSize="9" orientation="portrait" r:id="rId1"/>
  <ignoredErrors>
    <ignoredError sqref="C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156"/>
  <sheetViews>
    <sheetView topLeftCell="C1" workbookViewId="0">
      <pane ySplit="1" topLeftCell="A107" activePane="bottomLeft" state="frozen"/>
      <selection pane="bottomLeft" activeCell="K125" sqref="K125"/>
    </sheetView>
  </sheetViews>
  <sheetFormatPr defaultColWidth="8.54296875" defaultRowHeight="14.5" x14ac:dyDescent="0.35"/>
  <cols>
    <col min="1" max="1" width="9.81640625" bestFit="1" customWidth="1"/>
    <col min="2" max="2" width="49.453125" bestFit="1" customWidth="1"/>
    <col min="3" max="3" width="58.453125" style="1" bestFit="1" customWidth="1"/>
    <col min="4" max="4" width="15.54296875" customWidth="1"/>
    <col min="5" max="5" width="5.54296875" bestFit="1" customWidth="1"/>
    <col min="6" max="6" width="16.1796875" customWidth="1"/>
    <col min="7" max="7" width="5.54296875" bestFit="1" customWidth="1"/>
    <col min="8" max="8" width="24.54296875" customWidth="1"/>
    <col min="9" max="9" width="5.54296875" bestFit="1" customWidth="1"/>
    <col min="10" max="10" width="13.81640625" customWidth="1"/>
    <col min="11" max="11" width="5.54296875" bestFit="1" customWidth="1"/>
    <col min="12" max="12" width="53.1796875" bestFit="1" customWidth="1"/>
    <col min="13" max="13" width="5.54296875" bestFit="1" customWidth="1"/>
    <col min="14" max="14" width="28.54296875" bestFit="1" customWidth="1"/>
    <col min="15" max="15" width="5.54296875" bestFit="1" customWidth="1"/>
    <col min="16" max="16" width="25.81640625" bestFit="1" customWidth="1"/>
    <col min="17" max="17" width="5.54296875" bestFit="1" customWidth="1"/>
    <col min="18" max="18" width="21.453125" bestFit="1" customWidth="1"/>
    <col min="19" max="19" width="5.54296875" bestFit="1" customWidth="1"/>
    <col min="20" max="20" width="10.26953125" bestFit="1" customWidth="1"/>
    <col min="21" max="21" width="5.54296875" bestFit="1" customWidth="1"/>
    <col min="22" max="22" width="19.453125" bestFit="1" customWidth="1"/>
    <col min="23" max="23" width="5.54296875" bestFit="1" customWidth="1"/>
    <col min="24" max="24" width="26.453125" bestFit="1" customWidth="1"/>
    <col min="25" max="25" width="5.54296875" bestFit="1" customWidth="1"/>
    <col min="26" max="26" width="26.7265625" bestFit="1" customWidth="1"/>
    <col min="27" max="27" width="5.54296875" bestFit="1" customWidth="1"/>
    <col min="28" max="28" width="40.453125" bestFit="1" customWidth="1"/>
    <col min="29" max="29" width="5.54296875" bestFit="1" customWidth="1"/>
    <col min="30" max="30" width="17.1796875" bestFit="1" customWidth="1"/>
    <col min="31" max="31" width="5.54296875" bestFit="1" customWidth="1"/>
    <col min="34" max="34" width="30.54296875" bestFit="1" customWidth="1"/>
    <col min="35" max="35" width="5.54296875" bestFit="1" customWidth="1"/>
    <col min="36" max="36" width="44.453125" bestFit="1" customWidth="1"/>
    <col min="37" max="37" width="5.54296875" bestFit="1" customWidth="1"/>
    <col min="38" max="38" width="22.1796875" bestFit="1" customWidth="1"/>
    <col min="39" max="39" width="5.54296875" bestFit="1" customWidth="1"/>
    <col min="40" max="40" width="47.26953125" bestFit="1" customWidth="1"/>
    <col min="41" max="41" width="5.54296875" bestFit="1" customWidth="1"/>
    <col min="42" max="42" width="29.7265625" bestFit="1" customWidth="1"/>
    <col min="43" max="43" width="5.54296875" bestFit="1" customWidth="1"/>
    <col min="44" max="44" width="15.54296875" bestFit="1" customWidth="1"/>
    <col min="45" max="45" width="5.54296875" bestFit="1" customWidth="1"/>
    <col min="46" max="46" width="12.1796875" bestFit="1" customWidth="1"/>
    <col min="47" max="47" width="5.54296875" bestFit="1" customWidth="1"/>
    <col min="48" max="48" width="14.54296875" bestFit="1" customWidth="1"/>
    <col min="49" max="49" width="5.54296875" bestFit="1" customWidth="1"/>
    <col min="50" max="50" width="18.1796875" bestFit="1" customWidth="1"/>
    <col min="51" max="51" width="5.54296875" bestFit="1" customWidth="1"/>
    <col min="52" max="52" width="20.1796875" bestFit="1" customWidth="1"/>
    <col min="53" max="53" width="5.54296875" bestFit="1" customWidth="1"/>
  </cols>
  <sheetData>
    <row r="1" spans="1:53" ht="16.5" customHeight="1" x14ac:dyDescent="0.35">
      <c r="A1" t="s">
        <v>144</v>
      </c>
      <c r="B1" s="162" t="s">
        <v>145</v>
      </c>
      <c r="C1" s="162" t="s">
        <v>146</v>
      </c>
      <c r="D1" s="1" t="s">
        <v>147</v>
      </c>
      <c r="E1" s="1" t="s">
        <v>148</v>
      </c>
      <c r="F1" s="1" t="s">
        <v>147</v>
      </c>
      <c r="G1" s="1" t="s">
        <v>148</v>
      </c>
      <c r="H1" s="1" t="s">
        <v>147</v>
      </c>
      <c r="I1" s="1" t="s">
        <v>148</v>
      </c>
      <c r="J1" s="1" t="s">
        <v>147</v>
      </c>
      <c r="K1" s="1" t="s">
        <v>148</v>
      </c>
      <c r="L1" s="1" t="s">
        <v>147</v>
      </c>
      <c r="M1" s="1" t="s">
        <v>148</v>
      </c>
      <c r="N1" s="1" t="s">
        <v>147</v>
      </c>
      <c r="O1" s="1" t="s">
        <v>148</v>
      </c>
      <c r="P1" s="1" t="s">
        <v>147</v>
      </c>
      <c r="Q1" s="1" t="s">
        <v>148</v>
      </c>
      <c r="R1" s="1" t="s">
        <v>147</v>
      </c>
      <c r="S1" s="1" t="s">
        <v>148</v>
      </c>
      <c r="T1" s="1" t="s">
        <v>147</v>
      </c>
      <c r="U1" s="1" t="s">
        <v>148</v>
      </c>
      <c r="V1" s="1" t="s">
        <v>147</v>
      </c>
      <c r="W1" s="1" t="s">
        <v>148</v>
      </c>
      <c r="X1" s="1" t="s">
        <v>147</v>
      </c>
      <c r="Y1" s="1" t="s">
        <v>148</v>
      </c>
      <c r="Z1" s="1" t="s">
        <v>147</v>
      </c>
      <c r="AA1" s="1" t="s">
        <v>148</v>
      </c>
      <c r="AB1" s="1" t="s">
        <v>147</v>
      </c>
      <c r="AC1" s="1" t="s">
        <v>148</v>
      </c>
      <c r="AD1" s="1" t="s">
        <v>147</v>
      </c>
      <c r="AE1" s="1" t="s">
        <v>148</v>
      </c>
      <c r="AF1" s="1" t="s">
        <v>147</v>
      </c>
      <c r="AG1" s="1" t="s">
        <v>148</v>
      </c>
      <c r="AH1" s="1" t="s">
        <v>147</v>
      </c>
      <c r="AI1" s="1" t="s">
        <v>148</v>
      </c>
      <c r="AJ1" s="1" t="s">
        <v>147</v>
      </c>
      <c r="AK1" s="1" t="s">
        <v>148</v>
      </c>
      <c r="AL1" s="1" t="s">
        <v>147</v>
      </c>
      <c r="AM1" s="1" t="s">
        <v>148</v>
      </c>
      <c r="AN1" s="1" t="s">
        <v>147</v>
      </c>
      <c r="AO1" s="1" t="s">
        <v>148</v>
      </c>
      <c r="AP1" s="1" t="s">
        <v>147</v>
      </c>
      <c r="AQ1" s="1" t="s">
        <v>148</v>
      </c>
      <c r="AR1" s="1" t="s">
        <v>147</v>
      </c>
      <c r="AS1" s="1" t="s">
        <v>148</v>
      </c>
      <c r="AT1" s="1" t="s">
        <v>147</v>
      </c>
      <c r="AU1" s="1" t="s">
        <v>148</v>
      </c>
      <c r="AV1" s="1" t="s">
        <v>147</v>
      </c>
      <c r="AW1" s="1" t="s">
        <v>148</v>
      </c>
      <c r="AX1" s="1" t="s">
        <v>147</v>
      </c>
      <c r="AY1" s="1" t="s">
        <v>148</v>
      </c>
      <c r="AZ1" s="1" t="s">
        <v>147</v>
      </c>
      <c r="BA1" s="1" t="s">
        <v>148</v>
      </c>
    </row>
    <row r="2" spans="1:53" x14ac:dyDescent="0.35">
      <c r="A2">
        <v>701000000</v>
      </c>
      <c r="B2" s="163" t="s">
        <v>149</v>
      </c>
      <c r="C2" s="163" t="s">
        <v>150</v>
      </c>
      <c r="D2" t="s">
        <v>151</v>
      </c>
      <c r="E2">
        <v>9</v>
      </c>
      <c r="F2" t="s">
        <v>152</v>
      </c>
      <c r="H2" t="s">
        <v>153</v>
      </c>
      <c r="J2" t="s">
        <v>154</v>
      </c>
      <c r="L2" t="s">
        <v>155</v>
      </c>
      <c r="N2" t="s">
        <v>156</v>
      </c>
      <c r="P2" t="s">
        <v>157</v>
      </c>
      <c r="Q2">
        <v>122</v>
      </c>
      <c r="R2" t="s">
        <v>158</v>
      </c>
      <c r="S2">
        <v>4</v>
      </c>
      <c r="T2" t="s">
        <v>159</v>
      </c>
      <c r="V2" t="s">
        <v>160</v>
      </c>
      <c r="X2" t="s">
        <v>161</v>
      </c>
      <c r="Z2" t="s">
        <v>162</v>
      </c>
      <c r="AB2" t="s">
        <v>163</v>
      </c>
      <c r="AD2" t="s">
        <v>164</v>
      </c>
      <c r="AF2" t="s">
        <v>165</v>
      </c>
      <c r="AH2" t="s">
        <v>166</v>
      </c>
      <c r="AJ2" t="s">
        <v>167</v>
      </c>
      <c r="AL2" t="s">
        <v>168</v>
      </c>
      <c r="AN2" t="s">
        <v>169</v>
      </c>
      <c r="AP2" t="s">
        <v>170</v>
      </c>
      <c r="AR2" t="s">
        <v>171</v>
      </c>
      <c r="AT2" t="s">
        <v>172</v>
      </c>
      <c r="AU2">
        <v>3</v>
      </c>
      <c r="AV2" t="s">
        <v>173</v>
      </c>
      <c r="AX2" t="s">
        <v>174</v>
      </c>
      <c r="AZ2" t="s">
        <v>175</v>
      </c>
    </row>
    <row r="3" spans="1:53" x14ac:dyDescent="0.35">
      <c r="A3">
        <v>701000000</v>
      </c>
      <c r="B3" s="164" t="s">
        <v>149</v>
      </c>
      <c r="C3" s="164" t="s">
        <v>176</v>
      </c>
      <c r="D3" t="s">
        <v>151</v>
      </c>
      <c r="E3">
        <v>124</v>
      </c>
      <c r="F3" t="s">
        <v>152</v>
      </c>
      <c r="H3" t="s">
        <v>153</v>
      </c>
      <c r="J3" t="s">
        <v>154</v>
      </c>
      <c r="L3" t="s">
        <v>155</v>
      </c>
      <c r="N3" t="s">
        <v>156</v>
      </c>
      <c r="P3" t="s">
        <v>157</v>
      </c>
      <c r="R3" t="s">
        <v>158</v>
      </c>
      <c r="T3" t="s">
        <v>159</v>
      </c>
      <c r="V3" t="s">
        <v>160</v>
      </c>
      <c r="X3" t="s">
        <v>161</v>
      </c>
      <c r="Z3" t="s">
        <v>162</v>
      </c>
      <c r="AB3" t="s">
        <v>163</v>
      </c>
      <c r="AD3" t="s">
        <v>164</v>
      </c>
      <c r="AF3" t="s">
        <v>165</v>
      </c>
      <c r="AH3" t="s">
        <v>166</v>
      </c>
      <c r="AJ3" t="s">
        <v>167</v>
      </c>
      <c r="AL3" t="s">
        <v>168</v>
      </c>
      <c r="AN3" t="s">
        <v>169</v>
      </c>
      <c r="AO3">
        <v>14</v>
      </c>
      <c r="AP3" t="s">
        <v>170</v>
      </c>
      <c r="AR3" t="s">
        <v>171</v>
      </c>
      <c r="AT3" t="s">
        <v>172</v>
      </c>
      <c r="AV3" t="s">
        <v>173</v>
      </c>
      <c r="AX3" t="s">
        <v>174</v>
      </c>
      <c r="AZ3" t="s">
        <v>175</v>
      </c>
    </row>
    <row r="4" spans="1:53" x14ac:dyDescent="0.35">
      <c r="A4">
        <v>701000000</v>
      </c>
      <c r="B4" s="164" t="s">
        <v>149</v>
      </c>
      <c r="C4" s="164" t="s">
        <v>119</v>
      </c>
      <c r="D4" t="s">
        <v>151</v>
      </c>
      <c r="E4">
        <v>9</v>
      </c>
      <c r="F4" t="s">
        <v>152</v>
      </c>
      <c r="G4">
        <v>122</v>
      </c>
      <c r="H4" t="s">
        <v>153</v>
      </c>
      <c r="I4">
        <v>45</v>
      </c>
      <c r="J4" t="s">
        <v>154</v>
      </c>
      <c r="L4" t="s">
        <v>155</v>
      </c>
      <c r="N4" t="s">
        <v>156</v>
      </c>
      <c r="O4">
        <v>58</v>
      </c>
      <c r="P4" t="s">
        <v>157</v>
      </c>
      <c r="R4" t="s">
        <v>158</v>
      </c>
      <c r="T4" t="s">
        <v>159</v>
      </c>
      <c r="V4" t="s">
        <v>160</v>
      </c>
      <c r="X4" t="s">
        <v>161</v>
      </c>
      <c r="Z4" t="s">
        <v>162</v>
      </c>
      <c r="AB4" t="s">
        <v>163</v>
      </c>
      <c r="AD4" t="s">
        <v>164</v>
      </c>
      <c r="AF4" t="s">
        <v>165</v>
      </c>
      <c r="AH4" t="s">
        <v>166</v>
      </c>
      <c r="AJ4" t="s">
        <v>167</v>
      </c>
      <c r="AL4" t="s">
        <v>168</v>
      </c>
      <c r="AN4" t="s">
        <v>169</v>
      </c>
      <c r="AP4" t="s">
        <v>170</v>
      </c>
      <c r="AR4" t="s">
        <v>171</v>
      </c>
      <c r="AT4" t="s">
        <v>172</v>
      </c>
      <c r="AV4" t="s">
        <v>173</v>
      </c>
      <c r="AX4" t="s">
        <v>174</v>
      </c>
      <c r="AZ4" t="s">
        <v>175</v>
      </c>
    </row>
    <row r="5" spans="1:53" x14ac:dyDescent="0.35">
      <c r="A5">
        <v>701000000</v>
      </c>
      <c r="B5" s="163" t="s">
        <v>149</v>
      </c>
      <c r="C5" s="163" t="s">
        <v>53</v>
      </c>
      <c r="D5" t="s">
        <v>151</v>
      </c>
      <c r="F5" t="s">
        <v>152</v>
      </c>
      <c r="G5">
        <v>7</v>
      </c>
      <c r="H5" t="s">
        <v>153</v>
      </c>
      <c r="J5" t="s">
        <v>154</v>
      </c>
      <c r="L5" t="s">
        <v>155</v>
      </c>
      <c r="N5" t="s">
        <v>156</v>
      </c>
      <c r="O5">
        <v>1</v>
      </c>
      <c r="P5" t="s">
        <v>157</v>
      </c>
      <c r="R5" t="s">
        <v>158</v>
      </c>
      <c r="T5" t="s">
        <v>159</v>
      </c>
      <c r="V5" t="s">
        <v>160</v>
      </c>
      <c r="X5" t="s">
        <v>161</v>
      </c>
      <c r="Z5" t="s">
        <v>162</v>
      </c>
      <c r="AB5" t="s">
        <v>163</v>
      </c>
      <c r="AD5" t="s">
        <v>164</v>
      </c>
      <c r="AF5" t="s">
        <v>165</v>
      </c>
      <c r="AH5" t="s">
        <v>166</v>
      </c>
      <c r="AJ5" t="s">
        <v>167</v>
      </c>
      <c r="AL5" t="s">
        <v>168</v>
      </c>
      <c r="AN5" t="s">
        <v>169</v>
      </c>
      <c r="AO5">
        <v>215</v>
      </c>
      <c r="AP5" t="s">
        <v>170</v>
      </c>
      <c r="AR5" t="s">
        <v>171</v>
      </c>
      <c r="AT5" t="s">
        <v>172</v>
      </c>
      <c r="AV5" t="s">
        <v>173</v>
      </c>
      <c r="AX5" t="s">
        <v>174</v>
      </c>
      <c r="AZ5" t="s">
        <v>175</v>
      </c>
    </row>
    <row r="6" spans="1:53" x14ac:dyDescent="0.35">
      <c r="A6">
        <v>701000000</v>
      </c>
      <c r="B6" s="164" t="s">
        <v>149</v>
      </c>
      <c r="C6" s="164" t="s">
        <v>70</v>
      </c>
      <c r="D6" t="s">
        <v>151</v>
      </c>
      <c r="F6" t="s">
        <v>152</v>
      </c>
      <c r="G6">
        <v>5</v>
      </c>
      <c r="H6" t="s">
        <v>153</v>
      </c>
      <c r="J6" t="s">
        <v>154</v>
      </c>
      <c r="L6" t="s">
        <v>155</v>
      </c>
      <c r="M6">
        <v>2</v>
      </c>
      <c r="N6" t="s">
        <v>156</v>
      </c>
      <c r="P6" t="s">
        <v>157</v>
      </c>
      <c r="Q6">
        <v>1</v>
      </c>
      <c r="R6" t="s">
        <v>158</v>
      </c>
      <c r="S6">
        <v>79</v>
      </c>
      <c r="T6" t="s">
        <v>159</v>
      </c>
      <c r="V6" t="s">
        <v>160</v>
      </c>
      <c r="X6" t="s">
        <v>161</v>
      </c>
      <c r="Z6" t="s">
        <v>162</v>
      </c>
      <c r="AB6" t="s">
        <v>163</v>
      </c>
      <c r="AD6" t="s">
        <v>164</v>
      </c>
      <c r="AF6" t="s">
        <v>165</v>
      </c>
      <c r="AH6" t="s">
        <v>166</v>
      </c>
      <c r="AJ6" t="s">
        <v>167</v>
      </c>
      <c r="AK6">
        <v>3</v>
      </c>
      <c r="AL6" t="s">
        <v>168</v>
      </c>
      <c r="AM6">
        <v>2</v>
      </c>
      <c r="AN6" t="s">
        <v>169</v>
      </c>
      <c r="AO6">
        <v>2</v>
      </c>
      <c r="AP6" t="s">
        <v>170</v>
      </c>
      <c r="AR6" t="s">
        <v>171</v>
      </c>
      <c r="AT6" t="s">
        <v>172</v>
      </c>
      <c r="AV6" t="s">
        <v>173</v>
      </c>
      <c r="AX6" t="s">
        <v>174</v>
      </c>
      <c r="AZ6" t="s">
        <v>175</v>
      </c>
    </row>
    <row r="7" spans="1:53" x14ac:dyDescent="0.35">
      <c r="A7">
        <v>701000000</v>
      </c>
      <c r="B7" s="165" t="s">
        <v>149</v>
      </c>
      <c r="C7" s="165" t="s">
        <v>8</v>
      </c>
      <c r="D7" t="s">
        <v>151</v>
      </c>
      <c r="E7">
        <v>17</v>
      </c>
      <c r="F7" t="s">
        <v>152</v>
      </c>
      <c r="H7" t="s">
        <v>153</v>
      </c>
      <c r="J7" t="s">
        <v>154</v>
      </c>
      <c r="L7" t="s">
        <v>155</v>
      </c>
      <c r="N7" t="s">
        <v>156</v>
      </c>
      <c r="P7" t="s">
        <v>157</v>
      </c>
      <c r="R7" t="s">
        <v>158</v>
      </c>
      <c r="T7" t="s">
        <v>159</v>
      </c>
      <c r="V7" t="s">
        <v>160</v>
      </c>
      <c r="W7">
        <v>110</v>
      </c>
      <c r="X7" t="s">
        <v>161</v>
      </c>
      <c r="Y7">
        <v>26</v>
      </c>
      <c r="Z7" t="s">
        <v>162</v>
      </c>
      <c r="AB7" t="s">
        <v>163</v>
      </c>
      <c r="AC7">
        <v>86</v>
      </c>
      <c r="AD7" t="s">
        <v>164</v>
      </c>
      <c r="AE7">
        <v>104</v>
      </c>
      <c r="AF7" t="s">
        <v>165</v>
      </c>
      <c r="AH7" t="s">
        <v>166</v>
      </c>
      <c r="AJ7" t="s">
        <v>167</v>
      </c>
      <c r="AL7" t="s">
        <v>168</v>
      </c>
      <c r="AN7" t="s">
        <v>169</v>
      </c>
      <c r="AP7" t="s">
        <v>170</v>
      </c>
      <c r="AR7" t="s">
        <v>171</v>
      </c>
      <c r="AT7" t="s">
        <v>172</v>
      </c>
      <c r="AU7">
        <v>6</v>
      </c>
      <c r="AV7" t="s">
        <v>173</v>
      </c>
      <c r="AX7" t="s">
        <v>174</v>
      </c>
      <c r="AZ7" t="s">
        <v>175</v>
      </c>
    </row>
    <row r="8" spans="1:53" x14ac:dyDescent="0.35">
      <c r="A8">
        <v>701000000</v>
      </c>
      <c r="B8" s="166" t="s">
        <v>149</v>
      </c>
      <c r="C8" s="166" t="s">
        <v>10</v>
      </c>
      <c r="D8" t="s">
        <v>151</v>
      </c>
      <c r="E8">
        <v>11</v>
      </c>
      <c r="F8" t="s">
        <v>152</v>
      </c>
      <c r="G8">
        <v>7</v>
      </c>
      <c r="H8" t="s">
        <v>153</v>
      </c>
      <c r="J8" t="s">
        <v>154</v>
      </c>
      <c r="L8" t="s">
        <v>155</v>
      </c>
      <c r="N8" t="s">
        <v>156</v>
      </c>
      <c r="P8" t="s">
        <v>157</v>
      </c>
      <c r="R8" t="s">
        <v>158</v>
      </c>
      <c r="T8" t="s">
        <v>159</v>
      </c>
      <c r="U8">
        <v>100</v>
      </c>
      <c r="V8" t="s">
        <v>160</v>
      </c>
      <c r="W8">
        <v>27</v>
      </c>
      <c r="X8" t="s">
        <v>161</v>
      </c>
      <c r="Z8" t="s">
        <v>162</v>
      </c>
      <c r="AB8" t="s">
        <v>163</v>
      </c>
      <c r="AD8" t="s">
        <v>164</v>
      </c>
      <c r="AF8" t="s">
        <v>165</v>
      </c>
      <c r="AH8" t="s">
        <v>166</v>
      </c>
      <c r="AJ8" t="s">
        <v>167</v>
      </c>
      <c r="AK8">
        <v>52</v>
      </c>
      <c r="AL8" t="s">
        <v>168</v>
      </c>
      <c r="AN8" t="s">
        <v>169</v>
      </c>
      <c r="AP8" t="s">
        <v>170</v>
      </c>
      <c r="AR8" t="s">
        <v>171</v>
      </c>
      <c r="AT8" t="s">
        <v>172</v>
      </c>
      <c r="AU8">
        <v>4</v>
      </c>
      <c r="AV8" t="s">
        <v>173</v>
      </c>
      <c r="AX8" t="s">
        <v>174</v>
      </c>
      <c r="AZ8" t="s">
        <v>175</v>
      </c>
      <c r="BA8">
        <v>52</v>
      </c>
    </row>
    <row r="9" spans="1:53" x14ac:dyDescent="0.35">
      <c r="A9">
        <v>701000000</v>
      </c>
      <c r="B9" s="166" t="s">
        <v>149</v>
      </c>
      <c r="C9" s="166" t="s">
        <v>55</v>
      </c>
      <c r="D9" t="s">
        <v>151</v>
      </c>
      <c r="F9" t="s">
        <v>152</v>
      </c>
      <c r="G9">
        <v>18</v>
      </c>
      <c r="H9" t="s">
        <v>153</v>
      </c>
      <c r="J9" t="s">
        <v>154</v>
      </c>
      <c r="L9" t="s">
        <v>155</v>
      </c>
      <c r="N9" t="s">
        <v>156</v>
      </c>
      <c r="P9" t="s">
        <v>157</v>
      </c>
      <c r="R9" t="s">
        <v>158</v>
      </c>
      <c r="T9" t="s">
        <v>159</v>
      </c>
      <c r="V9" t="s">
        <v>160</v>
      </c>
      <c r="X9" t="s">
        <v>161</v>
      </c>
      <c r="Z9" t="s">
        <v>162</v>
      </c>
      <c r="AB9" t="s">
        <v>163</v>
      </c>
      <c r="AD9" t="s">
        <v>164</v>
      </c>
      <c r="AF9" t="s">
        <v>165</v>
      </c>
      <c r="AH9" t="s">
        <v>166</v>
      </c>
      <c r="AJ9" t="s">
        <v>167</v>
      </c>
      <c r="AL9" t="s">
        <v>168</v>
      </c>
      <c r="AN9" t="s">
        <v>169</v>
      </c>
      <c r="AO9">
        <v>479</v>
      </c>
      <c r="AP9" t="s">
        <v>170</v>
      </c>
      <c r="AR9" t="s">
        <v>171</v>
      </c>
      <c r="AT9" t="s">
        <v>172</v>
      </c>
      <c r="AU9">
        <v>6</v>
      </c>
      <c r="AV9" t="s">
        <v>173</v>
      </c>
      <c r="AX9" t="s">
        <v>174</v>
      </c>
      <c r="AZ9" t="s">
        <v>175</v>
      </c>
    </row>
    <row r="10" spans="1:53" x14ac:dyDescent="0.35">
      <c r="A10">
        <v>701000000</v>
      </c>
      <c r="B10" t="s">
        <v>149</v>
      </c>
      <c r="C10" t="s">
        <v>72</v>
      </c>
      <c r="D10" t="s">
        <v>151</v>
      </c>
      <c r="F10" t="s">
        <v>152</v>
      </c>
      <c r="H10" t="s">
        <v>153</v>
      </c>
      <c r="J10" t="s">
        <v>154</v>
      </c>
      <c r="L10" t="s">
        <v>155</v>
      </c>
      <c r="N10" t="s">
        <v>156</v>
      </c>
      <c r="P10" t="s">
        <v>157</v>
      </c>
      <c r="R10" t="s">
        <v>158</v>
      </c>
      <c r="T10" t="s">
        <v>159</v>
      </c>
      <c r="V10" t="s">
        <v>160</v>
      </c>
      <c r="X10" t="s">
        <v>161</v>
      </c>
      <c r="Z10" t="s">
        <v>162</v>
      </c>
      <c r="AB10" t="s">
        <v>163</v>
      </c>
      <c r="AD10" t="s">
        <v>164</v>
      </c>
      <c r="AF10" t="s">
        <v>165</v>
      </c>
      <c r="AH10" t="s">
        <v>166</v>
      </c>
      <c r="AJ10" t="s">
        <v>167</v>
      </c>
      <c r="AL10" t="s">
        <v>168</v>
      </c>
      <c r="AN10" t="s">
        <v>169</v>
      </c>
      <c r="AP10" t="s">
        <v>170</v>
      </c>
      <c r="AR10" t="s">
        <v>171</v>
      </c>
      <c r="AT10" t="s">
        <v>172</v>
      </c>
      <c r="AU10">
        <v>59</v>
      </c>
      <c r="AV10" t="s">
        <v>173</v>
      </c>
      <c r="AX10" t="s">
        <v>174</v>
      </c>
      <c r="AZ10" t="s">
        <v>175</v>
      </c>
    </row>
    <row r="11" spans="1:53" x14ac:dyDescent="0.35">
      <c r="A11">
        <v>701000000</v>
      </c>
      <c r="B11" t="s">
        <v>149</v>
      </c>
      <c r="C11" t="s">
        <v>74</v>
      </c>
      <c r="D11" t="s">
        <v>151</v>
      </c>
      <c r="F11" t="s">
        <v>152</v>
      </c>
      <c r="H11" t="s">
        <v>153</v>
      </c>
      <c r="J11" t="s">
        <v>154</v>
      </c>
      <c r="L11" t="s">
        <v>155</v>
      </c>
      <c r="N11" t="s">
        <v>156</v>
      </c>
      <c r="O11">
        <v>47</v>
      </c>
      <c r="P11" t="s">
        <v>157</v>
      </c>
      <c r="R11" t="s">
        <v>158</v>
      </c>
      <c r="S11">
        <v>5</v>
      </c>
      <c r="T11" t="s">
        <v>159</v>
      </c>
      <c r="V11" t="s">
        <v>160</v>
      </c>
      <c r="X11" t="s">
        <v>161</v>
      </c>
      <c r="Z11" t="s">
        <v>162</v>
      </c>
      <c r="AB11" t="s">
        <v>163</v>
      </c>
      <c r="AD11" t="s">
        <v>164</v>
      </c>
      <c r="AF11" t="s">
        <v>165</v>
      </c>
      <c r="AH11" t="s">
        <v>166</v>
      </c>
      <c r="AJ11" t="s">
        <v>167</v>
      </c>
      <c r="AL11" t="s">
        <v>168</v>
      </c>
      <c r="AN11" t="s">
        <v>169</v>
      </c>
      <c r="AP11" t="s">
        <v>170</v>
      </c>
      <c r="AR11" t="s">
        <v>171</v>
      </c>
      <c r="AT11" t="s">
        <v>172</v>
      </c>
      <c r="AV11" t="s">
        <v>173</v>
      </c>
      <c r="AX11" t="s">
        <v>174</v>
      </c>
      <c r="AZ11" t="s">
        <v>175</v>
      </c>
    </row>
    <row r="12" spans="1:53" x14ac:dyDescent="0.35">
      <c r="A12">
        <v>701000000</v>
      </c>
      <c r="B12" s="166" t="s">
        <v>149</v>
      </c>
      <c r="C12" s="166" t="s">
        <v>177</v>
      </c>
      <c r="D12" t="s">
        <v>151</v>
      </c>
      <c r="F12" t="s">
        <v>152</v>
      </c>
      <c r="G12">
        <v>14</v>
      </c>
      <c r="H12" t="s">
        <v>153</v>
      </c>
      <c r="J12" t="s">
        <v>154</v>
      </c>
      <c r="L12" t="s">
        <v>155</v>
      </c>
      <c r="N12" t="s">
        <v>156</v>
      </c>
      <c r="P12" t="s">
        <v>157</v>
      </c>
      <c r="R12" t="s">
        <v>158</v>
      </c>
      <c r="T12" t="s">
        <v>159</v>
      </c>
      <c r="V12" t="s">
        <v>160</v>
      </c>
      <c r="X12" t="s">
        <v>161</v>
      </c>
      <c r="Z12" t="s">
        <v>162</v>
      </c>
      <c r="AB12" t="s">
        <v>163</v>
      </c>
      <c r="AD12" t="s">
        <v>164</v>
      </c>
      <c r="AF12" t="s">
        <v>165</v>
      </c>
      <c r="AH12" t="s">
        <v>166</v>
      </c>
      <c r="AJ12" t="s">
        <v>167</v>
      </c>
      <c r="AL12" t="s">
        <v>168</v>
      </c>
      <c r="AN12" t="s">
        <v>169</v>
      </c>
      <c r="AP12" t="s">
        <v>170</v>
      </c>
      <c r="AR12" t="s">
        <v>171</v>
      </c>
      <c r="AT12" t="s">
        <v>172</v>
      </c>
      <c r="AV12" t="s">
        <v>173</v>
      </c>
      <c r="AX12" t="s">
        <v>174</v>
      </c>
      <c r="AZ12" t="s">
        <v>175</v>
      </c>
    </row>
    <row r="13" spans="1:53" x14ac:dyDescent="0.35">
      <c r="A13">
        <v>701000000</v>
      </c>
      <c r="B13" s="166" t="s">
        <v>149</v>
      </c>
      <c r="C13" s="166" t="s">
        <v>178</v>
      </c>
      <c r="D13" t="s">
        <v>151</v>
      </c>
      <c r="F13" t="s">
        <v>152</v>
      </c>
      <c r="G13">
        <v>15</v>
      </c>
      <c r="H13" t="s">
        <v>153</v>
      </c>
      <c r="J13" t="s">
        <v>154</v>
      </c>
      <c r="L13" t="s">
        <v>155</v>
      </c>
      <c r="N13" t="s">
        <v>156</v>
      </c>
      <c r="P13" t="s">
        <v>157</v>
      </c>
      <c r="R13" t="s">
        <v>158</v>
      </c>
      <c r="T13" t="s">
        <v>159</v>
      </c>
      <c r="V13" t="s">
        <v>160</v>
      </c>
      <c r="X13" t="s">
        <v>161</v>
      </c>
      <c r="Z13" t="s">
        <v>162</v>
      </c>
      <c r="AB13" t="s">
        <v>163</v>
      </c>
      <c r="AD13" t="s">
        <v>164</v>
      </c>
      <c r="AF13" t="s">
        <v>165</v>
      </c>
      <c r="AH13" t="s">
        <v>166</v>
      </c>
      <c r="AJ13" t="s">
        <v>167</v>
      </c>
      <c r="AL13" t="s">
        <v>168</v>
      </c>
      <c r="AN13" t="s">
        <v>169</v>
      </c>
      <c r="AP13" t="s">
        <v>170</v>
      </c>
      <c r="AR13" t="s">
        <v>171</v>
      </c>
      <c r="AT13" t="s">
        <v>172</v>
      </c>
      <c r="AV13" t="s">
        <v>173</v>
      </c>
      <c r="AX13" t="s">
        <v>174</v>
      </c>
      <c r="AZ13" t="s">
        <v>175</v>
      </c>
    </row>
    <row r="14" spans="1:53" x14ac:dyDescent="0.35">
      <c r="A14">
        <v>701000000</v>
      </c>
      <c r="B14" t="s">
        <v>149</v>
      </c>
      <c r="C14" t="s">
        <v>60</v>
      </c>
      <c r="D14" t="s">
        <v>151</v>
      </c>
      <c r="F14" t="s">
        <v>152</v>
      </c>
      <c r="G14">
        <v>3</v>
      </c>
      <c r="H14" t="s">
        <v>153</v>
      </c>
      <c r="J14" t="s">
        <v>154</v>
      </c>
      <c r="L14" t="s">
        <v>155</v>
      </c>
      <c r="N14" t="s">
        <v>156</v>
      </c>
      <c r="P14" t="s">
        <v>157</v>
      </c>
      <c r="R14" t="s">
        <v>158</v>
      </c>
      <c r="T14" t="s">
        <v>159</v>
      </c>
      <c r="V14" t="s">
        <v>160</v>
      </c>
      <c r="X14" t="s">
        <v>161</v>
      </c>
      <c r="Z14" t="s">
        <v>162</v>
      </c>
      <c r="AB14" t="s">
        <v>163</v>
      </c>
      <c r="AD14" t="s">
        <v>164</v>
      </c>
      <c r="AF14" t="s">
        <v>165</v>
      </c>
      <c r="AH14" t="s">
        <v>166</v>
      </c>
      <c r="AJ14" t="s">
        <v>167</v>
      </c>
      <c r="AL14" t="s">
        <v>168</v>
      </c>
      <c r="AN14" t="s">
        <v>169</v>
      </c>
      <c r="AO14">
        <v>87</v>
      </c>
      <c r="AP14" t="s">
        <v>170</v>
      </c>
      <c r="AR14" t="s">
        <v>171</v>
      </c>
      <c r="AT14" t="s">
        <v>172</v>
      </c>
      <c r="AU14">
        <v>4</v>
      </c>
      <c r="AV14" t="s">
        <v>173</v>
      </c>
      <c r="AX14" t="s">
        <v>174</v>
      </c>
      <c r="AZ14" t="s">
        <v>175</v>
      </c>
    </row>
    <row r="15" spans="1:53" x14ac:dyDescent="0.35">
      <c r="A15">
        <v>701000000</v>
      </c>
      <c r="B15" s="166" t="s">
        <v>149</v>
      </c>
      <c r="C15" s="166" t="s">
        <v>179</v>
      </c>
      <c r="D15" t="s">
        <v>151</v>
      </c>
      <c r="F15" t="s">
        <v>152</v>
      </c>
      <c r="H15" t="s">
        <v>153</v>
      </c>
      <c r="J15" t="s">
        <v>154</v>
      </c>
      <c r="L15" t="s">
        <v>155</v>
      </c>
      <c r="N15" t="s">
        <v>156</v>
      </c>
      <c r="P15" t="s">
        <v>157</v>
      </c>
      <c r="R15" t="s">
        <v>158</v>
      </c>
      <c r="T15" t="s">
        <v>159</v>
      </c>
      <c r="V15" t="s">
        <v>160</v>
      </c>
      <c r="X15" t="s">
        <v>161</v>
      </c>
      <c r="Z15" t="s">
        <v>162</v>
      </c>
      <c r="AB15" t="s">
        <v>163</v>
      </c>
      <c r="AD15" t="s">
        <v>164</v>
      </c>
      <c r="AE15">
        <v>15</v>
      </c>
      <c r="AF15" t="s">
        <v>165</v>
      </c>
      <c r="AH15" t="s">
        <v>166</v>
      </c>
      <c r="AJ15" t="s">
        <v>167</v>
      </c>
      <c r="AL15" t="s">
        <v>168</v>
      </c>
      <c r="AN15" t="s">
        <v>169</v>
      </c>
      <c r="AP15" t="s">
        <v>170</v>
      </c>
      <c r="AR15" t="s">
        <v>171</v>
      </c>
      <c r="AT15" t="s">
        <v>172</v>
      </c>
      <c r="AV15" t="s">
        <v>173</v>
      </c>
      <c r="AX15" t="s">
        <v>174</v>
      </c>
      <c r="AZ15" t="s">
        <v>175</v>
      </c>
    </row>
    <row r="16" spans="1:53" x14ac:dyDescent="0.35">
      <c r="A16">
        <v>702000000</v>
      </c>
      <c r="B16" t="s">
        <v>180</v>
      </c>
      <c r="C16" t="s">
        <v>76</v>
      </c>
      <c r="D16" t="s">
        <v>151</v>
      </c>
      <c r="F16" t="s">
        <v>152</v>
      </c>
      <c r="H16" t="s">
        <v>153</v>
      </c>
      <c r="J16" t="s">
        <v>154</v>
      </c>
      <c r="L16" t="s">
        <v>155</v>
      </c>
      <c r="M16">
        <v>12</v>
      </c>
      <c r="N16" t="s">
        <v>156</v>
      </c>
      <c r="P16" t="s">
        <v>157</v>
      </c>
      <c r="R16" t="s">
        <v>158</v>
      </c>
      <c r="S16">
        <v>18</v>
      </c>
      <c r="T16" t="s">
        <v>159</v>
      </c>
      <c r="V16" t="s">
        <v>160</v>
      </c>
      <c r="X16" t="s">
        <v>161</v>
      </c>
      <c r="Z16" t="s">
        <v>162</v>
      </c>
      <c r="AB16" t="s">
        <v>163</v>
      </c>
      <c r="AD16" t="s">
        <v>164</v>
      </c>
      <c r="AF16" t="s">
        <v>165</v>
      </c>
      <c r="AH16" t="s">
        <v>166</v>
      </c>
      <c r="AJ16" t="s">
        <v>167</v>
      </c>
      <c r="AL16" t="s">
        <v>168</v>
      </c>
      <c r="AN16" t="s">
        <v>169</v>
      </c>
      <c r="AP16" t="s">
        <v>170</v>
      </c>
      <c r="AR16" t="s">
        <v>171</v>
      </c>
      <c r="AT16" t="s">
        <v>172</v>
      </c>
      <c r="AV16" t="s">
        <v>173</v>
      </c>
      <c r="AX16" t="s">
        <v>174</v>
      </c>
      <c r="AZ16" t="s">
        <v>175</v>
      </c>
    </row>
    <row r="17" spans="1:53" x14ac:dyDescent="0.35">
      <c r="A17">
        <v>702000000</v>
      </c>
      <c r="B17" s="166" t="s">
        <v>180</v>
      </c>
      <c r="C17" s="166" t="s">
        <v>181</v>
      </c>
      <c r="D17" t="s">
        <v>151</v>
      </c>
      <c r="F17" t="s">
        <v>152</v>
      </c>
      <c r="H17" t="s">
        <v>153</v>
      </c>
      <c r="J17" t="s">
        <v>154</v>
      </c>
      <c r="K17">
        <v>20</v>
      </c>
      <c r="L17" t="s">
        <v>155</v>
      </c>
      <c r="M17">
        <v>61</v>
      </c>
      <c r="N17" t="s">
        <v>156</v>
      </c>
      <c r="P17" t="s">
        <v>157</v>
      </c>
      <c r="R17" t="s">
        <v>158</v>
      </c>
      <c r="T17" t="s">
        <v>159</v>
      </c>
      <c r="V17" t="s">
        <v>160</v>
      </c>
      <c r="X17" t="s">
        <v>161</v>
      </c>
      <c r="Z17" t="s">
        <v>162</v>
      </c>
      <c r="AB17" t="s">
        <v>163</v>
      </c>
      <c r="AD17" t="s">
        <v>164</v>
      </c>
      <c r="AF17" t="s">
        <v>165</v>
      </c>
      <c r="AH17" t="s">
        <v>166</v>
      </c>
      <c r="AJ17" t="s">
        <v>167</v>
      </c>
      <c r="AL17" t="s">
        <v>168</v>
      </c>
      <c r="AN17" t="s">
        <v>169</v>
      </c>
      <c r="AP17" t="s">
        <v>170</v>
      </c>
      <c r="AR17" t="s">
        <v>171</v>
      </c>
      <c r="AT17" t="s">
        <v>172</v>
      </c>
      <c r="AV17" t="s">
        <v>173</v>
      </c>
      <c r="AX17" t="s">
        <v>174</v>
      </c>
      <c r="AZ17" t="s">
        <v>175</v>
      </c>
    </row>
    <row r="18" spans="1:53" x14ac:dyDescent="0.35">
      <c r="A18">
        <v>702000000</v>
      </c>
      <c r="B18" s="167" t="s">
        <v>180</v>
      </c>
      <c r="C18" t="s">
        <v>182</v>
      </c>
      <c r="D18" t="s">
        <v>151</v>
      </c>
      <c r="E18">
        <v>1</v>
      </c>
      <c r="F18" t="s">
        <v>152</v>
      </c>
      <c r="H18" t="s">
        <v>153</v>
      </c>
      <c r="J18" t="s">
        <v>154</v>
      </c>
      <c r="L18" t="s">
        <v>155</v>
      </c>
      <c r="N18" t="s">
        <v>156</v>
      </c>
      <c r="P18" t="s">
        <v>157</v>
      </c>
      <c r="R18" t="s">
        <v>158</v>
      </c>
      <c r="T18" t="s">
        <v>159</v>
      </c>
      <c r="U18">
        <v>6</v>
      </c>
      <c r="V18" t="s">
        <v>160</v>
      </c>
      <c r="X18" t="s">
        <v>161</v>
      </c>
      <c r="Z18" t="s">
        <v>162</v>
      </c>
      <c r="AA18">
        <v>36</v>
      </c>
      <c r="AB18" t="s">
        <v>163</v>
      </c>
      <c r="AD18" t="s">
        <v>164</v>
      </c>
      <c r="AF18" t="s">
        <v>165</v>
      </c>
      <c r="AG18">
        <v>73</v>
      </c>
      <c r="AH18" t="s">
        <v>166</v>
      </c>
      <c r="AJ18" t="s">
        <v>167</v>
      </c>
      <c r="AK18">
        <v>29</v>
      </c>
      <c r="AL18" t="s">
        <v>168</v>
      </c>
      <c r="AN18" t="s">
        <v>169</v>
      </c>
      <c r="AP18" t="s">
        <v>170</v>
      </c>
      <c r="AR18" t="s">
        <v>171</v>
      </c>
      <c r="AT18" t="s">
        <v>172</v>
      </c>
      <c r="AV18" t="s">
        <v>173</v>
      </c>
      <c r="AX18" t="s">
        <v>174</v>
      </c>
      <c r="AZ18" t="s">
        <v>175</v>
      </c>
      <c r="BA18">
        <v>6</v>
      </c>
    </row>
    <row r="19" spans="1:53" x14ac:dyDescent="0.35">
      <c r="A19">
        <v>702000000</v>
      </c>
      <c r="B19" s="168" t="s">
        <v>180</v>
      </c>
      <c r="C19" s="166" t="s">
        <v>183</v>
      </c>
      <c r="D19" t="s">
        <v>151</v>
      </c>
      <c r="E19">
        <v>4</v>
      </c>
      <c r="F19" t="s">
        <v>152</v>
      </c>
      <c r="G19">
        <v>3</v>
      </c>
      <c r="H19" t="s">
        <v>153</v>
      </c>
      <c r="J19" t="s">
        <v>154</v>
      </c>
      <c r="L19" t="s">
        <v>155</v>
      </c>
      <c r="M19">
        <v>143</v>
      </c>
      <c r="N19" t="s">
        <v>156</v>
      </c>
      <c r="P19" t="s">
        <v>157</v>
      </c>
      <c r="R19" t="s">
        <v>158</v>
      </c>
      <c r="T19" t="s">
        <v>159</v>
      </c>
      <c r="V19" t="s">
        <v>160</v>
      </c>
      <c r="X19" t="s">
        <v>161</v>
      </c>
      <c r="Z19" t="s">
        <v>162</v>
      </c>
      <c r="AB19" t="s">
        <v>163</v>
      </c>
      <c r="AD19" t="s">
        <v>164</v>
      </c>
      <c r="AF19" t="s">
        <v>165</v>
      </c>
      <c r="AH19" t="s">
        <v>166</v>
      </c>
      <c r="AJ19" t="s">
        <v>167</v>
      </c>
      <c r="AL19" t="s">
        <v>168</v>
      </c>
      <c r="AN19" t="s">
        <v>169</v>
      </c>
      <c r="AP19" t="s">
        <v>170</v>
      </c>
      <c r="AR19" t="s">
        <v>171</v>
      </c>
      <c r="AT19" t="s">
        <v>172</v>
      </c>
      <c r="AU19">
        <v>5</v>
      </c>
      <c r="AV19" t="s">
        <v>173</v>
      </c>
      <c r="AX19" t="s">
        <v>174</v>
      </c>
      <c r="AZ19" t="s">
        <v>175</v>
      </c>
      <c r="BA19">
        <v>36</v>
      </c>
    </row>
    <row r="20" spans="1:53" x14ac:dyDescent="0.35">
      <c r="A20">
        <v>702000000</v>
      </c>
      <c r="B20" s="163" t="s">
        <v>180</v>
      </c>
      <c r="C20" s="163" t="s">
        <v>184</v>
      </c>
      <c r="D20" t="s">
        <v>151</v>
      </c>
      <c r="F20" t="s">
        <v>152</v>
      </c>
      <c r="G20">
        <v>4</v>
      </c>
      <c r="H20" t="s">
        <v>153</v>
      </c>
      <c r="J20" t="s">
        <v>154</v>
      </c>
      <c r="L20" t="s">
        <v>155</v>
      </c>
      <c r="N20" t="s">
        <v>156</v>
      </c>
      <c r="P20" t="s">
        <v>157</v>
      </c>
      <c r="R20" t="s">
        <v>158</v>
      </c>
      <c r="T20" t="s">
        <v>159</v>
      </c>
      <c r="U20">
        <v>3</v>
      </c>
      <c r="V20" t="s">
        <v>160</v>
      </c>
      <c r="X20" t="s">
        <v>161</v>
      </c>
      <c r="Z20" t="s">
        <v>162</v>
      </c>
      <c r="AB20" t="s">
        <v>163</v>
      </c>
      <c r="AD20" t="s">
        <v>164</v>
      </c>
      <c r="AF20" t="s">
        <v>165</v>
      </c>
      <c r="AG20">
        <v>69</v>
      </c>
      <c r="AH20" t="s">
        <v>166</v>
      </c>
      <c r="AJ20" t="s">
        <v>167</v>
      </c>
      <c r="AK20">
        <v>7</v>
      </c>
      <c r="AL20" t="s">
        <v>168</v>
      </c>
      <c r="AN20" t="s">
        <v>169</v>
      </c>
      <c r="AP20" t="s">
        <v>170</v>
      </c>
      <c r="AR20" t="s">
        <v>171</v>
      </c>
      <c r="AT20" t="s">
        <v>172</v>
      </c>
      <c r="AU20">
        <v>4</v>
      </c>
      <c r="AV20" t="s">
        <v>173</v>
      </c>
      <c r="AX20" t="s">
        <v>174</v>
      </c>
      <c r="AZ20" t="s">
        <v>175</v>
      </c>
      <c r="BA20">
        <v>7</v>
      </c>
    </row>
    <row r="21" spans="1:53" x14ac:dyDescent="0.35">
      <c r="A21">
        <v>702000000</v>
      </c>
      <c r="B21" s="164" t="s">
        <v>180</v>
      </c>
      <c r="C21" s="164" t="s">
        <v>34</v>
      </c>
      <c r="D21" t="s">
        <v>151</v>
      </c>
      <c r="F21" t="s">
        <v>152</v>
      </c>
      <c r="G21">
        <v>5</v>
      </c>
      <c r="H21" t="s">
        <v>153</v>
      </c>
      <c r="J21" t="s">
        <v>154</v>
      </c>
      <c r="L21" t="s">
        <v>155</v>
      </c>
      <c r="N21" t="s">
        <v>156</v>
      </c>
      <c r="P21" t="s">
        <v>157</v>
      </c>
      <c r="R21" t="s">
        <v>158</v>
      </c>
      <c r="T21" t="s">
        <v>159</v>
      </c>
      <c r="U21">
        <v>29</v>
      </c>
      <c r="V21" t="s">
        <v>160</v>
      </c>
      <c r="X21" t="s">
        <v>161</v>
      </c>
      <c r="Z21" t="s">
        <v>162</v>
      </c>
      <c r="AB21" t="s">
        <v>163</v>
      </c>
      <c r="AD21" t="s">
        <v>164</v>
      </c>
      <c r="AF21" t="s">
        <v>165</v>
      </c>
      <c r="AH21" t="s">
        <v>166</v>
      </c>
      <c r="AI21">
        <v>77</v>
      </c>
      <c r="AJ21" t="s">
        <v>167</v>
      </c>
      <c r="AK21">
        <v>67</v>
      </c>
      <c r="AL21" t="s">
        <v>168</v>
      </c>
      <c r="AN21" t="s">
        <v>169</v>
      </c>
      <c r="AP21" t="s">
        <v>170</v>
      </c>
      <c r="AR21" t="s">
        <v>171</v>
      </c>
      <c r="AT21" t="s">
        <v>172</v>
      </c>
      <c r="AU21">
        <v>5</v>
      </c>
      <c r="AV21" t="s">
        <v>173</v>
      </c>
      <c r="AX21" t="s">
        <v>174</v>
      </c>
      <c r="AZ21" t="s">
        <v>175</v>
      </c>
      <c r="BA21">
        <v>10</v>
      </c>
    </row>
    <row r="22" spans="1:53" x14ac:dyDescent="0.35">
      <c r="A22">
        <v>702000000</v>
      </c>
      <c r="B22" s="164" t="s">
        <v>180</v>
      </c>
      <c r="C22" s="164" t="s">
        <v>13</v>
      </c>
      <c r="D22" t="s">
        <v>151</v>
      </c>
      <c r="E22">
        <v>1</v>
      </c>
      <c r="F22" t="s">
        <v>152</v>
      </c>
      <c r="G22">
        <v>4</v>
      </c>
      <c r="H22" t="s">
        <v>153</v>
      </c>
      <c r="J22" t="s">
        <v>154</v>
      </c>
      <c r="L22" t="s">
        <v>155</v>
      </c>
      <c r="N22" t="s">
        <v>156</v>
      </c>
      <c r="P22" t="s">
        <v>157</v>
      </c>
      <c r="R22" t="s">
        <v>158</v>
      </c>
      <c r="T22" t="s">
        <v>159</v>
      </c>
      <c r="U22">
        <v>5</v>
      </c>
      <c r="V22" t="s">
        <v>160</v>
      </c>
      <c r="X22" t="s">
        <v>161</v>
      </c>
      <c r="Z22" t="s">
        <v>162</v>
      </c>
      <c r="AB22" t="s">
        <v>163</v>
      </c>
      <c r="AC22">
        <v>206</v>
      </c>
      <c r="AD22" t="s">
        <v>164</v>
      </c>
      <c r="AF22" t="s">
        <v>165</v>
      </c>
      <c r="AH22" t="s">
        <v>166</v>
      </c>
      <c r="AJ22" t="s">
        <v>167</v>
      </c>
      <c r="AK22">
        <v>9</v>
      </c>
      <c r="AL22" t="s">
        <v>168</v>
      </c>
      <c r="AN22" t="s">
        <v>169</v>
      </c>
      <c r="AP22" t="s">
        <v>170</v>
      </c>
      <c r="AR22" t="s">
        <v>171</v>
      </c>
      <c r="AT22" t="s">
        <v>172</v>
      </c>
      <c r="AU22">
        <v>5</v>
      </c>
      <c r="AV22" t="s">
        <v>173</v>
      </c>
      <c r="AX22" t="s">
        <v>174</v>
      </c>
      <c r="AZ22" t="s">
        <v>175</v>
      </c>
      <c r="BA22">
        <v>8</v>
      </c>
    </row>
    <row r="23" spans="1:53" x14ac:dyDescent="0.35">
      <c r="A23">
        <v>702000000</v>
      </c>
      <c r="B23" s="164" t="s">
        <v>180</v>
      </c>
      <c r="C23" s="164" t="s">
        <v>185</v>
      </c>
      <c r="D23" t="s">
        <v>151</v>
      </c>
      <c r="E23">
        <v>1</v>
      </c>
      <c r="F23" t="s">
        <v>152</v>
      </c>
      <c r="G23">
        <v>1</v>
      </c>
      <c r="H23" t="s">
        <v>153</v>
      </c>
      <c r="J23" t="s">
        <v>154</v>
      </c>
      <c r="L23" t="s">
        <v>155</v>
      </c>
      <c r="N23" t="s">
        <v>156</v>
      </c>
      <c r="P23" t="s">
        <v>157</v>
      </c>
      <c r="R23" t="s">
        <v>158</v>
      </c>
      <c r="T23" t="s">
        <v>159</v>
      </c>
      <c r="V23" t="s">
        <v>160</v>
      </c>
      <c r="X23" t="s">
        <v>161</v>
      </c>
      <c r="Z23" t="s">
        <v>162</v>
      </c>
      <c r="AB23" t="s">
        <v>163</v>
      </c>
      <c r="AD23" t="s">
        <v>164</v>
      </c>
      <c r="AF23" t="s">
        <v>165</v>
      </c>
      <c r="AH23" t="s">
        <v>166</v>
      </c>
      <c r="AJ23" t="s">
        <v>167</v>
      </c>
      <c r="AK23">
        <v>39</v>
      </c>
      <c r="AL23" t="s">
        <v>168</v>
      </c>
      <c r="AN23" t="s">
        <v>169</v>
      </c>
      <c r="AP23" t="s">
        <v>170</v>
      </c>
      <c r="AR23" t="s">
        <v>171</v>
      </c>
      <c r="AT23" t="s">
        <v>172</v>
      </c>
      <c r="AV23" t="s">
        <v>173</v>
      </c>
      <c r="AX23" t="s">
        <v>174</v>
      </c>
      <c r="AZ23" t="s">
        <v>175</v>
      </c>
    </row>
    <row r="24" spans="1:53" x14ac:dyDescent="0.35">
      <c r="A24">
        <v>703000000</v>
      </c>
      <c r="B24" s="164" t="s">
        <v>186</v>
      </c>
      <c r="C24" s="164" t="s">
        <v>187</v>
      </c>
      <c r="D24" t="s">
        <v>151</v>
      </c>
      <c r="F24" t="s">
        <v>152</v>
      </c>
      <c r="H24" t="s">
        <v>153</v>
      </c>
      <c r="J24" t="s">
        <v>154</v>
      </c>
      <c r="L24" t="s">
        <v>155</v>
      </c>
      <c r="N24" t="s">
        <v>156</v>
      </c>
      <c r="P24" t="s">
        <v>157</v>
      </c>
      <c r="R24" s="1" t="s">
        <v>158</v>
      </c>
      <c r="S24" s="1">
        <v>34</v>
      </c>
      <c r="T24" t="s">
        <v>159</v>
      </c>
      <c r="V24" t="s">
        <v>160</v>
      </c>
      <c r="X24" t="s">
        <v>161</v>
      </c>
      <c r="Z24" t="s">
        <v>162</v>
      </c>
      <c r="AB24" t="s">
        <v>163</v>
      </c>
      <c r="AD24" t="s">
        <v>164</v>
      </c>
      <c r="AF24" t="s">
        <v>165</v>
      </c>
      <c r="AH24" t="s">
        <v>166</v>
      </c>
      <c r="AJ24" t="s">
        <v>167</v>
      </c>
      <c r="AL24" t="s">
        <v>168</v>
      </c>
      <c r="AN24" t="s">
        <v>169</v>
      </c>
      <c r="AP24" t="s">
        <v>170</v>
      </c>
      <c r="AR24" t="s">
        <v>171</v>
      </c>
      <c r="AT24" t="s">
        <v>172</v>
      </c>
      <c r="AV24" t="s">
        <v>173</v>
      </c>
      <c r="AX24" t="s">
        <v>174</v>
      </c>
      <c r="AZ24" t="s">
        <v>175</v>
      </c>
    </row>
    <row r="25" spans="1:53" x14ac:dyDescent="0.35">
      <c r="A25">
        <v>703000000</v>
      </c>
      <c r="B25" s="164" t="s">
        <v>186</v>
      </c>
      <c r="C25" s="164" t="s">
        <v>79</v>
      </c>
      <c r="D25" t="s">
        <v>151</v>
      </c>
      <c r="F25" t="s">
        <v>152</v>
      </c>
      <c r="H25" t="s">
        <v>153</v>
      </c>
      <c r="J25" t="s">
        <v>154</v>
      </c>
      <c r="L25" t="s">
        <v>155</v>
      </c>
      <c r="N25" t="s">
        <v>156</v>
      </c>
      <c r="P25" t="s">
        <v>157</v>
      </c>
      <c r="R25" s="1" t="s">
        <v>158</v>
      </c>
      <c r="S25" s="1">
        <v>66</v>
      </c>
      <c r="T25" t="s">
        <v>159</v>
      </c>
      <c r="V25" t="s">
        <v>160</v>
      </c>
      <c r="X25" t="s">
        <v>161</v>
      </c>
      <c r="Z25" t="s">
        <v>162</v>
      </c>
      <c r="AB25" t="s">
        <v>163</v>
      </c>
      <c r="AD25" t="s">
        <v>164</v>
      </c>
      <c r="AF25" t="s">
        <v>165</v>
      </c>
      <c r="AH25" t="s">
        <v>166</v>
      </c>
      <c r="AJ25" t="s">
        <v>167</v>
      </c>
      <c r="AL25" t="s">
        <v>168</v>
      </c>
      <c r="AN25" t="s">
        <v>169</v>
      </c>
      <c r="AP25" t="s">
        <v>170</v>
      </c>
      <c r="AR25" t="s">
        <v>171</v>
      </c>
      <c r="AT25" t="s">
        <v>172</v>
      </c>
      <c r="AV25" t="s">
        <v>173</v>
      </c>
      <c r="AX25" t="s">
        <v>174</v>
      </c>
      <c r="AZ25" t="s">
        <v>175</v>
      </c>
    </row>
    <row r="26" spans="1:53" x14ac:dyDescent="0.35">
      <c r="A26">
        <v>703000000</v>
      </c>
      <c r="B26" s="163" t="s">
        <v>186</v>
      </c>
      <c r="C26" s="163" t="s">
        <v>81</v>
      </c>
      <c r="D26" t="s">
        <v>151</v>
      </c>
      <c r="F26" t="s">
        <v>152</v>
      </c>
      <c r="H26" t="s">
        <v>153</v>
      </c>
      <c r="J26" t="s">
        <v>154</v>
      </c>
      <c r="L26" t="s">
        <v>155</v>
      </c>
      <c r="N26" t="s">
        <v>156</v>
      </c>
      <c r="P26" t="s">
        <v>157</v>
      </c>
      <c r="R26" s="1" t="s">
        <v>158</v>
      </c>
      <c r="S26" s="1">
        <v>66</v>
      </c>
      <c r="T26" t="s">
        <v>159</v>
      </c>
      <c r="V26" t="s">
        <v>160</v>
      </c>
      <c r="X26" t="s">
        <v>161</v>
      </c>
      <c r="Z26" t="s">
        <v>162</v>
      </c>
      <c r="AB26" t="s">
        <v>163</v>
      </c>
      <c r="AD26" t="s">
        <v>164</v>
      </c>
      <c r="AF26" t="s">
        <v>165</v>
      </c>
      <c r="AH26" t="s">
        <v>166</v>
      </c>
      <c r="AJ26" t="s">
        <v>167</v>
      </c>
      <c r="AL26" t="s">
        <v>168</v>
      </c>
      <c r="AN26" t="s">
        <v>169</v>
      </c>
      <c r="AP26" t="s">
        <v>170</v>
      </c>
      <c r="AR26" t="s">
        <v>171</v>
      </c>
      <c r="AT26" t="s">
        <v>172</v>
      </c>
      <c r="AV26" t="s">
        <v>173</v>
      </c>
      <c r="AX26" t="s">
        <v>174</v>
      </c>
      <c r="AZ26" t="s">
        <v>175</v>
      </c>
    </row>
    <row r="27" spans="1:53" x14ac:dyDescent="0.35">
      <c r="A27">
        <v>703000000</v>
      </c>
      <c r="B27" s="163" t="s">
        <v>186</v>
      </c>
      <c r="C27" s="163" t="s">
        <v>84</v>
      </c>
      <c r="D27" t="s">
        <v>151</v>
      </c>
      <c r="F27" t="s">
        <v>152</v>
      </c>
      <c r="H27" t="s">
        <v>153</v>
      </c>
      <c r="J27" t="s">
        <v>154</v>
      </c>
      <c r="L27" t="s">
        <v>155</v>
      </c>
      <c r="N27" t="s">
        <v>156</v>
      </c>
      <c r="P27" t="s">
        <v>157</v>
      </c>
      <c r="R27" s="1" t="s">
        <v>158</v>
      </c>
      <c r="S27" s="1">
        <v>56</v>
      </c>
      <c r="T27" t="s">
        <v>159</v>
      </c>
      <c r="V27" t="s">
        <v>160</v>
      </c>
      <c r="X27" t="s">
        <v>161</v>
      </c>
      <c r="Z27" t="s">
        <v>162</v>
      </c>
      <c r="AB27" t="s">
        <v>163</v>
      </c>
      <c r="AD27" t="s">
        <v>164</v>
      </c>
      <c r="AF27" t="s">
        <v>165</v>
      </c>
      <c r="AH27" t="s">
        <v>166</v>
      </c>
      <c r="AJ27" t="s">
        <v>167</v>
      </c>
      <c r="AL27" t="s">
        <v>168</v>
      </c>
      <c r="AN27" t="s">
        <v>169</v>
      </c>
      <c r="AP27" t="s">
        <v>170</v>
      </c>
      <c r="AR27" t="s">
        <v>171</v>
      </c>
      <c r="AT27" t="s">
        <v>172</v>
      </c>
      <c r="AV27" t="s">
        <v>173</v>
      </c>
      <c r="AX27" t="s">
        <v>174</v>
      </c>
      <c r="AZ27" t="s">
        <v>175</v>
      </c>
    </row>
    <row r="28" spans="1:53" x14ac:dyDescent="0.35">
      <c r="A28">
        <v>703000000</v>
      </c>
      <c r="B28" s="164" t="s">
        <v>186</v>
      </c>
      <c r="C28" s="164" t="s">
        <v>188</v>
      </c>
      <c r="D28" t="s">
        <v>151</v>
      </c>
      <c r="F28" t="s">
        <v>152</v>
      </c>
      <c r="H28" t="s">
        <v>153</v>
      </c>
      <c r="J28" t="s">
        <v>154</v>
      </c>
      <c r="L28" t="s">
        <v>155</v>
      </c>
      <c r="N28" t="s">
        <v>156</v>
      </c>
      <c r="P28" t="s">
        <v>157</v>
      </c>
      <c r="R28" s="1" t="s">
        <v>158</v>
      </c>
      <c r="S28" s="1">
        <v>67</v>
      </c>
      <c r="T28" t="s">
        <v>159</v>
      </c>
      <c r="V28" t="s">
        <v>160</v>
      </c>
      <c r="X28" t="s">
        <v>161</v>
      </c>
      <c r="Z28" t="s">
        <v>162</v>
      </c>
      <c r="AB28" t="s">
        <v>163</v>
      </c>
      <c r="AD28" t="s">
        <v>164</v>
      </c>
      <c r="AF28" t="s">
        <v>165</v>
      </c>
      <c r="AH28" t="s">
        <v>166</v>
      </c>
      <c r="AJ28" t="s">
        <v>167</v>
      </c>
      <c r="AL28" t="s">
        <v>168</v>
      </c>
      <c r="AN28" t="s">
        <v>169</v>
      </c>
      <c r="AP28" t="s">
        <v>170</v>
      </c>
      <c r="AR28" t="s">
        <v>171</v>
      </c>
      <c r="AT28" t="s">
        <v>172</v>
      </c>
      <c r="AV28" t="s">
        <v>173</v>
      </c>
      <c r="AX28" t="s">
        <v>174</v>
      </c>
      <c r="AZ28" t="s">
        <v>175</v>
      </c>
    </row>
    <row r="29" spans="1:53" x14ac:dyDescent="0.35">
      <c r="A29">
        <v>703000000</v>
      </c>
      <c r="B29" s="163" t="s">
        <v>186</v>
      </c>
      <c r="C29" s="163" t="s">
        <v>189</v>
      </c>
      <c r="D29" t="s">
        <v>151</v>
      </c>
      <c r="F29" s="1" t="s">
        <v>152</v>
      </c>
      <c r="G29" s="1">
        <v>41</v>
      </c>
      <c r="H29" t="s">
        <v>153</v>
      </c>
      <c r="J29" t="s">
        <v>154</v>
      </c>
      <c r="L29" t="s">
        <v>155</v>
      </c>
      <c r="N29" t="s">
        <v>156</v>
      </c>
      <c r="P29" t="s">
        <v>157</v>
      </c>
      <c r="R29" s="1" t="s">
        <v>158</v>
      </c>
      <c r="S29" s="1"/>
      <c r="T29" t="s">
        <v>159</v>
      </c>
      <c r="V29" t="s">
        <v>160</v>
      </c>
      <c r="X29" t="s">
        <v>161</v>
      </c>
      <c r="Z29" t="s">
        <v>162</v>
      </c>
      <c r="AB29" t="s">
        <v>163</v>
      </c>
      <c r="AD29" t="s">
        <v>164</v>
      </c>
      <c r="AF29" t="s">
        <v>165</v>
      </c>
      <c r="AH29" t="s">
        <v>166</v>
      </c>
      <c r="AJ29" t="s">
        <v>167</v>
      </c>
      <c r="AL29" t="s">
        <v>168</v>
      </c>
      <c r="AN29" t="s">
        <v>169</v>
      </c>
      <c r="AP29" t="s">
        <v>170</v>
      </c>
      <c r="AR29" t="s">
        <v>171</v>
      </c>
      <c r="AT29" t="s">
        <v>172</v>
      </c>
      <c r="AV29" t="s">
        <v>173</v>
      </c>
      <c r="AX29" t="s">
        <v>174</v>
      </c>
      <c r="AZ29" t="s">
        <v>175</v>
      </c>
    </row>
    <row r="30" spans="1:53" x14ac:dyDescent="0.35">
      <c r="A30">
        <v>703000000</v>
      </c>
      <c r="B30" s="164" t="s">
        <v>186</v>
      </c>
      <c r="C30" s="164" t="s">
        <v>190</v>
      </c>
      <c r="D30" t="s">
        <v>151</v>
      </c>
      <c r="F30" t="s">
        <v>152</v>
      </c>
      <c r="H30" t="s">
        <v>153</v>
      </c>
      <c r="J30" t="s">
        <v>154</v>
      </c>
      <c r="L30" t="s">
        <v>155</v>
      </c>
      <c r="N30" t="s">
        <v>156</v>
      </c>
      <c r="P30" t="s">
        <v>157</v>
      </c>
      <c r="R30" s="1" t="s">
        <v>158</v>
      </c>
      <c r="S30" s="1">
        <v>27</v>
      </c>
      <c r="T30" t="s">
        <v>159</v>
      </c>
      <c r="V30" t="s">
        <v>160</v>
      </c>
      <c r="X30" t="s">
        <v>161</v>
      </c>
      <c r="Z30" t="s">
        <v>162</v>
      </c>
      <c r="AB30" t="s">
        <v>163</v>
      </c>
      <c r="AD30" t="s">
        <v>164</v>
      </c>
      <c r="AF30" t="s">
        <v>165</v>
      </c>
      <c r="AH30" t="s">
        <v>166</v>
      </c>
      <c r="AJ30" t="s">
        <v>167</v>
      </c>
      <c r="AL30" t="s">
        <v>168</v>
      </c>
      <c r="AN30" t="s">
        <v>169</v>
      </c>
      <c r="AP30" t="s">
        <v>170</v>
      </c>
      <c r="AR30" t="s">
        <v>171</v>
      </c>
      <c r="AT30" t="s">
        <v>172</v>
      </c>
      <c r="AV30" t="s">
        <v>173</v>
      </c>
      <c r="AX30" t="s">
        <v>174</v>
      </c>
      <c r="AZ30" t="s">
        <v>175</v>
      </c>
    </row>
    <row r="31" spans="1:53" x14ac:dyDescent="0.35">
      <c r="A31">
        <v>704000000</v>
      </c>
      <c r="B31" s="164" t="s">
        <v>191</v>
      </c>
      <c r="C31" s="166" t="s">
        <v>192</v>
      </c>
      <c r="D31" t="s">
        <v>151</v>
      </c>
      <c r="F31" t="s">
        <v>152</v>
      </c>
      <c r="H31" t="s">
        <v>153</v>
      </c>
      <c r="J31" t="s">
        <v>154</v>
      </c>
      <c r="L31" t="s">
        <v>155</v>
      </c>
      <c r="N31" t="s">
        <v>156</v>
      </c>
      <c r="P31" t="s">
        <v>157</v>
      </c>
      <c r="R31" t="s">
        <v>158</v>
      </c>
      <c r="T31" t="s">
        <v>159</v>
      </c>
      <c r="V31" t="s">
        <v>160</v>
      </c>
      <c r="X31" t="s">
        <v>161</v>
      </c>
      <c r="Z31" t="s">
        <v>162</v>
      </c>
      <c r="AB31" t="s">
        <v>163</v>
      </c>
      <c r="AD31" t="s">
        <v>164</v>
      </c>
      <c r="AF31" t="s">
        <v>165</v>
      </c>
      <c r="AG31">
        <v>59</v>
      </c>
      <c r="AH31" t="s">
        <v>166</v>
      </c>
      <c r="AJ31" t="s">
        <v>167</v>
      </c>
      <c r="AL31" t="s">
        <v>168</v>
      </c>
      <c r="AN31" t="s">
        <v>169</v>
      </c>
      <c r="AP31" t="s">
        <v>170</v>
      </c>
      <c r="AR31" t="s">
        <v>171</v>
      </c>
      <c r="AT31" t="s">
        <v>172</v>
      </c>
      <c r="AV31" t="s">
        <v>173</v>
      </c>
      <c r="AX31" t="s">
        <v>174</v>
      </c>
      <c r="AZ31" t="s">
        <v>175</v>
      </c>
    </row>
    <row r="32" spans="1:53" x14ac:dyDescent="0.35">
      <c r="A32">
        <v>704000000</v>
      </c>
      <c r="B32" s="163" t="s">
        <v>191</v>
      </c>
      <c r="C32" s="163" t="s">
        <v>86</v>
      </c>
      <c r="D32" t="s">
        <v>151</v>
      </c>
      <c r="F32" t="s">
        <v>152</v>
      </c>
      <c r="H32" t="s">
        <v>153</v>
      </c>
      <c r="J32" t="s">
        <v>154</v>
      </c>
      <c r="L32" t="s">
        <v>155</v>
      </c>
      <c r="N32" t="s">
        <v>156</v>
      </c>
      <c r="P32" t="s">
        <v>157</v>
      </c>
      <c r="R32" t="s">
        <v>158</v>
      </c>
      <c r="S32">
        <v>74</v>
      </c>
      <c r="T32" t="s">
        <v>159</v>
      </c>
      <c r="V32" t="s">
        <v>160</v>
      </c>
      <c r="X32" t="s">
        <v>161</v>
      </c>
      <c r="Z32" t="s">
        <v>162</v>
      </c>
      <c r="AB32" t="s">
        <v>163</v>
      </c>
      <c r="AD32" t="s">
        <v>164</v>
      </c>
      <c r="AF32" t="s">
        <v>165</v>
      </c>
      <c r="AH32" t="s">
        <v>166</v>
      </c>
      <c r="AJ32" t="s">
        <v>167</v>
      </c>
      <c r="AL32" t="s">
        <v>168</v>
      </c>
      <c r="AN32" t="s">
        <v>169</v>
      </c>
      <c r="AP32" t="s">
        <v>170</v>
      </c>
      <c r="AR32" t="s">
        <v>171</v>
      </c>
      <c r="AT32" t="s">
        <v>172</v>
      </c>
      <c r="AV32" t="s">
        <v>173</v>
      </c>
      <c r="AX32" t="s">
        <v>174</v>
      </c>
      <c r="AZ32" t="s">
        <v>175</v>
      </c>
    </row>
    <row r="33" spans="1:53" x14ac:dyDescent="0.35">
      <c r="A33">
        <v>704000000</v>
      </c>
      <c r="B33" s="163" t="s">
        <v>191</v>
      </c>
      <c r="C33" s="163" t="s">
        <v>193</v>
      </c>
      <c r="D33" t="s">
        <v>151</v>
      </c>
      <c r="F33" t="s">
        <v>152</v>
      </c>
      <c r="H33" t="s">
        <v>153</v>
      </c>
      <c r="J33" t="s">
        <v>154</v>
      </c>
      <c r="L33" t="s">
        <v>155</v>
      </c>
      <c r="N33" t="s">
        <v>156</v>
      </c>
      <c r="P33" t="s">
        <v>157</v>
      </c>
      <c r="R33" t="s">
        <v>158</v>
      </c>
      <c r="T33" t="s">
        <v>159</v>
      </c>
      <c r="V33" t="s">
        <v>160</v>
      </c>
      <c r="X33" t="s">
        <v>161</v>
      </c>
      <c r="Z33" t="s">
        <v>162</v>
      </c>
      <c r="AB33" t="s">
        <v>163</v>
      </c>
      <c r="AD33" t="s">
        <v>164</v>
      </c>
      <c r="AE33">
        <v>30</v>
      </c>
      <c r="AF33" t="s">
        <v>165</v>
      </c>
      <c r="AH33" t="s">
        <v>166</v>
      </c>
      <c r="AJ33" t="s">
        <v>167</v>
      </c>
      <c r="AL33" t="s">
        <v>168</v>
      </c>
      <c r="AN33" t="s">
        <v>169</v>
      </c>
      <c r="AP33" t="s">
        <v>170</v>
      </c>
      <c r="AQ33">
        <v>35</v>
      </c>
      <c r="AR33" t="s">
        <v>171</v>
      </c>
      <c r="AT33" t="s">
        <v>172</v>
      </c>
      <c r="AV33" t="s">
        <v>173</v>
      </c>
      <c r="AX33" t="s">
        <v>174</v>
      </c>
      <c r="AZ33" t="s">
        <v>175</v>
      </c>
    </row>
    <row r="34" spans="1:53" x14ac:dyDescent="0.35">
      <c r="A34">
        <v>704000000</v>
      </c>
      <c r="B34" s="164" t="s">
        <v>191</v>
      </c>
      <c r="C34" s="164" t="s">
        <v>87</v>
      </c>
      <c r="D34" t="s">
        <v>151</v>
      </c>
      <c r="F34" t="s">
        <v>152</v>
      </c>
      <c r="H34" t="s">
        <v>153</v>
      </c>
      <c r="J34" t="s">
        <v>154</v>
      </c>
      <c r="L34" t="s">
        <v>155</v>
      </c>
      <c r="N34" t="s">
        <v>156</v>
      </c>
      <c r="P34" t="s">
        <v>157</v>
      </c>
      <c r="R34" t="s">
        <v>158</v>
      </c>
      <c r="S34">
        <v>27</v>
      </c>
      <c r="T34" t="s">
        <v>159</v>
      </c>
      <c r="V34" t="s">
        <v>160</v>
      </c>
      <c r="X34" t="s">
        <v>161</v>
      </c>
      <c r="Z34" t="s">
        <v>162</v>
      </c>
      <c r="AB34" t="s">
        <v>163</v>
      </c>
      <c r="AD34" t="s">
        <v>164</v>
      </c>
      <c r="AF34" t="s">
        <v>165</v>
      </c>
      <c r="AH34" t="s">
        <v>166</v>
      </c>
      <c r="AJ34" t="s">
        <v>167</v>
      </c>
      <c r="AL34" t="s">
        <v>168</v>
      </c>
      <c r="AN34" t="s">
        <v>169</v>
      </c>
      <c r="AP34" t="s">
        <v>170</v>
      </c>
      <c r="AR34" t="s">
        <v>171</v>
      </c>
      <c r="AT34" t="s">
        <v>172</v>
      </c>
      <c r="AV34" t="s">
        <v>173</v>
      </c>
      <c r="AX34" t="s">
        <v>174</v>
      </c>
      <c r="AZ34" t="s">
        <v>175</v>
      </c>
    </row>
    <row r="35" spans="1:53" x14ac:dyDescent="0.35">
      <c r="A35">
        <v>704000000</v>
      </c>
      <c r="B35" s="164" t="s">
        <v>191</v>
      </c>
      <c r="C35" s="164" t="s">
        <v>63</v>
      </c>
      <c r="D35" t="s">
        <v>151</v>
      </c>
      <c r="F35" t="s">
        <v>152</v>
      </c>
      <c r="H35" t="s">
        <v>153</v>
      </c>
      <c r="J35" t="s">
        <v>154</v>
      </c>
      <c r="L35" t="s">
        <v>155</v>
      </c>
      <c r="N35" t="s">
        <v>156</v>
      </c>
      <c r="P35" t="s">
        <v>157</v>
      </c>
      <c r="R35" t="s">
        <v>158</v>
      </c>
      <c r="T35" t="s">
        <v>159</v>
      </c>
      <c r="V35" t="s">
        <v>160</v>
      </c>
      <c r="X35" t="s">
        <v>161</v>
      </c>
      <c r="Z35" t="s">
        <v>162</v>
      </c>
      <c r="AB35" t="s">
        <v>163</v>
      </c>
      <c r="AD35" t="s">
        <v>164</v>
      </c>
      <c r="AF35" t="s">
        <v>165</v>
      </c>
      <c r="AH35" t="s">
        <v>166</v>
      </c>
      <c r="AJ35" t="s">
        <v>167</v>
      </c>
      <c r="AL35" t="s">
        <v>168</v>
      </c>
      <c r="AN35" t="s">
        <v>169</v>
      </c>
      <c r="AP35" t="s">
        <v>170</v>
      </c>
      <c r="AQ35">
        <v>89</v>
      </c>
      <c r="AR35" t="s">
        <v>171</v>
      </c>
      <c r="AT35" t="s">
        <v>172</v>
      </c>
      <c r="AV35" t="s">
        <v>173</v>
      </c>
      <c r="AX35" t="s">
        <v>174</v>
      </c>
      <c r="AZ35" t="s">
        <v>175</v>
      </c>
    </row>
    <row r="36" spans="1:53" x14ac:dyDescent="0.35">
      <c r="A36">
        <v>704000000</v>
      </c>
      <c r="B36" s="163" t="s">
        <v>191</v>
      </c>
      <c r="C36" s="163" t="s">
        <v>64</v>
      </c>
      <c r="D36" t="s">
        <v>151</v>
      </c>
      <c r="F36" t="s">
        <v>152</v>
      </c>
      <c r="H36" t="s">
        <v>153</v>
      </c>
      <c r="J36" t="s">
        <v>154</v>
      </c>
      <c r="L36" t="s">
        <v>155</v>
      </c>
      <c r="N36" t="s">
        <v>156</v>
      </c>
      <c r="P36" t="s">
        <v>157</v>
      </c>
      <c r="R36" t="s">
        <v>158</v>
      </c>
      <c r="T36" t="s">
        <v>159</v>
      </c>
      <c r="V36" t="s">
        <v>160</v>
      </c>
      <c r="X36" t="s">
        <v>161</v>
      </c>
      <c r="Z36" t="s">
        <v>162</v>
      </c>
      <c r="AB36" t="s">
        <v>163</v>
      </c>
      <c r="AD36" t="s">
        <v>164</v>
      </c>
      <c r="AF36" t="s">
        <v>165</v>
      </c>
      <c r="AH36" t="s">
        <v>166</v>
      </c>
      <c r="AJ36" t="s">
        <v>167</v>
      </c>
      <c r="AL36" t="s">
        <v>168</v>
      </c>
      <c r="AN36" t="s">
        <v>169</v>
      </c>
      <c r="AP36" t="s">
        <v>170</v>
      </c>
      <c r="AQ36">
        <v>41</v>
      </c>
      <c r="AR36" t="s">
        <v>171</v>
      </c>
      <c r="AT36" t="s">
        <v>172</v>
      </c>
      <c r="AV36" t="s">
        <v>173</v>
      </c>
      <c r="AX36" t="s">
        <v>174</v>
      </c>
      <c r="AZ36" t="s">
        <v>175</v>
      </c>
    </row>
    <row r="37" spans="1:53" x14ac:dyDescent="0.35">
      <c r="A37">
        <v>704000000</v>
      </c>
      <c r="B37" s="164" t="s">
        <v>191</v>
      </c>
      <c r="C37" s="164" t="s">
        <v>194</v>
      </c>
      <c r="D37" t="s">
        <v>151</v>
      </c>
      <c r="F37" t="s">
        <v>152</v>
      </c>
      <c r="H37" t="s">
        <v>153</v>
      </c>
      <c r="J37" t="s">
        <v>154</v>
      </c>
      <c r="L37" t="s">
        <v>155</v>
      </c>
      <c r="N37" t="s">
        <v>156</v>
      </c>
      <c r="P37" t="s">
        <v>157</v>
      </c>
      <c r="R37" t="s">
        <v>158</v>
      </c>
      <c r="T37" t="s">
        <v>159</v>
      </c>
      <c r="V37" t="s">
        <v>160</v>
      </c>
      <c r="X37" t="s">
        <v>161</v>
      </c>
      <c r="Z37" t="s">
        <v>162</v>
      </c>
      <c r="AB37" t="s">
        <v>163</v>
      </c>
      <c r="AD37" t="s">
        <v>164</v>
      </c>
      <c r="AF37" t="s">
        <v>165</v>
      </c>
      <c r="AH37" t="s">
        <v>166</v>
      </c>
      <c r="AJ37" t="s">
        <v>167</v>
      </c>
      <c r="AL37" t="s">
        <v>168</v>
      </c>
      <c r="AN37" t="s">
        <v>169</v>
      </c>
      <c r="AP37" t="s">
        <v>170</v>
      </c>
      <c r="AQ37">
        <v>18</v>
      </c>
      <c r="AR37" t="s">
        <v>171</v>
      </c>
      <c r="AT37" t="s">
        <v>172</v>
      </c>
      <c r="AV37" t="s">
        <v>173</v>
      </c>
      <c r="AX37" t="s">
        <v>174</v>
      </c>
      <c r="AZ37" t="s">
        <v>175</v>
      </c>
    </row>
    <row r="38" spans="1:53" x14ac:dyDescent="0.35">
      <c r="A38">
        <v>705000000</v>
      </c>
      <c r="B38" s="163" t="s">
        <v>195</v>
      </c>
      <c r="C38" s="163" t="s">
        <v>196</v>
      </c>
      <c r="D38" t="s">
        <v>151</v>
      </c>
      <c r="E38">
        <v>0</v>
      </c>
      <c r="F38" t="s">
        <v>152</v>
      </c>
      <c r="G38">
        <v>8</v>
      </c>
      <c r="H38" t="s">
        <v>153</v>
      </c>
      <c r="I38">
        <v>0</v>
      </c>
      <c r="J38" t="s">
        <v>154</v>
      </c>
      <c r="K38">
        <v>0</v>
      </c>
      <c r="L38" t="s">
        <v>155</v>
      </c>
      <c r="M38">
        <v>0</v>
      </c>
      <c r="N38" t="s">
        <v>156</v>
      </c>
      <c r="O38">
        <v>0</v>
      </c>
      <c r="P38" t="s">
        <v>157</v>
      </c>
      <c r="Q38">
        <v>0</v>
      </c>
      <c r="R38" t="s">
        <v>158</v>
      </c>
      <c r="S38">
        <v>0</v>
      </c>
      <c r="T38" t="s">
        <v>159</v>
      </c>
      <c r="U38">
        <v>0</v>
      </c>
      <c r="V38" t="s">
        <v>160</v>
      </c>
      <c r="W38">
        <v>0</v>
      </c>
      <c r="X38" t="s">
        <v>161</v>
      </c>
      <c r="Y38">
        <v>0</v>
      </c>
      <c r="Z38" t="s">
        <v>162</v>
      </c>
      <c r="AA38">
        <v>0</v>
      </c>
      <c r="AB38" t="s">
        <v>163</v>
      </c>
      <c r="AC38">
        <v>0</v>
      </c>
      <c r="AD38" t="s">
        <v>164</v>
      </c>
      <c r="AE38">
        <v>0</v>
      </c>
      <c r="AF38" t="s">
        <v>165</v>
      </c>
      <c r="AG38">
        <v>0</v>
      </c>
      <c r="AH38" t="s">
        <v>166</v>
      </c>
      <c r="AI38">
        <v>0</v>
      </c>
      <c r="AJ38" t="s">
        <v>167</v>
      </c>
      <c r="AK38">
        <v>0</v>
      </c>
      <c r="AL38" t="s">
        <v>168</v>
      </c>
      <c r="AM38">
        <v>0</v>
      </c>
      <c r="AN38" t="s">
        <v>169</v>
      </c>
      <c r="AO38">
        <v>0</v>
      </c>
      <c r="AP38" t="s">
        <v>170</v>
      </c>
      <c r="AQ38">
        <v>0</v>
      </c>
      <c r="AR38" t="s">
        <v>171</v>
      </c>
      <c r="AS38">
        <v>0</v>
      </c>
      <c r="AT38" t="s">
        <v>172</v>
      </c>
      <c r="AU38">
        <v>0</v>
      </c>
      <c r="AV38" t="s">
        <v>173</v>
      </c>
      <c r="AW38">
        <v>0</v>
      </c>
      <c r="AX38" t="s">
        <v>174</v>
      </c>
      <c r="AY38">
        <v>0</v>
      </c>
      <c r="AZ38" t="s">
        <v>175</v>
      </c>
      <c r="BA38">
        <v>0</v>
      </c>
    </row>
    <row r="39" spans="1:53" x14ac:dyDescent="0.35">
      <c r="A39">
        <v>705000000</v>
      </c>
      <c r="B39" s="164" t="s">
        <v>195</v>
      </c>
      <c r="C39" s="164" t="s">
        <v>38</v>
      </c>
      <c r="D39" t="s">
        <v>151</v>
      </c>
      <c r="E39">
        <v>0</v>
      </c>
      <c r="F39" t="s">
        <v>152</v>
      </c>
      <c r="G39">
        <v>0</v>
      </c>
      <c r="H39" t="s">
        <v>153</v>
      </c>
      <c r="I39">
        <v>0</v>
      </c>
      <c r="J39" t="s">
        <v>154</v>
      </c>
      <c r="K39">
        <v>12</v>
      </c>
      <c r="L39" t="s">
        <v>155</v>
      </c>
      <c r="M39">
        <v>0</v>
      </c>
      <c r="N39" t="s">
        <v>156</v>
      </c>
      <c r="O39">
        <v>0</v>
      </c>
      <c r="P39" t="s">
        <v>157</v>
      </c>
      <c r="Q39">
        <v>0</v>
      </c>
      <c r="R39" t="s">
        <v>158</v>
      </c>
      <c r="S39">
        <v>19</v>
      </c>
      <c r="T39" t="s">
        <v>159</v>
      </c>
      <c r="U39">
        <v>0</v>
      </c>
      <c r="V39" t="s">
        <v>160</v>
      </c>
      <c r="W39">
        <v>0</v>
      </c>
      <c r="X39" t="s">
        <v>161</v>
      </c>
      <c r="Y39">
        <v>0</v>
      </c>
      <c r="Z39" t="s">
        <v>162</v>
      </c>
      <c r="AA39">
        <v>0</v>
      </c>
      <c r="AB39" t="s">
        <v>163</v>
      </c>
      <c r="AC39">
        <v>0</v>
      </c>
      <c r="AD39" t="s">
        <v>164</v>
      </c>
      <c r="AE39">
        <v>0</v>
      </c>
      <c r="AF39" t="s">
        <v>165</v>
      </c>
      <c r="AG39">
        <v>0</v>
      </c>
      <c r="AH39" t="s">
        <v>166</v>
      </c>
      <c r="AI39">
        <v>0</v>
      </c>
      <c r="AJ39" t="s">
        <v>167</v>
      </c>
      <c r="AK39">
        <v>0</v>
      </c>
      <c r="AL39" t="s">
        <v>168</v>
      </c>
      <c r="AM39">
        <v>48</v>
      </c>
      <c r="AN39" t="s">
        <v>169</v>
      </c>
      <c r="AO39">
        <v>0</v>
      </c>
      <c r="AP39" t="s">
        <v>170</v>
      </c>
      <c r="AQ39">
        <v>0</v>
      </c>
      <c r="AR39" t="s">
        <v>171</v>
      </c>
      <c r="AS39">
        <v>0</v>
      </c>
      <c r="AT39" t="s">
        <v>172</v>
      </c>
      <c r="AU39">
        <v>0</v>
      </c>
      <c r="AV39" t="s">
        <v>173</v>
      </c>
      <c r="AW39">
        <v>0</v>
      </c>
      <c r="AX39" t="s">
        <v>174</v>
      </c>
      <c r="AY39">
        <v>11</v>
      </c>
      <c r="AZ39" t="s">
        <v>175</v>
      </c>
      <c r="BA39">
        <v>0</v>
      </c>
    </row>
    <row r="40" spans="1:53" x14ac:dyDescent="0.35">
      <c r="A40">
        <v>705000000</v>
      </c>
      <c r="B40" s="163" t="s">
        <v>195</v>
      </c>
      <c r="C40" s="163" t="s">
        <v>197</v>
      </c>
      <c r="D40" t="s">
        <v>151</v>
      </c>
      <c r="E40">
        <v>0</v>
      </c>
      <c r="F40" t="s">
        <v>152</v>
      </c>
      <c r="G40">
        <v>0</v>
      </c>
      <c r="H40" t="s">
        <v>153</v>
      </c>
      <c r="I40">
        <v>0</v>
      </c>
      <c r="J40" t="s">
        <v>154</v>
      </c>
      <c r="K40">
        <v>0</v>
      </c>
      <c r="L40" t="s">
        <v>155</v>
      </c>
      <c r="M40">
        <v>0</v>
      </c>
      <c r="N40" t="s">
        <v>156</v>
      </c>
      <c r="O40">
        <v>0</v>
      </c>
      <c r="P40" t="s">
        <v>157</v>
      </c>
      <c r="Q40">
        <v>0</v>
      </c>
      <c r="R40" t="s">
        <v>158</v>
      </c>
      <c r="S40">
        <v>0</v>
      </c>
      <c r="T40" t="s">
        <v>159</v>
      </c>
      <c r="U40">
        <v>0</v>
      </c>
      <c r="V40" t="s">
        <v>160</v>
      </c>
      <c r="W40">
        <v>0</v>
      </c>
      <c r="X40" t="s">
        <v>161</v>
      </c>
      <c r="Y40">
        <v>0</v>
      </c>
      <c r="Z40" t="s">
        <v>162</v>
      </c>
      <c r="AA40">
        <v>0</v>
      </c>
      <c r="AB40" t="s">
        <v>163</v>
      </c>
      <c r="AC40">
        <v>0</v>
      </c>
      <c r="AD40" t="s">
        <v>164</v>
      </c>
      <c r="AE40">
        <v>0</v>
      </c>
      <c r="AF40" t="s">
        <v>165</v>
      </c>
      <c r="AG40">
        <v>22</v>
      </c>
      <c r="AH40" t="s">
        <v>166</v>
      </c>
      <c r="AI40">
        <v>0</v>
      </c>
      <c r="AJ40" t="s">
        <v>167</v>
      </c>
      <c r="AK40">
        <v>0</v>
      </c>
      <c r="AL40" t="s">
        <v>168</v>
      </c>
      <c r="AM40">
        <v>0</v>
      </c>
      <c r="AN40" t="s">
        <v>169</v>
      </c>
      <c r="AO40">
        <v>0</v>
      </c>
      <c r="AP40" t="s">
        <v>170</v>
      </c>
      <c r="AQ40">
        <v>0</v>
      </c>
      <c r="AR40" t="s">
        <v>171</v>
      </c>
      <c r="AS40">
        <v>0</v>
      </c>
      <c r="AT40" t="s">
        <v>172</v>
      </c>
      <c r="AU40">
        <v>0</v>
      </c>
      <c r="AV40" t="s">
        <v>173</v>
      </c>
      <c r="AW40">
        <v>0</v>
      </c>
      <c r="AX40" t="s">
        <v>174</v>
      </c>
      <c r="AY40">
        <v>0</v>
      </c>
      <c r="AZ40" t="s">
        <v>175</v>
      </c>
      <c r="BA40">
        <v>0</v>
      </c>
    </row>
    <row r="41" spans="1:53" x14ac:dyDescent="0.35">
      <c r="A41">
        <v>705000000</v>
      </c>
      <c r="B41" s="164" t="s">
        <v>195</v>
      </c>
      <c r="C41" s="164" t="s">
        <v>40</v>
      </c>
      <c r="D41" t="s">
        <v>151</v>
      </c>
      <c r="E41">
        <v>0</v>
      </c>
      <c r="F41" t="s">
        <v>152</v>
      </c>
      <c r="G41">
        <v>0</v>
      </c>
      <c r="H41" t="s">
        <v>153</v>
      </c>
      <c r="I41">
        <v>0</v>
      </c>
      <c r="J41" t="s">
        <v>154</v>
      </c>
      <c r="K41">
        <v>0</v>
      </c>
      <c r="L41" t="s">
        <v>155</v>
      </c>
      <c r="M41">
        <v>0</v>
      </c>
      <c r="N41" t="s">
        <v>156</v>
      </c>
      <c r="O41">
        <v>0</v>
      </c>
      <c r="P41" t="s">
        <v>157</v>
      </c>
      <c r="Q41">
        <v>0</v>
      </c>
      <c r="R41" t="s">
        <v>158</v>
      </c>
      <c r="S41">
        <v>0</v>
      </c>
      <c r="T41" t="s">
        <v>159</v>
      </c>
      <c r="U41">
        <v>0</v>
      </c>
      <c r="V41" t="s">
        <v>160</v>
      </c>
      <c r="W41">
        <v>0</v>
      </c>
      <c r="X41" t="s">
        <v>161</v>
      </c>
      <c r="Y41">
        <v>30</v>
      </c>
      <c r="Z41" t="s">
        <v>162</v>
      </c>
      <c r="AA41">
        <v>0</v>
      </c>
      <c r="AB41" t="s">
        <v>163</v>
      </c>
      <c r="AC41">
        <v>0</v>
      </c>
      <c r="AD41" t="s">
        <v>164</v>
      </c>
      <c r="AE41">
        <v>0</v>
      </c>
      <c r="AF41" t="s">
        <v>165</v>
      </c>
      <c r="AG41">
        <v>0</v>
      </c>
      <c r="AH41" t="s">
        <v>166</v>
      </c>
      <c r="AI41">
        <v>0</v>
      </c>
      <c r="AJ41" t="s">
        <v>167</v>
      </c>
      <c r="AK41">
        <v>0</v>
      </c>
      <c r="AL41" t="s">
        <v>168</v>
      </c>
      <c r="AM41">
        <v>0</v>
      </c>
      <c r="AN41" t="s">
        <v>169</v>
      </c>
      <c r="AO41">
        <v>0</v>
      </c>
      <c r="AP41" t="s">
        <v>170</v>
      </c>
      <c r="AQ41">
        <v>0</v>
      </c>
      <c r="AR41" t="s">
        <v>171</v>
      </c>
      <c r="AS41">
        <v>0</v>
      </c>
      <c r="AT41" t="s">
        <v>172</v>
      </c>
      <c r="AU41">
        <v>0</v>
      </c>
      <c r="AV41" t="s">
        <v>173</v>
      </c>
      <c r="AW41">
        <v>0</v>
      </c>
      <c r="AX41" t="s">
        <v>174</v>
      </c>
      <c r="AY41">
        <v>0</v>
      </c>
      <c r="AZ41" t="s">
        <v>175</v>
      </c>
      <c r="BA41">
        <v>0</v>
      </c>
    </row>
    <row r="42" spans="1:53" x14ac:dyDescent="0.35">
      <c r="A42">
        <v>705000000</v>
      </c>
      <c r="B42" s="164" t="s">
        <v>195</v>
      </c>
      <c r="C42" s="164" t="s">
        <v>66</v>
      </c>
      <c r="D42" t="s">
        <v>151</v>
      </c>
      <c r="E42">
        <v>0</v>
      </c>
      <c r="F42" t="s">
        <v>152</v>
      </c>
      <c r="G42">
        <v>0</v>
      </c>
      <c r="H42" t="s">
        <v>153</v>
      </c>
      <c r="I42">
        <v>0</v>
      </c>
      <c r="J42" t="s">
        <v>154</v>
      </c>
      <c r="K42">
        <v>0</v>
      </c>
      <c r="L42" t="s">
        <v>155</v>
      </c>
      <c r="M42">
        <v>0</v>
      </c>
      <c r="N42" t="s">
        <v>156</v>
      </c>
      <c r="O42">
        <v>0</v>
      </c>
      <c r="P42" t="s">
        <v>157</v>
      </c>
      <c r="Q42">
        <v>0</v>
      </c>
      <c r="R42" t="s">
        <v>158</v>
      </c>
      <c r="S42">
        <v>8</v>
      </c>
      <c r="T42" t="s">
        <v>159</v>
      </c>
      <c r="U42">
        <v>0</v>
      </c>
      <c r="V42" t="s">
        <v>160</v>
      </c>
      <c r="W42">
        <v>0</v>
      </c>
      <c r="X42" t="s">
        <v>161</v>
      </c>
      <c r="Y42">
        <v>0</v>
      </c>
      <c r="Z42" t="s">
        <v>162</v>
      </c>
      <c r="AA42">
        <v>0</v>
      </c>
      <c r="AB42" t="s">
        <v>163</v>
      </c>
      <c r="AC42">
        <v>0</v>
      </c>
      <c r="AD42" t="s">
        <v>164</v>
      </c>
      <c r="AE42">
        <v>0</v>
      </c>
      <c r="AF42" t="s">
        <v>165</v>
      </c>
      <c r="AG42">
        <v>0</v>
      </c>
      <c r="AH42" t="s">
        <v>166</v>
      </c>
      <c r="AI42">
        <v>0</v>
      </c>
      <c r="AJ42" t="s">
        <v>167</v>
      </c>
      <c r="AK42">
        <v>0</v>
      </c>
      <c r="AL42" t="s">
        <v>168</v>
      </c>
      <c r="AM42">
        <v>0</v>
      </c>
      <c r="AN42" t="s">
        <v>169</v>
      </c>
      <c r="AO42">
        <v>0</v>
      </c>
      <c r="AP42" t="s">
        <v>170</v>
      </c>
      <c r="AQ42">
        <v>72</v>
      </c>
      <c r="AR42" t="s">
        <v>171</v>
      </c>
      <c r="AS42">
        <v>0</v>
      </c>
      <c r="AT42" t="s">
        <v>172</v>
      </c>
      <c r="AU42">
        <v>0</v>
      </c>
      <c r="AV42" t="s">
        <v>173</v>
      </c>
      <c r="AW42">
        <v>0</v>
      </c>
      <c r="AX42" t="s">
        <v>174</v>
      </c>
      <c r="AY42">
        <v>0</v>
      </c>
      <c r="AZ42" t="s">
        <v>175</v>
      </c>
      <c r="BA42">
        <v>0</v>
      </c>
    </row>
    <row r="43" spans="1:53" x14ac:dyDescent="0.35">
      <c r="A43">
        <v>706000000</v>
      </c>
      <c r="B43" s="164" t="s">
        <v>198</v>
      </c>
      <c r="C43" s="164" t="s">
        <v>199</v>
      </c>
      <c r="D43" t="s">
        <v>151</v>
      </c>
      <c r="E43">
        <v>0</v>
      </c>
      <c r="F43" t="s">
        <v>152</v>
      </c>
      <c r="G43">
        <v>0</v>
      </c>
      <c r="H43" t="s">
        <v>153</v>
      </c>
      <c r="J43" t="s">
        <v>154</v>
      </c>
      <c r="K43">
        <v>117</v>
      </c>
      <c r="L43" t="s">
        <v>155</v>
      </c>
      <c r="M43">
        <v>0</v>
      </c>
      <c r="N43" t="s">
        <v>156</v>
      </c>
      <c r="O43">
        <v>0</v>
      </c>
      <c r="P43" t="s">
        <v>157</v>
      </c>
      <c r="Q43">
        <v>0</v>
      </c>
      <c r="R43" t="s">
        <v>158</v>
      </c>
      <c r="S43">
        <v>0</v>
      </c>
      <c r="T43" t="s">
        <v>159</v>
      </c>
      <c r="U43">
        <v>0</v>
      </c>
      <c r="V43" t="s">
        <v>160</v>
      </c>
      <c r="W43">
        <v>0</v>
      </c>
      <c r="X43" t="s">
        <v>161</v>
      </c>
      <c r="Y43">
        <v>0</v>
      </c>
      <c r="Z43" t="s">
        <v>162</v>
      </c>
      <c r="AA43">
        <v>0</v>
      </c>
      <c r="AB43" t="s">
        <v>163</v>
      </c>
      <c r="AC43">
        <v>0</v>
      </c>
      <c r="AD43" t="s">
        <v>164</v>
      </c>
      <c r="AE43">
        <v>0</v>
      </c>
      <c r="AF43" t="s">
        <v>165</v>
      </c>
      <c r="AG43">
        <v>0</v>
      </c>
      <c r="AH43" t="s">
        <v>166</v>
      </c>
      <c r="AI43">
        <v>0</v>
      </c>
      <c r="AJ43" t="s">
        <v>167</v>
      </c>
      <c r="AK43">
        <v>0</v>
      </c>
      <c r="AL43" t="s">
        <v>168</v>
      </c>
      <c r="AM43">
        <v>0</v>
      </c>
      <c r="AN43" t="s">
        <v>169</v>
      </c>
      <c r="AO43">
        <v>0</v>
      </c>
      <c r="AP43" t="s">
        <v>170</v>
      </c>
      <c r="AQ43">
        <v>0</v>
      </c>
      <c r="AR43" t="s">
        <v>171</v>
      </c>
      <c r="AS43">
        <v>0</v>
      </c>
      <c r="AT43" t="s">
        <v>172</v>
      </c>
      <c r="AU43">
        <v>0</v>
      </c>
      <c r="AV43" t="s">
        <v>173</v>
      </c>
      <c r="AW43">
        <v>0</v>
      </c>
      <c r="AX43" t="s">
        <v>174</v>
      </c>
      <c r="AY43">
        <v>0</v>
      </c>
      <c r="AZ43" t="s">
        <v>175</v>
      </c>
      <c r="BA43">
        <v>0</v>
      </c>
    </row>
    <row r="44" spans="1:53" x14ac:dyDescent="0.35">
      <c r="A44">
        <v>707000000</v>
      </c>
      <c r="B44" s="163" t="s">
        <v>200</v>
      </c>
      <c r="C44" s="163" t="s">
        <v>201</v>
      </c>
      <c r="D44" t="s">
        <v>151</v>
      </c>
      <c r="F44" t="s">
        <v>152</v>
      </c>
      <c r="G44" s="1">
        <v>6</v>
      </c>
      <c r="H44" t="s">
        <v>153</v>
      </c>
      <c r="J44" t="s">
        <v>154</v>
      </c>
      <c r="K44" s="1">
        <v>45</v>
      </c>
      <c r="L44" t="s">
        <v>155</v>
      </c>
      <c r="N44" t="s">
        <v>156</v>
      </c>
      <c r="P44" t="s">
        <v>157</v>
      </c>
      <c r="R44" t="s">
        <v>158</v>
      </c>
      <c r="T44" t="s">
        <v>159</v>
      </c>
      <c r="V44" t="s">
        <v>160</v>
      </c>
      <c r="X44" t="s">
        <v>161</v>
      </c>
      <c r="Z44" t="s">
        <v>162</v>
      </c>
      <c r="AB44" t="s">
        <v>163</v>
      </c>
      <c r="AD44" t="s">
        <v>164</v>
      </c>
      <c r="AF44" t="s">
        <v>165</v>
      </c>
      <c r="AH44" t="s">
        <v>166</v>
      </c>
      <c r="AJ44" t="s">
        <v>167</v>
      </c>
      <c r="AL44" t="s">
        <v>168</v>
      </c>
      <c r="AN44" t="s">
        <v>169</v>
      </c>
      <c r="AP44" t="s">
        <v>170</v>
      </c>
      <c r="AR44" t="s">
        <v>171</v>
      </c>
      <c r="AT44" t="s">
        <v>172</v>
      </c>
      <c r="AV44" t="s">
        <v>173</v>
      </c>
      <c r="AX44" t="s">
        <v>174</v>
      </c>
      <c r="AZ44" t="s">
        <v>175</v>
      </c>
    </row>
    <row r="45" spans="1:53" x14ac:dyDescent="0.35">
      <c r="A45">
        <v>707000000</v>
      </c>
      <c r="B45" s="163" t="s">
        <v>200</v>
      </c>
      <c r="C45" s="163" t="s">
        <v>202</v>
      </c>
      <c r="D45" t="s">
        <v>151</v>
      </c>
      <c r="F45" t="s">
        <v>152</v>
      </c>
      <c r="G45" s="1">
        <v>6</v>
      </c>
      <c r="H45" t="s">
        <v>153</v>
      </c>
      <c r="J45" t="s">
        <v>154</v>
      </c>
      <c r="K45" s="1">
        <v>37</v>
      </c>
      <c r="L45" t="s">
        <v>155</v>
      </c>
      <c r="N45" t="s">
        <v>156</v>
      </c>
      <c r="P45" t="s">
        <v>157</v>
      </c>
      <c r="R45" t="s">
        <v>158</v>
      </c>
      <c r="T45" t="s">
        <v>159</v>
      </c>
      <c r="V45" t="s">
        <v>160</v>
      </c>
      <c r="X45" t="s">
        <v>161</v>
      </c>
      <c r="Z45" t="s">
        <v>162</v>
      </c>
      <c r="AB45" t="s">
        <v>163</v>
      </c>
      <c r="AD45" t="s">
        <v>164</v>
      </c>
      <c r="AF45" t="s">
        <v>165</v>
      </c>
      <c r="AH45" t="s">
        <v>166</v>
      </c>
      <c r="AJ45" t="s">
        <v>167</v>
      </c>
      <c r="AL45" t="s">
        <v>168</v>
      </c>
      <c r="AN45" t="s">
        <v>169</v>
      </c>
      <c r="AP45" t="s">
        <v>170</v>
      </c>
      <c r="AR45" t="s">
        <v>171</v>
      </c>
      <c r="AT45" t="s">
        <v>172</v>
      </c>
      <c r="AV45" t="s">
        <v>173</v>
      </c>
      <c r="AX45" t="s">
        <v>174</v>
      </c>
      <c r="AZ45" t="s">
        <v>175</v>
      </c>
    </row>
    <row r="46" spans="1:53" x14ac:dyDescent="0.35">
      <c r="A46">
        <v>707000000</v>
      </c>
      <c r="B46" s="163" t="s">
        <v>200</v>
      </c>
      <c r="C46" s="163" t="s">
        <v>203</v>
      </c>
      <c r="D46" t="s">
        <v>151</v>
      </c>
      <c r="F46" t="s">
        <v>152</v>
      </c>
      <c r="G46" s="1">
        <v>4</v>
      </c>
      <c r="H46" t="s">
        <v>153</v>
      </c>
      <c r="J46" t="s">
        <v>154</v>
      </c>
      <c r="K46" s="1">
        <v>28</v>
      </c>
      <c r="L46" t="s">
        <v>155</v>
      </c>
      <c r="N46" t="s">
        <v>156</v>
      </c>
      <c r="P46" t="s">
        <v>157</v>
      </c>
      <c r="R46" t="s">
        <v>158</v>
      </c>
      <c r="T46" t="s">
        <v>159</v>
      </c>
      <c r="V46" t="s">
        <v>160</v>
      </c>
      <c r="X46" t="s">
        <v>161</v>
      </c>
      <c r="Z46" t="s">
        <v>162</v>
      </c>
      <c r="AB46" t="s">
        <v>163</v>
      </c>
      <c r="AD46" t="s">
        <v>164</v>
      </c>
      <c r="AF46" t="s">
        <v>165</v>
      </c>
      <c r="AH46" t="s">
        <v>166</v>
      </c>
      <c r="AJ46" t="s">
        <v>167</v>
      </c>
      <c r="AL46" t="s">
        <v>168</v>
      </c>
      <c r="AN46" t="s">
        <v>169</v>
      </c>
      <c r="AP46" t="s">
        <v>170</v>
      </c>
      <c r="AR46" t="s">
        <v>171</v>
      </c>
      <c r="AT46" t="s">
        <v>172</v>
      </c>
      <c r="AV46" t="s">
        <v>173</v>
      </c>
      <c r="AX46" t="s">
        <v>174</v>
      </c>
      <c r="AZ46" t="s">
        <v>175</v>
      </c>
    </row>
    <row r="47" spans="1:53" x14ac:dyDescent="0.35">
      <c r="A47">
        <v>708000000</v>
      </c>
      <c r="B47" s="164" t="s">
        <v>204</v>
      </c>
      <c r="C47" s="164" t="s">
        <v>205</v>
      </c>
      <c r="D47" t="s">
        <v>151</v>
      </c>
      <c r="E47">
        <v>10</v>
      </c>
      <c r="F47" t="s">
        <v>152</v>
      </c>
      <c r="H47" t="s">
        <v>153</v>
      </c>
      <c r="J47" t="s">
        <v>154</v>
      </c>
      <c r="L47" t="s">
        <v>155</v>
      </c>
      <c r="N47" t="s">
        <v>156</v>
      </c>
      <c r="P47" t="s">
        <v>157</v>
      </c>
      <c r="R47" t="s">
        <v>158</v>
      </c>
      <c r="T47" t="s">
        <v>159</v>
      </c>
      <c r="V47" t="s">
        <v>160</v>
      </c>
      <c r="X47" t="s">
        <v>161</v>
      </c>
      <c r="Z47" t="s">
        <v>162</v>
      </c>
      <c r="AB47" t="s">
        <v>163</v>
      </c>
      <c r="AD47" t="s">
        <v>164</v>
      </c>
      <c r="AE47">
        <v>25</v>
      </c>
      <c r="AF47" t="s">
        <v>165</v>
      </c>
      <c r="AH47" t="s">
        <v>166</v>
      </c>
      <c r="AJ47" t="s">
        <v>167</v>
      </c>
      <c r="AL47" t="s">
        <v>168</v>
      </c>
      <c r="AN47" t="s">
        <v>169</v>
      </c>
      <c r="AO47">
        <v>37</v>
      </c>
      <c r="AP47" t="s">
        <v>170</v>
      </c>
      <c r="AR47" t="s">
        <v>171</v>
      </c>
      <c r="AS47">
        <v>118</v>
      </c>
      <c r="AT47" t="s">
        <v>172</v>
      </c>
      <c r="AV47" t="s">
        <v>173</v>
      </c>
      <c r="AX47" t="s">
        <v>174</v>
      </c>
      <c r="AZ47" t="s">
        <v>175</v>
      </c>
    </row>
    <row r="48" spans="1:53" x14ac:dyDescent="0.35">
      <c r="A48">
        <v>708000000</v>
      </c>
      <c r="B48" s="164" t="s">
        <v>204</v>
      </c>
      <c r="C48" s="164" t="s">
        <v>206</v>
      </c>
      <c r="D48" t="s">
        <v>151</v>
      </c>
      <c r="F48" t="s">
        <v>152</v>
      </c>
      <c r="H48" t="s">
        <v>153</v>
      </c>
      <c r="J48" t="s">
        <v>154</v>
      </c>
      <c r="L48" t="s">
        <v>155</v>
      </c>
      <c r="N48" t="s">
        <v>156</v>
      </c>
      <c r="P48" t="s">
        <v>157</v>
      </c>
      <c r="R48" t="s">
        <v>158</v>
      </c>
      <c r="T48" t="s">
        <v>159</v>
      </c>
      <c r="V48" t="s">
        <v>160</v>
      </c>
      <c r="X48" t="s">
        <v>161</v>
      </c>
      <c r="Z48" t="s">
        <v>162</v>
      </c>
      <c r="AB48" t="s">
        <v>163</v>
      </c>
      <c r="AD48" t="s">
        <v>164</v>
      </c>
      <c r="AF48" t="s">
        <v>165</v>
      </c>
      <c r="AH48" t="s">
        <v>166</v>
      </c>
      <c r="AJ48" t="s">
        <v>167</v>
      </c>
      <c r="AL48" t="s">
        <v>168</v>
      </c>
      <c r="AN48" t="s">
        <v>169</v>
      </c>
      <c r="AP48" t="s">
        <v>170</v>
      </c>
      <c r="AR48" t="s">
        <v>171</v>
      </c>
      <c r="AS48">
        <v>53</v>
      </c>
      <c r="AT48" t="s">
        <v>172</v>
      </c>
      <c r="AV48" t="s">
        <v>173</v>
      </c>
      <c r="AX48" t="s">
        <v>174</v>
      </c>
      <c r="AZ48" t="s">
        <v>175</v>
      </c>
    </row>
    <row r="49" spans="1:53" x14ac:dyDescent="0.35">
      <c r="A49">
        <v>709000000</v>
      </c>
      <c r="B49" s="164" t="s">
        <v>207</v>
      </c>
      <c r="C49" s="164" t="s">
        <v>30</v>
      </c>
      <c r="D49" t="s">
        <v>151</v>
      </c>
      <c r="F49" t="s">
        <v>152</v>
      </c>
      <c r="H49" t="s">
        <v>153</v>
      </c>
      <c r="J49" t="s">
        <v>154</v>
      </c>
      <c r="L49" t="s">
        <v>155</v>
      </c>
      <c r="N49" t="s">
        <v>156</v>
      </c>
      <c r="P49" t="s">
        <v>157</v>
      </c>
      <c r="R49" t="s">
        <v>158</v>
      </c>
      <c r="T49" t="s">
        <v>159</v>
      </c>
      <c r="V49" t="s">
        <v>160</v>
      </c>
      <c r="X49" t="s">
        <v>161</v>
      </c>
      <c r="Z49" t="s">
        <v>162</v>
      </c>
      <c r="AB49" t="s">
        <v>163</v>
      </c>
      <c r="AD49" t="s">
        <v>164</v>
      </c>
      <c r="AF49" t="s">
        <v>165</v>
      </c>
      <c r="AG49">
        <v>95</v>
      </c>
      <c r="AH49" t="s">
        <v>166</v>
      </c>
      <c r="AI49">
        <v>12</v>
      </c>
      <c r="AJ49" t="s">
        <v>167</v>
      </c>
      <c r="AL49" t="s">
        <v>168</v>
      </c>
      <c r="AN49" t="s">
        <v>169</v>
      </c>
      <c r="AP49" t="s">
        <v>170</v>
      </c>
      <c r="AR49" t="s">
        <v>171</v>
      </c>
      <c r="AT49" t="s">
        <v>172</v>
      </c>
      <c r="AV49" t="s">
        <v>173</v>
      </c>
      <c r="AX49" t="s">
        <v>174</v>
      </c>
      <c r="AZ49" t="s">
        <v>175</v>
      </c>
    </row>
    <row r="50" spans="1:53" x14ac:dyDescent="0.35">
      <c r="A50">
        <v>709000000</v>
      </c>
      <c r="B50" s="163" t="s">
        <v>207</v>
      </c>
      <c r="C50" s="163" t="s">
        <v>42</v>
      </c>
      <c r="D50" t="s">
        <v>151</v>
      </c>
      <c r="F50" t="s">
        <v>152</v>
      </c>
      <c r="H50" t="s">
        <v>153</v>
      </c>
      <c r="J50" t="s">
        <v>154</v>
      </c>
      <c r="L50" t="s">
        <v>155</v>
      </c>
      <c r="N50" t="s">
        <v>156</v>
      </c>
      <c r="P50" t="s">
        <v>157</v>
      </c>
      <c r="R50" t="s">
        <v>158</v>
      </c>
      <c r="T50" t="s">
        <v>159</v>
      </c>
      <c r="V50" t="s">
        <v>160</v>
      </c>
      <c r="X50" t="s">
        <v>161</v>
      </c>
      <c r="Z50" t="s">
        <v>162</v>
      </c>
      <c r="AB50" t="s">
        <v>163</v>
      </c>
      <c r="AD50" t="s">
        <v>164</v>
      </c>
      <c r="AF50" t="s">
        <v>165</v>
      </c>
      <c r="AG50">
        <v>60</v>
      </c>
      <c r="AH50" t="s">
        <v>166</v>
      </c>
      <c r="AJ50" t="s">
        <v>167</v>
      </c>
      <c r="AL50" t="s">
        <v>168</v>
      </c>
      <c r="AN50" t="s">
        <v>169</v>
      </c>
      <c r="AP50" t="s">
        <v>170</v>
      </c>
      <c r="AR50" t="s">
        <v>171</v>
      </c>
      <c r="AT50" t="s">
        <v>172</v>
      </c>
      <c r="AV50" t="s">
        <v>173</v>
      </c>
      <c r="AX50" t="s">
        <v>174</v>
      </c>
      <c r="AZ50" t="s">
        <v>175</v>
      </c>
    </row>
    <row r="51" spans="1:53" x14ac:dyDescent="0.35">
      <c r="A51">
        <v>709000000</v>
      </c>
      <c r="B51" s="164" t="s">
        <v>207</v>
      </c>
      <c r="C51" s="164" t="s">
        <v>44</v>
      </c>
      <c r="D51" t="s">
        <v>151</v>
      </c>
      <c r="F51" t="s">
        <v>152</v>
      </c>
      <c r="H51" t="s">
        <v>153</v>
      </c>
      <c r="J51" t="s">
        <v>154</v>
      </c>
      <c r="L51" t="s">
        <v>155</v>
      </c>
      <c r="M51">
        <v>8</v>
      </c>
      <c r="N51" t="s">
        <v>156</v>
      </c>
      <c r="P51" t="s">
        <v>157</v>
      </c>
      <c r="R51" t="s">
        <v>158</v>
      </c>
      <c r="S51">
        <v>16</v>
      </c>
      <c r="T51" t="s">
        <v>159</v>
      </c>
      <c r="V51" t="s">
        <v>160</v>
      </c>
      <c r="X51" t="s">
        <v>161</v>
      </c>
      <c r="Z51" t="s">
        <v>162</v>
      </c>
      <c r="AA51">
        <v>48</v>
      </c>
      <c r="AB51" t="s">
        <v>163</v>
      </c>
      <c r="AD51" t="s">
        <v>164</v>
      </c>
      <c r="AF51" t="s">
        <v>165</v>
      </c>
      <c r="AH51" t="s">
        <v>166</v>
      </c>
      <c r="AJ51" t="s">
        <v>167</v>
      </c>
      <c r="AK51">
        <v>17</v>
      </c>
      <c r="AL51" t="s">
        <v>168</v>
      </c>
      <c r="AN51" t="s">
        <v>169</v>
      </c>
      <c r="AP51" t="s">
        <v>170</v>
      </c>
      <c r="AR51" t="s">
        <v>171</v>
      </c>
      <c r="AT51" t="s">
        <v>172</v>
      </c>
      <c r="AV51" t="s">
        <v>173</v>
      </c>
      <c r="AX51" t="s">
        <v>174</v>
      </c>
      <c r="AZ51" t="s">
        <v>175</v>
      </c>
    </row>
    <row r="52" spans="1:53" x14ac:dyDescent="0.35">
      <c r="A52">
        <v>709000000</v>
      </c>
      <c r="B52" s="163" t="s">
        <v>207</v>
      </c>
      <c r="C52" s="163" t="s">
        <v>14</v>
      </c>
      <c r="D52" t="s">
        <v>151</v>
      </c>
      <c r="F52" t="s">
        <v>152</v>
      </c>
      <c r="H52" t="s">
        <v>153</v>
      </c>
      <c r="J52" t="s">
        <v>154</v>
      </c>
      <c r="L52" t="s">
        <v>155</v>
      </c>
      <c r="M52">
        <v>56</v>
      </c>
      <c r="N52" t="s">
        <v>156</v>
      </c>
      <c r="P52" t="s">
        <v>157</v>
      </c>
      <c r="R52" t="s">
        <v>158</v>
      </c>
      <c r="T52" t="s">
        <v>159</v>
      </c>
      <c r="V52" t="s">
        <v>160</v>
      </c>
      <c r="X52" t="s">
        <v>161</v>
      </c>
      <c r="Z52" t="s">
        <v>162</v>
      </c>
      <c r="AB52" t="s">
        <v>163</v>
      </c>
      <c r="AD52" t="s">
        <v>164</v>
      </c>
      <c r="AF52" t="s">
        <v>165</v>
      </c>
      <c r="AH52" t="s">
        <v>166</v>
      </c>
      <c r="AJ52" t="s">
        <v>167</v>
      </c>
      <c r="AL52" t="s">
        <v>168</v>
      </c>
      <c r="AN52" t="s">
        <v>169</v>
      </c>
      <c r="AP52" t="s">
        <v>170</v>
      </c>
      <c r="AR52" t="s">
        <v>171</v>
      </c>
      <c r="AT52" t="s">
        <v>172</v>
      </c>
      <c r="AV52" t="s">
        <v>173</v>
      </c>
      <c r="AX52" t="s">
        <v>174</v>
      </c>
      <c r="AZ52" t="s">
        <v>175</v>
      </c>
    </row>
    <row r="53" spans="1:53" x14ac:dyDescent="0.35">
      <c r="A53">
        <v>709000000</v>
      </c>
      <c r="B53" s="164" t="s">
        <v>207</v>
      </c>
      <c r="C53" s="164" t="s">
        <v>208</v>
      </c>
      <c r="D53" t="s">
        <v>151</v>
      </c>
      <c r="F53" t="s">
        <v>152</v>
      </c>
      <c r="H53" t="s">
        <v>153</v>
      </c>
      <c r="J53" t="s">
        <v>154</v>
      </c>
      <c r="L53" t="s">
        <v>155</v>
      </c>
      <c r="N53" t="s">
        <v>156</v>
      </c>
      <c r="P53" t="s">
        <v>157</v>
      </c>
      <c r="R53" t="s">
        <v>158</v>
      </c>
      <c r="T53" t="s">
        <v>159</v>
      </c>
      <c r="V53" t="s">
        <v>160</v>
      </c>
      <c r="X53" t="s">
        <v>161</v>
      </c>
      <c r="Z53" t="s">
        <v>162</v>
      </c>
      <c r="AB53" t="s">
        <v>163</v>
      </c>
      <c r="AD53" t="s">
        <v>164</v>
      </c>
      <c r="AF53" t="s">
        <v>165</v>
      </c>
      <c r="AH53" t="s">
        <v>166</v>
      </c>
      <c r="AJ53" t="s">
        <v>167</v>
      </c>
      <c r="AL53" t="s">
        <v>168</v>
      </c>
      <c r="AN53" t="s">
        <v>169</v>
      </c>
      <c r="AP53" t="s">
        <v>170</v>
      </c>
      <c r="AR53" t="s">
        <v>171</v>
      </c>
      <c r="AT53" t="s">
        <v>172</v>
      </c>
      <c r="AV53" t="s">
        <v>173</v>
      </c>
      <c r="AW53">
        <v>42</v>
      </c>
      <c r="AX53" t="s">
        <v>174</v>
      </c>
      <c r="AZ53" t="s">
        <v>175</v>
      </c>
    </row>
    <row r="54" spans="1:53" x14ac:dyDescent="0.35">
      <c r="A54">
        <v>709000000</v>
      </c>
      <c r="B54" s="163" t="s">
        <v>207</v>
      </c>
      <c r="C54" s="163" t="s">
        <v>92</v>
      </c>
      <c r="D54" t="s">
        <v>151</v>
      </c>
      <c r="F54" t="s">
        <v>152</v>
      </c>
      <c r="H54" t="s">
        <v>153</v>
      </c>
      <c r="J54" t="s">
        <v>154</v>
      </c>
      <c r="L54" t="s">
        <v>155</v>
      </c>
      <c r="N54" t="s">
        <v>156</v>
      </c>
      <c r="P54" t="s">
        <v>157</v>
      </c>
      <c r="R54" t="s">
        <v>158</v>
      </c>
      <c r="S54">
        <v>66</v>
      </c>
      <c r="T54" t="s">
        <v>159</v>
      </c>
      <c r="V54" t="s">
        <v>160</v>
      </c>
      <c r="X54" t="s">
        <v>161</v>
      </c>
      <c r="Z54" t="s">
        <v>162</v>
      </c>
      <c r="AB54" t="s">
        <v>163</v>
      </c>
      <c r="AD54" t="s">
        <v>164</v>
      </c>
      <c r="AF54" t="s">
        <v>165</v>
      </c>
      <c r="AH54" t="s">
        <v>166</v>
      </c>
      <c r="AJ54" t="s">
        <v>167</v>
      </c>
      <c r="AL54" t="s">
        <v>168</v>
      </c>
      <c r="AN54" t="s">
        <v>169</v>
      </c>
      <c r="AP54" t="s">
        <v>170</v>
      </c>
      <c r="AR54" t="s">
        <v>171</v>
      </c>
      <c r="AT54" t="s">
        <v>172</v>
      </c>
      <c r="AV54" t="s">
        <v>173</v>
      </c>
      <c r="AX54" t="s">
        <v>174</v>
      </c>
      <c r="AZ54" t="s">
        <v>175</v>
      </c>
    </row>
    <row r="55" spans="1:53" x14ac:dyDescent="0.35">
      <c r="A55">
        <v>709000000</v>
      </c>
      <c r="B55" s="164" t="s">
        <v>207</v>
      </c>
      <c r="C55" s="164" t="s">
        <v>209</v>
      </c>
      <c r="D55" t="s">
        <v>151</v>
      </c>
      <c r="F55" t="s">
        <v>152</v>
      </c>
      <c r="H55" t="s">
        <v>153</v>
      </c>
      <c r="J55" t="s">
        <v>154</v>
      </c>
      <c r="L55" t="s">
        <v>155</v>
      </c>
      <c r="N55" t="s">
        <v>156</v>
      </c>
      <c r="P55" t="s">
        <v>157</v>
      </c>
      <c r="R55" t="s">
        <v>158</v>
      </c>
      <c r="T55" t="s">
        <v>159</v>
      </c>
      <c r="V55" t="s">
        <v>160</v>
      </c>
      <c r="X55" t="s">
        <v>161</v>
      </c>
      <c r="Z55" t="s">
        <v>162</v>
      </c>
      <c r="AA55">
        <v>30</v>
      </c>
      <c r="AB55" t="s">
        <v>163</v>
      </c>
      <c r="AD55" t="s">
        <v>164</v>
      </c>
      <c r="AF55" t="s">
        <v>165</v>
      </c>
      <c r="AG55">
        <v>21</v>
      </c>
      <c r="AH55" t="s">
        <v>166</v>
      </c>
      <c r="AJ55" t="s">
        <v>167</v>
      </c>
      <c r="AL55" t="s">
        <v>168</v>
      </c>
      <c r="AN55" t="s">
        <v>169</v>
      </c>
      <c r="AP55" t="s">
        <v>170</v>
      </c>
      <c r="AR55" t="s">
        <v>171</v>
      </c>
      <c r="AT55" t="s">
        <v>172</v>
      </c>
      <c r="AV55" t="s">
        <v>173</v>
      </c>
      <c r="AX55" t="s">
        <v>174</v>
      </c>
      <c r="AZ55" t="s">
        <v>175</v>
      </c>
    </row>
    <row r="56" spans="1:53" x14ac:dyDescent="0.35">
      <c r="A56">
        <v>709000000</v>
      </c>
      <c r="B56" s="163" t="s">
        <v>207</v>
      </c>
      <c r="C56" s="163" t="s">
        <v>34</v>
      </c>
      <c r="D56" t="s">
        <v>151</v>
      </c>
      <c r="F56" t="s">
        <v>152</v>
      </c>
      <c r="H56" t="s">
        <v>153</v>
      </c>
      <c r="J56" t="s">
        <v>154</v>
      </c>
      <c r="L56" t="s">
        <v>155</v>
      </c>
      <c r="N56" t="s">
        <v>156</v>
      </c>
      <c r="P56" t="s">
        <v>157</v>
      </c>
      <c r="R56" t="s">
        <v>158</v>
      </c>
      <c r="T56" t="s">
        <v>159</v>
      </c>
      <c r="V56" t="s">
        <v>160</v>
      </c>
      <c r="X56" t="s">
        <v>161</v>
      </c>
      <c r="Z56" t="s">
        <v>162</v>
      </c>
      <c r="AB56" t="s">
        <v>163</v>
      </c>
      <c r="AD56" t="s">
        <v>164</v>
      </c>
      <c r="AF56" t="s">
        <v>165</v>
      </c>
      <c r="AH56" t="s">
        <v>166</v>
      </c>
      <c r="AI56">
        <v>60</v>
      </c>
      <c r="AJ56" t="s">
        <v>167</v>
      </c>
      <c r="AK56">
        <v>70</v>
      </c>
      <c r="AL56" t="s">
        <v>168</v>
      </c>
      <c r="AN56" t="s">
        <v>169</v>
      </c>
      <c r="AP56" t="s">
        <v>170</v>
      </c>
      <c r="AR56" t="s">
        <v>171</v>
      </c>
      <c r="AT56" t="s">
        <v>172</v>
      </c>
      <c r="AV56" t="s">
        <v>173</v>
      </c>
      <c r="AX56" t="s">
        <v>174</v>
      </c>
      <c r="AZ56" t="s">
        <v>175</v>
      </c>
    </row>
    <row r="57" spans="1:53" x14ac:dyDescent="0.35">
      <c r="A57">
        <v>709000000</v>
      </c>
      <c r="B57" s="164" t="s">
        <v>207</v>
      </c>
      <c r="C57" s="164" t="s">
        <v>210</v>
      </c>
      <c r="D57" t="s">
        <v>151</v>
      </c>
      <c r="F57" t="s">
        <v>152</v>
      </c>
      <c r="H57" t="s">
        <v>153</v>
      </c>
      <c r="J57" t="s">
        <v>154</v>
      </c>
      <c r="K57">
        <v>26</v>
      </c>
      <c r="L57" t="s">
        <v>155</v>
      </c>
      <c r="M57">
        <v>13</v>
      </c>
      <c r="N57" t="s">
        <v>156</v>
      </c>
      <c r="P57" t="s">
        <v>157</v>
      </c>
      <c r="R57" t="s">
        <v>158</v>
      </c>
      <c r="T57" t="s">
        <v>159</v>
      </c>
      <c r="V57" t="s">
        <v>160</v>
      </c>
      <c r="X57" t="s">
        <v>161</v>
      </c>
      <c r="Z57" t="s">
        <v>162</v>
      </c>
      <c r="AB57" t="s">
        <v>163</v>
      </c>
      <c r="AD57" t="s">
        <v>164</v>
      </c>
      <c r="AF57" t="s">
        <v>165</v>
      </c>
      <c r="AH57" t="s">
        <v>166</v>
      </c>
      <c r="AJ57" t="s">
        <v>167</v>
      </c>
      <c r="AL57" t="s">
        <v>168</v>
      </c>
      <c r="AN57" t="s">
        <v>169</v>
      </c>
      <c r="AP57" t="s">
        <v>170</v>
      </c>
      <c r="AR57" t="s">
        <v>171</v>
      </c>
      <c r="AT57" t="s">
        <v>172</v>
      </c>
      <c r="AV57" t="s">
        <v>173</v>
      </c>
      <c r="AX57" t="s">
        <v>174</v>
      </c>
      <c r="AZ57" t="s">
        <v>175</v>
      </c>
    </row>
    <row r="58" spans="1:53" x14ac:dyDescent="0.35">
      <c r="A58">
        <v>709000000</v>
      </c>
      <c r="B58" s="163" t="s">
        <v>207</v>
      </c>
      <c r="C58" s="163" t="s">
        <v>211</v>
      </c>
      <c r="D58" t="s">
        <v>151</v>
      </c>
      <c r="E58">
        <v>5</v>
      </c>
      <c r="F58" t="s">
        <v>152</v>
      </c>
      <c r="H58" t="s">
        <v>153</v>
      </c>
      <c r="J58" t="s">
        <v>154</v>
      </c>
      <c r="L58" t="s">
        <v>155</v>
      </c>
      <c r="N58" t="s">
        <v>156</v>
      </c>
      <c r="O58">
        <v>3</v>
      </c>
      <c r="P58" t="s">
        <v>157</v>
      </c>
      <c r="R58" t="s">
        <v>158</v>
      </c>
      <c r="T58" t="s">
        <v>159</v>
      </c>
      <c r="V58" t="s">
        <v>160</v>
      </c>
      <c r="X58" t="s">
        <v>161</v>
      </c>
      <c r="Z58" t="s">
        <v>162</v>
      </c>
      <c r="AB58" t="s">
        <v>163</v>
      </c>
      <c r="AD58" t="s">
        <v>164</v>
      </c>
      <c r="AF58" t="s">
        <v>165</v>
      </c>
      <c r="AH58" t="s">
        <v>166</v>
      </c>
      <c r="AJ58" t="s">
        <v>167</v>
      </c>
      <c r="AL58" t="s">
        <v>168</v>
      </c>
      <c r="AN58" t="s">
        <v>169</v>
      </c>
      <c r="AP58" t="s">
        <v>170</v>
      </c>
      <c r="AR58" t="s">
        <v>171</v>
      </c>
      <c r="AT58" t="s">
        <v>172</v>
      </c>
      <c r="AU58">
        <v>10</v>
      </c>
      <c r="AV58" t="s">
        <v>173</v>
      </c>
      <c r="AX58" t="s">
        <v>174</v>
      </c>
      <c r="AZ58" t="s">
        <v>175</v>
      </c>
    </row>
    <row r="59" spans="1:53" x14ac:dyDescent="0.35">
      <c r="A59">
        <v>710000000</v>
      </c>
      <c r="B59" s="164" t="s">
        <v>212</v>
      </c>
      <c r="C59" s="169" t="s">
        <v>68</v>
      </c>
      <c r="D59" t="s">
        <v>151</v>
      </c>
      <c r="F59" t="s">
        <v>152</v>
      </c>
      <c r="H59" t="s">
        <v>153</v>
      </c>
      <c r="J59" t="s">
        <v>154</v>
      </c>
      <c r="L59" t="s">
        <v>155</v>
      </c>
      <c r="N59" t="s">
        <v>156</v>
      </c>
      <c r="P59" t="s">
        <v>157</v>
      </c>
      <c r="R59" t="s">
        <v>158</v>
      </c>
      <c r="S59" s="1">
        <v>22</v>
      </c>
      <c r="T59" t="s">
        <v>159</v>
      </c>
      <c r="V59" t="s">
        <v>160</v>
      </c>
      <c r="X59" t="s">
        <v>161</v>
      </c>
      <c r="Z59" t="s">
        <v>162</v>
      </c>
      <c r="AB59" t="s">
        <v>163</v>
      </c>
      <c r="AD59" t="s">
        <v>164</v>
      </c>
      <c r="AF59" t="s">
        <v>165</v>
      </c>
      <c r="AH59" t="s">
        <v>166</v>
      </c>
      <c r="AJ59" t="s">
        <v>167</v>
      </c>
      <c r="AK59" s="1">
        <v>61</v>
      </c>
      <c r="AL59" t="s">
        <v>168</v>
      </c>
      <c r="AN59" t="s">
        <v>169</v>
      </c>
      <c r="AP59" t="s">
        <v>170</v>
      </c>
      <c r="AR59" t="s">
        <v>171</v>
      </c>
      <c r="AT59" t="s">
        <v>172</v>
      </c>
      <c r="AV59" t="s">
        <v>173</v>
      </c>
      <c r="AX59" t="s">
        <v>174</v>
      </c>
      <c r="AZ59" t="s">
        <v>175</v>
      </c>
    </row>
    <row r="60" spans="1:53" x14ac:dyDescent="0.35">
      <c r="A60">
        <v>710000000</v>
      </c>
      <c r="B60" s="163" t="s">
        <v>212</v>
      </c>
      <c r="C60" s="163" t="s">
        <v>30</v>
      </c>
      <c r="D60" t="s">
        <v>151</v>
      </c>
      <c r="F60" t="s">
        <v>152</v>
      </c>
      <c r="H60" t="s">
        <v>153</v>
      </c>
      <c r="J60" t="s">
        <v>154</v>
      </c>
      <c r="L60" t="s">
        <v>155</v>
      </c>
      <c r="N60" t="s">
        <v>156</v>
      </c>
      <c r="P60" t="s">
        <v>157</v>
      </c>
      <c r="R60" t="s">
        <v>158</v>
      </c>
      <c r="T60" t="s">
        <v>159</v>
      </c>
      <c r="V60" t="s">
        <v>160</v>
      </c>
      <c r="X60" t="s">
        <v>161</v>
      </c>
      <c r="Z60" t="s">
        <v>162</v>
      </c>
      <c r="AB60" t="s">
        <v>163</v>
      </c>
      <c r="AD60" t="s">
        <v>164</v>
      </c>
      <c r="AF60" t="s">
        <v>165</v>
      </c>
      <c r="AG60" s="1">
        <v>122</v>
      </c>
      <c r="AH60" t="s">
        <v>166</v>
      </c>
      <c r="AJ60" t="s">
        <v>167</v>
      </c>
      <c r="AL60" t="s">
        <v>168</v>
      </c>
      <c r="AN60" t="s">
        <v>169</v>
      </c>
      <c r="AP60" t="s">
        <v>170</v>
      </c>
      <c r="AR60" t="s">
        <v>171</v>
      </c>
      <c r="AT60" t="s">
        <v>172</v>
      </c>
      <c r="AV60" t="s">
        <v>173</v>
      </c>
      <c r="AX60" t="s">
        <v>174</v>
      </c>
      <c r="AZ60" t="s">
        <v>175</v>
      </c>
    </row>
    <row r="61" spans="1:53" x14ac:dyDescent="0.35">
      <c r="A61">
        <v>710000000</v>
      </c>
      <c r="B61" s="164" t="s">
        <v>212</v>
      </c>
      <c r="C61" s="164" t="s">
        <v>90</v>
      </c>
      <c r="D61" t="s">
        <v>151</v>
      </c>
      <c r="F61" t="s">
        <v>152</v>
      </c>
      <c r="H61" t="s">
        <v>153</v>
      </c>
      <c r="J61" t="s">
        <v>154</v>
      </c>
      <c r="L61" t="s">
        <v>155</v>
      </c>
      <c r="N61" t="s">
        <v>156</v>
      </c>
      <c r="P61" t="s">
        <v>157</v>
      </c>
      <c r="R61" t="s">
        <v>158</v>
      </c>
      <c r="T61" t="s">
        <v>159</v>
      </c>
      <c r="V61" t="s">
        <v>160</v>
      </c>
      <c r="X61" t="s">
        <v>161</v>
      </c>
      <c r="Z61" t="s">
        <v>162</v>
      </c>
      <c r="AB61" t="s">
        <v>163</v>
      </c>
      <c r="AD61" t="s">
        <v>164</v>
      </c>
      <c r="AF61" t="s">
        <v>165</v>
      </c>
      <c r="AH61" t="s">
        <v>166</v>
      </c>
      <c r="AJ61" t="s">
        <v>167</v>
      </c>
      <c r="AL61" t="s">
        <v>168</v>
      </c>
      <c r="AN61" t="s">
        <v>169</v>
      </c>
      <c r="AP61" t="s">
        <v>170</v>
      </c>
      <c r="AR61" t="s">
        <v>171</v>
      </c>
      <c r="AT61" t="s">
        <v>172</v>
      </c>
      <c r="AV61" t="s">
        <v>173</v>
      </c>
      <c r="AX61" t="s">
        <v>174</v>
      </c>
      <c r="AY61" s="1">
        <v>36</v>
      </c>
      <c r="AZ61" t="s">
        <v>175</v>
      </c>
    </row>
    <row r="62" spans="1:53" x14ac:dyDescent="0.35">
      <c r="A62">
        <v>710000000</v>
      </c>
      <c r="B62" s="163" t="s">
        <v>212</v>
      </c>
      <c r="C62" s="163" t="s">
        <v>124</v>
      </c>
      <c r="D62" t="s">
        <v>151</v>
      </c>
      <c r="E62" s="1">
        <v>9</v>
      </c>
      <c r="F62" t="s">
        <v>152</v>
      </c>
      <c r="G62" s="1">
        <v>9</v>
      </c>
      <c r="H62" t="s">
        <v>153</v>
      </c>
      <c r="I62" s="1">
        <v>2</v>
      </c>
      <c r="J62" t="s">
        <v>154</v>
      </c>
      <c r="L62" t="s">
        <v>155</v>
      </c>
      <c r="N62" t="s">
        <v>156</v>
      </c>
      <c r="O62" s="1">
        <v>6</v>
      </c>
      <c r="P62" t="s">
        <v>157</v>
      </c>
      <c r="Q62" s="1">
        <v>1</v>
      </c>
      <c r="R62" t="s">
        <v>158</v>
      </c>
      <c r="S62" s="1">
        <v>1</v>
      </c>
      <c r="T62" t="s">
        <v>159</v>
      </c>
      <c r="V62" t="s">
        <v>160</v>
      </c>
      <c r="X62" t="s">
        <v>161</v>
      </c>
      <c r="Z62" t="s">
        <v>162</v>
      </c>
      <c r="AB62" t="s">
        <v>163</v>
      </c>
      <c r="AD62" t="s">
        <v>164</v>
      </c>
      <c r="AF62" t="s">
        <v>165</v>
      </c>
      <c r="AH62" t="s">
        <v>166</v>
      </c>
      <c r="AJ62" t="s">
        <v>167</v>
      </c>
      <c r="AK62" s="1">
        <v>3</v>
      </c>
      <c r="AL62" t="s">
        <v>168</v>
      </c>
      <c r="AN62" t="s">
        <v>169</v>
      </c>
      <c r="AP62" t="s">
        <v>170</v>
      </c>
      <c r="AR62" t="s">
        <v>171</v>
      </c>
      <c r="AT62" t="s">
        <v>172</v>
      </c>
      <c r="AV62" t="s">
        <v>173</v>
      </c>
      <c r="AX62" t="s">
        <v>174</v>
      </c>
      <c r="AZ62" t="s">
        <v>175</v>
      </c>
      <c r="BA62" s="1">
        <v>1</v>
      </c>
    </row>
    <row r="63" spans="1:53" x14ac:dyDescent="0.35">
      <c r="A63">
        <v>710000000</v>
      </c>
      <c r="B63" s="164" t="s">
        <v>212</v>
      </c>
      <c r="C63" s="166" t="s">
        <v>94</v>
      </c>
      <c r="D63" t="s">
        <v>151</v>
      </c>
      <c r="F63" t="s">
        <v>152</v>
      </c>
      <c r="H63" t="s">
        <v>153</v>
      </c>
      <c r="J63" t="s">
        <v>154</v>
      </c>
      <c r="L63" t="s">
        <v>155</v>
      </c>
      <c r="N63" t="s">
        <v>156</v>
      </c>
      <c r="P63" t="s">
        <v>157</v>
      </c>
      <c r="R63" t="s">
        <v>158</v>
      </c>
      <c r="S63" s="1">
        <v>40</v>
      </c>
      <c r="T63" t="s">
        <v>159</v>
      </c>
      <c r="V63" t="s">
        <v>160</v>
      </c>
      <c r="X63" t="s">
        <v>161</v>
      </c>
      <c r="Z63" t="s">
        <v>162</v>
      </c>
      <c r="AB63" t="s">
        <v>163</v>
      </c>
      <c r="AD63" t="s">
        <v>164</v>
      </c>
      <c r="AF63" t="s">
        <v>165</v>
      </c>
      <c r="AH63" t="s">
        <v>166</v>
      </c>
      <c r="AJ63" t="s">
        <v>167</v>
      </c>
      <c r="AL63" t="s">
        <v>168</v>
      </c>
      <c r="AN63" t="s">
        <v>169</v>
      </c>
      <c r="AP63" t="s">
        <v>170</v>
      </c>
      <c r="AR63" t="s">
        <v>171</v>
      </c>
      <c r="AT63" t="s">
        <v>172</v>
      </c>
      <c r="AV63" t="s">
        <v>173</v>
      </c>
      <c r="AW63" s="1">
        <v>68</v>
      </c>
      <c r="AX63" t="s">
        <v>174</v>
      </c>
      <c r="AZ63" t="s">
        <v>175</v>
      </c>
    </row>
    <row r="64" spans="1:53" x14ac:dyDescent="0.35">
      <c r="A64">
        <v>710000000</v>
      </c>
      <c r="B64" s="163" t="s">
        <v>212</v>
      </c>
      <c r="C64" s="163" t="s">
        <v>14</v>
      </c>
      <c r="D64" t="s">
        <v>151</v>
      </c>
      <c r="F64" t="s">
        <v>152</v>
      </c>
      <c r="H64" t="s">
        <v>153</v>
      </c>
      <c r="J64" t="s">
        <v>154</v>
      </c>
      <c r="L64" t="s">
        <v>155</v>
      </c>
      <c r="M64" s="1">
        <v>67</v>
      </c>
      <c r="N64" t="s">
        <v>156</v>
      </c>
      <c r="P64" t="s">
        <v>157</v>
      </c>
      <c r="R64" t="s">
        <v>158</v>
      </c>
      <c r="T64" t="s">
        <v>159</v>
      </c>
      <c r="V64" t="s">
        <v>160</v>
      </c>
      <c r="X64" t="s">
        <v>161</v>
      </c>
      <c r="Z64" t="s">
        <v>162</v>
      </c>
      <c r="AB64" t="s">
        <v>163</v>
      </c>
      <c r="AD64" t="s">
        <v>164</v>
      </c>
      <c r="AF64" t="s">
        <v>165</v>
      </c>
      <c r="AH64" t="s">
        <v>166</v>
      </c>
      <c r="AJ64" t="s">
        <v>167</v>
      </c>
      <c r="AL64" t="s">
        <v>168</v>
      </c>
      <c r="AN64" t="s">
        <v>169</v>
      </c>
      <c r="AP64" t="s">
        <v>170</v>
      </c>
      <c r="AR64" t="s">
        <v>171</v>
      </c>
      <c r="AT64" t="s">
        <v>172</v>
      </c>
      <c r="AV64" t="s">
        <v>173</v>
      </c>
      <c r="AX64" t="s">
        <v>174</v>
      </c>
      <c r="AZ64" t="s">
        <v>175</v>
      </c>
    </row>
    <row r="65" spans="1:53" x14ac:dyDescent="0.35">
      <c r="A65">
        <v>710000000</v>
      </c>
      <c r="B65" s="164" t="s">
        <v>212</v>
      </c>
      <c r="C65" s="164" t="s">
        <v>213</v>
      </c>
      <c r="D65" t="s">
        <v>151</v>
      </c>
      <c r="F65" t="s">
        <v>152</v>
      </c>
      <c r="H65" t="s">
        <v>153</v>
      </c>
      <c r="J65" t="s">
        <v>154</v>
      </c>
      <c r="L65" t="s">
        <v>155</v>
      </c>
      <c r="N65" t="s">
        <v>156</v>
      </c>
      <c r="P65" t="s">
        <v>157</v>
      </c>
      <c r="R65" t="s">
        <v>158</v>
      </c>
      <c r="T65" t="s">
        <v>159</v>
      </c>
      <c r="V65" t="s">
        <v>160</v>
      </c>
      <c r="X65" t="s">
        <v>161</v>
      </c>
      <c r="Z65" t="s">
        <v>162</v>
      </c>
      <c r="AB65" t="s">
        <v>163</v>
      </c>
      <c r="AD65" t="s">
        <v>164</v>
      </c>
      <c r="AF65" t="s">
        <v>165</v>
      </c>
      <c r="AH65" t="s">
        <v>166</v>
      </c>
      <c r="AI65" s="1">
        <v>60</v>
      </c>
      <c r="AJ65" t="s">
        <v>167</v>
      </c>
      <c r="AK65" s="1">
        <v>34</v>
      </c>
      <c r="AL65" t="s">
        <v>168</v>
      </c>
      <c r="AN65" t="s">
        <v>169</v>
      </c>
      <c r="AP65" t="s">
        <v>170</v>
      </c>
      <c r="AR65" t="s">
        <v>171</v>
      </c>
      <c r="AT65" t="s">
        <v>172</v>
      </c>
      <c r="AV65" t="s">
        <v>173</v>
      </c>
      <c r="AX65" t="s">
        <v>174</v>
      </c>
      <c r="AZ65" t="s">
        <v>175</v>
      </c>
    </row>
    <row r="66" spans="1:53" x14ac:dyDescent="0.35">
      <c r="A66">
        <v>710000000</v>
      </c>
      <c r="B66" s="163" t="s">
        <v>212</v>
      </c>
      <c r="C66" s="163" t="s">
        <v>47</v>
      </c>
      <c r="D66" t="s">
        <v>151</v>
      </c>
      <c r="E66" s="1">
        <v>10</v>
      </c>
      <c r="F66" t="s">
        <v>152</v>
      </c>
      <c r="H66" t="s">
        <v>153</v>
      </c>
      <c r="J66" t="s">
        <v>154</v>
      </c>
      <c r="L66" t="s">
        <v>155</v>
      </c>
      <c r="N66" t="s">
        <v>156</v>
      </c>
      <c r="O66" s="1">
        <v>2</v>
      </c>
      <c r="P66" t="s">
        <v>157</v>
      </c>
      <c r="R66" t="s">
        <v>158</v>
      </c>
      <c r="T66" t="s">
        <v>159</v>
      </c>
      <c r="V66" t="s">
        <v>160</v>
      </c>
      <c r="X66" t="s">
        <v>161</v>
      </c>
      <c r="Y66" s="1">
        <v>7</v>
      </c>
      <c r="Z66" t="s">
        <v>162</v>
      </c>
      <c r="AA66" s="1">
        <v>11</v>
      </c>
      <c r="AB66" t="s">
        <v>163</v>
      </c>
      <c r="AC66" s="1">
        <v>1</v>
      </c>
      <c r="AD66" t="s">
        <v>164</v>
      </c>
      <c r="AF66" t="s">
        <v>165</v>
      </c>
      <c r="AG66" s="1">
        <v>10</v>
      </c>
      <c r="AH66" t="s">
        <v>166</v>
      </c>
      <c r="AI66" s="1">
        <v>3</v>
      </c>
      <c r="AJ66" t="s">
        <v>167</v>
      </c>
      <c r="AK66" s="1">
        <v>13</v>
      </c>
      <c r="AL66" t="s">
        <v>168</v>
      </c>
      <c r="AM66" s="1">
        <v>5</v>
      </c>
      <c r="AN66" t="s">
        <v>169</v>
      </c>
      <c r="AP66" t="s">
        <v>170</v>
      </c>
      <c r="AR66" t="s">
        <v>171</v>
      </c>
      <c r="AT66" t="s">
        <v>172</v>
      </c>
      <c r="AV66" t="s">
        <v>173</v>
      </c>
      <c r="AW66" s="1">
        <v>3</v>
      </c>
      <c r="AX66" t="s">
        <v>174</v>
      </c>
      <c r="AY66" s="1">
        <v>2</v>
      </c>
      <c r="AZ66" t="s">
        <v>175</v>
      </c>
    </row>
    <row r="67" spans="1:53" x14ac:dyDescent="0.35">
      <c r="A67">
        <v>711000000</v>
      </c>
      <c r="B67" s="163" t="s">
        <v>214</v>
      </c>
      <c r="C67" s="163" t="s">
        <v>96</v>
      </c>
      <c r="D67" t="s">
        <v>151</v>
      </c>
      <c r="E67">
        <v>4</v>
      </c>
      <c r="F67" t="s">
        <v>152</v>
      </c>
      <c r="G67">
        <v>60</v>
      </c>
      <c r="H67" t="s">
        <v>153</v>
      </c>
      <c r="I67">
        <v>11</v>
      </c>
      <c r="J67" t="s">
        <v>154</v>
      </c>
      <c r="L67" t="s">
        <v>155</v>
      </c>
      <c r="N67" t="s">
        <v>156</v>
      </c>
      <c r="O67">
        <v>34</v>
      </c>
      <c r="P67" t="s">
        <v>157</v>
      </c>
      <c r="R67" t="s">
        <v>158</v>
      </c>
      <c r="T67" t="s">
        <v>159</v>
      </c>
      <c r="V67" t="s">
        <v>160</v>
      </c>
      <c r="X67" t="s">
        <v>161</v>
      </c>
      <c r="Z67" t="s">
        <v>162</v>
      </c>
      <c r="AB67" t="s">
        <v>163</v>
      </c>
      <c r="AD67" t="s">
        <v>164</v>
      </c>
      <c r="AF67" t="s">
        <v>165</v>
      </c>
      <c r="AH67" t="s">
        <v>166</v>
      </c>
      <c r="AJ67" t="s">
        <v>167</v>
      </c>
      <c r="AL67" t="s">
        <v>168</v>
      </c>
      <c r="AN67" t="s">
        <v>169</v>
      </c>
      <c r="AP67" t="s">
        <v>170</v>
      </c>
      <c r="AR67" t="s">
        <v>171</v>
      </c>
      <c r="AT67" t="s">
        <v>172</v>
      </c>
      <c r="AV67" t="s">
        <v>173</v>
      </c>
      <c r="AX67" t="s">
        <v>174</v>
      </c>
      <c r="AZ67" t="s">
        <v>175</v>
      </c>
    </row>
    <row r="68" spans="1:53" x14ac:dyDescent="0.35">
      <c r="A68">
        <v>711000000</v>
      </c>
      <c r="B68" s="164" t="s">
        <v>214</v>
      </c>
      <c r="C68" s="164" t="s">
        <v>103</v>
      </c>
      <c r="D68" t="s">
        <v>151</v>
      </c>
      <c r="F68" t="s">
        <v>152</v>
      </c>
      <c r="H68" t="s">
        <v>153</v>
      </c>
      <c r="J68" t="s">
        <v>154</v>
      </c>
      <c r="L68" t="s">
        <v>155</v>
      </c>
      <c r="N68" t="s">
        <v>156</v>
      </c>
      <c r="P68" t="s">
        <v>157</v>
      </c>
      <c r="Q68">
        <v>50</v>
      </c>
      <c r="R68" t="s">
        <v>158</v>
      </c>
      <c r="T68" t="s">
        <v>159</v>
      </c>
      <c r="V68" t="s">
        <v>160</v>
      </c>
      <c r="X68" t="s">
        <v>161</v>
      </c>
      <c r="Z68" t="s">
        <v>162</v>
      </c>
      <c r="AB68" t="s">
        <v>163</v>
      </c>
      <c r="AD68" t="s">
        <v>164</v>
      </c>
      <c r="AF68" t="s">
        <v>165</v>
      </c>
      <c r="AH68" t="s">
        <v>166</v>
      </c>
      <c r="AJ68" t="s">
        <v>167</v>
      </c>
      <c r="AL68" t="s">
        <v>168</v>
      </c>
      <c r="AN68" t="s">
        <v>169</v>
      </c>
      <c r="AP68" t="s">
        <v>170</v>
      </c>
      <c r="AR68" t="s">
        <v>171</v>
      </c>
      <c r="AT68" t="s">
        <v>172</v>
      </c>
      <c r="AV68" t="s">
        <v>173</v>
      </c>
      <c r="AX68" t="s">
        <v>174</v>
      </c>
      <c r="AZ68" t="s">
        <v>175</v>
      </c>
    </row>
    <row r="69" spans="1:53" x14ac:dyDescent="0.35">
      <c r="A69">
        <v>711000000</v>
      </c>
      <c r="B69" s="163" t="s">
        <v>214</v>
      </c>
      <c r="C69" s="163" t="s">
        <v>215</v>
      </c>
      <c r="D69" t="s">
        <v>151</v>
      </c>
      <c r="F69" t="s">
        <v>152</v>
      </c>
      <c r="H69" t="s">
        <v>153</v>
      </c>
      <c r="J69" t="s">
        <v>154</v>
      </c>
      <c r="L69" t="s">
        <v>155</v>
      </c>
      <c r="N69" t="s">
        <v>156</v>
      </c>
      <c r="P69" t="s">
        <v>157</v>
      </c>
      <c r="R69" t="s">
        <v>158</v>
      </c>
      <c r="T69" t="s">
        <v>159</v>
      </c>
      <c r="V69" t="s">
        <v>160</v>
      </c>
      <c r="X69" t="s">
        <v>161</v>
      </c>
      <c r="Z69" t="s">
        <v>162</v>
      </c>
      <c r="AB69" t="s">
        <v>163</v>
      </c>
      <c r="AD69" t="s">
        <v>164</v>
      </c>
      <c r="AF69" t="s">
        <v>165</v>
      </c>
      <c r="AH69" t="s">
        <v>166</v>
      </c>
      <c r="AJ69" t="s">
        <v>167</v>
      </c>
      <c r="AL69" t="s">
        <v>168</v>
      </c>
      <c r="AN69" t="s">
        <v>169</v>
      </c>
      <c r="AO69">
        <v>285</v>
      </c>
      <c r="AP69" t="s">
        <v>170</v>
      </c>
      <c r="AR69" t="s">
        <v>171</v>
      </c>
      <c r="AT69" t="s">
        <v>172</v>
      </c>
      <c r="AV69" t="s">
        <v>173</v>
      </c>
      <c r="AX69" t="s">
        <v>174</v>
      </c>
      <c r="AZ69" t="s">
        <v>175</v>
      </c>
    </row>
    <row r="70" spans="1:53" x14ac:dyDescent="0.35">
      <c r="A70">
        <v>711000000</v>
      </c>
      <c r="B70" s="164" t="s">
        <v>214</v>
      </c>
      <c r="C70" s="164" t="s">
        <v>17</v>
      </c>
      <c r="D70" t="s">
        <v>151</v>
      </c>
      <c r="F70" t="s">
        <v>152</v>
      </c>
      <c r="H70" t="s">
        <v>153</v>
      </c>
      <c r="J70" t="s">
        <v>154</v>
      </c>
      <c r="L70" t="s">
        <v>155</v>
      </c>
      <c r="N70" t="s">
        <v>156</v>
      </c>
      <c r="P70" t="s">
        <v>157</v>
      </c>
      <c r="R70" t="s">
        <v>158</v>
      </c>
      <c r="T70" t="s">
        <v>159</v>
      </c>
      <c r="U70">
        <v>45</v>
      </c>
      <c r="V70" t="s">
        <v>160</v>
      </c>
      <c r="W70">
        <v>14</v>
      </c>
      <c r="X70" t="s">
        <v>161</v>
      </c>
      <c r="Y70">
        <v>22</v>
      </c>
      <c r="Z70" t="s">
        <v>162</v>
      </c>
      <c r="AB70" t="s">
        <v>163</v>
      </c>
      <c r="AC70">
        <v>49</v>
      </c>
      <c r="AD70" t="s">
        <v>164</v>
      </c>
      <c r="AE70">
        <v>22</v>
      </c>
      <c r="AF70" t="s">
        <v>165</v>
      </c>
      <c r="AH70" t="s">
        <v>166</v>
      </c>
      <c r="AJ70" t="s">
        <v>167</v>
      </c>
      <c r="AK70">
        <v>15</v>
      </c>
      <c r="AL70" t="s">
        <v>168</v>
      </c>
      <c r="AN70" t="s">
        <v>169</v>
      </c>
      <c r="AP70" t="s">
        <v>170</v>
      </c>
      <c r="AR70" t="s">
        <v>171</v>
      </c>
      <c r="AT70" t="s">
        <v>172</v>
      </c>
      <c r="AV70" t="s">
        <v>173</v>
      </c>
      <c r="AX70" t="s">
        <v>174</v>
      </c>
      <c r="AZ70" t="s">
        <v>175</v>
      </c>
      <c r="BA70">
        <v>24</v>
      </c>
    </row>
    <row r="71" spans="1:53" x14ac:dyDescent="0.35">
      <c r="A71">
        <v>711000000</v>
      </c>
      <c r="B71" s="164" t="s">
        <v>214</v>
      </c>
      <c r="C71" s="164" t="s">
        <v>216</v>
      </c>
      <c r="D71" t="s">
        <v>151</v>
      </c>
      <c r="F71" t="s">
        <v>152</v>
      </c>
      <c r="H71" t="s">
        <v>153</v>
      </c>
      <c r="J71" t="s">
        <v>154</v>
      </c>
      <c r="L71" t="s">
        <v>155</v>
      </c>
      <c r="N71" t="s">
        <v>156</v>
      </c>
      <c r="O71">
        <v>29</v>
      </c>
      <c r="P71" t="s">
        <v>157</v>
      </c>
      <c r="Q71">
        <v>1</v>
      </c>
      <c r="R71" t="s">
        <v>158</v>
      </c>
      <c r="T71" t="s">
        <v>159</v>
      </c>
      <c r="V71" t="s">
        <v>160</v>
      </c>
      <c r="X71" t="s">
        <v>161</v>
      </c>
      <c r="Z71" t="s">
        <v>162</v>
      </c>
      <c r="AB71" t="s">
        <v>163</v>
      </c>
      <c r="AD71" t="s">
        <v>164</v>
      </c>
      <c r="AF71" t="s">
        <v>165</v>
      </c>
      <c r="AH71" t="s">
        <v>166</v>
      </c>
      <c r="AJ71" t="s">
        <v>167</v>
      </c>
      <c r="AL71" t="s">
        <v>168</v>
      </c>
      <c r="AN71" t="s">
        <v>169</v>
      </c>
      <c r="AP71" t="s">
        <v>170</v>
      </c>
      <c r="AR71" t="s">
        <v>171</v>
      </c>
      <c r="AT71" t="s">
        <v>172</v>
      </c>
      <c r="AV71" t="s">
        <v>173</v>
      </c>
      <c r="AX71" t="s">
        <v>174</v>
      </c>
      <c r="AZ71" t="s">
        <v>175</v>
      </c>
    </row>
    <row r="72" spans="1:53" x14ac:dyDescent="0.35">
      <c r="A72">
        <v>711000000</v>
      </c>
      <c r="B72" s="164" t="s">
        <v>214</v>
      </c>
      <c r="C72" s="164" t="s">
        <v>19</v>
      </c>
      <c r="D72" t="s">
        <v>151</v>
      </c>
      <c r="F72" t="s">
        <v>152</v>
      </c>
      <c r="H72" t="s">
        <v>153</v>
      </c>
      <c r="J72" t="s">
        <v>154</v>
      </c>
      <c r="L72" t="s">
        <v>155</v>
      </c>
      <c r="N72" t="s">
        <v>156</v>
      </c>
      <c r="P72" t="s">
        <v>157</v>
      </c>
      <c r="R72" t="s">
        <v>158</v>
      </c>
      <c r="T72" t="s">
        <v>159</v>
      </c>
      <c r="U72">
        <v>2</v>
      </c>
      <c r="V72" t="s">
        <v>160</v>
      </c>
      <c r="X72" t="s">
        <v>161</v>
      </c>
      <c r="Z72" t="s">
        <v>162</v>
      </c>
      <c r="AB72" t="s">
        <v>163</v>
      </c>
      <c r="AD72" t="s">
        <v>164</v>
      </c>
      <c r="AE72">
        <v>10</v>
      </c>
      <c r="AF72" t="s">
        <v>165</v>
      </c>
      <c r="AH72" t="s">
        <v>166</v>
      </c>
      <c r="AJ72" t="s">
        <v>167</v>
      </c>
      <c r="AL72" t="s">
        <v>168</v>
      </c>
      <c r="AN72" t="s">
        <v>169</v>
      </c>
      <c r="AP72" t="s">
        <v>170</v>
      </c>
      <c r="AR72" t="s">
        <v>171</v>
      </c>
      <c r="AT72" t="s">
        <v>172</v>
      </c>
      <c r="AU72">
        <v>12</v>
      </c>
      <c r="AV72" t="s">
        <v>173</v>
      </c>
      <c r="AX72" t="s">
        <v>174</v>
      </c>
      <c r="AZ72" t="s">
        <v>175</v>
      </c>
    </row>
    <row r="73" spans="1:53" x14ac:dyDescent="0.35">
      <c r="A73">
        <v>713000000</v>
      </c>
      <c r="B73" s="163" t="s">
        <v>217</v>
      </c>
      <c r="C73" s="163" t="s">
        <v>96</v>
      </c>
      <c r="D73" t="s">
        <v>151</v>
      </c>
      <c r="F73" t="s">
        <v>152</v>
      </c>
      <c r="G73">
        <v>29</v>
      </c>
      <c r="H73" t="s">
        <v>153</v>
      </c>
      <c r="J73" t="s">
        <v>154</v>
      </c>
      <c r="L73" t="s">
        <v>155</v>
      </c>
      <c r="N73" t="s">
        <v>156</v>
      </c>
      <c r="O73">
        <v>27</v>
      </c>
      <c r="P73" t="s">
        <v>157</v>
      </c>
      <c r="R73" t="s">
        <v>158</v>
      </c>
      <c r="T73" t="s">
        <v>159</v>
      </c>
      <c r="V73" t="s">
        <v>160</v>
      </c>
      <c r="X73" t="s">
        <v>161</v>
      </c>
      <c r="Z73" t="s">
        <v>162</v>
      </c>
      <c r="AB73" t="s">
        <v>163</v>
      </c>
      <c r="AD73" t="s">
        <v>164</v>
      </c>
      <c r="AF73" t="s">
        <v>165</v>
      </c>
      <c r="AH73" t="s">
        <v>166</v>
      </c>
      <c r="AJ73" t="s">
        <v>167</v>
      </c>
      <c r="AL73" t="s">
        <v>168</v>
      </c>
      <c r="AN73" t="s">
        <v>169</v>
      </c>
      <c r="AP73" t="s">
        <v>170</v>
      </c>
      <c r="AR73" t="s">
        <v>171</v>
      </c>
      <c r="AT73" t="s">
        <v>172</v>
      </c>
      <c r="AV73" t="s">
        <v>173</v>
      </c>
      <c r="AX73" t="s">
        <v>174</v>
      </c>
      <c r="AZ73" t="s">
        <v>175</v>
      </c>
    </row>
    <row r="74" spans="1:53" x14ac:dyDescent="0.35">
      <c r="A74">
        <v>713000000</v>
      </c>
      <c r="B74" s="164" t="s">
        <v>217</v>
      </c>
      <c r="C74" s="164" t="s">
        <v>103</v>
      </c>
      <c r="D74" t="s">
        <v>151</v>
      </c>
      <c r="F74" t="s">
        <v>152</v>
      </c>
      <c r="H74" t="s">
        <v>153</v>
      </c>
      <c r="J74" t="s">
        <v>154</v>
      </c>
      <c r="L74" t="s">
        <v>155</v>
      </c>
      <c r="N74" t="s">
        <v>156</v>
      </c>
      <c r="P74" t="s">
        <v>157</v>
      </c>
      <c r="Q74">
        <v>42</v>
      </c>
      <c r="R74" t="s">
        <v>158</v>
      </c>
      <c r="T74" t="s">
        <v>159</v>
      </c>
      <c r="V74" t="s">
        <v>160</v>
      </c>
      <c r="X74" t="s">
        <v>161</v>
      </c>
      <c r="Z74" t="s">
        <v>162</v>
      </c>
      <c r="AB74" t="s">
        <v>163</v>
      </c>
      <c r="AD74" t="s">
        <v>164</v>
      </c>
      <c r="AF74" t="s">
        <v>165</v>
      </c>
      <c r="AH74" t="s">
        <v>166</v>
      </c>
      <c r="AJ74" t="s">
        <v>167</v>
      </c>
      <c r="AL74" t="s">
        <v>168</v>
      </c>
      <c r="AN74" t="s">
        <v>169</v>
      </c>
      <c r="AP74" t="s">
        <v>170</v>
      </c>
      <c r="AR74" t="s">
        <v>171</v>
      </c>
      <c r="AT74" t="s">
        <v>172</v>
      </c>
      <c r="AV74" t="s">
        <v>173</v>
      </c>
      <c r="AX74" t="s">
        <v>174</v>
      </c>
      <c r="AZ74" t="s">
        <v>175</v>
      </c>
    </row>
    <row r="75" spans="1:53" x14ac:dyDescent="0.35">
      <c r="A75">
        <v>713000000</v>
      </c>
      <c r="B75" s="163" t="s">
        <v>217</v>
      </c>
      <c r="C75" s="163" t="s">
        <v>22</v>
      </c>
      <c r="D75" t="s">
        <v>151</v>
      </c>
      <c r="E75">
        <v>52</v>
      </c>
      <c r="F75" t="s">
        <v>152</v>
      </c>
      <c r="G75">
        <v>28</v>
      </c>
      <c r="H75" t="s">
        <v>153</v>
      </c>
      <c r="J75" t="s">
        <v>154</v>
      </c>
      <c r="K75">
        <v>11</v>
      </c>
      <c r="L75" t="s">
        <v>155</v>
      </c>
      <c r="N75" t="s">
        <v>156</v>
      </c>
      <c r="P75" t="s">
        <v>157</v>
      </c>
      <c r="R75" t="s">
        <v>158</v>
      </c>
      <c r="T75" t="s">
        <v>159</v>
      </c>
      <c r="V75" t="s">
        <v>160</v>
      </c>
      <c r="X75" t="s">
        <v>161</v>
      </c>
      <c r="Z75" t="s">
        <v>162</v>
      </c>
      <c r="AB75" t="s">
        <v>163</v>
      </c>
      <c r="AC75">
        <v>3</v>
      </c>
      <c r="AD75" t="s">
        <v>164</v>
      </c>
      <c r="AE75">
        <v>4</v>
      </c>
      <c r="AF75" t="s">
        <v>165</v>
      </c>
      <c r="AH75" t="s">
        <v>166</v>
      </c>
      <c r="AJ75" t="s">
        <v>167</v>
      </c>
      <c r="AL75" t="s">
        <v>168</v>
      </c>
      <c r="AN75" t="s">
        <v>169</v>
      </c>
      <c r="AP75" t="s">
        <v>170</v>
      </c>
      <c r="AR75" t="s">
        <v>171</v>
      </c>
      <c r="AT75" t="s">
        <v>172</v>
      </c>
      <c r="AV75" t="s">
        <v>173</v>
      </c>
      <c r="AX75" t="s">
        <v>174</v>
      </c>
      <c r="AZ75" t="s">
        <v>175</v>
      </c>
      <c r="BA75">
        <v>3</v>
      </c>
    </row>
    <row r="76" spans="1:53" x14ac:dyDescent="0.35">
      <c r="A76">
        <v>713000000</v>
      </c>
      <c r="B76" s="164" t="s">
        <v>217</v>
      </c>
      <c r="C76" s="164" t="s">
        <v>112</v>
      </c>
      <c r="D76" t="s">
        <v>151</v>
      </c>
      <c r="F76" t="s">
        <v>152</v>
      </c>
      <c r="G76">
        <v>16</v>
      </c>
      <c r="H76" t="s">
        <v>153</v>
      </c>
      <c r="J76" t="s">
        <v>154</v>
      </c>
      <c r="L76" t="s">
        <v>155</v>
      </c>
      <c r="N76" t="s">
        <v>156</v>
      </c>
      <c r="O76">
        <v>5</v>
      </c>
      <c r="P76" t="s">
        <v>157</v>
      </c>
      <c r="R76" t="s">
        <v>158</v>
      </c>
      <c r="T76" t="s">
        <v>159</v>
      </c>
      <c r="V76" t="s">
        <v>160</v>
      </c>
      <c r="X76" t="s">
        <v>161</v>
      </c>
      <c r="Z76" t="s">
        <v>162</v>
      </c>
      <c r="AB76" t="s">
        <v>163</v>
      </c>
      <c r="AD76" t="s">
        <v>164</v>
      </c>
      <c r="AF76" t="s">
        <v>165</v>
      </c>
      <c r="AH76" t="s">
        <v>166</v>
      </c>
      <c r="AJ76" t="s">
        <v>167</v>
      </c>
      <c r="AL76" t="s">
        <v>168</v>
      </c>
      <c r="AN76" t="s">
        <v>169</v>
      </c>
      <c r="AP76" t="s">
        <v>170</v>
      </c>
      <c r="AR76" t="s">
        <v>171</v>
      </c>
      <c r="AT76" t="s">
        <v>172</v>
      </c>
      <c r="AV76" t="s">
        <v>173</v>
      </c>
      <c r="AX76" t="s">
        <v>174</v>
      </c>
      <c r="AZ76" t="s">
        <v>175</v>
      </c>
    </row>
    <row r="77" spans="1:53" x14ac:dyDescent="0.35">
      <c r="A77">
        <v>713000000</v>
      </c>
      <c r="B77" s="170" t="s">
        <v>217</v>
      </c>
      <c r="C77" s="170" t="s">
        <v>57</v>
      </c>
      <c r="D77" t="s">
        <v>151</v>
      </c>
      <c r="F77" t="s">
        <v>152</v>
      </c>
      <c r="H77" t="s">
        <v>153</v>
      </c>
      <c r="J77" t="s">
        <v>154</v>
      </c>
      <c r="L77" t="s">
        <v>155</v>
      </c>
      <c r="N77" t="s">
        <v>156</v>
      </c>
      <c r="O77">
        <v>12</v>
      </c>
      <c r="P77" t="s">
        <v>157</v>
      </c>
      <c r="R77" t="s">
        <v>158</v>
      </c>
      <c r="T77" t="s">
        <v>159</v>
      </c>
      <c r="V77" t="s">
        <v>160</v>
      </c>
      <c r="X77" t="s">
        <v>161</v>
      </c>
      <c r="Z77" t="s">
        <v>162</v>
      </c>
      <c r="AB77" t="s">
        <v>163</v>
      </c>
      <c r="AD77" t="s">
        <v>164</v>
      </c>
      <c r="AF77" t="s">
        <v>165</v>
      </c>
      <c r="AH77" t="s">
        <v>166</v>
      </c>
      <c r="AJ77" t="s">
        <v>167</v>
      </c>
      <c r="AL77" t="s">
        <v>168</v>
      </c>
      <c r="AN77" t="s">
        <v>169</v>
      </c>
      <c r="AO77">
        <v>43</v>
      </c>
      <c r="AP77" t="s">
        <v>170</v>
      </c>
      <c r="AR77" t="s">
        <v>171</v>
      </c>
      <c r="AT77" t="s">
        <v>172</v>
      </c>
      <c r="AV77" t="s">
        <v>173</v>
      </c>
      <c r="AX77" t="s">
        <v>174</v>
      </c>
      <c r="AZ77" t="s">
        <v>175</v>
      </c>
    </row>
    <row r="78" spans="1:53" x14ac:dyDescent="0.35">
      <c r="A78">
        <v>713000000</v>
      </c>
      <c r="B78" s="166" t="s">
        <v>217</v>
      </c>
      <c r="C78" s="166" t="s">
        <v>218</v>
      </c>
      <c r="D78" t="s">
        <v>151</v>
      </c>
      <c r="F78" t="s">
        <v>152</v>
      </c>
      <c r="H78" t="s">
        <v>153</v>
      </c>
      <c r="I78">
        <v>2</v>
      </c>
      <c r="J78" t="s">
        <v>154</v>
      </c>
      <c r="L78" t="s">
        <v>155</v>
      </c>
      <c r="N78" t="s">
        <v>156</v>
      </c>
      <c r="P78" t="s">
        <v>157</v>
      </c>
      <c r="R78" t="s">
        <v>158</v>
      </c>
      <c r="T78" t="s">
        <v>159</v>
      </c>
      <c r="V78" t="s">
        <v>160</v>
      </c>
      <c r="X78" t="s">
        <v>161</v>
      </c>
      <c r="Z78" t="s">
        <v>162</v>
      </c>
      <c r="AB78" t="s">
        <v>163</v>
      </c>
      <c r="AD78" t="s">
        <v>164</v>
      </c>
      <c r="AF78" t="s">
        <v>165</v>
      </c>
      <c r="AH78" t="s">
        <v>166</v>
      </c>
      <c r="AJ78" t="s">
        <v>167</v>
      </c>
      <c r="AL78" t="s">
        <v>168</v>
      </c>
      <c r="AN78" t="s">
        <v>169</v>
      </c>
      <c r="AP78" t="s">
        <v>170</v>
      </c>
      <c r="AR78" t="s">
        <v>171</v>
      </c>
      <c r="AT78" t="s">
        <v>172</v>
      </c>
      <c r="AV78" t="s">
        <v>173</v>
      </c>
      <c r="AX78" t="s">
        <v>174</v>
      </c>
      <c r="AZ78" t="s">
        <v>175</v>
      </c>
    </row>
    <row r="79" spans="1:53" x14ac:dyDescent="0.35">
      <c r="A79">
        <v>714000000</v>
      </c>
      <c r="B79" t="s">
        <v>219</v>
      </c>
      <c r="C79" t="s">
        <v>96</v>
      </c>
      <c r="D79" t="s">
        <v>151</v>
      </c>
      <c r="F79" t="s">
        <v>152</v>
      </c>
      <c r="G79">
        <v>57</v>
      </c>
      <c r="H79" t="s">
        <v>153</v>
      </c>
      <c r="I79">
        <v>17</v>
      </c>
      <c r="J79" t="s">
        <v>154</v>
      </c>
      <c r="L79" t="s">
        <v>155</v>
      </c>
      <c r="N79" t="s">
        <v>156</v>
      </c>
      <c r="P79" t="s">
        <v>157</v>
      </c>
      <c r="R79" t="s">
        <v>158</v>
      </c>
      <c r="T79" t="s">
        <v>159</v>
      </c>
      <c r="V79" t="s">
        <v>160</v>
      </c>
      <c r="X79" t="s">
        <v>161</v>
      </c>
      <c r="Z79" t="s">
        <v>162</v>
      </c>
      <c r="AB79" t="s">
        <v>163</v>
      </c>
      <c r="AD79" t="s">
        <v>164</v>
      </c>
      <c r="AF79" t="s">
        <v>165</v>
      </c>
      <c r="AH79" t="s">
        <v>166</v>
      </c>
      <c r="AJ79" t="s">
        <v>167</v>
      </c>
      <c r="AL79" t="s">
        <v>168</v>
      </c>
      <c r="AN79" t="s">
        <v>169</v>
      </c>
      <c r="AP79" t="s">
        <v>170</v>
      </c>
      <c r="AR79" t="s">
        <v>171</v>
      </c>
      <c r="AT79" t="s">
        <v>172</v>
      </c>
      <c r="AU79">
        <v>25</v>
      </c>
      <c r="AV79" t="s">
        <v>173</v>
      </c>
      <c r="AX79" t="s">
        <v>174</v>
      </c>
      <c r="AZ79" t="s">
        <v>175</v>
      </c>
    </row>
    <row r="80" spans="1:53" x14ac:dyDescent="0.35">
      <c r="A80">
        <v>714000000</v>
      </c>
      <c r="B80" t="s">
        <v>219</v>
      </c>
      <c r="C80" t="s">
        <v>103</v>
      </c>
      <c r="D80" t="s">
        <v>151</v>
      </c>
      <c r="F80" t="s">
        <v>152</v>
      </c>
      <c r="H80" t="s">
        <v>153</v>
      </c>
      <c r="J80" t="s">
        <v>154</v>
      </c>
      <c r="L80" t="s">
        <v>155</v>
      </c>
      <c r="N80" t="s">
        <v>156</v>
      </c>
      <c r="P80" t="s">
        <v>157</v>
      </c>
      <c r="Q80">
        <v>39</v>
      </c>
      <c r="R80" t="s">
        <v>158</v>
      </c>
      <c r="T80" t="s">
        <v>159</v>
      </c>
      <c r="V80" t="s">
        <v>160</v>
      </c>
      <c r="X80" t="s">
        <v>161</v>
      </c>
      <c r="Z80" t="s">
        <v>162</v>
      </c>
      <c r="AB80" t="s">
        <v>163</v>
      </c>
      <c r="AD80" t="s">
        <v>164</v>
      </c>
      <c r="AF80" t="s">
        <v>165</v>
      </c>
      <c r="AH80" t="s">
        <v>166</v>
      </c>
      <c r="AJ80" t="s">
        <v>167</v>
      </c>
      <c r="AL80" t="s">
        <v>168</v>
      </c>
      <c r="AN80" t="s">
        <v>169</v>
      </c>
      <c r="AP80" t="s">
        <v>170</v>
      </c>
      <c r="AR80" t="s">
        <v>171</v>
      </c>
      <c r="AT80" t="s">
        <v>172</v>
      </c>
      <c r="AV80" t="s">
        <v>173</v>
      </c>
      <c r="AX80" t="s">
        <v>174</v>
      </c>
      <c r="AZ80" t="s">
        <v>175</v>
      </c>
    </row>
    <row r="81" spans="1:53" x14ac:dyDescent="0.35">
      <c r="A81">
        <v>714000000</v>
      </c>
      <c r="B81" s="166" t="s">
        <v>219</v>
      </c>
      <c r="C81" s="166" t="s">
        <v>22</v>
      </c>
      <c r="D81" t="s">
        <v>151</v>
      </c>
      <c r="E81">
        <v>31</v>
      </c>
      <c r="F81" t="s">
        <v>152</v>
      </c>
      <c r="G81">
        <v>5</v>
      </c>
      <c r="H81" t="s">
        <v>153</v>
      </c>
      <c r="J81" t="s">
        <v>154</v>
      </c>
      <c r="L81" t="s">
        <v>155</v>
      </c>
      <c r="N81" t="s">
        <v>156</v>
      </c>
      <c r="O81">
        <v>19</v>
      </c>
      <c r="P81" t="s">
        <v>157</v>
      </c>
      <c r="R81" t="s">
        <v>158</v>
      </c>
      <c r="T81" t="s">
        <v>159</v>
      </c>
      <c r="V81" t="s">
        <v>160</v>
      </c>
      <c r="X81" t="s">
        <v>161</v>
      </c>
      <c r="Z81" t="s">
        <v>162</v>
      </c>
      <c r="AB81" t="s">
        <v>163</v>
      </c>
      <c r="AD81" t="s">
        <v>164</v>
      </c>
      <c r="AF81" t="s">
        <v>165</v>
      </c>
      <c r="AH81" t="s">
        <v>166</v>
      </c>
      <c r="AJ81" t="s">
        <v>167</v>
      </c>
      <c r="AL81" t="s">
        <v>168</v>
      </c>
      <c r="AN81" t="s">
        <v>169</v>
      </c>
      <c r="AP81" t="s">
        <v>170</v>
      </c>
      <c r="AR81" t="s">
        <v>171</v>
      </c>
      <c r="AT81" t="s">
        <v>172</v>
      </c>
      <c r="AV81" t="s">
        <v>173</v>
      </c>
      <c r="AX81" t="s">
        <v>174</v>
      </c>
      <c r="AZ81" t="s">
        <v>175</v>
      </c>
    </row>
    <row r="82" spans="1:53" x14ac:dyDescent="0.35">
      <c r="A82">
        <v>714000000</v>
      </c>
      <c r="B82" t="s">
        <v>219</v>
      </c>
      <c r="C82" t="s">
        <v>220</v>
      </c>
      <c r="D82" t="s">
        <v>151</v>
      </c>
      <c r="F82" t="s">
        <v>152</v>
      </c>
      <c r="H82" t="s">
        <v>153</v>
      </c>
      <c r="J82" t="s">
        <v>154</v>
      </c>
      <c r="L82" t="s">
        <v>155</v>
      </c>
      <c r="N82" t="s">
        <v>156</v>
      </c>
      <c r="O82">
        <v>8</v>
      </c>
      <c r="P82" t="s">
        <v>157</v>
      </c>
      <c r="Q82">
        <v>24</v>
      </c>
      <c r="R82" t="s">
        <v>158</v>
      </c>
      <c r="T82" t="s">
        <v>159</v>
      </c>
      <c r="V82" t="s">
        <v>160</v>
      </c>
      <c r="X82" t="s">
        <v>161</v>
      </c>
      <c r="Z82" t="s">
        <v>162</v>
      </c>
      <c r="AB82" t="s">
        <v>163</v>
      </c>
      <c r="AD82" t="s">
        <v>164</v>
      </c>
      <c r="AF82" t="s">
        <v>165</v>
      </c>
      <c r="AH82" t="s">
        <v>166</v>
      </c>
      <c r="AJ82" t="s">
        <v>167</v>
      </c>
      <c r="AL82" t="s">
        <v>168</v>
      </c>
      <c r="AN82" t="s">
        <v>169</v>
      </c>
      <c r="AP82" t="s">
        <v>170</v>
      </c>
      <c r="AR82" t="s">
        <v>171</v>
      </c>
      <c r="AT82" t="s">
        <v>172</v>
      </c>
      <c r="AV82" t="s">
        <v>173</v>
      </c>
      <c r="AX82" t="s">
        <v>174</v>
      </c>
      <c r="AZ82" t="s">
        <v>175</v>
      </c>
    </row>
    <row r="83" spans="1:53" x14ac:dyDescent="0.35">
      <c r="A83">
        <v>714000000</v>
      </c>
      <c r="B83" s="166" t="s">
        <v>219</v>
      </c>
      <c r="C83" s="166" t="s">
        <v>24</v>
      </c>
      <c r="D83" t="s">
        <v>151</v>
      </c>
      <c r="F83" t="s">
        <v>152</v>
      </c>
      <c r="H83" t="s">
        <v>153</v>
      </c>
      <c r="J83" t="s">
        <v>154</v>
      </c>
      <c r="L83" t="s">
        <v>155</v>
      </c>
      <c r="N83" t="s">
        <v>156</v>
      </c>
      <c r="P83" t="s">
        <v>157</v>
      </c>
      <c r="R83" t="s">
        <v>158</v>
      </c>
      <c r="T83" t="s">
        <v>159</v>
      </c>
      <c r="U83">
        <v>5</v>
      </c>
      <c r="V83" t="s">
        <v>160</v>
      </c>
      <c r="X83" t="s">
        <v>161</v>
      </c>
      <c r="Y83">
        <v>15</v>
      </c>
      <c r="Z83" t="s">
        <v>162</v>
      </c>
      <c r="AB83" t="s">
        <v>163</v>
      </c>
      <c r="AC83">
        <v>8</v>
      </c>
      <c r="AD83" t="s">
        <v>164</v>
      </c>
      <c r="AE83">
        <v>13</v>
      </c>
      <c r="AF83" t="s">
        <v>165</v>
      </c>
      <c r="AH83" t="s">
        <v>166</v>
      </c>
      <c r="AJ83" t="s">
        <v>167</v>
      </c>
      <c r="AK83">
        <v>10</v>
      </c>
      <c r="AL83" t="s">
        <v>168</v>
      </c>
      <c r="AM83">
        <v>9</v>
      </c>
      <c r="AN83" t="s">
        <v>169</v>
      </c>
      <c r="AP83" t="s">
        <v>170</v>
      </c>
      <c r="AR83" t="s">
        <v>171</v>
      </c>
      <c r="AT83" t="s">
        <v>172</v>
      </c>
      <c r="AV83" t="s">
        <v>173</v>
      </c>
      <c r="AX83" t="s">
        <v>174</v>
      </c>
      <c r="AZ83" t="s">
        <v>175</v>
      </c>
      <c r="BA83">
        <v>8</v>
      </c>
    </row>
    <row r="84" spans="1:53" x14ac:dyDescent="0.35">
      <c r="A84">
        <v>714000000</v>
      </c>
      <c r="B84" s="166" t="s">
        <v>219</v>
      </c>
      <c r="C84" s="166" t="s">
        <v>92</v>
      </c>
      <c r="D84" t="s">
        <v>151</v>
      </c>
      <c r="F84" t="s">
        <v>152</v>
      </c>
      <c r="H84" t="s">
        <v>153</v>
      </c>
      <c r="J84" t="s">
        <v>154</v>
      </c>
      <c r="L84" t="s">
        <v>155</v>
      </c>
      <c r="N84" t="s">
        <v>156</v>
      </c>
      <c r="P84" t="s">
        <v>157</v>
      </c>
      <c r="R84" t="s">
        <v>158</v>
      </c>
      <c r="S84">
        <v>80</v>
      </c>
      <c r="T84" t="s">
        <v>159</v>
      </c>
      <c r="V84" t="s">
        <v>160</v>
      </c>
      <c r="X84" t="s">
        <v>161</v>
      </c>
      <c r="Z84" t="s">
        <v>162</v>
      </c>
      <c r="AB84" t="s">
        <v>163</v>
      </c>
      <c r="AD84" t="s">
        <v>164</v>
      </c>
      <c r="AF84" t="s">
        <v>165</v>
      </c>
      <c r="AH84" t="s">
        <v>166</v>
      </c>
      <c r="AJ84" t="s">
        <v>167</v>
      </c>
      <c r="AL84" t="s">
        <v>168</v>
      </c>
      <c r="AN84" t="s">
        <v>169</v>
      </c>
      <c r="AP84" t="s">
        <v>170</v>
      </c>
      <c r="AR84" t="s">
        <v>171</v>
      </c>
      <c r="AT84" t="s">
        <v>172</v>
      </c>
      <c r="AV84" t="s">
        <v>173</v>
      </c>
      <c r="AX84" t="s">
        <v>174</v>
      </c>
      <c r="AZ84" t="s">
        <v>175</v>
      </c>
    </row>
    <row r="85" spans="1:53" x14ac:dyDescent="0.35">
      <c r="A85">
        <v>716000000</v>
      </c>
      <c r="B85" t="s">
        <v>221</v>
      </c>
      <c r="C85" t="s">
        <v>105</v>
      </c>
      <c r="D85" t="s">
        <v>151</v>
      </c>
      <c r="F85" t="s">
        <v>152</v>
      </c>
      <c r="H85" t="s">
        <v>153</v>
      </c>
      <c r="J85" t="s">
        <v>154</v>
      </c>
      <c r="L85" t="s">
        <v>155</v>
      </c>
      <c r="N85" t="s">
        <v>156</v>
      </c>
      <c r="O85">
        <v>26</v>
      </c>
      <c r="P85" t="s">
        <v>157</v>
      </c>
      <c r="R85" t="s">
        <v>158</v>
      </c>
      <c r="T85" t="s">
        <v>159</v>
      </c>
      <c r="V85" t="s">
        <v>160</v>
      </c>
      <c r="X85" t="s">
        <v>161</v>
      </c>
      <c r="Z85" t="s">
        <v>162</v>
      </c>
      <c r="AB85" t="s">
        <v>163</v>
      </c>
      <c r="AD85" t="s">
        <v>164</v>
      </c>
      <c r="AF85" t="s">
        <v>165</v>
      </c>
      <c r="AH85" t="s">
        <v>166</v>
      </c>
      <c r="AJ85" t="s">
        <v>167</v>
      </c>
      <c r="AL85" t="s">
        <v>168</v>
      </c>
      <c r="AN85" t="s">
        <v>169</v>
      </c>
      <c r="AO85">
        <v>21</v>
      </c>
      <c r="AP85" t="s">
        <v>170</v>
      </c>
      <c r="AR85" t="s">
        <v>171</v>
      </c>
      <c r="AT85" t="s">
        <v>172</v>
      </c>
      <c r="AV85" t="s">
        <v>173</v>
      </c>
      <c r="AX85" t="s">
        <v>174</v>
      </c>
      <c r="AZ85" t="s">
        <v>175</v>
      </c>
    </row>
    <row r="86" spans="1:53" x14ac:dyDescent="0.35">
      <c r="A86">
        <v>716000000</v>
      </c>
      <c r="B86" s="166" t="s">
        <v>221</v>
      </c>
      <c r="C86" s="166" t="s">
        <v>222</v>
      </c>
      <c r="D86" t="s">
        <v>151</v>
      </c>
      <c r="E86">
        <v>72</v>
      </c>
      <c r="F86" t="s">
        <v>152</v>
      </c>
      <c r="H86" t="s">
        <v>153</v>
      </c>
      <c r="J86" t="s">
        <v>154</v>
      </c>
      <c r="K86">
        <v>8</v>
      </c>
      <c r="L86" t="s">
        <v>155</v>
      </c>
      <c r="N86" t="s">
        <v>156</v>
      </c>
      <c r="P86" t="s">
        <v>157</v>
      </c>
      <c r="R86" t="s">
        <v>158</v>
      </c>
      <c r="T86" t="s">
        <v>159</v>
      </c>
      <c r="V86" t="s">
        <v>160</v>
      </c>
      <c r="X86" t="s">
        <v>161</v>
      </c>
      <c r="Z86" t="s">
        <v>162</v>
      </c>
      <c r="AB86" t="s">
        <v>163</v>
      </c>
      <c r="AD86" t="s">
        <v>164</v>
      </c>
      <c r="AF86" t="s">
        <v>165</v>
      </c>
      <c r="AH86" t="s">
        <v>166</v>
      </c>
      <c r="AJ86" t="s">
        <v>167</v>
      </c>
      <c r="AL86" t="s">
        <v>168</v>
      </c>
      <c r="AN86" t="s">
        <v>169</v>
      </c>
      <c r="AP86" t="s">
        <v>170</v>
      </c>
      <c r="AR86" t="s">
        <v>171</v>
      </c>
      <c r="AT86" t="s">
        <v>172</v>
      </c>
      <c r="AV86" t="s">
        <v>173</v>
      </c>
      <c r="AX86" t="s">
        <v>174</v>
      </c>
      <c r="AZ86" t="s">
        <v>175</v>
      </c>
    </row>
    <row r="87" spans="1:53" x14ac:dyDescent="0.35">
      <c r="A87">
        <v>716000000</v>
      </c>
      <c r="B87" t="s">
        <v>221</v>
      </c>
      <c r="C87" t="s">
        <v>96</v>
      </c>
      <c r="D87" t="s">
        <v>151</v>
      </c>
      <c r="E87">
        <v>14</v>
      </c>
      <c r="F87" t="s">
        <v>152</v>
      </c>
      <c r="G87">
        <v>68</v>
      </c>
      <c r="H87" t="s">
        <v>153</v>
      </c>
      <c r="I87">
        <v>29</v>
      </c>
      <c r="J87" t="s">
        <v>154</v>
      </c>
      <c r="K87">
        <v>13</v>
      </c>
      <c r="L87" t="s">
        <v>155</v>
      </c>
      <c r="N87" t="s">
        <v>156</v>
      </c>
      <c r="O87">
        <v>23</v>
      </c>
      <c r="P87" t="s">
        <v>157</v>
      </c>
      <c r="R87" t="s">
        <v>158</v>
      </c>
      <c r="T87" t="s">
        <v>159</v>
      </c>
      <c r="V87" t="s">
        <v>160</v>
      </c>
      <c r="X87" t="s">
        <v>161</v>
      </c>
      <c r="Z87" t="s">
        <v>162</v>
      </c>
      <c r="AB87" t="s">
        <v>163</v>
      </c>
      <c r="AD87" t="s">
        <v>164</v>
      </c>
      <c r="AF87" t="s">
        <v>165</v>
      </c>
      <c r="AH87" t="s">
        <v>166</v>
      </c>
      <c r="AJ87" t="s">
        <v>167</v>
      </c>
      <c r="AL87" t="s">
        <v>168</v>
      </c>
      <c r="AN87" t="s">
        <v>169</v>
      </c>
      <c r="AP87" t="s">
        <v>170</v>
      </c>
      <c r="AR87" t="s">
        <v>171</v>
      </c>
      <c r="AT87" t="s">
        <v>172</v>
      </c>
      <c r="AV87" t="s">
        <v>173</v>
      </c>
      <c r="AX87" t="s">
        <v>174</v>
      </c>
      <c r="AZ87" t="s">
        <v>175</v>
      </c>
    </row>
    <row r="88" spans="1:53" x14ac:dyDescent="0.35">
      <c r="A88">
        <v>716000000</v>
      </c>
      <c r="B88" s="166" t="s">
        <v>221</v>
      </c>
      <c r="C88" s="166" t="s">
        <v>24</v>
      </c>
      <c r="D88" t="s">
        <v>151</v>
      </c>
      <c r="E88">
        <v>19</v>
      </c>
      <c r="F88" t="s">
        <v>152</v>
      </c>
      <c r="H88" t="s">
        <v>153</v>
      </c>
      <c r="J88" t="s">
        <v>154</v>
      </c>
      <c r="L88" t="s">
        <v>155</v>
      </c>
      <c r="N88" t="s">
        <v>156</v>
      </c>
      <c r="P88" t="s">
        <v>157</v>
      </c>
      <c r="R88" t="s">
        <v>158</v>
      </c>
      <c r="S88">
        <v>6</v>
      </c>
      <c r="T88" t="s">
        <v>159</v>
      </c>
      <c r="U88">
        <v>6</v>
      </c>
      <c r="V88" t="s">
        <v>160</v>
      </c>
      <c r="W88">
        <v>12</v>
      </c>
      <c r="X88" t="s">
        <v>161</v>
      </c>
      <c r="Y88">
        <v>14</v>
      </c>
      <c r="Z88" t="s">
        <v>162</v>
      </c>
      <c r="AB88" t="s">
        <v>163</v>
      </c>
      <c r="AC88">
        <v>6</v>
      </c>
      <c r="AD88" t="s">
        <v>164</v>
      </c>
      <c r="AE88">
        <v>27</v>
      </c>
      <c r="AF88" t="s">
        <v>165</v>
      </c>
      <c r="AH88" t="s">
        <v>166</v>
      </c>
      <c r="AJ88" t="s">
        <v>167</v>
      </c>
      <c r="AK88">
        <v>17</v>
      </c>
      <c r="AL88" t="s">
        <v>168</v>
      </c>
      <c r="AN88" t="s">
        <v>169</v>
      </c>
      <c r="AP88" t="s">
        <v>170</v>
      </c>
      <c r="AR88" t="s">
        <v>171</v>
      </c>
      <c r="AT88" t="s">
        <v>172</v>
      </c>
      <c r="AV88" t="s">
        <v>173</v>
      </c>
      <c r="AX88" t="s">
        <v>174</v>
      </c>
      <c r="AZ88" t="s">
        <v>175</v>
      </c>
      <c r="BA88">
        <v>7</v>
      </c>
    </row>
    <row r="89" spans="1:53" x14ac:dyDescent="0.35">
      <c r="A89">
        <v>716000000</v>
      </c>
      <c r="B89" t="s">
        <v>221</v>
      </c>
      <c r="C89" t="s">
        <v>126</v>
      </c>
      <c r="D89" t="s">
        <v>151</v>
      </c>
      <c r="E89">
        <v>12</v>
      </c>
      <c r="F89" t="s">
        <v>152</v>
      </c>
      <c r="G89">
        <v>17</v>
      </c>
      <c r="H89" t="s">
        <v>153</v>
      </c>
      <c r="J89" t="s">
        <v>154</v>
      </c>
      <c r="L89" t="s">
        <v>155</v>
      </c>
      <c r="N89" t="s">
        <v>156</v>
      </c>
      <c r="P89" t="s">
        <v>157</v>
      </c>
      <c r="R89" t="s">
        <v>158</v>
      </c>
      <c r="S89">
        <v>9</v>
      </c>
      <c r="T89" t="s">
        <v>159</v>
      </c>
      <c r="V89" t="s">
        <v>160</v>
      </c>
      <c r="X89" t="s">
        <v>161</v>
      </c>
      <c r="Z89" t="s">
        <v>162</v>
      </c>
      <c r="AB89" t="s">
        <v>163</v>
      </c>
      <c r="AD89" t="s">
        <v>164</v>
      </c>
      <c r="AE89">
        <v>1</v>
      </c>
      <c r="AF89" t="s">
        <v>165</v>
      </c>
      <c r="AH89" t="s">
        <v>166</v>
      </c>
      <c r="AJ89" t="s">
        <v>167</v>
      </c>
      <c r="AL89" t="s">
        <v>168</v>
      </c>
      <c r="AN89" t="s">
        <v>169</v>
      </c>
      <c r="AP89" t="s">
        <v>170</v>
      </c>
      <c r="AR89" t="s">
        <v>171</v>
      </c>
      <c r="AT89" t="s">
        <v>172</v>
      </c>
      <c r="AV89" t="s">
        <v>173</v>
      </c>
      <c r="AX89" t="s">
        <v>174</v>
      </c>
      <c r="AZ89" t="s">
        <v>175</v>
      </c>
    </row>
    <row r="90" spans="1:53" x14ac:dyDescent="0.35">
      <c r="A90">
        <v>717000000</v>
      </c>
      <c r="B90" s="166" t="s">
        <v>223</v>
      </c>
      <c r="C90" s="166" t="s">
        <v>49</v>
      </c>
      <c r="D90" t="s">
        <v>151</v>
      </c>
      <c r="E90">
        <v>16</v>
      </c>
      <c r="F90" t="s">
        <v>152</v>
      </c>
      <c r="H90" t="s">
        <v>153</v>
      </c>
      <c r="J90" t="s">
        <v>154</v>
      </c>
      <c r="L90" t="s">
        <v>155</v>
      </c>
      <c r="N90" t="s">
        <v>156</v>
      </c>
      <c r="P90" t="s">
        <v>157</v>
      </c>
      <c r="R90" t="s">
        <v>158</v>
      </c>
      <c r="T90" t="s">
        <v>159</v>
      </c>
      <c r="U90">
        <v>6</v>
      </c>
      <c r="V90" t="s">
        <v>160</v>
      </c>
      <c r="W90">
        <v>13</v>
      </c>
      <c r="X90" t="s">
        <v>161</v>
      </c>
      <c r="Y90">
        <v>16</v>
      </c>
      <c r="Z90" t="s">
        <v>162</v>
      </c>
      <c r="AB90" t="s">
        <v>163</v>
      </c>
      <c r="AD90" t="s">
        <v>164</v>
      </c>
      <c r="AE90">
        <v>16</v>
      </c>
      <c r="AF90" t="s">
        <v>165</v>
      </c>
      <c r="AH90" t="s">
        <v>166</v>
      </c>
      <c r="AJ90" t="s">
        <v>167</v>
      </c>
      <c r="AL90" t="s">
        <v>168</v>
      </c>
      <c r="AN90" t="s">
        <v>169</v>
      </c>
      <c r="AP90" t="s">
        <v>170</v>
      </c>
      <c r="AR90" t="s">
        <v>171</v>
      </c>
      <c r="AT90" t="s">
        <v>172</v>
      </c>
      <c r="AV90" t="s">
        <v>173</v>
      </c>
      <c r="AX90" t="s">
        <v>174</v>
      </c>
      <c r="AZ90" t="s">
        <v>175</v>
      </c>
      <c r="BA90">
        <v>2</v>
      </c>
    </row>
    <row r="91" spans="1:53" x14ac:dyDescent="0.35">
      <c r="A91">
        <v>717000000</v>
      </c>
      <c r="B91" t="s">
        <v>223</v>
      </c>
      <c r="C91" t="s">
        <v>107</v>
      </c>
      <c r="D91" t="s">
        <v>151</v>
      </c>
      <c r="F91" t="s">
        <v>152</v>
      </c>
      <c r="H91" t="s">
        <v>153</v>
      </c>
      <c r="J91" t="s">
        <v>154</v>
      </c>
      <c r="L91" t="s">
        <v>155</v>
      </c>
      <c r="N91" t="s">
        <v>156</v>
      </c>
      <c r="P91" t="s">
        <v>157</v>
      </c>
      <c r="R91" t="s">
        <v>158</v>
      </c>
      <c r="S91">
        <v>64</v>
      </c>
      <c r="T91" t="s">
        <v>159</v>
      </c>
      <c r="V91" t="s">
        <v>160</v>
      </c>
      <c r="X91" t="s">
        <v>161</v>
      </c>
      <c r="Z91" t="s">
        <v>162</v>
      </c>
      <c r="AB91" t="s">
        <v>163</v>
      </c>
      <c r="AD91" t="s">
        <v>164</v>
      </c>
      <c r="AF91" t="s">
        <v>165</v>
      </c>
      <c r="AH91" t="s">
        <v>166</v>
      </c>
      <c r="AJ91" t="s">
        <v>167</v>
      </c>
      <c r="AL91" t="s">
        <v>168</v>
      </c>
      <c r="AN91" t="s">
        <v>169</v>
      </c>
      <c r="AP91" t="s">
        <v>170</v>
      </c>
      <c r="AR91" t="s">
        <v>171</v>
      </c>
      <c r="AT91" t="s">
        <v>172</v>
      </c>
      <c r="AV91" t="s">
        <v>173</v>
      </c>
      <c r="AX91" t="s">
        <v>174</v>
      </c>
      <c r="AZ91" t="s">
        <v>175</v>
      </c>
    </row>
    <row r="92" spans="1:53" x14ac:dyDescent="0.35">
      <c r="A92" s="161">
        <v>717000000</v>
      </c>
      <c r="B92" s="164" t="s">
        <v>223</v>
      </c>
      <c r="C92" s="164" t="s">
        <v>110</v>
      </c>
      <c r="D92" t="s">
        <v>151</v>
      </c>
      <c r="F92" t="s">
        <v>152</v>
      </c>
      <c r="H92" t="s">
        <v>153</v>
      </c>
      <c r="J92" t="s">
        <v>154</v>
      </c>
      <c r="L92" t="s">
        <v>155</v>
      </c>
      <c r="N92" t="s">
        <v>156</v>
      </c>
      <c r="P92" t="s">
        <v>157</v>
      </c>
      <c r="R92" t="s">
        <v>158</v>
      </c>
      <c r="T92" t="s">
        <v>159</v>
      </c>
      <c r="V92" t="s">
        <v>160</v>
      </c>
      <c r="X92" t="s">
        <v>161</v>
      </c>
      <c r="Z92" t="s">
        <v>162</v>
      </c>
      <c r="AB92" t="s">
        <v>163</v>
      </c>
      <c r="AD92" t="s">
        <v>164</v>
      </c>
      <c r="AF92" t="s">
        <v>165</v>
      </c>
      <c r="AH92" t="s">
        <v>166</v>
      </c>
      <c r="AJ92" t="s">
        <v>167</v>
      </c>
      <c r="AL92" t="s">
        <v>168</v>
      </c>
      <c r="AN92" t="s">
        <v>169</v>
      </c>
      <c r="AP92" t="s">
        <v>170</v>
      </c>
      <c r="AR92" t="s">
        <v>171</v>
      </c>
      <c r="AT92" t="s">
        <v>172</v>
      </c>
      <c r="AU92">
        <v>21</v>
      </c>
      <c r="AV92" t="s">
        <v>173</v>
      </c>
      <c r="AX92" t="s">
        <v>174</v>
      </c>
      <c r="AZ92" t="s">
        <v>175</v>
      </c>
    </row>
    <row r="93" spans="1:53" x14ac:dyDescent="0.35">
      <c r="A93" s="161">
        <v>717000000</v>
      </c>
      <c r="B93" s="171" t="s">
        <v>223</v>
      </c>
      <c r="C93" s="171" t="s">
        <v>96</v>
      </c>
      <c r="D93" s="161" t="s">
        <v>151</v>
      </c>
      <c r="E93" s="161">
        <v>44</v>
      </c>
      <c r="F93" s="161" t="s">
        <v>152</v>
      </c>
      <c r="G93" s="161">
        <v>63</v>
      </c>
      <c r="H93" s="161" t="s">
        <v>153</v>
      </c>
      <c r="I93" s="161">
        <v>11</v>
      </c>
      <c r="J93" s="161" t="s">
        <v>154</v>
      </c>
      <c r="K93" s="161"/>
      <c r="L93" s="161" t="s">
        <v>155</v>
      </c>
      <c r="M93" s="161"/>
      <c r="N93" s="161" t="s">
        <v>156</v>
      </c>
      <c r="O93" s="161">
        <v>32</v>
      </c>
      <c r="P93" s="161" t="s">
        <v>157</v>
      </c>
      <c r="Q93" s="161"/>
      <c r="R93" s="161" t="s">
        <v>158</v>
      </c>
      <c r="S93" s="161"/>
      <c r="T93" s="161" t="s">
        <v>159</v>
      </c>
      <c r="U93" s="161"/>
      <c r="V93" s="161" t="s">
        <v>160</v>
      </c>
      <c r="W93" s="161"/>
      <c r="X93" s="161" t="s">
        <v>161</v>
      </c>
      <c r="Y93" s="161"/>
      <c r="Z93" s="161" t="s">
        <v>162</v>
      </c>
      <c r="AA93" s="161"/>
      <c r="AB93" s="161" t="s">
        <v>163</v>
      </c>
      <c r="AC93" s="161"/>
      <c r="AD93" s="161" t="s">
        <v>164</v>
      </c>
      <c r="AE93" s="161"/>
      <c r="AF93" s="161" t="s">
        <v>165</v>
      </c>
      <c r="AG93" s="161"/>
      <c r="AH93" s="161" t="s">
        <v>166</v>
      </c>
      <c r="AI93" s="161"/>
      <c r="AJ93" s="161" t="s">
        <v>167</v>
      </c>
      <c r="AK93" s="161"/>
      <c r="AL93" s="161" t="s">
        <v>168</v>
      </c>
      <c r="AM93" s="161"/>
      <c r="AN93" s="161" t="s">
        <v>169</v>
      </c>
      <c r="AO93" s="161"/>
      <c r="AP93" s="161" t="s">
        <v>170</v>
      </c>
      <c r="AQ93" s="161"/>
      <c r="AR93" s="161" t="s">
        <v>171</v>
      </c>
      <c r="AS93" s="161"/>
      <c r="AT93" s="161" t="s">
        <v>172</v>
      </c>
      <c r="AU93" s="161"/>
      <c r="AV93" s="161" t="s">
        <v>173</v>
      </c>
      <c r="AW93" s="161"/>
      <c r="AX93" s="161" t="s">
        <v>174</v>
      </c>
      <c r="AY93" s="161"/>
      <c r="AZ93" s="161" t="s">
        <v>175</v>
      </c>
      <c r="BA93" s="161"/>
    </row>
    <row r="94" spans="1:53" x14ac:dyDescent="0.35">
      <c r="A94">
        <v>717000000</v>
      </c>
      <c r="B94" s="163" t="s">
        <v>223</v>
      </c>
      <c r="C94" s="163" t="s">
        <v>22</v>
      </c>
      <c r="D94" t="s">
        <v>151</v>
      </c>
      <c r="E94">
        <v>58</v>
      </c>
      <c r="F94" t="s">
        <v>152</v>
      </c>
      <c r="H94" t="s">
        <v>153</v>
      </c>
      <c r="J94" t="s">
        <v>154</v>
      </c>
      <c r="L94" t="s">
        <v>155</v>
      </c>
      <c r="N94" t="s">
        <v>156</v>
      </c>
      <c r="P94" t="s">
        <v>157</v>
      </c>
      <c r="R94" t="s">
        <v>158</v>
      </c>
      <c r="T94" t="s">
        <v>159</v>
      </c>
      <c r="V94" t="s">
        <v>160</v>
      </c>
      <c r="X94" t="s">
        <v>161</v>
      </c>
      <c r="Z94" t="s">
        <v>162</v>
      </c>
      <c r="AB94" t="s">
        <v>163</v>
      </c>
      <c r="AD94" t="s">
        <v>164</v>
      </c>
      <c r="AF94" t="s">
        <v>165</v>
      </c>
      <c r="AH94" t="s">
        <v>166</v>
      </c>
      <c r="AJ94" t="s">
        <v>167</v>
      </c>
      <c r="AL94" t="s">
        <v>168</v>
      </c>
      <c r="AN94" t="s">
        <v>169</v>
      </c>
      <c r="AP94" t="s">
        <v>170</v>
      </c>
      <c r="AR94" t="s">
        <v>171</v>
      </c>
      <c r="AT94" t="s">
        <v>172</v>
      </c>
      <c r="AV94" t="s">
        <v>173</v>
      </c>
      <c r="AX94" t="s">
        <v>174</v>
      </c>
      <c r="AZ94" t="s">
        <v>175</v>
      </c>
    </row>
    <row r="95" spans="1:53" x14ac:dyDescent="0.35">
      <c r="A95">
        <v>717000000</v>
      </c>
      <c r="B95" s="163" t="s">
        <v>223</v>
      </c>
      <c r="C95" s="163" t="s">
        <v>224</v>
      </c>
      <c r="D95" t="s">
        <v>151</v>
      </c>
      <c r="F95" t="s">
        <v>152</v>
      </c>
      <c r="H95" t="s">
        <v>153</v>
      </c>
      <c r="J95" t="s">
        <v>154</v>
      </c>
      <c r="L95" t="s">
        <v>155</v>
      </c>
      <c r="N95" t="s">
        <v>156</v>
      </c>
      <c r="P95" t="s">
        <v>157</v>
      </c>
      <c r="R95" t="s">
        <v>158</v>
      </c>
      <c r="T95" t="s">
        <v>159</v>
      </c>
      <c r="V95" t="s">
        <v>160</v>
      </c>
      <c r="X95" t="s">
        <v>161</v>
      </c>
      <c r="Z95" t="s">
        <v>162</v>
      </c>
      <c r="AB95" t="s">
        <v>163</v>
      </c>
      <c r="AD95" t="s">
        <v>164</v>
      </c>
      <c r="AF95" t="s">
        <v>165</v>
      </c>
      <c r="AH95" t="s">
        <v>166</v>
      </c>
      <c r="AJ95" t="s">
        <v>167</v>
      </c>
      <c r="AL95" t="s">
        <v>168</v>
      </c>
      <c r="AN95" t="s">
        <v>169</v>
      </c>
      <c r="AO95">
        <v>69</v>
      </c>
      <c r="AP95" t="s">
        <v>170</v>
      </c>
      <c r="AR95" t="s">
        <v>171</v>
      </c>
      <c r="AT95" t="s">
        <v>172</v>
      </c>
      <c r="AV95" t="s">
        <v>173</v>
      </c>
      <c r="AX95" t="s">
        <v>174</v>
      </c>
      <c r="AZ95" t="s">
        <v>175</v>
      </c>
    </row>
    <row r="96" spans="1:53" x14ac:dyDescent="0.35">
      <c r="A96">
        <v>717000000</v>
      </c>
      <c r="B96" s="163" t="s">
        <v>223</v>
      </c>
      <c r="C96" s="163" t="s">
        <v>130</v>
      </c>
      <c r="D96" t="s">
        <v>151</v>
      </c>
      <c r="F96" t="s">
        <v>152</v>
      </c>
      <c r="G96">
        <v>12</v>
      </c>
      <c r="H96" t="s">
        <v>153</v>
      </c>
      <c r="I96">
        <v>6</v>
      </c>
      <c r="J96" t="s">
        <v>154</v>
      </c>
      <c r="L96" t="s">
        <v>155</v>
      </c>
      <c r="N96" t="s">
        <v>156</v>
      </c>
      <c r="P96" t="s">
        <v>157</v>
      </c>
      <c r="R96" t="s">
        <v>158</v>
      </c>
      <c r="T96" t="s">
        <v>159</v>
      </c>
      <c r="V96" t="s">
        <v>160</v>
      </c>
      <c r="X96" t="s">
        <v>161</v>
      </c>
      <c r="Z96" t="s">
        <v>162</v>
      </c>
      <c r="AB96" t="s">
        <v>163</v>
      </c>
      <c r="AD96" t="s">
        <v>164</v>
      </c>
      <c r="AF96" t="s">
        <v>165</v>
      </c>
      <c r="AH96" t="s">
        <v>166</v>
      </c>
      <c r="AJ96" t="s">
        <v>167</v>
      </c>
      <c r="AL96" t="s">
        <v>168</v>
      </c>
      <c r="AN96" t="s">
        <v>169</v>
      </c>
      <c r="AP96" t="s">
        <v>170</v>
      </c>
      <c r="AR96" t="s">
        <v>171</v>
      </c>
      <c r="AT96" t="s">
        <v>172</v>
      </c>
      <c r="AV96" t="s">
        <v>173</v>
      </c>
      <c r="AX96" t="s">
        <v>174</v>
      </c>
      <c r="AZ96" t="s">
        <v>175</v>
      </c>
    </row>
    <row r="97" spans="1:53" x14ac:dyDescent="0.35">
      <c r="A97">
        <v>717000000</v>
      </c>
      <c r="B97" s="164" t="s">
        <v>223</v>
      </c>
      <c r="C97" s="164" t="s">
        <v>108</v>
      </c>
      <c r="D97" t="s">
        <v>151</v>
      </c>
      <c r="F97" t="s">
        <v>152</v>
      </c>
      <c r="G97">
        <v>10</v>
      </c>
      <c r="H97" t="s">
        <v>153</v>
      </c>
      <c r="J97" t="s">
        <v>154</v>
      </c>
      <c r="L97" t="s">
        <v>155</v>
      </c>
      <c r="N97" t="s">
        <v>156</v>
      </c>
      <c r="O97">
        <v>7</v>
      </c>
      <c r="P97" t="s">
        <v>157</v>
      </c>
      <c r="R97" t="s">
        <v>158</v>
      </c>
      <c r="T97" t="s">
        <v>159</v>
      </c>
      <c r="V97" t="s">
        <v>160</v>
      </c>
      <c r="X97" t="s">
        <v>161</v>
      </c>
      <c r="Z97" t="s">
        <v>162</v>
      </c>
      <c r="AB97" t="s">
        <v>163</v>
      </c>
      <c r="AD97" t="s">
        <v>164</v>
      </c>
      <c r="AF97" t="s">
        <v>165</v>
      </c>
      <c r="AH97" t="s">
        <v>166</v>
      </c>
      <c r="AJ97" t="s">
        <v>167</v>
      </c>
      <c r="AL97" t="s">
        <v>168</v>
      </c>
      <c r="AN97" t="s">
        <v>169</v>
      </c>
      <c r="AP97" t="s">
        <v>170</v>
      </c>
      <c r="AR97" t="s">
        <v>171</v>
      </c>
      <c r="AT97" t="s">
        <v>172</v>
      </c>
      <c r="AV97" t="s">
        <v>173</v>
      </c>
      <c r="AX97" t="s">
        <v>174</v>
      </c>
      <c r="AZ97" t="s">
        <v>175</v>
      </c>
    </row>
    <row r="98" spans="1:53" x14ac:dyDescent="0.35">
      <c r="A98" s="9">
        <v>717000000</v>
      </c>
      <c r="B98" s="172" t="s">
        <v>223</v>
      </c>
      <c r="C98" s="172" t="s">
        <v>225</v>
      </c>
      <c r="D98" s="9" t="s">
        <v>151</v>
      </c>
      <c r="E98" s="9"/>
      <c r="F98" s="9" t="s">
        <v>152</v>
      </c>
      <c r="G98" s="9">
        <v>14</v>
      </c>
      <c r="H98" s="9" t="s">
        <v>153</v>
      </c>
      <c r="I98" s="9"/>
      <c r="J98" s="9" t="s">
        <v>154</v>
      </c>
      <c r="K98" s="9"/>
      <c r="L98" s="9" t="s">
        <v>155</v>
      </c>
      <c r="M98" s="9"/>
      <c r="N98" s="9" t="s">
        <v>156</v>
      </c>
      <c r="O98" s="9"/>
      <c r="P98" s="9" t="s">
        <v>157</v>
      </c>
      <c r="Q98" s="9"/>
      <c r="R98" s="9" t="s">
        <v>158</v>
      </c>
      <c r="S98" s="9"/>
      <c r="T98" s="9" t="s">
        <v>159</v>
      </c>
      <c r="U98" s="9"/>
      <c r="V98" s="9" t="s">
        <v>160</v>
      </c>
      <c r="W98" s="9"/>
      <c r="X98" s="9" t="s">
        <v>161</v>
      </c>
      <c r="Y98" s="9"/>
      <c r="Z98" s="9" t="s">
        <v>162</v>
      </c>
      <c r="AA98" s="9"/>
      <c r="AB98" s="9" t="s">
        <v>163</v>
      </c>
      <c r="AC98" s="9"/>
      <c r="AD98" s="9" t="s">
        <v>164</v>
      </c>
      <c r="AE98" s="9"/>
      <c r="AF98" s="9" t="s">
        <v>165</v>
      </c>
      <c r="AG98" s="9"/>
      <c r="AH98" s="9" t="s">
        <v>166</v>
      </c>
      <c r="AI98" s="9"/>
      <c r="AJ98" s="9" t="s">
        <v>167</v>
      </c>
      <c r="AK98" s="9"/>
      <c r="AL98" s="9" t="s">
        <v>168</v>
      </c>
      <c r="AM98" s="9"/>
      <c r="AN98" s="9" t="s">
        <v>169</v>
      </c>
      <c r="AO98" s="9"/>
      <c r="AP98" s="9" t="s">
        <v>170</v>
      </c>
      <c r="AQ98" s="9"/>
      <c r="AR98" s="9" t="s">
        <v>171</v>
      </c>
      <c r="AS98" s="9"/>
      <c r="AT98" s="9" t="s">
        <v>172</v>
      </c>
      <c r="AU98" s="9"/>
      <c r="AV98" s="9" t="s">
        <v>173</v>
      </c>
      <c r="AW98" s="9"/>
      <c r="AX98" s="9" t="s">
        <v>174</v>
      </c>
      <c r="AY98" s="9"/>
      <c r="AZ98" s="9" t="s">
        <v>175</v>
      </c>
      <c r="BA98" s="9"/>
    </row>
    <row r="99" spans="1:53" x14ac:dyDescent="0.35">
      <c r="A99" s="9">
        <v>717000000</v>
      </c>
      <c r="B99" s="172" t="s">
        <v>223</v>
      </c>
      <c r="C99" s="172" t="s">
        <v>226</v>
      </c>
      <c r="D99" s="9" t="s">
        <v>151</v>
      </c>
      <c r="E99" s="9">
        <v>10</v>
      </c>
      <c r="F99" s="9" t="s">
        <v>152</v>
      </c>
      <c r="G99" s="9"/>
      <c r="H99" s="9" t="s">
        <v>153</v>
      </c>
      <c r="I99" s="9"/>
      <c r="J99" s="9" t="s">
        <v>154</v>
      </c>
      <c r="K99" s="9"/>
      <c r="L99" s="9" t="s">
        <v>155</v>
      </c>
      <c r="M99" s="9"/>
      <c r="N99" s="9" t="s">
        <v>156</v>
      </c>
      <c r="O99" s="9"/>
      <c r="P99" s="9" t="s">
        <v>157</v>
      </c>
      <c r="Q99" s="9"/>
      <c r="R99" s="9" t="s">
        <v>158</v>
      </c>
      <c r="S99" s="9"/>
      <c r="T99" s="9" t="s">
        <v>159</v>
      </c>
      <c r="U99" s="9"/>
      <c r="V99" s="9" t="s">
        <v>160</v>
      </c>
      <c r="W99" s="9"/>
      <c r="X99" s="9" t="s">
        <v>161</v>
      </c>
      <c r="Y99" s="9"/>
      <c r="Z99" s="9" t="s">
        <v>162</v>
      </c>
      <c r="AA99" s="9"/>
      <c r="AB99" s="9" t="s">
        <v>163</v>
      </c>
      <c r="AC99" s="9"/>
      <c r="AD99" s="9" t="s">
        <v>164</v>
      </c>
      <c r="AE99" s="9"/>
      <c r="AF99" s="9" t="s">
        <v>165</v>
      </c>
      <c r="AG99" s="9"/>
      <c r="AH99" s="9" t="s">
        <v>166</v>
      </c>
      <c r="AI99" s="9"/>
      <c r="AJ99" s="9" t="s">
        <v>167</v>
      </c>
      <c r="AK99" s="9"/>
      <c r="AL99" s="9" t="s">
        <v>168</v>
      </c>
      <c r="AM99" s="9"/>
      <c r="AN99" s="9" t="s">
        <v>169</v>
      </c>
      <c r="AO99" s="9"/>
      <c r="AP99" s="9" t="s">
        <v>170</v>
      </c>
      <c r="AQ99" s="9"/>
      <c r="AR99" s="9" t="s">
        <v>171</v>
      </c>
      <c r="AS99" s="9"/>
      <c r="AT99" s="9" t="s">
        <v>172</v>
      </c>
      <c r="AU99" s="9"/>
      <c r="AV99" s="9" t="s">
        <v>173</v>
      </c>
      <c r="AW99" s="9"/>
      <c r="AX99" s="9" t="s">
        <v>174</v>
      </c>
      <c r="AY99" s="9"/>
      <c r="AZ99" s="9" t="s">
        <v>175</v>
      </c>
      <c r="BA99" s="9"/>
    </row>
    <row r="100" spans="1:53" x14ac:dyDescent="0.35">
      <c r="A100">
        <v>718000000</v>
      </c>
      <c r="B100" s="163" t="s">
        <v>227</v>
      </c>
      <c r="C100" s="163" t="s">
        <v>228</v>
      </c>
      <c r="D100" t="s">
        <v>151</v>
      </c>
      <c r="F100" t="s">
        <v>152</v>
      </c>
      <c r="H100" t="s">
        <v>153</v>
      </c>
      <c r="J100" t="s">
        <v>154</v>
      </c>
      <c r="K100">
        <v>26</v>
      </c>
      <c r="L100" t="s">
        <v>155</v>
      </c>
      <c r="N100" t="s">
        <v>156</v>
      </c>
      <c r="P100" t="s">
        <v>157</v>
      </c>
      <c r="R100" t="s">
        <v>158</v>
      </c>
      <c r="T100" t="s">
        <v>159</v>
      </c>
      <c r="V100" t="s">
        <v>160</v>
      </c>
      <c r="X100" t="s">
        <v>161</v>
      </c>
      <c r="Z100" t="s">
        <v>162</v>
      </c>
      <c r="AB100" t="s">
        <v>163</v>
      </c>
      <c r="AD100" t="s">
        <v>164</v>
      </c>
      <c r="AF100" t="s">
        <v>165</v>
      </c>
      <c r="AH100" t="s">
        <v>166</v>
      </c>
      <c r="AJ100" t="s">
        <v>167</v>
      </c>
      <c r="AL100" t="s">
        <v>168</v>
      </c>
      <c r="AN100" t="s">
        <v>169</v>
      </c>
      <c r="AP100" t="s">
        <v>170</v>
      </c>
      <c r="AR100" t="s">
        <v>171</v>
      </c>
      <c r="AT100" t="s">
        <v>172</v>
      </c>
      <c r="AV100" t="s">
        <v>173</v>
      </c>
      <c r="AX100" t="s">
        <v>174</v>
      </c>
      <c r="AZ100" t="s">
        <v>175</v>
      </c>
    </row>
    <row r="101" spans="1:53" x14ac:dyDescent="0.35">
      <c r="A101">
        <v>718000000</v>
      </c>
      <c r="B101" s="164" t="s">
        <v>227</v>
      </c>
      <c r="C101" s="164" t="s">
        <v>229</v>
      </c>
      <c r="D101" t="s">
        <v>151</v>
      </c>
      <c r="F101" t="s">
        <v>152</v>
      </c>
      <c r="H101" t="s">
        <v>153</v>
      </c>
      <c r="J101" t="s">
        <v>154</v>
      </c>
      <c r="K101">
        <v>32</v>
      </c>
      <c r="L101" t="s">
        <v>155</v>
      </c>
      <c r="N101" t="s">
        <v>156</v>
      </c>
      <c r="P101" t="s">
        <v>157</v>
      </c>
      <c r="R101" t="s">
        <v>158</v>
      </c>
      <c r="T101" t="s">
        <v>159</v>
      </c>
      <c r="V101" t="s">
        <v>160</v>
      </c>
      <c r="X101" t="s">
        <v>161</v>
      </c>
      <c r="Z101" t="s">
        <v>162</v>
      </c>
      <c r="AB101" t="s">
        <v>163</v>
      </c>
      <c r="AD101" t="s">
        <v>164</v>
      </c>
      <c r="AF101" t="s">
        <v>165</v>
      </c>
      <c r="AH101" t="s">
        <v>166</v>
      </c>
      <c r="AJ101" t="s">
        <v>167</v>
      </c>
      <c r="AL101" t="s">
        <v>168</v>
      </c>
      <c r="AN101" t="s">
        <v>169</v>
      </c>
      <c r="AP101" t="s">
        <v>170</v>
      </c>
      <c r="AR101" t="s">
        <v>171</v>
      </c>
      <c r="AT101" t="s">
        <v>172</v>
      </c>
      <c r="AV101" t="s">
        <v>173</v>
      </c>
      <c r="AX101" t="s">
        <v>174</v>
      </c>
      <c r="AZ101" t="s">
        <v>175</v>
      </c>
    </row>
    <row r="102" spans="1:53" x14ac:dyDescent="0.35">
      <c r="A102">
        <v>718000000</v>
      </c>
      <c r="B102" s="163" t="s">
        <v>227</v>
      </c>
      <c r="C102" s="163" t="s">
        <v>230</v>
      </c>
      <c r="D102" t="s">
        <v>151</v>
      </c>
      <c r="F102" t="s">
        <v>152</v>
      </c>
      <c r="H102" t="s">
        <v>153</v>
      </c>
      <c r="J102" t="s">
        <v>154</v>
      </c>
      <c r="K102">
        <v>56</v>
      </c>
      <c r="L102" t="s">
        <v>155</v>
      </c>
      <c r="N102" t="s">
        <v>156</v>
      </c>
      <c r="P102" t="s">
        <v>157</v>
      </c>
      <c r="R102" t="s">
        <v>158</v>
      </c>
      <c r="T102" t="s">
        <v>159</v>
      </c>
      <c r="V102" t="s">
        <v>160</v>
      </c>
      <c r="X102" t="s">
        <v>161</v>
      </c>
      <c r="Z102" t="s">
        <v>162</v>
      </c>
      <c r="AB102" t="s">
        <v>163</v>
      </c>
      <c r="AD102" t="s">
        <v>164</v>
      </c>
      <c r="AF102" t="s">
        <v>165</v>
      </c>
      <c r="AH102" t="s">
        <v>166</v>
      </c>
      <c r="AJ102" t="s">
        <v>167</v>
      </c>
      <c r="AL102" t="s">
        <v>168</v>
      </c>
      <c r="AN102" t="s">
        <v>169</v>
      </c>
      <c r="AP102" t="s">
        <v>170</v>
      </c>
      <c r="AR102" t="s">
        <v>171</v>
      </c>
      <c r="AT102" t="s">
        <v>172</v>
      </c>
      <c r="AV102" t="s">
        <v>173</v>
      </c>
      <c r="AX102" t="s">
        <v>174</v>
      </c>
      <c r="AZ102" t="s">
        <v>175</v>
      </c>
    </row>
    <row r="103" spans="1:53" x14ac:dyDescent="0.35">
      <c r="A103">
        <v>719000000</v>
      </c>
      <c r="B103" s="163" t="s">
        <v>231</v>
      </c>
      <c r="C103" s="163" t="s">
        <v>114</v>
      </c>
      <c r="D103" t="s">
        <v>151</v>
      </c>
      <c r="F103" t="s">
        <v>152</v>
      </c>
      <c r="G103">
        <v>5</v>
      </c>
      <c r="H103" t="s">
        <v>153</v>
      </c>
      <c r="J103" t="s">
        <v>154</v>
      </c>
      <c r="L103" t="s">
        <v>155</v>
      </c>
      <c r="N103" t="s">
        <v>156</v>
      </c>
      <c r="P103" t="s">
        <v>157</v>
      </c>
      <c r="Q103">
        <v>1</v>
      </c>
      <c r="R103" t="s">
        <v>158</v>
      </c>
      <c r="S103">
        <v>22</v>
      </c>
      <c r="T103" t="s">
        <v>159</v>
      </c>
      <c r="V103" t="s">
        <v>160</v>
      </c>
      <c r="X103" t="s">
        <v>161</v>
      </c>
      <c r="Z103" t="s">
        <v>162</v>
      </c>
      <c r="AB103" t="s">
        <v>163</v>
      </c>
      <c r="AD103" t="s">
        <v>164</v>
      </c>
      <c r="AF103" t="s">
        <v>165</v>
      </c>
      <c r="AH103" t="s">
        <v>166</v>
      </c>
      <c r="AJ103" t="s">
        <v>167</v>
      </c>
      <c r="AL103" t="s">
        <v>168</v>
      </c>
      <c r="AN103" t="s">
        <v>169</v>
      </c>
      <c r="AP103" t="s">
        <v>170</v>
      </c>
      <c r="AR103" t="s">
        <v>171</v>
      </c>
      <c r="AT103" t="s">
        <v>172</v>
      </c>
      <c r="AV103" t="s">
        <v>173</v>
      </c>
      <c r="AX103" t="s">
        <v>174</v>
      </c>
      <c r="AZ103" t="s">
        <v>175</v>
      </c>
      <c r="BA103">
        <v>1</v>
      </c>
    </row>
    <row r="104" spans="1:53" x14ac:dyDescent="0.35">
      <c r="A104">
        <v>719000000</v>
      </c>
      <c r="B104" s="164" t="s">
        <v>231</v>
      </c>
      <c r="C104" s="164" t="s">
        <v>232</v>
      </c>
      <c r="D104" t="s">
        <v>151</v>
      </c>
      <c r="E104">
        <v>2</v>
      </c>
      <c r="F104" t="s">
        <v>152</v>
      </c>
      <c r="G104">
        <v>1</v>
      </c>
      <c r="H104" t="s">
        <v>153</v>
      </c>
      <c r="J104" t="s">
        <v>154</v>
      </c>
      <c r="L104" t="s">
        <v>155</v>
      </c>
      <c r="N104" t="s">
        <v>156</v>
      </c>
      <c r="P104" t="s">
        <v>157</v>
      </c>
      <c r="R104" t="s">
        <v>158</v>
      </c>
      <c r="T104" t="s">
        <v>159</v>
      </c>
      <c r="V104" t="s">
        <v>160</v>
      </c>
      <c r="X104" t="s">
        <v>161</v>
      </c>
      <c r="Z104" t="s">
        <v>162</v>
      </c>
      <c r="AB104" t="s">
        <v>163</v>
      </c>
      <c r="AD104" t="s">
        <v>164</v>
      </c>
      <c r="AF104" t="s">
        <v>165</v>
      </c>
      <c r="AH104" t="s">
        <v>166</v>
      </c>
      <c r="AJ104" t="s">
        <v>167</v>
      </c>
      <c r="AL104" t="s">
        <v>168</v>
      </c>
      <c r="AN104" t="s">
        <v>169</v>
      </c>
      <c r="AO104">
        <v>24</v>
      </c>
      <c r="AP104" t="s">
        <v>170</v>
      </c>
      <c r="AR104" t="s">
        <v>171</v>
      </c>
      <c r="AT104" t="s">
        <v>172</v>
      </c>
      <c r="AV104" t="s">
        <v>173</v>
      </c>
      <c r="AX104" t="s">
        <v>174</v>
      </c>
      <c r="AZ104" t="s">
        <v>175</v>
      </c>
    </row>
    <row r="105" spans="1:53" x14ac:dyDescent="0.35">
      <c r="A105">
        <v>719000000</v>
      </c>
      <c r="B105" s="164" t="s">
        <v>231</v>
      </c>
      <c r="C105" s="164" t="s">
        <v>233</v>
      </c>
      <c r="D105" t="s">
        <v>151</v>
      </c>
      <c r="F105" t="s">
        <v>152</v>
      </c>
      <c r="H105" t="s">
        <v>153</v>
      </c>
      <c r="J105" t="s">
        <v>154</v>
      </c>
      <c r="L105" t="s">
        <v>155</v>
      </c>
      <c r="N105" t="s">
        <v>156</v>
      </c>
      <c r="P105" t="s">
        <v>157</v>
      </c>
      <c r="R105" t="s">
        <v>158</v>
      </c>
      <c r="T105" t="s">
        <v>159</v>
      </c>
      <c r="V105" t="s">
        <v>160</v>
      </c>
      <c r="X105" t="s">
        <v>161</v>
      </c>
      <c r="Z105" t="s">
        <v>162</v>
      </c>
      <c r="AB105" t="s">
        <v>163</v>
      </c>
      <c r="AD105" t="s">
        <v>164</v>
      </c>
      <c r="AF105" t="s">
        <v>165</v>
      </c>
      <c r="AG105">
        <v>24</v>
      </c>
      <c r="AH105" t="s">
        <v>166</v>
      </c>
      <c r="AJ105" t="s">
        <v>167</v>
      </c>
      <c r="AL105" t="s">
        <v>168</v>
      </c>
      <c r="AN105" t="s">
        <v>169</v>
      </c>
      <c r="AP105" t="s">
        <v>170</v>
      </c>
      <c r="AR105" t="s">
        <v>171</v>
      </c>
      <c r="AT105" t="s">
        <v>172</v>
      </c>
      <c r="AV105" t="s">
        <v>173</v>
      </c>
      <c r="AX105" t="s">
        <v>174</v>
      </c>
      <c r="AZ105" t="s">
        <v>175</v>
      </c>
    </row>
    <row r="106" spans="1:53" x14ac:dyDescent="0.35">
      <c r="A106">
        <v>719000000</v>
      </c>
      <c r="B106" s="163" t="s">
        <v>231</v>
      </c>
      <c r="C106" s="163" t="s">
        <v>234</v>
      </c>
      <c r="D106" t="s">
        <v>151</v>
      </c>
      <c r="F106" t="s">
        <v>152</v>
      </c>
      <c r="H106" t="s">
        <v>153</v>
      </c>
      <c r="J106" t="s">
        <v>154</v>
      </c>
      <c r="L106" t="s">
        <v>155</v>
      </c>
      <c r="N106" t="s">
        <v>156</v>
      </c>
      <c r="P106" t="s">
        <v>157</v>
      </c>
      <c r="R106" t="s">
        <v>158</v>
      </c>
      <c r="T106" t="s">
        <v>159</v>
      </c>
      <c r="V106" t="s">
        <v>160</v>
      </c>
      <c r="X106" t="s">
        <v>161</v>
      </c>
      <c r="Z106" t="s">
        <v>162</v>
      </c>
      <c r="AB106" t="s">
        <v>163</v>
      </c>
      <c r="AC106" s="173">
        <v>43</v>
      </c>
      <c r="AD106" t="s">
        <v>164</v>
      </c>
      <c r="AF106" t="s">
        <v>165</v>
      </c>
      <c r="AH106" t="s">
        <v>166</v>
      </c>
      <c r="AJ106" t="s">
        <v>167</v>
      </c>
      <c r="AL106" t="s">
        <v>168</v>
      </c>
      <c r="AN106" t="s">
        <v>169</v>
      </c>
      <c r="AP106" t="s">
        <v>170</v>
      </c>
      <c r="AR106" t="s">
        <v>171</v>
      </c>
      <c r="AT106" t="s">
        <v>172</v>
      </c>
      <c r="AV106" t="s">
        <v>173</v>
      </c>
      <c r="AX106" t="s">
        <v>174</v>
      </c>
      <c r="AZ106" t="s">
        <v>175</v>
      </c>
    </row>
    <row r="107" spans="1:53" x14ac:dyDescent="0.35">
      <c r="A107">
        <v>719000000</v>
      </c>
      <c r="B107" s="163" t="s">
        <v>231</v>
      </c>
      <c r="C107" s="163" t="s">
        <v>235</v>
      </c>
      <c r="D107" t="s">
        <v>151</v>
      </c>
      <c r="F107" t="s">
        <v>152</v>
      </c>
      <c r="H107" t="s">
        <v>153</v>
      </c>
      <c r="J107" t="s">
        <v>154</v>
      </c>
      <c r="L107" t="s">
        <v>155</v>
      </c>
      <c r="N107" t="s">
        <v>156</v>
      </c>
      <c r="P107" t="s">
        <v>157</v>
      </c>
      <c r="R107" t="s">
        <v>158</v>
      </c>
      <c r="T107" t="s">
        <v>159</v>
      </c>
      <c r="V107" t="s">
        <v>160</v>
      </c>
      <c r="X107" t="s">
        <v>161</v>
      </c>
      <c r="Z107" t="s">
        <v>162</v>
      </c>
      <c r="AB107" t="s">
        <v>163</v>
      </c>
      <c r="AD107" t="s">
        <v>164</v>
      </c>
      <c r="AF107" t="s">
        <v>165</v>
      </c>
      <c r="AG107">
        <v>28</v>
      </c>
      <c r="AH107" t="s">
        <v>166</v>
      </c>
      <c r="AJ107" t="s">
        <v>167</v>
      </c>
      <c r="AL107" t="s">
        <v>168</v>
      </c>
      <c r="AN107" t="s">
        <v>169</v>
      </c>
      <c r="AP107" t="s">
        <v>170</v>
      </c>
      <c r="AR107" t="s">
        <v>171</v>
      </c>
      <c r="AT107" t="s">
        <v>172</v>
      </c>
      <c r="AV107" t="s">
        <v>173</v>
      </c>
      <c r="AX107" t="s">
        <v>174</v>
      </c>
      <c r="AZ107" t="s">
        <v>175</v>
      </c>
    </row>
    <row r="108" spans="1:53" x14ac:dyDescent="0.35">
      <c r="A108">
        <v>719000000</v>
      </c>
      <c r="B108" s="163" t="s">
        <v>231</v>
      </c>
      <c r="C108" s="163" t="s">
        <v>236</v>
      </c>
      <c r="D108" t="s">
        <v>151</v>
      </c>
      <c r="F108" t="s">
        <v>152</v>
      </c>
      <c r="H108" t="s">
        <v>153</v>
      </c>
      <c r="J108" t="s">
        <v>154</v>
      </c>
      <c r="L108" t="s">
        <v>155</v>
      </c>
      <c r="N108" t="s">
        <v>156</v>
      </c>
      <c r="O108" s="173">
        <v>10</v>
      </c>
      <c r="P108" t="s">
        <v>157</v>
      </c>
      <c r="R108" t="s">
        <v>158</v>
      </c>
      <c r="T108" t="s">
        <v>159</v>
      </c>
      <c r="V108" t="s">
        <v>160</v>
      </c>
      <c r="X108" t="s">
        <v>161</v>
      </c>
      <c r="Z108" t="s">
        <v>162</v>
      </c>
      <c r="AB108" t="s">
        <v>163</v>
      </c>
      <c r="AD108" t="s">
        <v>164</v>
      </c>
      <c r="AF108" t="s">
        <v>165</v>
      </c>
      <c r="AH108" t="s">
        <v>166</v>
      </c>
      <c r="AJ108" t="s">
        <v>167</v>
      </c>
      <c r="AL108" t="s">
        <v>168</v>
      </c>
      <c r="AN108" t="s">
        <v>169</v>
      </c>
      <c r="AP108" t="s">
        <v>170</v>
      </c>
      <c r="AR108" t="s">
        <v>171</v>
      </c>
      <c r="AT108" t="s">
        <v>172</v>
      </c>
      <c r="AV108" t="s">
        <v>173</v>
      </c>
      <c r="AX108" t="s">
        <v>174</v>
      </c>
      <c r="AZ108" t="s">
        <v>175</v>
      </c>
    </row>
    <row r="109" spans="1:53" x14ac:dyDescent="0.35">
      <c r="A109">
        <v>720000000</v>
      </c>
      <c r="B109" s="164" t="s">
        <v>237</v>
      </c>
      <c r="C109" s="164" t="s">
        <v>96</v>
      </c>
      <c r="D109" t="s">
        <v>151</v>
      </c>
      <c r="E109">
        <v>5</v>
      </c>
      <c r="F109" t="s">
        <v>152</v>
      </c>
      <c r="G109">
        <v>40</v>
      </c>
      <c r="H109" t="s">
        <v>153</v>
      </c>
      <c r="I109">
        <v>18</v>
      </c>
      <c r="J109" t="s">
        <v>154</v>
      </c>
      <c r="L109" t="s">
        <v>155</v>
      </c>
      <c r="N109" t="s">
        <v>156</v>
      </c>
      <c r="O109">
        <v>14</v>
      </c>
      <c r="P109" t="s">
        <v>157</v>
      </c>
      <c r="R109" t="s">
        <v>158</v>
      </c>
      <c r="T109" t="s">
        <v>159</v>
      </c>
      <c r="V109" t="s">
        <v>160</v>
      </c>
      <c r="X109" t="s">
        <v>161</v>
      </c>
      <c r="Z109" t="s">
        <v>162</v>
      </c>
      <c r="AB109" t="s">
        <v>163</v>
      </c>
      <c r="AD109" t="s">
        <v>164</v>
      </c>
      <c r="AF109" t="s">
        <v>165</v>
      </c>
      <c r="AH109" t="s">
        <v>166</v>
      </c>
      <c r="AJ109" t="s">
        <v>167</v>
      </c>
      <c r="AL109" t="s">
        <v>168</v>
      </c>
      <c r="AN109" t="s">
        <v>169</v>
      </c>
      <c r="AP109" t="s">
        <v>170</v>
      </c>
      <c r="AR109" t="s">
        <v>171</v>
      </c>
      <c r="AT109" t="s">
        <v>172</v>
      </c>
      <c r="AV109" t="s">
        <v>173</v>
      </c>
      <c r="AX109" t="s">
        <v>174</v>
      </c>
      <c r="AZ109" t="s">
        <v>175</v>
      </c>
    </row>
    <row r="110" spans="1:53" x14ac:dyDescent="0.35">
      <c r="A110">
        <v>720000000</v>
      </c>
      <c r="B110" s="163" t="s">
        <v>237</v>
      </c>
      <c r="C110" s="163" t="s">
        <v>238</v>
      </c>
      <c r="D110" t="s">
        <v>151</v>
      </c>
      <c r="F110" t="s">
        <v>152</v>
      </c>
      <c r="H110" t="s">
        <v>153</v>
      </c>
      <c r="J110" t="s">
        <v>154</v>
      </c>
      <c r="L110" t="s">
        <v>155</v>
      </c>
      <c r="N110" t="s">
        <v>156</v>
      </c>
      <c r="O110">
        <v>32</v>
      </c>
      <c r="P110" t="s">
        <v>157</v>
      </c>
      <c r="R110" t="s">
        <v>158</v>
      </c>
      <c r="T110" t="s">
        <v>159</v>
      </c>
      <c r="V110" t="s">
        <v>160</v>
      </c>
      <c r="X110" t="s">
        <v>161</v>
      </c>
      <c r="Z110" t="s">
        <v>162</v>
      </c>
      <c r="AB110" t="s">
        <v>163</v>
      </c>
      <c r="AD110" t="s">
        <v>164</v>
      </c>
      <c r="AF110" t="s">
        <v>165</v>
      </c>
      <c r="AH110" t="s">
        <v>166</v>
      </c>
      <c r="AJ110" t="s">
        <v>167</v>
      </c>
      <c r="AL110" t="s">
        <v>168</v>
      </c>
      <c r="AN110" t="s">
        <v>169</v>
      </c>
      <c r="AP110" t="s">
        <v>170</v>
      </c>
      <c r="AR110" t="s">
        <v>171</v>
      </c>
      <c r="AT110" t="s">
        <v>172</v>
      </c>
      <c r="AV110" t="s">
        <v>173</v>
      </c>
      <c r="AX110" t="s">
        <v>174</v>
      </c>
      <c r="AZ110" t="s">
        <v>175</v>
      </c>
    </row>
    <row r="111" spans="1:53" x14ac:dyDescent="0.35">
      <c r="A111">
        <v>720000000</v>
      </c>
      <c r="B111" s="164" t="s">
        <v>237</v>
      </c>
      <c r="C111" s="164" t="s">
        <v>239</v>
      </c>
      <c r="D111" t="s">
        <v>151</v>
      </c>
      <c r="F111" t="s">
        <v>152</v>
      </c>
      <c r="H111" t="s">
        <v>153</v>
      </c>
      <c r="J111" t="s">
        <v>154</v>
      </c>
      <c r="L111" t="s">
        <v>155</v>
      </c>
      <c r="N111" t="s">
        <v>156</v>
      </c>
      <c r="O111">
        <v>77</v>
      </c>
      <c r="P111" t="s">
        <v>157</v>
      </c>
      <c r="R111" t="s">
        <v>158</v>
      </c>
      <c r="T111" t="s">
        <v>159</v>
      </c>
      <c r="V111" t="s">
        <v>160</v>
      </c>
      <c r="X111" t="s">
        <v>161</v>
      </c>
      <c r="Z111" t="s">
        <v>162</v>
      </c>
      <c r="AB111" t="s">
        <v>163</v>
      </c>
      <c r="AD111" t="s">
        <v>164</v>
      </c>
      <c r="AF111" t="s">
        <v>165</v>
      </c>
      <c r="AH111" t="s">
        <v>166</v>
      </c>
      <c r="AJ111" t="s">
        <v>167</v>
      </c>
      <c r="AL111" t="s">
        <v>168</v>
      </c>
      <c r="AN111" t="s">
        <v>169</v>
      </c>
      <c r="AP111" t="s">
        <v>170</v>
      </c>
      <c r="AR111" t="s">
        <v>171</v>
      </c>
      <c r="AT111" t="s">
        <v>172</v>
      </c>
      <c r="AV111" t="s">
        <v>173</v>
      </c>
      <c r="AX111" t="s">
        <v>174</v>
      </c>
      <c r="AZ111" t="s">
        <v>175</v>
      </c>
    </row>
    <row r="112" spans="1:53" x14ac:dyDescent="0.35">
      <c r="A112">
        <v>720000000</v>
      </c>
      <c r="B112" s="163" t="s">
        <v>237</v>
      </c>
      <c r="C112" s="163" t="s">
        <v>24</v>
      </c>
      <c r="D112" t="s">
        <v>151</v>
      </c>
      <c r="E112">
        <v>1</v>
      </c>
      <c r="F112" t="s">
        <v>152</v>
      </c>
      <c r="H112" t="s">
        <v>153</v>
      </c>
      <c r="J112" t="s">
        <v>154</v>
      </c>
      <c r="L112" t="s">
        <v>155</v>
      </c>
      <c r="N112" t="s">
        <v>156</v>
      </c>
      <c r="P112" t="s">
        <v>157</v>
      </c>
      <c r="R112" t="s">
        <v>158</v>
      </c>
      <c r="T112" t="s">
        <v>159</v>
      </c>
      <c r="V112" t="s">
        <v>160</v>
      </c>
      <c r="X112" t="s">
        <v>161</v>
      </c>
      <c r="Y112">
        <v>5</v>
      </c>
      <c r="Z112" t="s">
        <v>162</v>
      </c>
      <c r="AB112" t="s">
        <v>163</v>
      </c>
      <c r="AC112">
        <v>20</v>
      </c>
      <c r="AD112" t="s">
        <v>164</v>
      </c>
      <c r="AE112">
        <v>8</v>
      </c>
      <c r="AF112" t="s">
        <v>165</v>
      </c>
      <c r="AH112" t="s">
        <v>166</v>
      </c>
      <c r="AJ112" t="s">
        <v>167</v>
      </c>
      <c r="AK112">
        <v>12</v>
      </c>
      <c r="AL112" t="s">
        <v>168</v>
      </c>
      <c r="AN112" t="s">
        <v>169</v>
      </c>
      <c r="AP112" t="s">
        <v>170</v>
      </c>
      <c r="AR112" t="s">
        <v>171</v>
      </c>
      <c r="AT112" t="s">
        <v>172</v>
      </c>
      <c r="AV112" t="s">
        <v>173</v>
      </c>
      <c r="AX112" t="s">
        <v>174</v>
      </c>
      <c r="AZ112" t="s">
        <v>175</v>
      </c>
    </row>
    <row r="113" spans="1:53" x14ac:dyDescent="0.35">
      <c r="A113">
        <v>720000000</v>
      </c>
      <c r="B113" s="163" t="s">
        <v>237</v>
      </c>
      <c r="C113" s="163" t="s">
        <v>58</v>
      </c>
      <c r="D113" t="s">
        <v>151</v>
      </c>
      <c r="E113">
        <v>2</v>
      </c>
      <c r="F113" t="s">
        <v>152</v>
      </c>
      <c r="H113" t="s">
        <v>153</v>
      </c>
      <c r="J113" t="s">
        <v>154</v>
      </c>
      <c r="K113">
        <v>1</v>
      </c>
      <c r="L113" t="s">
        <v>155</v>
      </c>
      <c r="N113" t="s">
        <v>156</v>
      </c>
      <c r="P113" t="s">
        <v>157</v>
      </c>
      <c r="R113" t="s">
        <v>158</v>
      </c>
      <c r="S113">
        <v>1</v>
      </c>
      <c r="T113" t="s">
        <v>159</v>
      </c>
      <c r="V113" t="s">
        <v>160</v>
      </c>
      <c r="X113" t="s">
        <v>161</v>
      </c>
      <c r="Z113" t="s">
        <v>162</v>
      </c>
      <c r="AB113" t="s">
        <v>163</v>
      </c>
      <c r="AC113">
        <v>1</v>
      </c>
      <c r="AD113" t="s">
        <v>164</v>
      </c>
      <c r="AF113" t="s">
        <v>165</v>
      </c>
      <c r="AH113" t="s">
        <v>166</v>
      </c>
      <c r="AJ113" t="s">
        <v>167</v>
      </c>
      <c r="AL113" t="s">
        <v>168</v>
      </c>
      <c r="AN113" t="s">
        <v>169</v>
      </c>
      <c r="AO113">
        <v>16</v>
      </c>
      <c r="AP113" t="s">
        <v>170</v>
      </c>
      <c r="AR113" t="s">
        <v>171</v>
      </c>
      <c r="AT113" t="s">
        <v>172</v>
      </c>
      <c r="AV113" t="s">
        <v>173</v>
      </c>
      <c r="AX113" t="s">
        <v>174</v>
      </c>
      <c r="AZ113" t="s">
        <v>175</v>
      </c>
    </row>
    <row r="114" spans="1:53" x14ac:dyDescent="0.35">
      <c r="A114">
        <v>720000000</v>
      </c>
      <c r="B114" s="164" t="s">
        <v>237</v>
      </c>
      <c r="C114" s="164" t="s">
        <v>240</v>
      </c>
      <c r="D114" t="s">
        <v>151</v>
      </c>
      <c r="F114" t="s">
        <v>152</v>
      </c>
      <c r="H114" t="s">
        <v>153</v>
      </c>
      <c r="J114" t="s">
        <v>154</v>
      </c>
      <c r="L114" t="s">
        <v>155</v>
      </c>
      <c r="N114" t="s">
        <v>156</v>
      </c>
      <c r="P114" t="s">
        <v>157</v>
      </c>
      <c r="R114" t="s">
        <v>158</v>
      </c>
      <c r="S114">
        <v>12</v>
      </c>
      <c r="T114" t="s">
        <v>159</v>
      </c>
      <c r="V114" t="s">
        <v>160</v>
      </c>
      <c r="X114" t="s">
        <v>161</v>
      </c>
      <c r="Z114" t="s">
        <v>162</v>
      </c>
      <c r="AB114" t="s">
        <v>163</v>
      </c>
      <c r="AD114" t="s">
        <v>164</v>
      </c>
      <c r="AF114" t="s">
        <v>165</v>
      </c>
      <c r="AH114" t="s">
        <v>166</v>
      </c>
      <c r="AJ114" t="s">
        <v>167</v>
      </c>
      <c r="AL114" t="s">
        <v>168</v>
      </c>
      <c r="AN114" t="s">
        <v>169</v>
      </c>
      <c r="AP114" t="s">
        <v>170</v>
      </c>
      <c r="AR114" t="s">
        <v>171</v>
      </c>
      <c r="AT114" t="s">
        <v>172</v>
      </c>
      <c r="AV114" t="s">
        <v>173</v>
      </c>
      <c r="AX114" t="s">
        <v>174</v>
      </c>
      <c r="AZ114" t="s">
        <v>175</v>
      </c>
    </row>
    <row r="115" spans="1:53" x14ac:dyDescent="0.35">
      <c r="A115">
        <v>722000000</v>
      </c>
      <c r="B115" s="164" t="s">
        <v>241</v>
      </c>
      <c r="C115" s="164" t="s">
        <v>22</v>
      </c>
      <c r="D115" t="s">
        <v>151</v>
      </c>
      <c r="E115">
        <v>48</v>
      </c>
      <c r="F115" t="s">
        <v>152</v>
      </c>
      <c r="G115">
        <v>12</v>
      </c>
      <c r="H115" t="s">
        <v>153</v>
      </c>
      <c r="I115">
        <v>0</v>
      </c>
      <c r="J115" t="s">
        <v>154</v>
      </c>
      <c r="K115">
        <v>12</v>
      </c>
      <c r="L115" t="s">
        <v>155</v>
      </c>
      <c r="M115">
        <v>0</v>
      </c>
      <c r="N115" t="s">
        <v>156</v>
      </c>
      <c r="O115">
        <v>9</v>
      </c>
      <c r="P115" t="s">
        <v>157</v>
      </c>
      <c r="Q115">
        <v>1</v>
      </c>
      <c r="R115" t="s">
        <v>158</v>
      </c>
      <c r="S115">
        <v>11</v>
      </c>
      <c r="T115" t="s">
        <v>159</v>
      </c>
      <c r="U115">
        <v>0</v>
      </c>
      <c r="V115" t="s">
        <v>160</v>
      </c>
      <c r="W115">
        <v>4</v>
      </c>
      <c r="X115" t="s">
        <v>161</v>
      </c>
      <c r="Y115">
        <v>2</v>
      </c>
      <c r="Z115" t="s">
        <v>162</v>
      </c>
      <c r="AA115">
        <v>0</v>
      </c>
      <c r="AB115" t="s">
        <v>163</v>
      </c>
      <c r="AC115">
        <v>3</v>
      </c>
      <c r="AD115" t="s">
        <v>164</v>
      </c>
      <c r="AE115">
        <v>3</v>
      </c>
      <c r="AF115" t="s">
        <v>165</v>
      </c>
      <c r="AG115">
        <v>0</v>
      </c>
      <c r="AH115" t="s">
        <v>166</v>
      </c>
      <c r="AI115">
        <v>0</v>
      </c>
      <c r="AJ115" t="s">
        <v>167</v>
      </c>
      <c r="AK115">
        <v>4</v>
      </c>
      <c r="AL115" t="s">
        <v>168</v>
      </c>
      <c r="AM115">
        <v>0</v>
      </c>
      <c r="AN115" t="s">
        <v>169</v>
      </c>
      <c r="AO115">
        <v>0</v>
      </c>
      <c r="AP115" t="s">
        <v>170</v>
      </c>
      <c r="AQ115">
        <v>0</v>
      </c>
      <c r="AR115" t="s">
        <v>171</v>
      </c>
      <c r="AS115">
        <v>0</v>
      </c>
      <c r="AT115" t="s">
        <v>172</v>
      </c>
      <c r="AU115">
        <v>0</v>
      </c>
      <c r="AV115" t="s">
        <v>173</v>
      </c>
      <c r="AW115">
        <v>0</v>
      </c>
      <c r="AX115" t="s">
        <v>174</v>
      </c>
      <c r="AY115">
        <v>0</v>
      </c>
      <c r="AZ115" t="s">
        <v>175</v>
      </c>
      <c r="BA115">
        <v>2</v>
      </c>
    </row>
    <row r="116" spans="1:53" x14ac:dyDescent="0.35">
      <c r="A116">
        <v>722000000</v>
      </c>
      <c r="B116" s="163" t="s">
        <v>241</v>
      </c>
      <c r="C116" s="163" t="s">
        <v>112</v>
      </c>
      <c r="D116" t="s">
        <v>151</v>
      </c>
      <c r="E116">
        <v>10</v>
      </c>
      <c r="F116" t="s">
        <v>152</v>
      </c>
      <c r="G116">
        <v>27</v>
      </c>
      <c r="H116" t="s">
        <v>153</v>
      </c>
      <c r="I116">
        <v>0</v>
      </c>
      <c r="J116" t="s">
        <v>154</v>
      </c>
      <c r="K116">
        <v>0</v>
      </c>
      <c r="L116" t="s">
        <v>155</v>
      </c>
      <c r="M116">
        <v>0</v>
      </c>
      <c r="N116" t="s">
        <v>156</v>
      </c>
      <c r="O116">
        <v>0</v>
      </c>
      <c r="P116" t="s">
        <v>157</v>
      </c>
      <c r="Q116">
        <v>0</v>
      </c>
      <c r="R116" t="s">
        <v>158</v>
      </c>
      <c r="S116">
        <v>0</v>
      </c>
      <c r="T116" t="s">
        <v>159</v>
      </c>
      <c r="U116">
        <v>0</v>
      </c>
      <c r="V116" t="s">
        <v>160</v>
      </c>
      <c r="W116">
        <v>0</v>
      </c>
      <c r="X116" t="s">
        <v>161</v>
      </c>
      <c r="Y116">
        <v>0</v>
      </c>
      <c r="Z116" t="s">
        <v>162</v>
      </c>
      <c r="AA116">
        <v>0</v>
      </c>
      <c r="AB116" t="s">
        <v>163</v>
      </c>
      <c r="AC116">
        <v>0</v>
      </c>
      <c r="AD116" t="s">
        <v>164</v>
      </c>
      <c r="AE116">
        <v>0</v>
      </c>
      <c r="AF116" t="s">
        <v>165</v>
      </c>
      <c r="AG116">
        <v>0</v>
      </c>
      <c r="AH116" t="s">
        <v>166</v>
      </c>
      <c r="AI116">
        <v>0</v>
      </c>
      <c r="AJ116" t="s">
        <v>167</v>
      </c>
      <c r="AK116">
        <v>0</v>
      </c>
      <c r="AL116" t="s">
        <v>168</v>
      </c>
      <c r="AM116">
        <v>0</v>
      </c>
      <c r="AN116" t="s">
        <v>169</v>
      </c>
      <c r="AO116">
        <v>0</v>
      </c>
      <c r="AP116" t="s">
        <v>170</v>
      </c>
      <c r="AQ116">
        <v>0</v>
      </c>
      <c r="AR116" t="s">
        <v>171</v>
      </c>
      <c r="AS116">
        <v>0</v>
      </c>
      <c r="AT116" t="s">
        <v>172</v>
      </c>
      <c r="AU116">
        <v>0</v>
      </c>
      <c r="AV116" t="s">
        <v>173</v>
      </c>
      <c r="AW116">
        <v>0</v>
      </c>
      <c r="AX116" t="s">
        <v>174</v>
      </c>
      <c r="AY116">
        <v>0</v>
      </c>
      <c r="AZ116" t="s">
        <v>175</v>
      </c>
      <c r="BA116">
        <v>0</v>
      </c>
    </row>
    <row r="117" spans="1:53" x14ac:dyDescent="0.35">
      <c r="A117">
        <v>722000000</v>
      </c>
      <c r="B117" s="164" t="s">
        <v>241</v>
      </c>
      <c r="C117" s="164" t="s">
        <v>96</v>
      </c>
      <c r="D117" t="s">
        <v>151</v>
      </c>
      <c r="E117">
        <v>0</v>
      </c>
      <c r="F117" t="s">
        <v>152</v>
      </c>
      <c r="G117">
        <v>17</v>
      </c>
      <c r="H117" t="s">
        <v>153</v>
      </c>
      <c r="I117">
        <v>5</v>
      </c>
      <c r="J117" t="s">
        <v>154</v>
      </c>
      <c r="K117">
        <v>0</v>
      </c>
      <c r="L117" t="s">
        <v>155</v>
      </c>
      <c r="M117">
        <v>0</v>
      </c>
      <c r="N117" t="s">
        <v>156</v>
      </c>
      <c r="O117">
        <v>12</v>
      </c>
      <c r="P117" t="s">
        <v>157</v>
      </c>
      <c r="Q117">
        <v>0</v>
      </c>
      <c r="R117" t="s">
        <v>158</v>
      </c>
      <c r="S117">
        <v>0</v>
      </c>
      <c r="T117" t="s">
        <v>159</v>
      </c>
      <c r="U117">
        <v>0</v>
      </c>
      <c r="V117" t="s">
        <v>160</v>
      </c>
      <c r="W117">
        <v>0</v>
      </c>
      <c r="X117" t="s">
        <v>161</v>
      </c>
      <c r="Y117">
        <v>0</v>
      </c>
      <c r="Z117" t="s">
        <v>162</v>
      </c>
      <c r="AA117">
        <v>0</v>
      </c>
      <c r="AB117" t="s">
        <v>163</v>
      </c>
      <c r="AC117">
        <v>0</v>
      </c>
      <c r="AD117" t="s">
        <v>164</v>
      </c>
      <c r="AE117">
        <v>0</v>
      </c>
      <c r="AF117" t="s">
        <v>165</v>
      </c>
      <c r="AG117">
        <v>0</v>
      </c>
      <c r="AH117" t="s">
        <v>166</v>
      </c>
      <c r="AI117">
        <v>0</v>
      </c>
      <c r="AJ117" t="s">
        <v>167</v>
      </c>
      <c r="AK117">
        <v>0</v>
      </c>
      <c r="AL117" t="s">
        <v>168</v>
      </c>
      <c r="AM117">
        <v>0</v>
      </c>
      <c r="AN117" t="s">
        <v>169</v>
      </c>
      <c r="AO117">
        <v>0</v>
      </c>
      <c r="AP117" t="s">
        <v>170</v>
      </c>
      <c r="AQ117">
        <v>0</v>
      </c>
      <c r="AR117" t="s">
        <v>171</v>
      </c>
      <c r="AS117">
        <v>0</v>
      </c>
      <c r="AT117" t="s">
        <v>172</v>
      </c>
      <c r="AU117">
        <v>0</v>
      </c>
      <c r="AV117" t="s">
        <v>173</v>
      </c>
      <c r="AW117">
        <v>0</v>
      </c>
      <c r="AX117" t="s">
        <v>174</v>
      </c>
      <c r="AY117">
        <v>0</v>
      </c>
      <c r="AZ117" t="s">
        <v>175</v>
      </c>
      <c r="BA117">
        <v>0</v>
      </c>
    </row>
    <row r="118" spans="1:53" x14ac:dyDescent="0.35">
      <c r="A118">
        <v>722000000</v>
      </c>
      <c r="B118" s="163" t="s">
        <v>241</v>
      </c>
      <c r="C118" s="163" t="s">
        <v>232</v>
      </c>
      <c r="D118" t="s">
        <v>151</v>
      </c>
      <c r="E118">
        <v>0</v>
      </c>
      <c r="F118" t="s">
        <v>152</v>
      </c>
      <c r="G118">
        <v>0</v>
      </c>
      <c r="H118" t="s">
        <v>153</v>
      </c>
      <c r="I118">
        <v>0</v>
      </c>
      <c r="J118" t="s">
        <v>154</v>
      </c>
      <c r="K118">
        <v>0</v>
      </c>
      <c r="L118" t="s">
        <v>155</v>
      </c>
      <c r="M118">
        <v>0</v>
      </c>
      <c r="N118" t="s">
        <v>156</v>
      </c>
      <c r="O118">
        <v>0</v>
      </c>
      <c r="P118" t="s">
        <v>157</v>
      </c>
      <c r="Q118">
        <v>0</v>
      </c>
      <c r="R118" t="s">
        <v>158</v>
      </c>
      <c r="S118">
        <v>0</v>
      </c>
      <c r="T118" t="s">
        <v>159</v>
      </c>
      <c r="U118">
        <v>0</v>
      </c>
      <c r="V118" t="s">
        <v>160</v>
      </c>
      <c r="W118">
        <v>0</v>
      </c>
      <c r="X118" t="s">
        <v>161</v>
      </c>
      <c r="Y118">
        <v>0</v>
      </c>
      <c r="Z118" t="s">
        <v>162</v>
      </c>
      <c r="AA118">
        <v>0</v>
      </c>
      <c r="AB118" t="s">
        <v>163</v>
      </c>
      <c r="AC118">
        <v>0</v>
      </c>
      <c r="AD118" t="s">
        <v>164</v>
      </c>
      <c r="AE118">
        <v>0</v>
      </c>
      <c r="AF118" t="s">
        <v>165</v>
      </c>
      <c r="AG118">
        <v>0</v>
      </c>
      <c r="AH118" t="s">
        <v>166</v>
      </c>
      <c r="AI118">
        <v>0</v>
      </c>
      <c r="AJ118" t="s">
        <v>167</v>
      </c>
      <c r="AK118">
        <v>0</v>
      </c>
      <c r="AL118" t="s">
        <v>168</v>
      </c>
      <c r="AM118">
        <v>0</v>
      </c>
      <c r="AN118" t="s">
        <v>169</v>
      </c>
      <c r="AO118">
        <v>42</v>
      </c>
      <c r="AP118" t="s">
        <v>170</v>
      </c>
      <c r="AQ118">
        <v>0</v>
      </c>
      <c r="AR118" t="s">
        <v>171</v>
      </c>
      <c r="AS118">
        <v>0</v>
      </c>
      <c r="AT118" t="s">
        <v>172</v>
      </c>
      <c r="AU118">
        <v>0</v>
      </c>
      <c r="AV118" t="s">
        <v>173</v>
      </c>
      <c r="AW118">
        <v>0</v>
      </c>
      <c r="AX118" t="s">
        <v>174</v>
      </c>
      <c r="AY118">
        <v>0</v>
      </c>
      <c r="AZ118" t="s">
        <v>175</v>
      </c>
      <c r="BA118">
        <v>0</v>
      </c>
    </row>
    <row r="119" spans="1:53" x14ac:dyDescent="0.35">
      <c r="A119">
        <v>725000000</v>
      </c>
      <c r="B119" s="164" t="s">
        <v>242</v>
      </c>
      <c r="C119" s="164" t="s">
        <v>22</v>
      </c>
      <c r="D119" t="s">
        <v>151</v>
      </c>
      <c r="E119">
        <v>19</v>
      </c>
      <c r="F119" t="s">
        <v>152</v>
      </c>
      <c r="G119">
        <v>20</v>
      </c>
      <c r="H119" t="s">
        <v>153</v>
      </c>
      <c r="I119">
        <v>5</v>
      </c>
      <c r="J119" t="s">
        <v>154</v>
      </c>
      <c r="K119" t="s">
        <v>243</v>
      </c>
      <c r="L119" t="s">
        <v>155</v>
      </c>
      <c r="M119" t="s">
        <v>243</v>
      </c>
      <c r="N119" t="s">
        <v>156</v>
      </c>
      <c r="O119" t="s">
        <v>243</v>
      </c>
      <c r="P119" t="s">
        <v>157</v>
      </c>
      <c r="Q119" t="s">
        <v>243</v>
      </c>
      <c r="R119" t="s">
        <v>158</v>
      </c>
      <c r="S119" t="s">
        <v>243</v>
      </c>
      <c r="T119" t="s">
        <v>159</v>
      </c>
      <c r="U119" t="s">
        <v>243</v>
      </c>
      <c r="V119" t="s">
        <v>160</v>
      </c>
      <c r="W119" t="s">
        <v>243</v>
      </c>
      <c r="X119" t="s">
        <v>161</v>
      </c>
      <c r="Y119" t="s">
        <v>243</v>
      </c>
      <c r="Z119" t="s">
        <v>162</v>
      </c>
      <c r="AA119" t="s">
        <v>243</v>
      </c>
      <c r="AB119" t="s">
        <v>163</v>
      </c>
      <c r="AC119">
        <v>7</v>
      </c>
      <c r="AD119" t="s">
        <v>164</v>
      </c>
      <c r="AE119">
        <v>6</v>
      </c>
      <c r="AF119" t="s">
        <v>165</v>
      </c>
      <c r="AG119" t="s">
        <v>244</v>
      </c>
      <c r="AH119" t="s">
        <v>166</v>
      </c>
      <c r="AI119" t="s">
        <v>243</v>
      </c>
      <c r="AJ119" t="s">
        <v>167</v>
      </c>
      <c r="AK119" t="s">
        <v>243</v>
      </c>
      <c r="AL119" t="s">
        <v>168</v>
      </c>
      <c r="AM119" t="s">
        <v>243</v>
      </c>
      <c r="AN119" t="s">
        <v>169</v>
      </c>
      <c r="AO119" t="s">
        <v>243</v>
      </c>
      <c r="AP119" t="s">
        <v>170</v>
      </c>
      <c r="AQ119" t="s">
        <v>243</v>
      </c>
      <c r="AR119" t="s">
        <v>171</v>
      </c>
      <c r="AS119" t="s">
        <v>243</v>
      </c>
      <c r="AT119" t="s">
        <v>172</v>
      </c>
      <c r="AU119" t="s">
        <v>243</v>
      </c>
      <c r="AV119" t="s">
        <v>173</v>
      </c>
      <c r="AW119" t="s">
        <v>243</v>
      </c>
      <c r="AX119" t="s">
        <v>174</v>
      </c>
      <c r="AY119">
        <v>0</v>
      </c>
      <c r="AZ119" t="s">
        <v>175</v>
      </c>
      <c r="BA119" t="s">
        <v>243</v>
      </c>
    </row>
    <row r="120" spans="1:53" x14ac:dyDescent="0.35">
      <c r="A120">
        <v>725000000</v>
      </c>
      <c r="B120" s="163" t="s">
        <v>242</v>
      </c>
      <c r="C120" s="163" t="s">
        <v>117</v>
      </c>
      <c r="D120" t="s">
        <v>151</v>
      </c>
      <c r="F120" t="s">
        <v>152</v>
      </c>
      <c r="H120" t="s">
        <v>153</v>
      </c>
      <c r="J120" t="s">
        <v>154</v>
      </c>
      <c r="L120" t="s">
        <v>155</v>
      </c>
      <c r="N120" t="s">
        <v>156</v>
      </c>
      <c r="P120" t="s">
        <v>157</v>
      </c>
      <c r="R120" t="s">
        <v>158</v>
      </c>
      <c r="S120">
        <v>20</v>
      </c>
      <c r="T120" t="s">
        <v>159</v>
      </c>
      <c r="V120" t="s">
        <v>160</v>
      </c>
      <c r="X120" t="s">
        <v>161</v>
      </c>
      <c r="Z120" t="s">
        <v>162</v>
      </c>
      <c r="AB120" t="s">
        <v>163</v>
      </c>
      <c r="AD120" t="s">
        <v>164</v>
      </c>
      <c r="AF120" t="s">
        <v>165</v>
      </c>
      <c r="AH120" t="s">
        <v>166</v>
      </c>
      <c r="AJ120" t="s">
        <v>167</v>
      </c>
      <c r="AK120">
        <v>14</v>
      </c>
      <c r="AL120" t="s">
        <v>168</v>
      </c>
      <c r="AN120" t="s">
        <v>169</v>
      </c>
      <c r="AP120" t="s">
        <v>170</v>
      </c>
      <c r="AR120" t="s">
        <v>171</v>
      </c>
      <c r="AT120" t="s">
        <v>172</v>
      </c>
      <c r="AV120" t="s">
        <v>173</v>
      </c>
      <c r="AX120" t="s">
        <v>174</v>
      </c>
      <c r="AZ120" t="s">
        <v>175</v>
      </c>
      <c r="BA120">
        <v>10</v>
      </c>
    </row>
    <row r="121" spans="1:53" x14ac:dyDescent="0.35">
      <c r="A121">
        <v>725000000</v>
      </c>
      <c r="B121" s="163" t="s">
        <v>242</v>
      </c>
      <c r="C121" s="163" t="s">
        <v>245</v>
      </c>
      <c r="D121" t="s">
        <v>151</v>
      </c>
      <c r="E121" t="s">
        <v>243</v>
      </c>
      <c r="F121" t="s">
        <v>152</v>
      </c>
      <c r="G121">
        <v>16</v>
      </c>
      <c r="H121" t="s">
        <v>153</v>
      </c>
      <c r="I121" t="s">
        <v>243</v>
      </c>
      <c r="J121" t="s">
        <v>154</v>
      </c>
      <c r="K121" t="s">
        <v>243</v>
      </c>
      <c r="L121" t="s">
        <v>155</v>
      </c>
      <c r="M121" t="s">
        <v>243</v>
      </c>
      <c r="N121" t="s">
        <v>156</v>
      </c>
      <c r="O121" t="s">
        <v>244</v>
      </c>
      <c r="P121" t="s">
        <v>157</v>
      </c>
      <c r="Q121" t="s">
        <v>243</v>
      </c>
      <c r="R121" t="s">
        <v>158</v>
      </c>
      <c r="S121" t="s">
        <v>243</v>
      </c>
      <c r="T121" t="s">
        <v>159</v>
      </c>
      <c r="U121" t="s">
        <v>243</v>
      </c>
      <c r="V121" t="s">
        <v>160</v>
      </c>
      <c r="W121" t="s">
        <v>243</v>
      </c>
      <c r="X121" t="s">
        <v>161</v>
      </c>
      <c r="Y121" t="s">
        <v>243</v>
      </c>
      <c r="Z121" t="s">
        <v>162</v>
      </c>
      <c r="AA121" t="s">
        <v>243</v>
      </c>
      <c r="AB121" t="s">
        <v>163</v>
      </c>
      <c r="AC121" t="s">
        <v>243</v>
      </c>
      <c r="AD121" t="s">
        <v>164</v>
      </c>
      <c r="AE121" t="s">
        <v>243</v>
      </c>
      <c r="AF121" t="s">
        <v>165</v>
      </c>
      <c r="AG121" t="s">
        <v>243</v>
      </c>
      <c r="AH121" t="s">
        <v>166</v>
      </c>
      <c r="AI121" t="s">
        <v>243</v>
      </c>
      <c r="AJ121" t="s">
        <v>167</v>
      </c>
      <c r="AK121" t="s">
        <v>243</v>
      </c>
      <c r="AL121" t="s">
        <v>168</v>
      </c>
      <c r="AM121" t="s">
        <v>243</v>
      </c>
      <c r="AN121" t="s">
        <v>169</v>
      </c>
      <c r="AO121" t="s">
        <v>243</v>
      </c>
      <c r="AP121" t="s">
        <v>170</v>
      </c>
      <c r="AQ121" t="s">
        <v>243</v>
      </c>
      <c r="AR121" t="s">
        <v>171</v>
      </c>
      <c r="AS121" t="s">
        <v>243</v>
      </c>
      <c r="AT121" t="s">
        <v>172</v>
      </c>
      <c r="AU121" t="s">
        <v>243</v>
      </c>
      <c r="AV121" t="s">
        <v>173</v>
      </c>
      <c r="AW121" t="s">
        <v>243</v>
      </c>
      <c r="AX121" t="s">
        <v>174</v>
      </c>
      <c r="AY121" t="s">
        <v>243</v>
      </c>
      <c r="AZ121" t="s">
        <v>175</v>
      </c>
      <c r="BA121" t="s">
        <v>243</v>
      </c>
    </row>
    <row r="122" spans="1:53" x14ac:dyDescent="0.35">
      <c r="C122"/>
      <c r="D122" s="1"/>
    </row>
    <row r="123" spans="1:53" x14ac:dyDescent="0.35">
      <c r="C123"/>
      <c r="D123" s="1"/>
    </row>
    <row r="124" spans="1:53" x14ac:dyDescent="0.35">
      <c r="C124"/>
      <c r="D124" s="1"/>
    </row>
    <row r="125" spans="1:53" x14ac:dyDescent="0.35">
      <c r="C125"/>
      <c r="D125" s="1"/>
    </row>
    <row r="126" spans="1:53" x14ac:dyDescent="0.35">
      <c r="C126"/>
      <c r="D126" s="1"/>
    </row>
    <row r="127" spans="1:53" x14ac:dyDescent="0.35">
      <c r="C127"/>
      <c r="D127" s="1"/>
    </row>
    <row r="128" spans="1:53" x14ac:dyDescent="0.35">
      <c r="C128"/>
      <c r="D128" s="1"/>
    </row>
    <row r="129" spans="2:4" x14ac:dyDescent="0.35">
      <c r="C129"/>
      <c r="D129" s="1"/>
    </row>
    <row r="130" spans="2:4" x14ac:dyDescent="0.35">
      <c r="C130"/>
      <c r="D130" s="1"/>
    </row>
    <row r="131" spans="2:4" x14ac:dyDescent="0.35">
      <c r="C131"/>
      <c r="D131" s="1"/>
    </row>
    <row r="132" spans="2:4" ht="18.5" x14ac:dyDescent="0.45">
      <c r="B132" s="11"/>
      <c r="C132"/>
      <c r="D132" s="1"/>
    </row>
    <row r="133" spans="2:4" ht="18.5" x14ac:dyDescent="0.45">
      <c r="B133" s="11"/>
      <c r="C133"/>
      <c r="D133" s="1"/>
    </row>
    <row r="134" spans="2:4" ht="18.5" x14ac:dyDescent="0.45">
      <c r="B134" s="11"/>
      <c r="C134"/>
      <c r="D134" s="1"/>
    </row>
    <row r="135" spans="2:4" ht="18.5" x14ac:dyDescent="0.45">
      <c r="B135" s="11"/>
      <c r="C135"/>
      <c r="D135" s="1"/>
    </row>
    <row r="136" spans="2:4" ht="18.5" x14ac:dyDescent="0.45">
      <c r="B136" s="11"/>
      <c r="C136"/>
      <c r="D136" s="1"/>
    </row>
    <row r="137" spans="2:4" ht="18.5" x14ac:dyDescent="0.45">
      <c r="B137" s="11"/>
      <c r="C137"/>
      <c r="D137" s="1"/>
    </row>
    <row r="138" spans="2:4" ht="18.5" x14ac:dyDescent="0.45">
      <c r="B138" s="11"/>
      <c r="C138"/>
      <c r="D138" s="1"/>
    </row>
    <row r="139" spans="2:4" ht="18.5" x14ac:dyDescent="0.45">
      <c r="B139" s="11"/>
      <c r="C139"/>
      <c r="D139" s="1"/>
    </row>
    <row r="140" spans="2:4" ht="18.5" x14ac:dyDescent="0.45">
      <c r="B140" s="11"/>
      <c r="C140"/>
      <c r="D140" s="1"/>
    </row>
    <row r="141" spans="2:4" ht="18.5" x14ac:dyDescent="0.45">
      <c r="B141" s="11"/>
      <c r="C141"/>
      <c r="D141" s="1"/>
    </row>
    <row r="142" spans="2:4" ht="18.5" x14ac:dyDescent="0.45">
      <c r="B142" s="11"/>
      <c r="C142"/>
      <c r="D142" s="1"/>
    </row>
    <row r="143" spans="2:4" ht="18.5" x14ac:dyDescent="0.45">
      <c r="B143" s="11"/>
      <c r="C143"/>
      <c r="D143" s="1"/>
    </row>
    <row r="144" spans="2:4" ht="18.5" x14ac:dyDescent="0.45">
      <c r="B144" s="11"/>
      <c r="C144"/>
      <c r="D144" s="1"/>
    </row>
    <row r="145" spans="2:4" ht="18.5" x14ac:dyDescent="0.45">
      <c r="B145" s="11"/>
      <c r="C145"/>
      <c r="D145" s="1"/>
    </row>
    <row r="146" spans="2:4" ht="18.5" x14ac:dyDescent="0.45">
      <c r="B146" s="11"/>
      <c r="C146"/>
      <c r="D146" s="1"/>
    </row>
    <row r="147" spans="2:4" ht="18.5" x14ac:dyDescent="0.45">
      <c r="B147" s="11"/>
      <c r="C147"/>
      <c r="D147" s="1"/>
    </row>
    <row r="148" spans="2:4" ht="18.5" x14ac:dyDescent="0.45">
      <c r="B148" s="11"/>
      <c r="C148"/>
      <c r="D148" s="1"/>
    </row>
    <row r="149" spans="2:4" ht="18.5" x14ac:dyDescent="0.45">
      <c r="B149" s="11"/>
      <c r="C149"/>
      <c r="D149" s="1"/>
    </row>
    <row r="150" spans="2:4" ht="18.5" x14ac:dyDescent="0.45">
      <c r="B150" s="11"/>
      <c r="C150"/>
      <c r="D150" s="1"/>
    </row>
    <row r="151" spans="2:4" ht="18.5" x14ac:dyDescent="0.45">
      <c r="B151" s="11"/>
      <c r="C151"/>
      <c r="D151" s="1"/>
    </row>
    <row r="152" spans="2:4" ht="18.5" x14ac:dyDescent="0.45">
      <c r="B152" s="11"/>
      <c r="C152"/>
      <c r="D152" s="1"/>
    </row>
    <row r="153" spans="2:4" ht="18.5" x14ac:dyDescent="0.45">
      <c r="B153" s="11"/>
      <c r="C153"/>
      <c r="D153" s="1"/>
    </row>
    <row r="154" spans="2:4" ht="18.5" x14ac:dyDescent="0.45">
      <c r="B154" s="11"/>
      <c r="C154"/>
      <c r="D154" s="1"/>
    </row>
    <row r="155" spans="2:4" ht="18.5" x14ac:dyDescent="0.45">
      <c r="B155" s="11"/>
      <c r="C155"/>
      <c r="D155" s="1"/>
    </row>
    <row r="156" spans="2:4" ht="18.5" x14ac:dyDescent="0.45">
      <c r="B156" s="11"/>
      <c r="C156"/>
      <c r="D156" s="1"/>
    </row>
  </sheetData>
  <dataValidations count="2">
    <dataValidation type="list" showInputMessage="1" showErrorMessage="1" sqref="D10:D17 F10:F17 H10:H17 J10:J17 L10:L17 N10:N17 P10:P17 R10:R17 T10:T17 V10:V17 X10:X17 Z10:Z17 AB10:AB17 AD10:AD17 AF10:AF17 AH10:AH17 AJ10:AJ17 AL10:AL17 AN10:AN17 AP10:AP17 AR10:AR17 AT10:AT17 AV10:AV17 AX10:AX17 AZ10:AZ17 F111:F116 H111:H116 J111:J116 L111:L116 N111:N116 P111:P116 R111:R116 T111:T116 V111:V116 X111:X116 Z111:Z116 AB111:AB116 AD111:AD116 AF111:AF116 AH111:AH116 AJ111:AJ116 AL111:AL116 AN111:AN116 AP111:AP116 AR111:AR116 AT111:AT116 AV111:AV116 AX111:AX116 AZ111:AZ116 D111:D116 D20:D25 AZ20:AZ25 AX20:AX25 AV20:AV25 AT20:AT25 AR20:AR25 AP20:AP25 AN20:AN25 AL20:AL25 AJ20:AJ25 AH20:AH25 AF20:AF25 AD20:AD25 AB20:AB25 Z20:Z25 X20:X25 V20:V25 T20:T25 R20:R25 P20:P25 N20:N25 L20:L25 J20:J25 H20:H25 F20:F25 F35:F38 H35:H38 J35:J38 L35:L38 N35:N38 P35:P38 R35:R38 T35:T38 V35:V38 X35:X38 Z35:Z38 AB35:AB38 AD35:AD38 AF35:AF38 AH35:AH38 AJ35:AJ38 AL35:AL38 AN35:AN38 AP35:AP38 AR35:AR38 AT35:AT38 AV35:AV38 AX35:AX38 AZ35:AZ38 D35:D38" xr:uid="{00000000-0002-0000-0200-000000000000}">
      <formula1>#REF!</formula1>
    </dataValidation>
    <dataValidation type="list" showInputMessage="1" showErrorMessage="1" sqref="F2 J2:J9 AZ2 AX2 AV2 AT2 AR2 AP2 AN2 AL2 AJ2 AH2 AF2 AD2 AB2 Z2 X2 V2 T2 R2 P2 N2 L2 D2 H2" xr:uid="{00000000-0002-0000-0200-000001000000}">
      <formula1>$B$4:$B$28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2"/>
  <sheetViews>
    <sheetView tabSelected="1" topLeftCell="B1" workbookViewId="0">
      <selection activeCell="B9" sqref="B9"/>
    </sheetView>
  </sheetViews>
  <sheetFormatPr defaultRowHeight="14.5" x14ac:dyDescent="0.35"/>
  <cols>
    <col min="1" max="1" width="17.54296875" hidden="1" customWidth="1"/>
    <col min="2" max="2" width="16" customWidth="1"/>
    <col min="3" max="3" width="20" customWidth="1"/>
    <col min="4" max="4" width="14.81640625" customWidth="1"/>
    <col min="5" max="5" width="18" bestFit="1" customWidth="1"/>
    <col min="6" max="6" width="15.453125" bestFit="1" customWidth="1"/>
    <col min="7" max="7" width="13.54296875" bestFit="1" customWidth="1"/>
    <col min="8" max="8" width="10.54296875" bestFit="1" customWidth="1"/>
    <col min="9" max="9" width="13.81640625" customWidth="1"/>
    <col min="10" max="10" width="6.54296875" customWidth="1"/>
    <col min="11" max="11" width="14" customWidth="1"/>
    <col min="12" max="12" width="10.81640625" bestFit="1" customWidth="1"/>
    <col min="13" max="13" width="10.54296875" customWidth="1"/>
    <col min="14" max="14" width="15.453125" bestFit="1" customWidth="1"/>
    <col min="15" max="15" width="17.1796875" hidden="1" customWidth="1"/>
    <col min="16" max="16" width="15.453125" bestFit="1" customWidth="1"/>
    <col min="17" max="17" width="8.54296875" bestFit="1" customWidth="1"/>
    <col min="18" max="18" width="11.54296875" hidden="1" customWidth="1"/>
    <col min="19" max="19" width="19.1796875" hidden="1" customWidth="1"/>
    <col min="20" max="20" width="13.81640625" bestFit="1" customWidth="1"/>
    <col min="21" max="21" width="16.453125" bestFit="1" customWidth="1"/>
    <col min="22" max="22" width="19.1796875" hidden="1" customWidth="1"/>
    <col min="23" max="23" width="12.453125" hidden="1" customWidth="1"/>
    <col min="24" max="24" width="15" hidden="1" customWidth="1"/>
    <col min="25" max="25" width="12.54296875" bestFit="1" customWidth="1"/>
    <col min="26" max="27" width="12.1796875" bestFit="1" customWidth="1"/>
    <col min="28" max="28" width="14" customWidth="1"/>
  </cols>
  <sheetData>
    <row r="1" spans="1:26" x14ac:dyDescent="0.35">
      <c r="A1" s="1"/>
      <c r="B1" s="24" t="s">
        <v>622</v>
      </c>
      <c r="C1" s="1" t="s">
        <v>246</v>
      </c>
      <c r="D1" s="19" t="s">
        <v>154</v>
      </c>
      <c r="E1" s="19"/>
      <c r="F1" s="16"/>
    </row>
    <row r="2" spans="1:26" x14ac:dyDescent="0.35">
      <c r="A2" s="63"/>
      <c r="B2" s="211">
        <v>19430006</v>
      </c>
      <c r="C2" s="16">
        <f>0.6*B2</f>
        <v>11658003.6</v>
      </c>
      <c r="D2" s="211">
        <f>C2*0.1</f>
        <v>1165800.3600000001</v>
      </c>
      <c r="E2" s="18"/>
      <c r="F2" s="16"/>
    </row>
    <row r="3" spans="1:26" x14ac:dyDescent="0.35">
      <c r="A3" s="1"/>
      <c r="B3" s="142" t="s">
        <v>247</v>
      </c>
      <c r="C3" s="16"/>
      <c r="D3" s="16"/>
      <c r="E3" s="18"/>
      <c r="F3" s="16"/>
    </row>
    <row r="4" spans="1:26" x14ac:dyDescent="0.35">
      <c r="A4" s="63"/>
      <c r="B4" s="211">
        <f>B2-D2</f>
        <v>18264205.640000001</v>
      </c>
      <c r="C4" s="16"/>
      <c r="D4" s="16"/>
      <c r="E4" s="18"/>
    </row>
    <row r="5" spans="1:26" ht="15.75" customHeight="1" x14ac:dyDescent="0.35">
      <c r="B5" s="17"/>
      <c r="C5" s="261" t="s">
        <v>248</v>
      </c>
      <c r="D5" s="262" t="s">
        <v>249</v>
      </c>
      <c r="E5" s="261" t="s">
        <v>250</v>
      </c>
      <c r="F5" s="261" t="s">
        <v>251</v>
      </c>
      <c r="G5" s="263" t="s">
        <v>252</v>
      </c>
      <c r="H5" s="263" t="s">
        <v>253</v>
      </c>
      <c r="I5" s="16"/>
      <c r="J5" s="17"/>
      <c r="K5" s="17"/>
      <c r="L5" s="17"/>
      <c r="M5" s="17"/>
      <c r="N5" s="17"/>
      <c r="O5" s="17"/>
      <c r="P5" s="17"/>
      <c r="Q5" s="144"/>
      <c r="R5" s="12">
        <v>0.29863530778164926</v>
      </c>
      <c r="S5" s="91"/>
      <c r="T5" s="91"/>
      <c r="U5" s="91"/>
      <c r="V5" s="269" t="s">
        <v>254</v>
      </c>
      <c r="W5" s="35" t="e">
        <f>R5*#REF!</f>
        <v>#REF!</v>
      </c>
      <c r="Z5" s="18"/>
    </row>
    <row r="6" spans="1:26" x14ac:dyDescent="0.35">
      <c r="B6" s="144" t="s">
        <v>255</v>
      </c>
      <c r="C6" s="16">
        <v>29163</v>
      </c>
      <c r="D6" s="12">
        <f t="shared" ref="D6:D11" si="0">C6/C$12</f>
        <v>0.28826308714217935</v>
      </c>
      <c r="E6" s="16">
        <v>15677094</v>
      </c>
      <c r="F6" s="12">
        <f t="shared" ref="F6:F11" si="1">E6/E$12</f>
        <v>0.32310660448651968</v>
      </c>
      <c r="G6" s="17">
        <f t="shared" ref="G6:G11" si="2">(0.6*D6)+(0.4*F6)</f>
        <v>0.30220049407991545</v>
      </c>
      <c r="H6" s="16">
        <f t="shared" ref="H6:H11" si="3">G6*B$4</f>
        <v>5519451.9683851786</v>
      </c>
      <c r="Z6" s="18"/>
    </row>
    <row r="7" spans="1:26" x14ac:dyDescent="0.35">
      <c r="B7" s="144" t="s">
        <v>256</v>
      </c>
      <c r="C7" s="16">
        <v>31207</v>
      </c>
      <c r="D7" s="12">
        <f t="shared" si="0"/>
        <v>0.30846710422267909</v>
      </c>
      <c r="E7" s="16">
        <v>14528922</v>
      </c>
      <c r="F7" s="12">
        <f t="shared" si="1"/>
        <v>0.29944265526949665</v>
      </c>
      <c r="G7" s="17">
        <f t="shared" si="2"/>
        <v>0.30485732464140614</v>
      </c>
      <c r="H7" s="16">
        <f t="shared" si="3"/>
        <v>5567976.8681108812</v>
      </c>
    </row>
    <row r="8" spans="1:26" x14ac:dyDescent="0.35">
      <c r="B8" s="144" t="s">
        <v>257</v>
      </c>
      <c r="C8" s="16">
        <v>16061</v>
      </c>
      <c r="D8" s="12">
        <f t="shared" si="0"/>
        <v>0.15875573303811483</v>
      </c>
      <c r="E8" s="16">
        <v>2799650</v>
      </c>
      <c r="F8" s="12">
        <f t="shared" si="1"/>
        <v>5.7701089580166121E-2</v>
      </c>
      <c r="G8" s="17">
        <f t="shared" si="2"/>
        <v>0.11833387565493535</v>
      </c>
      <c r="H8" s="16">
        <f t="shared" si="3"/>
        <v>2161274.2391399289</v>
      </c>
    </row>
    <row r="9" spans="1:26" x14ac:dyDescent="0.35">
      <c r="B9" s="144" t="s">
        <v>258</v>
      </c>
      <c r="C9" s="16">
        <v>7321</v>
      </c>
      <c r="D9" s="12">
        <f t="shared" si="0"/>
        <v>7.2364779376878061E-2</v>
      </c>
      <c r="E9" s="16">
        <v>1935334</v>
      </c>
      <c r="F9" s="12">
        <f t="shared" si="1"/>
        <v>3.9887443252385552E-2</v>
      </c>
      <c r="G9" s="17">
        <f t="shared" si="2"/>
        <v>5.937384492708106E-2</v>
      </c>
      <c r="H9" s="16">
        <f t="shared" si="3"/>
        <v>1084416.1133856792</v>
      </c>
    </row>
    <row r="10" spans="1:26" x14ac:dyDescent="0.35">
      <c r="B10" s="144" t="s">
        <v>82</v>
      </c>
      <c r="C10" s="16">
        <v>13672</v>
      </c>
      <c r="D10" s="12">
        <f t="shared" si="0"/>
        <v>0.13514154673414519</v>
      </c>
      <c r="E10" s="16">
        <v>12234714</v>
      </c>
      <c r="F10" s="12">
        <f t="shared" si="1"/>
        <v>0.2521587800266864</v>
      </c>
      <c r="G10" s="17">
        <f t="shared" si="2"/>
        <v>0.18194844005116168</v>
      </c>
      <c r="H10" s="16">
        <f t="shared" si="3"/>
        <v>3323143.7249716292</v>
      </c>
    </row>
    <row r="11" spans="1:26" x14ac:dyDescent="0.35">
      <c r="B11" s="144" t="s">
        <v>259</v>
      </c>
      <c r="C11" s="16">
        <v>3744</v>
      </c>
      <c r="D11" s="12">
        <f t="shared" si="0"/>
        <v>3.700774948600348E-2</v>
      </c>
      <c r="E11" s="16">
        <v>1344167</v>
      </c>
      <c r="F11" s="12">
        <f t="shared" si="1"/>
        <v>2.7703427384745648E-2</v>
      </c>
      <c r="G11" s="17">
        <f t="shared" si="2"/>
        <v>3.3286020645500347E-2</v>
      </c>
      <c r="H11" s="16">
        <f t="shared" si="3"/>
        <v>607942.72600670392</v>
      </c>
    </row>
    <row r="12" spans="1:26" x14ac:dyDescent="0.35">
      <c r="B12" s="1" t="s">
        <v>260</v>
      </c>
      <c r="C12" s="24">
        <f t="shared" ref="C12:H12" si="4">SUM(C6:C11)</f>
        <v>101168</v>
      </c>
      <c r="D12" s="23">
        <f t="shared" si="4"/>
        <v>1</v>
      </c>
      <c r="E12" s="24">
        <f t="shared" si="4"/>
        <v>48519881</v>
      </c>
      <c r="F12" s="23">
        <f t="shared" si="4"/>
        <v>1</v>
      </c>
      <c r="G12" s="114">
        <f t="shared" si="4"/>
        <v>1</v>
      </c>
      <c r="H12" s="24">
        <f t="shared" si="4"/>
        <v>18264205.640000001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5"/>
  <sheetViews>
    <sheetView workbookViewId="0">
      <selection activeCell="B10" sqref="B10"/>
    </sheetView>
  </sheetViews>
  <sheetFormatPr defaultRowHeight="14.5" x14ac:dyDescent="0.35"/>
  <cols>
    <col min="2" max="2" width="51.54296875" bestFit="1" customWidth="1"/>
  </cols>
  <sheetData>
    <row r="1" spans="1:3" x14ac:dyDescent="0.35">
      <c r="A1" s="67">
        <v>91</v>
      </c>
      <c r="B1" s="68" t="s">
        <v>159</v>
      </c>
      <c r="C1" s="69" t="s">
        <v>261</v>
      </c>
    </row>
    <row r="2" spans="1:3" x14ac:dyDescent="0.35">
      <c r="A2" s="67">
        <v>92</v>
      </c>
      <c r="B2" s="68" t="s">
        <v>160</v>
      </c>
      <c r="C2" s="69" t="s">
        <v>261</v>
      </c>
    </row>
    <row r="3" spans="1:3" x14ac:dyDescent="0.35">
      <c r="A3" s="67">
        <v>120</v>
      </c>
      <c r="B3" s="68" t="s">
        <v>163</v>
      </c>
      <c r="C3" s="69" t="s">
        <v>261</v>
      </c>
    </row>
    <row r="4" spans="1:3" x14ac:dyDescent="0.35">
      <c r="A4" s="67">
        <v>130</v>
      </c>
      <c r="B4" s="68" t="s">
        <v>164</v>
      </c>
      <c r="C4" s="69" t="s">
        <v>261</v>
      </c>
    </row>
    <row r="5" spans="1:3" x14ac:dyDescent="0.35">
      <c r="A5" s="67">
        <v>240</v>
      </c>
      <c r="B5" s="68" t="s">
        <v>175</v>
      </c>
      <c r="C5" s="69" t="s">
        <v>261</v>
      </c>
    </row>
    <row r="6" spans="1:3" x14ac:dyDescent="0.35">
      <c r="A6" s="67">
        <v>50</v>
      </c>
      <c r="B6" s="68" t="s">
        <v>155</v>
      </c>
      <c r="C6" s="70" t="s">
        <v>262</v>
      </c>
    </row>
    <row r="7" spans="1:3" x14ac:dyDescent="0.35">
      <c r="A7" s="67">
        <v>100</v>
      </c>
      <c r="B7" s="68" t="s">
        <v>161</v>
      </c>
      <c r="C7" s="70" t="s">
        <v>262</v>
      </c>
    </row>
    <row r="8" spans="1:3" x14ac:dyDescent="0.35">
      <c r="A8" s="67">
        <v>110</v>
      </c>
      <c r="B8" s="68" t="s">
        <v>162</v>
      </c>
      <c r="C8" s="70" t="s">
        <v>262</v>
      </c>
    </row>
    <row r="9" spans="1:3" x14ac:dyDescent="0.35">
      <c r="A9" s="67">
        <v>140</v>
      </c>
      <c r="B9" s="68" t="s">
        <v>165</v>
      </c>
      <c r="C9" s="70" t="s">
        <v>262</v>
      </c>
    </row>
    <row r="10" spans="1:3" x14ac:dyDescent="0.35">
      <c r="A10" s="67">
        <v>150</v>
      </c>
      <c r="B10" s="68" t="s">
        <v>166</v>
      </c>
      <c r="C10" s="70" t="s">
        <v>262</v>
      </c>
    </row>
    <row r="11" spans="1:3" x14ac:dyDescent="0.35">
      <c r="A11" s="67">
        <v>160</v>
      </c>
      <c r="B11" s="68" t="s">
        <v>167</v>
      </c>
      <c r="C11" s="70" t="s">
        <v>262</v>
      </c>
    </row>
    <row r="12" spans="1:3" x14ac:dyDescent="0.35">
      <c r="A12" s="67">
        <v>170</v>
      </c>
      <c r="B12" s="68" t="s">
        <v>168</v>
      </c>
      <c r="C12" s="70" t="s">
        <v>262</v>
      </c>
    </row>
    <row r="13" spans="1:3" x14ac:dyDescent="0.35">
      <c r="A13" s="67">
        <v>180</v>
      </c>
      <c r="B13" s="68" t="s">
        <v>169</v>
      </c>
      <c r="C13" s="71" t="s">
        <v>263</v>
      </c>
    </row>
    <row r="14" spans="1:3" x14ac:dyDescent="0.35">
      <c r="A14" s="67">
        <v>190</v>
      </c>
      <c r="B14" s="68" t="s">
        <v>170</v>
      </c>
      <c r="C14" s="72" t="s">
        <v>264</v>
      </c>
    </row>
    <row r="15" spans="1:3" x14ac:dyDescent="0.35">
      <c r="A15" s="67">
        <v>200</v>
      </c>
      <c r="B15" s="68" t="s">
        <v>171</v>
      </c>
      <c r="C15" s="72" t="s">
        <v>264</v>
      </c>
    </row>
    <row r="16" spans="1:3" x14ac:dyDescent="0.35">
      <c r="A16" s="67">
        <v>10</v>
      </c>
      <c r="B16" s="68" t="s">
        <v>151</v>
      </c>
      <c r="C16" s="73" t="s">
        <v>265</v>
      </c>
    </row>
    <row r="17" spans="1:3" x14ac:dyDescent="0.35">
      <c r="A17" s="67">
        <v>60</v>
      </c>
      <c r="B17" s="68" t="s">
        <v>156</v>
      </c>
      <c r="C17" s="73" t="s">
        <v>265</v>
      </c>
    </row>
    <row r="18" spans="1:3" x14ac:dyDescent="0.35">
      <c r="A18" s="67">
        <v>70</v>
      </c>
      <c r="B18" s="68" t="s">
        <v>157</v>
      </c>
      <c r="C18" s="73" t="s">
        <v>265</v>
      </c>
    </row>
    <row r="19" spans="1:3" x14ac:dyDescent="0.35">
      <c r="A19" s="67">
        <v>80</v>
      </c>
      <c r="B19" s="68" t="s">
        <v>158</v>
      </c>
      <c r="C19" s="73" t="s">
        <v>265</v>
      </c>
    </row>
    <row r="20" spans="1:3" x14ac:dyDescent="0.35">
      <c r="A20" s="67">
        <v>210</v>
      </c>
      <c r="B20" s="68" t="s">
        <v>172</v>
      </c>
      <c r="C20" s="73" t="s">
        <v>265</v>
      </c>
    </row>
    <row r="21" spans="1:3" x14ac:dyDescent="0.35">
      <c r="A21" s="67">
        <v>220</v>
      </c>
      <c r="B21" s="68" t="s">
        <v>173</v>
      </c>
      <c r="C21" s="70" t="s">
        <v>262</v>
      </c>
    </row>
    <row r="22" spans="1:3" x14ac:dyDescent="0.35">
      <c r="A22" s="67">
        <v>230</v>
      </c>
      <c r="B22" s="68" t="s">
        <v>174</v>
      </c>
      <c r="C22" s="73" t="s">
        <v>265</v>
      </c>
    </row>
    <row r="23" spans="1:3" x14ac:dyDescent="0.35">
      <c r="A23" s="67">
        <v>20</v>
      </c>
      <c r="B23" s="68" t="s">
        <v>152</v>
      </c>
      <c r="C23" s="68" t="s">
        <v>266</v>
      </c>
    </row>
    <row r="24" spans="1:3" x14ac:dyDescent="0.35">
      <c r="A24" s="67">
        <v>30</v>
      </c>
      <c r="B24" s="68" t="s">
        <v>153</v>
      </c>
      <c r="C24" s="68" t="s">
        <v>266</v>
      </c>
    </row>
    <row r="25" spans="1:3" x14ac:dyDescent="0.35">
      <c r="A25" s="67">
        <v>40</v>
      </c>
      <c r="B25" s="68" t="s">
        <v>154</v>
      </c>
      <c r="C25" s="68" t="s">
        <v>266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O50"/>
  <sheetViews>
    <sheetView workbookViewId="0">
      <pane ySplit="2" topLeftCell="A12" activePane="bottomLeft" state="frozen"/>
      <selection pane="bottomLeft" activeCell="CS26" sqref="CS26"/>
    </sheetView>
  </sheetViews>
  <sheetFormatPr defaultColWidth="8.54296875" defaultRowHeight="14.5" x14ac:dyDescent="0.35"/>
  <cols>
    <col min="1" max="1" width="40.453125" customWidth="1"/>
    <col min="2" max="2" width="37.54296875" customWidth="1"/>
    <col min="3" max="3" width="8.54296875" style="1" hidden="1" customWidth="1"/>
    <col min="4" max="4" width="7.54296875" hidden="1" customWidth="1"/>
    <col min="5" max="5" width="8.54296875" hidden="1" customWidth="1"/>
    <col min="6" max="6" width="17.1796875" hidden="1" customWidth="1"/>
    <col min="7" max="7" width="8.54296875" hidden="1" customWidth="1"/>
    <col min="8" max="9" width="13.453125" hidden="1" customWidth="1"/>
    <col min="10" max="10" width="14.453125" hidden="1" customWidth="1"/>
    <col min="11" max="12" width="16.453125" hidden="1" customWidth="1"/>
    <col min="13" max="14" width="13.81640625" hidden="1" customWidth="1"/>
    <col min="15" max="15" width="20.1796875" hidden="1" customWidth="1"/>
    <col min="16" max="16" width="20" hidden="1" customWidth="1"/>
    <col min="17" max="18" width="14.54296875" hidden="1" customWidth="1"/>
    <col min="19" max="20" width="13.81640625" hidden="1" customWidth="1"/>
    <col min="21" max="22" width="14" hidden="1" customWidth="1"/>
    <col min="23" max="23" width="16.81640625" hidden="1" customWidth="1"/>
    <col min="24" max="24" width="14.1796875" hidden="1" customWidth="1"/>
    <col min="25" max="25" width="8.1796875" hidden="1" customWidth="1"/>
    <col min="26" max="26" width="6.453125" hidden="1" customWidth="1"/>
    <col min="27" max="27" width="15.54296875" hidden="1" customWidth="1"/>
    <col min="28" max="28" width="11.453125" hidden="1" customWidth="1"/>
    <col min="29" max="30" width="12.81640625" hidden="1" customWidth="1"/>
    <col min="31" max="32" width="12.54296875" hidden="1" customWidth="1"/>
    <col min="33" max="33" width="11.453125" hidden="1" customWidth="1"/>
    <col min="34" max="34" width="19.1796875" hidden="1" customWidth="1"/>
    <col min="35" max="35" width="13.81640625" hidden="1" customWidth="1"/>
    <col min="36" max="36" width="8.26953125" customWidth="1"/>
    <col min="37" max="37" width="11.453125" hidden="1" customWidth="1"/>
    <col min="38" max="38" width="11.54296875" hidden="1" customWidth="1"/>
    <col min="39" max="39" width="12.453125" hidden="1" customWidth="1"/>
    <col min="40" max="40" width="11.81640625" hidden="1" customWidth="1"/>
    <col min="41" max="41" width="13.81640625" hidden="1" customWidth="1"/>
    <col min="42" max="42" width="11.453125" hidden="1" customWidth="1"/>
    <col min="43" max="43" width="11.1796875" hidden="1" customWidth="1"/>
    <col min="44" max="44" width="11.453125" hidden="1" customWidth="1"/>
    <col min="45" max="46" width="11.1796875" hidden="1" customWidth="1"/>
    <col min="47" max="47" width="12.54296875" hidden="1" customWidth="1"/>
    <col min="48" max="48" width="12.81640625" customWidth="1"/>
    <col min="49" max="49" width="13.453125" hidden="1" customWidth="1"/>
    <col min="50" max="50" width="11.54296875" hidden="1" customWidth="1"/>
    <col min="51" max="51" width="19.54296875" hidden="1" customWidth="1"/>
    <col min="52" max="52" width="11.1796875" hidden="1" customWidth="1"/>
    <col min="53" max="53" width="9.54296875" hidden="1" customWidth="1"/>
    <col min="54" max="54" width="14.453125" hidden="1" customWidth="1"/>
    <col min="55" max="55" width="15.54296875" hidden="1" customWidth="1"/>
    <col min="56" max="57" width="15.81640625" hidden="1" customWidth="1"/>
    <col min="58" max="59" width="16.81640625" hidden="1" customWidth="1"/>
    <col min="60" max="60" width="13.81640625" hidden="1" customWidth="1"/>
    <col min="61" max="61" width="11.453125" hidden="1" customWidth="1"/>
    <col min="62" max="62" width="12.54296875" hidden="1" customWidth="1"/>
    <col min="63" max="63" width="16.453125" hidden="1" customWidth="1"/>
    <col min="64" max="64" width="12.1796875" hidden="1" customWidth="1"/>
    <col min="65" max="65" width="11.453125" hidden="1" customWidth="1"/>
    <col min="66" max="66" width="18.81640625" hidden="1" customWidth="1"/>
    <col min="67" max="67" width="11.81640625" hidden="1" customWidth="1"/>
    <col min="68" max="68" width="14.1796875" hidden="1" customWidth="1"/>
    <col min="69" max="69" width="10" hidden="1" customWidth="1"/>
    <col min="70" max="70" width="16" hidden="1" customWidth="1"/>
    <col min="71" max="71" width="7.54296875" hidden="1" customWidth="1"/>
    <col min="72" max="72" width="14.453125" hidden="1" customWidth="1"/>
    <col min="73" max="73" width="8" hidden="1" customWidth="1"/>
    <col min="74" max="74" width="10.81640625" hidden="1" customWidth="1"/>
    <col min="75" max="75" width="10.453125" hidden="1" customWidth="1"/>
    <col min="76" max="76" width="12" hidden="1" customWidth="1"/>
    <col min="77" max="77" width="14" hidden="1" customWidth="1"/>
    <col min="78" max="78" width="12.54296875" hidden="1" customWidth="1"/>
    <col min="79" max="79" width="14.54296875" hidden="1" customWidth="1"/>
    <col min="80" max="80" width="10.81640625" hidden="1" customWidth="1"/>
    <col min="81" max="81" width="15" hidden="1" customWidth="1"/>
    <col min="82" max="82" width="12" hidden="1" customWidth="1"/>
    <col min="83" max="83" width="15.54296875" hidden="1" customWidth="1"/>
    <col min="84" max="84" width="12.81640625" hidden="1" customWidth="1"/>
    <col min="85" max="85" width="20.54296875" hidden="1" customWidth="1"/>
    <col min="86" max="86" width="12.54296875" hidden="1" customWidth="1"/>
    <col min="87" max="87" width="9.54296875" hidden="1" customWidth="1"/>
    <col min="88" max="88" width="15.81640625" hidden="1" customWidth="1"/>
    <col min="89" max="90" width="11.54296875" hidden="1" customWidth="1"/>
    <col min="91" max="91" width="12.81640625" hidden="1" customWidth="1"/>
    <col min="92" max="92" width="14.453125" hidden="1" customWidth="1"/>
    <col min="93" max="93" width="12.54296875" hidden="1" customWidth="1"/>
    <col min="94" max="94" width="11.7265625" customWidth="1"/>
    <col min="95" max="95" width="10" customWidth="1"/>
    <col min="96" max="96" width="11.7265625" bestFit="1" customWidth="1"/>
    <col min="97" max="97" width="12.54296875" customWidth="1"/>
    <col min="98" max="98" width="12" bestFit="1" customWidth="1"/>
    <col min="99" max="99" width="12.54296875" bestFit="1" customWidth="1"/>
    <col min="100" max="100" width="13.7265625" customWidth="1"/>
    <col min="101" max="101" width="9.26953125" bestFit="1" customWidth="1"/>
    <col min="102" max="102" width="8.453125" bestFit="1" customWidth="1"/>
    <col min="103" max="104" width="8.453125" customWidth="1"/>
    <col min="105" max="105" width="10.26953125" bestFit="1" customWidth="1"/>
    <col min="106" max="106" width="10.453125" hidden="1" customWidth="1"/>
    <col min="107" max="107" width="12.54296875" hidden="1" customWidth="1"/>
    <col min="108" max="108" width="10.1796875" bestFit="1" customWidth="1"/>
    <col min="109" max="109" width="10.81640625" bestFit="1" customWidth="1"/>
    <col min="110" max="110" width="9.1796875" bestFit="1" customWidth="1"/>
    <col min="111" max="111" width="11" hidden="1" customWidth="1"/>
    <col min="112" max="112" width="14.453125" hidden="1" customWidth="1"/>
    <col min="113" max="113" width="11.54296875" hidden="1" customWidth="1"/>
    <col min="114" max="114" width="11.453125" hidden="1" customWidth="1"/>
    <col min="115" max="115" width="14.54296875" hidden="1" customWidth="1"/>
    <col min="116" max="116" width="8.54296875" hidden="1" customWidth="1"/>
    <col min="117" max="117" width="11.453125" hidden="1" customWidth="1"/>
    <col min="118" max="118" width="9.453125" customWidth="1"/>
    <col min="119" max="120" width="9.1796875" customWidth="1"/>
    <col min="121" max="121" width="11.1796875" bestFit="1" customWidth="1"/>
    <col min="122" max="122" width="11" hidden="1" customWidth="1"/>
    <col min="123" max="123" width="11.54296875" hidden="1" customWidth="1"/>
    <col min="124" max="125" width="14.54296875" hidden="1" customWidth="1"/>
    <col min="126" max="127" width="11.54296875" hidden="1" customWidth="1"/>
    <col min="128" max="128" width="13.453125" hidden="1" customWidth="1"/>
    <col min="129" max="129" width="12.453125" hidden="1" customWidth="1"/>
    <col min="130" max="130" width="9.81640625" hidden="1" customWidth="1"/>
    <col min="131" max="131" width="6.453125" hidden="1" customWidth="1"/>
    <col min="132" max="132" width="14.81640625" hidden="1" customWidth="1"/>
    <col min="133" max="133" width="0" hidden="1" customWidth="1"/>
    <col min="134" max="134" width="15.54296875" hidden="1" customWidth="1"/>
    <col min="135" max="135" width="6.81640625" hidden="1" customWidth="1"/>
    <col min="136" max="136" width="15.54296875" hidden="1" customWidth="1"/>
    <col min="137" max="137" width="13.81640625" hidden="1" customWidth="1"/>
    <col min="138" max="138" width="9.81640625" hidden="1" customWidth="1"/>
    <col min="139" max="139" width="10.453125" hidden="1" customWidth="1"/>
    <col min="140" max="140" width="0" hidden="1" customWidth="1"/>
    <col min="141" max="141" width="11.26953125" bestFit="1" customWidth="1"/>
    <col min="142" max="142" width="11.7265625" bestFit="1" customWidth="1"/>
    <col min="143" max="143" width="11.7265625" customWidth="1"/>
    <col min="144" max="144" width="6.453125" bestFit="1" customWidth="1"/>
    <col min="145" max="145" width="7" hidden="1" customWidth="1"/>
  </cols>
  <sheetData>
    <row r="1" spans="1:145" ht="43.5" x14ac:dyDescent="0.35">
      <c r="C1" s="2" t="s">
        <v>267</v>
      </c>
      <c r="D1" s="4" t="s">
        <v>159</v>
      </c>
      <c r="E1" s="4" t="s">
        <v>160</v>
      </c>
      <c r="F1" s="4" t="s">
        <v>163</v>
      </c>
      <c r="G1" s="4" t="s">
        <v>164</v>
      </c>
      <c r="H1" s="4" t="s">
        <v>175</v>
      </c>
      <c r="I1" s="270" t="s">
        <v>268</v>
      </c>
      <c r="J1" s="271" t="s">
        <v>268</v>
      </c>
      <c r="K1" s="272" t="s">
        <v>269</v>
      </c>
      <c r="L1" s="272" t="s">
        <v>269</v>
      </c>
      <c r="M1" s="272"/>
      <c r="N1" s="273"/>
      <c r="O1" s="144"/>
      <c r="P1" s="144" t="s">
        <v>270</v>
      </c>
      <c r="Q1" s="144"/>
      <c r="R1" s="144"/>
      <c r="S1" s="144"/>
      <c r="T1" s="144"/>
      <c r="U1" s="144"/>
      <c r="V1" s="144"/>
      <c r="W1" s="144"/>
      <c r="AV1" s="287" t="s">
        <v>271</v>
      </c>
      <c r="AW1" s="37"/>
      <c r="AX1" s="37"/>
      <c r="AY1" s="37"/>
      <c r="AZ1" s="288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 t="s">
        <v>272</v>
      </c>
      <c r="BN1" s="37"/>
      <c r="BO1" s="37" t="s">
        <v>273</v>
      </c>
      <c r="BP1" s="151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289">
        <v>5519452</v>
      </c>
      <c r="CQ1" s="210"/>
      <c r="CR1" s="210"/>
      <c r="CS1" s="210"/>
      <c r="CT1" s="210"/>
    </row>
    <row r="2" spans="1:145" x14ac:dyDescent="0.35">
      <c r="A2" s="41" t="s">
        <v>145</v>
      </c>
      <c r="B2" s="41" t="s">
        <v>146</v>
      </c>
      <c r="C2" s="6" t="s">
        <v>274</v>
      </c>
      <c r="I2" s="42" t="s">
        <v>275</v>
      </c>
      <c r="J2" s="1" t="s">
        <v>276</v>
      </c>
      <c r="K2" s="1" t="s">
        <v>277</v>
      </c>
      <c r="L2" s="1" t="s">
        <v>278</v>
      </c>
      <c r="M2" s="1" t="s">
        <v>279</v>
      </c>
      <c r="N2" s="43" t="s">
        <v>280</v>
      </c>
      <c r="O2" s="1" t="s">
        <v>281</v>
      </c>
      <c r="P2" s="1" t="s">
        <v>282</v>
      </c>
      <c r="Q2" s="1" t="s">
        <v>283</v>
      </c>
      <c r="R2" s="1" t="s">
        <v>284</v>
      </c>
      <c r="S2" s="1" t="s">
        <v>279</v>
      </c>
      <c r="T2" s="1" t="s">
        <v>280</v>
      </c>
      <c r="U2" s="1" t="s">
        <v>285</v>
      </c>
      <c r="V2" s="1" t="s">
        <v>286</v>
      </c>
      <c r="W2" s="1" t="s">
        <v>287</v>
      </c>
      <c r="X2" s="1" t="s">
        <v>288</v>
      </c>
      <c r="Y2" s="1" t="s">
        <v>289</v>
      </c>
      <c r="Z2" s="1" t="s">
        <v>290</v>
      </c>
      <c r="AA2" s="1" t="s">
        <v>291</v>
      </c>
      <c r="AB2" s="64" t="s">
        <v>292</v>
      </c>
      <c r="AC2" s="64" t="s">
        <v>293</v>
      </c>
      <c r="AD2" s="105" t="s">
        <v>294</v>
      </c>
      <c r="AE2" s="1" t="s">
        <v>295</v>
      </c>
      <c r="AF2" s="1" t="s">
        <v>296</v>
      </c>
      <c r="AG2" s="1" t="s">
        <v>297</v>
      </c>
      <c r="AH2" s="1" t="s">
        <v>298</v>
      </c>
      <c r="AI2" s="1" t="s">
        <v>299</v>
      </c>
      <c r="AJ2" s="1" t="s">
        <v>300</v>
      </c>
      <c r="AK2" s="1" t="s">
        <v>301</v>
      </c>
      <c r="AL2" s="1" t="s">
        <v>302</v>
      </c>
      <c r="AM2" s="1" t="s">
        <v>303</v>
      </c>
      <c r="AN2" s="1" t="s">
        <v>304</v>
      </c>
      <c r="AO2" s="1" t="s">
        <v>305</v>
      </c>
      <c r="AP2" s="1" t="s">
        <v>297</v>
      </c>
      <c r="AQ2" s="1" t="s">
        <v>306</v>
      </c>
      <c r="AR2" s="1" t="s">
        <v>307</v>
      </c>
      <c r="AS2" s="1" t="s">
        <v>308</v>
      </c>
      <c r="AT2" s="1" t="s">
        <v>309</v>
      </c>
      <c r="AU2" s="1" t="s">
        <v>310</v>
      </c>
      <c r="AV2" s="1" t="s">
        <v>311</v>
      </c>
      <c r="AW2" s="1" t="s">
        <v>312</v>
      </c>
      <c r="AX2" s="1" t="s">
        <v>313</v>
      </c>
      <c r="AY2" s="1" t="s">
        <v>314</v>
      </c>
      <c r="AZ2" s="1" t="s">
        <v>315</v>
      </c>
      <c r="BA2" s="1" t="s">
        <v>316</v>
      </c>
      <c r="BB2" s="1" t="s">
        <v>317</v>
      </c>
      <c r="BC2" s="1" t="s">
        <v>318</v>
      </c>
      <c r="BD2" s="1" t="s">
        <v>319</v>
      </c>
      <c r="BE2" s="1" t="s">
        <v>320</v>
      </c>
      <c r="BF2" s="1" t="s">
        <v>321</v>
      </c>
      <c r="BG2" s="1" t="s">
        <v>322</v>
      </c>
      <c r="BH2" s="1" t="s">
        <v>323</v>
      </c>
      <c r="BI2" s="1" t="s">
        <v>324</v>
      </c>
      <c r="BJ2" s="1" t="s">
        <v>325</v>
      </c>
      <c r="BK2" s="1" t="s">
        <v>326</v>
      </c>
      <c r="BM2" s="21">
        <v>5.694</v>
      </c>
      <c r="BO2" s="14" t="e">
        <f>SUM(W3,W4,W10,W13,W19)</f>
        <v>#REF!</v>
      </c>
      <c r="BP2" s="12"/>
      <c r="BQ2" s="1" t="s">
        <v>327</v>
      </c>
      <c r="BR2" s="1" t="s">
        <v>328</v>
      </c>
      <c r="BS2" s="1" t="s">
        <v>329</v>
      </c>
      <c r="BT2" s="1" t="s">
        <v>330</v>
      </c>
      <c r="BU2" s="1" t="s">
        <v>331</v>
      </c>
      <c r="BV2" s="1" t="s">
        <v>332</v>
      </c>
      <c r="BW2" s="1" t="s">
        <v>333</v>
      </c>
      <c r="BX2" s="1" t="s">
        <v>334</v>
      </c>
      <c r="BY2" s="1" t="s">
        <v>335</v>
      </c>
      <c r="BZ2" s="1" t="s">
        <v>336</v>
      </c>
      <c r="CA2" s="1" t="s">
        <v>337</v>
      </c>
      <c r="CB2" s="1" t="s">
        <v>338</v>
      </c>
      <c r="CC2" s="1" t="s">
        <v>339</v>
      </c>
      <c r="CD2" s="1" t="s">
        <v>340</v>
      </c>
      <c r="CE2" s="1" t="s">
        <v>341</v>
      </c>
      <c r="CF2" s="1" t="s">
        <v>342</v>
      </c>
      <c r="CG2" s="1" t="s">
        <v>343</v>
      </c>
      <c r="CH2" s="1" t="s">
        <v>344</v>
      </c>
      <c r="CI2" s="1" t="s">
        <v>345</v>
      </c>
      <c r="CJ2" s="1" t="s">
        <v>346</v>
      </c>
      <c r="CK2" s="1" t="s">
        <v>347</v>
      </c>
      <c r="CL2" s="1" t="s">
        <v>348</v>
      </c>
      <c r="CM2" s="1" t="s">
        <v>349</v>
      </c>
      <c r="CN2" s="1" t="s">
        <v>350</v>
      </c>
      <c r="CO2" s="1" t="s">
        <v>351</v>
      </c>
      <c r="CP2" s="1" t="s">
        <v>352</v>
      </c>
      <c r="CQ2" s="1" t="s">
        <v>353</v>
      </c>
      <c r="CR2" s="1" t="s">
        <v>354</v>
      </c>
      <c r="CS2" s="1" t="s">
        <v>355</v>
      </c>
      <c r="CT2" s="1" t="s">
        <v>356</v>
      </c>
      <c r="CU2" s="1" t="s">
        <v>357</v>
      </c>
      <c r="CV2" s="1"/>
      <c r="CW2" s="1"/>
      <c r="CX2" s="1" t="s">
        <v>358</v>
      </c>
      <c r="CY2" s="1" t="s">
        <v>331</v>
      </c>
      <c r="CZ2" s="1" t="s">
        <v>359</v>
      </c>
      <c r="DA2" s="1" t="s">
        <v>360</v>
      </c>
      <c r="DB2" s="1" t="s">
        <v>361</v>
      </c>
      <c r="DC2" s="1" t="s">
        <v>362</v>
      </c>
      <c r="DD2" s="1" t="s">
        <v>597</v>
      </c>
      <c r="DE2" s="1" t="s">
        <v>600</v>
      </c>
      <c r="DF2" s="1" t="s">
        <v>601</v>
      </c>
      <c r="DG2" s="1" t="s">
        <v>363</v>
      </c>
      <c r="DH2" s="1" t="s">
        <v>364</v>
      </c>
      <c r="DI2" s="1" t="s">
        <v>365</v>
      </c>
      <c r="DJ2" s="1" t="s">
        <v>366</v>
      </c>
      <c r="DK2" s="1" t="s">
        <v>367</v>
      </c>
      <c r="DL2" s="1" t="s">
        <v>368</v>
      </c>
      <c r="DM2" s="1" t="s">
        <v>369</v>
      </c>
      <c r="DN2" s="1" t="s">
        <v>370</v>
      </c>
      <c r="DO2" s="1" t="s">
        <v>368</v>
      </c>
      <c r="DP2" s="1" t="s">
        <v>371</v>
      </c>
      <c r="DQ2" s="1" t="s">
        <v>372</v>
      </c>
      <c r="DR2" s="1" t="s">
        <v>373</v>
      </c>
      <c r="DS2" s="1" t="s">
        <v>374</v>
      </c>
      <c r="DT2" s="1" t="s">
        <v>375</v>
      </c>
      <c r="DU2" s="1" t="s">
        <v>376</v>
      </c>
      <c r="DV2" s="1" t="s">
        <v>377</v>
      </c>
      <c r="DW2" s="1" t="s">
        <v>378</v>
      </c>
      <c r="DX2" s="1" t="s">
        <v>379</v>
      </c>
      <c r="DY2" s="1" t="s">
        <v>380</v>
      </c>
      <c r="DZ2" s="1" t="s">
        <v>381</v>
      </c>
      <c r="EA2" s="1" t="s">
        <v>290</v>
      </c>
      <c r="EB2" s="1" t="s">
        <v>382</v>
      </c>
      <c r="EC2" s="1" t="s">
        <v>383</v>
      </c>
      <c r="ED2" s="1" t="s">
        <v>384</v>
      </c>
      <c r="EE2" s="1" t="s">
        <v>385</v>
      </c>
      <c r="EF2" s="1" t="s">
        <v>386</v>
      </c>
      <c r="EG2" s="1" t="s">
        <v>387</v>
      </c>
      <c r="EH2" s="1" t="s">
        <v>388</v>
      </c>
      <c r="EI2" s="1" t="s">
        <v>389</v>
      </c>
      <c r="EJ2" s="1" t="s">
        <v>390</v>
      </c>
      <c r="EK2" s="1" t="s">
        <v>602</v>
      </c>
      <c r="EL2" s="1" t="s">
        <v>603</v>
      </c>
      <c r="EM2" s="1" t="s">
        <v>604</v>
      </c>
      <c r="EN2" s="1" t="s">
        <v>605</v>
      </c>
      <c r="EO2" s="1" t="s">
        <v>392</v>
      </c>
    </row>
    <row r="3" spans="1:145" ht="16.5" customHeight="1" x14ac:dyDescent="0.35">
      <c r="A3" s="8" t="s">
        <v>149</v>
      </c>
      <c r="B3" s="8" t="s">
        <v>8</v>
      </c>
      <c r="C3" s="1">
        <f t="shared" ref="C3:C22" si="0">SUM(D3:H3)</f>
        <v>288</v>
      </c>
      <c r="D3">
        <v>0</v>
      </c>
      <c r="E3">
        <v>110</v>
      </c>
      <c r="F3">
        <v>83</v>
      </c>
      <c r="G3">
        <v>95</v>
      </c>
      <c r="H3">
        <v>0</v>
      </c>
      <c r="I3" s="44">
        <v>2936.5</v>
      </c>
      <c r="J3">
        <v>2737.5</v>
      </c>
      <c r="K3" s="12">
        <f t="shared" ref="K3:K11" si="1">I3/C3</f>
        <v>10.196180555555555</v>
      </c>
      <c r="L3" s="12">
        <v>9.5052083333333339</v>
      </c>
      <c r="M3" s="12" t="e">
        <f>L3/L26</f>
        <v>#DIV/0!</v>
      </c>
      <c r="N3" s="45" t="e">
        <f>K3/K26</f>
        <v>#DIV/0!</v>
      </c>
      <c r="O3" s="16">
        <v>961782</v>
      </c>
      <c r="P3" s="16">
        <v>1449596</v>
      </c>
      <c r="Q3" s="16">
        <f t="shared" ref="Q3:Q24" si="2">O3/C3</f>
        <v>3339.5208333333335</v>
      </c>
      <c r="R3" s="16">
        <f t="shared" ref="R3:R24" si="3">P3/C3</f>
        <v>5033.3194444444443</v>
      </c>
      <c r="S3" s="12" t="e">
        <f>R3/R26</f>
        <v>#DIV/0!</v>
      </c>
      <c r="T3" s="12" t="e">
        <f>Q3/Q26</f>
        <v>#DIV/0!</v>
      </c>
      <c r="U3" s="12" t="e">
        <f t="shared" ref="U3:U22" si="4">((0.6*M3)+(0.4*S3))</f>
        <v>#DIV/0!</v>
      </c>
      <c r="V3" s="12" t="e">
        <f t="shared" ref="V3:V22" si="5">((0.6*N3)+(0.4*T3))</f>
        <v>#DIV/0!</v>
      </c>
      <c r="W3" s="14" t="e">
        <f>(0.6*CG3)+(0.4*EF3)</f>
        <v>#REF!</v>
      </c>
      <c r="X3" s="15">
        <v>0.251</v>
      </c>
      <c r="Y3" s="54">
        <v>296</v>
      </c>
      <c r="Z3" s="12">
        <v>-0.49264124238985885</v>
      </c>
      <c r="AA3" s="14" t="e">
        <f>(0.6*CH3)+(0.4*EG3)</f>
        <v>#REF!</v>
      </c>
      <c r="AB3" s="34" t="e">
        <f>AE3*#REF!</f>
        <v>#REF!</v>
      </c>
      <c r="AC3" s="34" t="e">
        <f>(AH3*#REF!)</f>
        <v>#REF!</v>
      </c>
      <c r="AD3" s="66" t="e">
        <f>AC3-AB3</f>
        <v>#REF!</v>
      </c>
      <c r="AE3" s="34" t="e">
        <f>C3*AI3</f>
        <v>#REF!</v>
      </c>
      <c r="AF3" s="274">
        <f>X3/BM2</f>
        <v>4.4081489286968742E-2</v>
      </c>
      <c r="AG3" s="30"/>
      <c r="AH3" s="102">
        <f>C3*AY3</f>
        <v>0</v>
      </c>
      <c r="AI3" s="274" t="e">
        <f>W3/BO$2</f>
        <v>#REF!</v>
      </c>
      <c r="AJ3" s="142">
        <v>300</v>
      </c>
      <c r="AK3" s="275">
        <v>2038303.801940578</v>
      </c>
      <c r="AL3" s="66" t="e">
        <f>BC3*BN$13</f>
        <v>#DIV/0!</v>
      </c>
      <c r="AM3" s="116" t="e">
        <f>SUM(AN3:AO3)</f>
        <v>#REF!</v>
      </c>
      <c r="AN3" s="34" t="e">
        <f>BD3*#REF!</f>
        <v>#REF!</v>
      </c>
      <c r="AO3" s="30"/>
      <c r="AP3" s="34">
        <v>2234433.44</v>
      </c>
      <c r="AQ3" s="274"/>
      <c r="AR3" s="208">
        <v>2261112.9888840299</v>
      </c>
      <c r="AS3" s="275">
        <f>AVERAGE(AK3,AP3)</f>
        <v>2136368.6209702892</v>
      </c>
      <c r="AT3" s="209" t="e">
        <f>AVERAGE(AK3,AU3,#REF!)</f>
        <v>#REF!</v>
      </c>
      <c r="AU3" s="213">
        <v>2109608.2211286495</v>
      </c>
      <c r="AV3" s="214">
        <v>2113833.2731927577</v>
      </c>
      <c r="AW3" s="274"/>
      <c r="AX3" s="274"/>
      <c r="AY3" s="274"/>
      <c r="AZ3" s="61">
        <v>5749355.4246362345</v>
      </c>
      <c r="BA3" s="21">
        <v>868</v>
      </c>
      <c r="BB3" s="12" t="e">
        <f>EH3/#REF!</f>
        <v>#DIV/0!</v>
      </c>
      <c r="BC3" s="12" t="e">
        <f>Y3*BB3</f>
        <v>#DIV/0!</v>
      </c>
      <c r="BD3" s="12" t="e">
        <f>Y3*BF3</f>
        <v>#REF!</v>
      </c>
      <c r="BE3" s="12"/>
      <c r="BF3" s="12" t="e">
        <f>CO3/#REF!</f>
        <v>#REF!</v>
      </c>
      <c r="BG3" s="12"/>
      <c r="BH3" s="12" t="e">
        <f>EJ3/BP$7</f>
        <v>#REF!</v>
      </c>
      <c r="BI3" s="12" t="e">
        <f>Y3*BJ3</f>
        <v>#REF!</v>
      </c>
      <c r="BJ3" s="12" t="e">
        <f>EO3/BP$10</f>
        <v>#REF!</v>
      </c>
      <c r="BK3" s="18">
        <v>5859135.9433210781</v>
      </c>
      <c r="BL3" s="27"/>
      <c r="BQ3">
        <v>5873</v>
      </c>
      <c r="BR3">
        <v>5901</v>
      </c>
      <c r="BS3">
        <f>BQ3-BR3</f>
        <v>-28</v>
      </c>
      <c r="BT3">
        <v>1762</v>
      </c>
      <c r="BU3" s="16">
        <v>6907</v>
      </c>
      <c r="BV3" s="16">
        <v>9888</v>
      </c>
      <c r="BW3" s="16">
        <v>5307</v>
      </c>
      <c r="BX3" s="16">
        <f t="shared" ref="BX3:BX23" si="6">Y3*BV$26</f>
        <v>11462.144513826939</v>
      </c>
      <c r="BY3" s="16">
        <f t="shared" ref="BY3:BY23" si="7">Y3*BV$27</f>
        <v>7270.9440000000004</v>
      </c>
      <c r="BZ3" s="16">
        <f>BU3-BX3</f>
        <v>-4555.1445138269391</v>
      </c>
      <c r="CA3" s="16">
        <f>BV3-BY3</f>
        <v>2617.0559999999996</v>
      </c>
      <c r="CB3" s="12">
        <f t="shared" ref="CB3:CB17" si="8">(BZ3-BZ$24)/BZ$25</f>
        <v>-3.750953378412865</v>
      </c>
      <c r="CC3" s="54">
        <v>1651.14564</v>
      </c>
      <c r="CD3">
        <f>BQ3-BT3</f>
        <v>4111</v>
      </c>
      <c r="CE3" s="54">
        <f>BR3-CC3</f>
        <v>4249.8543600000003</v>
      </c>
      <c r="CF3" s="12">
        <v>1.99207</v>
      </c>
      <c r="CG3" s="12" t="e">
        <f t="shared" ref="CG3:CH5" si="9">(CD3-CD$25)/CD$26</f>
        <v>#REF!</v>
      </c>
      <c r="CH3" s="12" t="e">
        <f t="shared" si="9"/>
        <v>#REF!</v>
      </c>
      <c r="CI3" s="16">
        <v>961782</v>
      </c>
      <c r="CJ3" s="16">
        <v>961781.45</v>
      </c>
      <c r="CK3" s="54">
        <v>1138904.93</v>
      </c>
      <c r="CL3" s="16">
        <f t="shared" ref="CL3:CL23" si="10">Y3*BU$27</f>
        <v>5043.5203200000005</v>
      </c>
      <c r="CM3" s="16">
        <f>BU3-CL3</f>
        <v>1863.4796799999995</v>
      </c>
      <c r="CN3" s="14" t="e">
        <f t="shared" ref="CN3:CN17" si="11">(CM3-CM$24)/CM$25</f>
        <v>#REF!</v>
      </c>
      <c r="CO3" s="14">
        <f t="shared" ref="CO3:CO17" si="12">(CA3-CA$24)/CA$25</f>
        <v>1.0381436714003676</v>
      </c>
      <c r="CP3" s="264">
        <v>1407813.8314404693</v>
      </c>
      <c r="CQ3" s="285">
        <f>CT3*CW4</f>
        <v>11060.832471845508</v>
      </c>
      <c r="CR3" s="16">
        <f>AVERAGE(AV3,CP3,CQ3)</f>
        <v>1177569.3123683576</v>
      </c>
      <c r="CS3" s="285">
        <f>CR3-(CU3*CR$25)</f>
        <v>1177641.4442685633</v>
      </c>
      <c r="CT3" s="12">
        <f>AJ3*CU3</f>
        <v>0.22771833277331688</v>
      </c>
      <c r="CU3" s="12">
        <f>EN3/CW3</f>
        <v>7.5906110924438958E-4</v>
      </c>
      <c r="CV3" s="265" t="s">
        <v>393</v>
      </c>
      <c r="CW3" s="217">
        <f>SUM(EN3,EN4,EN7,EN14,EN19)</f>
        <v>4.7054134265461469</v>
      </c>
      <c r="CX3" s="16">
        <v>2582</v>
      </c>
      <c r="CY3" s="16">
        <v>2421</v>
      </c>
      <c r="CZ3" s="16">
        <v>2741.7</v>
      </c>
      <c r="DA3" s="16">
        <f>SUM(CX3:CZ3)</f>
        <v>7744.7</v>
      </c>
      <c r="DB3" s="16">
        <f>BW3+CX3</f>
        <v>7889</v>
      </c>
      <c r="DC3" s="16">
        <f t="shared" ref="DC3:DC23" si="13">Y3*BW$27</f>
        <v>3177.2136799999998</v>
      </c>
      <c r="DD3" s="16">
        <f t="shared" ref="DD3:DD23" si="14">AJ3*DA$26</f>
        <v>7458.5335038363182</v>
      </c>
      <c r="DE3" s="16">
        <f>DA3-DD3</f>
        <v>286.16649616368159</v>
      </c>
      <c r="DF3" s="109">
        <f t="shared" ref="DF3:DF23" si="15">(DE3-DE$26)/DE$27</f>
        <v>0.38988503356273535</v>
      </c>
      <c r="DG3" s="16">
        <f t="shared" ref="DG3:DG23" si="16">Y3*CX$27</f>
        <v>0</v>
      </c>
      <c r="DH3" s="16">
        <f>BW3-DC3</f>
        <v>2129.7863200000002</v>
      </c>
      <c r="DI3" s="16">
        <f>DB3-DG3</f>
        <v>7889</v>
      </c>
      <c r="DJ3" s="14" t="e">
        <f t="shared" ref="DJ3:DJ12" si="17">(DH3-DH$24)/DH$25</f>
        <v>#REF!</v>
      </c>
      <c r="DK3" s="14" t="e">
        <f t="shared" ref="DK3:DK12" si="18">(DI3-DI$24)/DI$25</f>
        <v>#REF!</v>
      </c>
      <c r="DL3" s="16">
        <v>1327285</v>
      </c>
      <c r="DM3" s="16">
        <v>1598080</v>
      </c>
      <c r="DN3" s="16">
        <v>947655</v>
      </c>
      <c r="DO3" s="16">
        <v>1233412</v>
      </c>
      <c r="DP3" s="16">
        <v>830567</v>
      </c>
      <c r="DQ3" s="16">
        <f>SUM(DN3,DO3,DP3)</f>
        <v>3011634</v>
      </c>
      <c r="DR3" s="16">
        <f>DL3+DN3</f>
        <v>2274940</v>
      </c>
      <c r="DS3" s="16" t="e">
        <f t="shared" ref="DS3:DS23" si="19">Y3*DL$26</f>
        <v>#REF!</v>
      </c>
      <c r="DT3" s="16">
        <f t="shared" ref="DT3:DT23" si="20">Y3*DM$27</f>
        <v>1620008</v>
      </c>
      <c r="DU3" s="16">
        <f t="shared" ref="DU3:DU22" si="21">DM3-DT3</f>
        <v>-21928</v>
      </c>
      <c r="DV3" s="16">
        <f t="shared" ref="DV3:DV23" si="22">Y3*DN$27</f>
        <v>0</v>
      </c>
      <c r="DW3" s="16" t="e">
        <f t="shared" ref="DW3:DW22" si="23">DL3-DS3</f>
        <v>#REF!</v>
      </c>
      <c r="DX3" s="17" t="e">
        <f t="shared" ref="DX3:DX17" si="24">(DU3-DU$24)/DU$25</f>
        <v>#DIV/0!</v>
      </c>
      <c r="DY3" s="16">
        <f>DR3-DV3</f>
        <v>2274940</v>
      </c>
      <c r="DZ3" s="17" t="e">
        <f t="shared" ref="DZ3:DZ17" si="25">(DW3-DW$24)/DW$25</f>
        <v>#REF!</v>
      </c>
      <c r="EA3" s="17" t="e">
        <f t="shared" ref="EA3:EA22" si="26">(0.6*CB3)+(0.4*DZ3)</f>
        <v>#REF!</v>
      </c>
      <c r="EB3" s="16">
        <v>978364.31</v>
      </c>
      <c r="EC3" s="54">
        <f>CI3-CK3</f>
        <v>-177122.92999999993</v>
      </c>
      <c r="ED3" s="54">
        <f>CJ3-EB3</f>
        <v>-16582.860000000102</v>
      </c>
      <c r="EE3" s="12">
        <v>-0.37397999999999998</v>
      </c>
      <c r="EF3" s="12" t="e">
        <f t="shared" ref="EF3:EG5" si="27">(EC3-EC$25)/EC$26</f>
        <v>#REF!</v>
      </c>
      <c r="EG3" s="12" t="e">
        <f t="shared" si="27"/>
        <v>#REF!</v>
      </c>
      <c r="EH3" s="14" t="e">
        <f t="shared" ref="EH3:EH22" si="28">(0.6*CO3)+(0.4*DX3)</f>
        <v>#DIV/0!</v>
      </c>
      <c r="EI3" s="12" t="e">
        <f t="shared" ref="EI3:EI17" si="29">(DY3-DY$24)/DY$25</f>
        <v>#DIV/0!</v>
      </c>
      <c r="EJ3" s="14" t="e">
        <f t="shared" ref="EJ3:EJ22" si="30">(0.6*DJ3)+(0.4*DZ3)</f>
        <v>#REF!</v>
      </c>
      <c r="EK3" s="16">
        <f t="shared" ref="EK3:EK23" si="31">AJ3*DQ$26</f>
        <v>4009486.9565217388</v>
      </c>
      <c r="EL3" s="16">
        <f>DQ3-EK3</f>
        <v>-997852.95652173879</v>
      </c>
      <c r="EM3" s="12">
        <f t="shared" ref="EM3:EM23" si="32">(EL3-EL$26)/EL$27</f>
        <v>-0.57589830950658405</v>
      </c>
      <c r="EN3" s="14">
        <f t="shared" ref="EN3:EN23" si="33">(0.6*DF3)+(0.4*EM3)</f>
        <v>3.5716963350075626E-3</v>
      </c>
      <c r="EO3" s="12" t="e">
        <f>(0.6*DK3)+(0.4*EI3)</f>
        <v>#REF!</v>
      </c>
    </row>
    <row r="4" spans="1:145" x14ac:dyDescent="0.35">
      <c r="A4" s="8" t="s">
        <v>149</v>
      </c>
      <c r="B4" s="8" t="s">
        <v>10</v>
      </c>
      <c r="C4" s="1">
        <f t="shared" si="0"/>
        <v>178</v>
      </c>
      <c r="D4">
        <v>113</v>
      </c>
      <c r="E4">
        <v>0</v>
      </c>
      <c r="F4">
        <v>0</v>
      </c>
      <c r="G4">
        <v>0</v>
      </c>
      <c r="H4">
        <v>65</v>
      </c>
      <c r="I4" s="44">
        <v>3395</v>
      </c>
      <c r="J4">
        <v>3794.5</v>
      </c>
      <c r="K4" s="12">
        <f t="shared" si="1"/>
        <v>19.073033707865168</v>
      </c>
      <c r="L4" s="12">
        <v>21.317415730337078</v>
      </c>
      <c r="M4" s="12" t="e">
        <f>L4/L26</f>
        <v>#DIV/0!</v>
      </c>
      <c r="N4" s="45" t="e">
        <f>K4/K26</f>
        <v>#DIV/0!</v>
      </c>
      <c r="O4" s="16">
        <v>1326752</v>
      </c>
      <c r="P4" s="16">
        <v>1501496</v>
      </c>
      <c r="Q4" s="16">
        <f t="shared" si="2"/>
        <v>7453.6629213483147</v>
      </c>
      <c r="R4" s="16">
        <f t="shared" si="3"/>
        <v>8435.3707865168544</v>
      </c>
      <c r="S4" s="12" t="e">
        <f>R4/R26</f>
        <v>#DIV/0!</v>
      </c>
      <c r="T4" s="12" t="e">
        <f>Q4/Q26</f>
        <v>#DIV/0!</v>
      </c>
      <c r="U4" s="12" t="e">
        <f t="shared" si="4"/>
        <v>#DIV/0!</v>
      </c>
      <c r="V4" s="12" t="e">
        <f t="shared" si="5"/>
        <v>#DIV/0!</v>
      </c>
      <c r="W4" s="14" t="e">
        <f>(0.6*CG4)+(0.4*EF4)</f>
        <v>#REF!</v>
      </c>
      <c r="X4" s="15">
        <v>3.2770000000000001</v>
      </c>
      <c r="Y4" s="54">
        <v>174</v>
      </c>
      <c r="Z4" s="14">
        <v>2.5581645863696867</v>
      </c>
      <c r="AA4" s="14" t="e">
        <f>(0.6*CH4)+(0.4*EG4)</f>
        <v>#REF!</v>
      </c>
      <c r="AB4" s="34" t="e">
        <f>AE4*#REF!</f>
        <v>#REF!</v>
      </c>
      <c r="AC4" s="34" t="e">
        <f>(AH4*#REF!)</f>
        <v>#REF!</v>
      </c>
      <c r="AD4" s="66" t="e">
        <f>AC4-AB4</f>
        <v>#REF!</v>
      </c>
      <c r="AE4" s="34" t="e">
        <f>C4*AI4</f>
        <v>#REF!</v>
      </c>
      <c r="AF4" s="274">
        <f>X4/BM2</f>
        <v>0.57551808921671943</v>
      </c>
      <c r="AG4" s="34">
        <f>AQ4*BN$7</f>
        <v>0</v>
      </c>
      <c r="AH4" s="102">
        <f>C4*AY4</f>
        <v>0</v>
      </c>
      <c r="AI4" s="274" t="e">
        <f>W4/BO$2</f>
        <v>#REF!</v>
      </c>
      <c r="AJ4" s="142">
        <v>179</v>
      </c>
      <c r="AK4" s="275">
        <v>2480191.370343117</v>
      </c>
      <c r="AL4" s="66" t="e">
        <f>BC4*BN$13</f>
        <v>#DIV/0!</v>
      </c>
      <c r="AM4" s="116" t="e">
        <f>SUM(AN4:AO4)</f>
        <v>#REF!</v>
      </c>
      <c r="AN4" s="34" t="e">
        <f>BD4*#REF!</f>
        <v>#REF!</v>
      </c>
      <c r="AO4" s="34" t="e">
        <f>BE4*#REF!</f>
        <v>#DIV/0!</v>
      </c>
      <c r="AP4" s="34">
        <v>2211209.77</v>
      </c>
      <c r="AQ4" s="274">
        <f>Y4*AX4</f>
        <v>0</v>
      </c>
      <c r="AR4" s="208">
        <v>2180521.0588523336</v>
      </c>
      <c r="AS4" s="275">
        <f>AVERAGE(AK4,AP4)</f>
        <v>2345700.5701715583</v>
      </c>
      <c r="AT4" s="209" t="e">
        <f>AVERAGE(AK4,AU4,#REF!)</f>
        <v>#REF!</v>
      </c>
      <c r="AU4" s="213">
        <v>2300650.2799851904</v>
      </c>
      <c r="AV4" s="214">
        <v>2283528.8491335842</v>
      </c>
      <c r="AW4" s="274"/>
      <c r="AX4" s="274"/>
      <c r="AY4" s="274"/>
      <c r="BA4" s="12"/>
      <c r="BB4" s="12" t="e">
        <f>EH4/#REF!</f>
        <v>#DIV/0!</v>
      </c>
      <c r="BC4" s="12" t="e">
        <f>Y4*BB4</f>
        <v>#DIV/0!</v>
      </c>
      <c r="BD4" s="12" t="e">
        <f>Y4*BF4</f>
        <v>#REF!</v>
      </c>
      <c r="BE4" s="12" t="e">
        <f>Y4*BG4</f>
        <v>#DIV/0!</v>
      </c>
      <c r="BF4" s="12" t="e">
        <f>CO4/#REF!</f>
        <v>#REF!</v>
      </c>
      <c r="BG4" s="12" t="e">
        <f>DX4/BN$12</f>
        <v>#DIV/0!</v>
      </c>
      <c r="BH4" s="12" t="e">
        <f>EJ4/BP$7</f>
        <v>#REF!</v>
      </c>
      <c r="BI4" s="12" t="e">
        <f>Y4*BJ4</f>
        <v>#REF!</v>
      </c>
      <c r="BJ4" s="12" t="e">
        <f>EO4/BP$10</f>
        <v>#REF!</v>
      </c>
      <c r="BK4" s="12"/>
      <c r="BL4" s="19" t="s">
        <v>394</v>
      </c>
      <c r="BN4" s="19"/>
      <c r="BP4" s="144" t="s">
        <v>395</v>
      </c>
      <c r="BQ4">
        <v>6790</v>
      </c>
      <c r="BR4">
        <v>6806</v>
      </c>
      <c r="BS4">
        <f t="shared" ref="BS4:BS24" si="34">BQ4-BR4</f>
        <v>-16</v>
      </c>
      <c r="BT4">
        <v>1089</v>
      </c>
      <c r="BU4" s="16">
        <v>6455</v>
      </c>
      <c r="BV4" s="16">
        <v>10057</v>
      </c>
      <c r="BW4" s="16">
        <v>4254</v>
      </c>
      <c r="BX4" s="16">
        <f t="shared" si="6"/>
        <v>6737.8822479928631</v>
      </c>
      <c r="BY4" s="16">
        <f t="shared" si="7"/>
        <v>4274.1360000000004</v>
      </c>
      <c r="BZ4" s="16">
        <f t="shared" ref="BZ4:BZ12" si="35">BU4-BX4</f>
        <v>-282.88224799286309</v>
      </c>
      <c r="CA4" s="16">
        <f t="shared" ref="CA4:CA22" si="36">BV4-BY4</f>
        <v>5782.8639999999996</v>
      </c>
      <c r="CB4" s="14">
        <f t="shared" si="8"/>
        <v>0.47220637435229068</v>
      </c>
      <c r="CC4" s="54">
        <v>1020.49973</v>
      </c>
      <c r="CD4">
        <f t="shared" ref="CD4:CD22" si="37">BQ4-BT4</f>
        <v>5701</v>
      </c>
      <c r="CE4" s="54">
        <f t="shared" ref="CE4:CE22" si="38">BR4-CC4</f>
        <v>5785.5002700000005</v>
      </c>
      <c r="CF4" s="12">
        <v>2.9653700000000001</v>
      </c>
      <c r="CG4" s="12" t="e">
        <f t="shared" si="9"/>
        <v>#REF!</v>
      </c>
      <c r="CH4" s="12" t="e">
        <f t="shared" si="9"/>
        <v>#REF!</v>
      </c>
      <c r="CI4" s="16">
        <v>1326752</v>
      </c>
      <c r="CJ4" s="16">
        <v>1326752.1200000001</v>
      </c>
      <c r="CK4" s="54">
        <v>730155.01</v>
      </c>
      <c r="CL4" s="16">
        <f t="shared" si="10"/>
        <v>2964.7720800000002</v>
      </c>
      <c r="CM4" s="16">
        <f t="shared" ref="CM4:CM12" si="39">BU4-CL4</f>
        <v>3490.2279199999998</v>
      </c>
      <c r="CN4" s="14" t="e">
        <f t="shared" si="11"/>
        <v>#REF!</v>
      </c>
      <c r="CO4" s="14">
        <f t="shared" si="12"/>
        <v>2.882820020725021</v>
      </c>
      <c r="CP4" s="264">
        <v>2451908.1618775874</v>
      </c>
      <c r="CQ4" s="285">
        <f>CT4*CW4</f>
        <v>4568818.057313703</v>
      </c>
      <c r="CR4" s="16">
        <f>AVERAGE(AV4,CP4,CQ4)</f>
        <v>3101418.3561082915</v>
      </c>
      <c r="CS4" s="285">
        <f>CR4-(CU4*CR$25)</f>
        <v>3151354.1140363524</v>
      </c>
      <c r="CT4" s="12">
        <f>AJ4*CU4</f>
        <v>94.061964450177499</v>
      </c>
      <c r="CU4" s="12">
        <f>EN4/CW3</f>
        <v>0.5254858349171927</v>
      </c>
      <c r="CV4" s="149" t="s">
        <v>396</v>
      </c>
      <c r="CW4" s="211">
        <f>CP1/CT24</f>
        <v>48572.428654025221</v>
      </c>
      <c r="CX4" s="16">
        <v>2012</v>
      </c>
      <c r="CY4" s="16">
        <v>2611</v>
      </c>
      <c r="CZ4" s="16">
        <v>2727.87</v>
      </c>
      <c r="DA4" s="16">
        <f t="shared" ref="DA4:DA23" si="40">SUM(CX4:CZ4)</f>
        <v>7350.87</v>
      </c>
      <c r="DB4" s="16">
        <f t="shared" ref="DB4:DB24" si="41">BW4+CX4</f>
        <v>6266</v>
      </c>
      <c r="DC4" s="16">
        <f t="shared" si="13"/>
        <v>1867.6864199999998</v>
      </c>
      <c r="DD4" s="16">
        <f t="shared" si="14"/>
        <v>4450.2583239556698</v>
      </c>
      <c r="DE4" s="16">
        <f t="shared" ref="DE4:DE23" si="42">DA4-DD4</f>
        <v>2900.6116760443301</v>
      </c>
      <c r="DF4" s="109">
        <f t="shared" si="15"/>
        <v>3.9519129451833162</v>
      </c>
      <c r="DG4" s="16">
        <f t="shared" si="16"/>
        <v>0</v>
      </c>
      <c r="DH4" s="16">
        <f t="shared" ref="DH4:DH22" si="43">BW4-DC4</f>
        <v>2386.31358</v>
      </c>
      <c r="DI4" s="16">
        <f t="shared" ref="DI4:DI22" si="44">DB4-DG4</f>
        <v>6266</v>
      </c>
      <c r="DJ4" s="14" t="e">
        <f t="shared" si="17"/>
        <v>#REF!</v>
      </c>
      <c r="DK4" s="14" t="e">
        <f t="shared" si="18"/>
        <v>#REF!</v>
      </c>
      <c r="DL4" s="16">
        <v>1431891</v>
      </c>
      <c r="DM4" s="16">
        <v>1882041</v>
      </c>
      <c r="DN4" s="16">
        <v>1160181</v>
      </c>
      <c r="DO4" s="16">
        <v>820630</v>
      </c>
      <c r="DP4" s="16">
        <v>851101</v>
      </c>
      <c r="DQ4" s="16">
        <f t="shared" ref="DQ4:DQ23" si="45">SUM(DN4,DO4,DP4)</f>
        <v>2831912</v>
      </c>
      <c r="DR4" s="16">
        <f t="shared" ref="DR4:DR22" si="46">DL4+DN4</f>
        <v>2592072</v>
      </c>
      <c r="DS4" s="16" t="e">
        <f t="shared" si="19"/>
        <v>#REF!</v>
      </c>
      <c r="DT4" s="16">
        <f t="shared" si="20"/>
        <v>952302</v>
      </c>
      <c r="DU4" s="16">
        <f t="shared" si="21"/>
        <v>929739</v>
      </c>
      <c r="DV4" s="16">
        <f t="shared" si="22"/>
        <v>0</v>
      </c>
      <c r="DW4" s="16" t="e">
        <f t="shared" si="23"/>
        <v>#REF!</v>
      </c>
      <c r="DX4" s="109" t="e">
        <f t="shared" si="24"/>
        <v>#DIV/0!</v>
      </c>
      <c r="DY4" s="16">
        <f t="shared" ref="DY4:DY22" si="47">DR4-DV4</f>
        <v>2592072</v>
      </c>
      <c r="DZ4" s="109" t="e">
        <f t="shared" si="25"/>
        <v>#REF!</v>
      </c>
      <c r="EA4" s="109" t="e">
        <f t="shared" si="26"/>
        <v>#REF!</v>
      </c>
      <c r="EB4" s="16">
        <v>669840.06000000006</v>
      </c>
      <c r="EC4" s="54">
        <f>CI4-CK4</f>
        <v>596596.99</v>
      </c>
      <c r="ED4" s="54">
        <f>CJ4-EB4</f>
        <v>656912.06000000006</v>
      </c>
      <c r="EE4" s="12">
        <v>1.3890100000000001</v>
      </c>
      <c r="EF4" s="12" t="e">
        <f t="shared" si="27"/>
        <v>#REF!</v>
      </c>
      <c r="EG4" s="12" t="e">
        <f t="shared" si="27"/>
        <v>#REF!</v>
      </c>
      <c r="EH4" s="14" t="e">
        <f t="shared" si="28"/>
        <v>#DIV/0!</v>
      </c>
      <c r="EI4" s="14" t="e">
        <f t="shared" si="29"/>
        <v>#DIV/0!</v>
      </c>
      <c r="EJ4" s="14" t="e">
        <f t="shared" si="30"/>
        <v>#REF!</v>
      </c>
      <c r="EK4" s="16">
        <f t="shared" si="31"/>
        <v>2392327.2173913042</v>
      </c>
      <c r="EL4" s="16">
        <f t="shared" ref="EL4:EL23" si="48">DQ4-EK4</f>
        <v>439584.78260869579</v>
      </c>
      <c r="EM4" s="14">
        <f t="shared" si="32"/>
        <v>0.25370083992295311</v>
      </c>
      <c r="EN4" s="14">
        <f t="shared" si="33"/>
        <v>2.4726281030791708</v>
      </c>
      <c r="EO4" s="12" t="e">
        <f t="shared" ref="EO4:EO22" si="49">(0.6*DK4)+(0.4*EI4)</f>
        <v>#REF!</v>
      </c>
    </row>
    <row r="5" spans="1:145" x14ac:dyDescent="0.35">
      <c r="A5" s="8" t="s">
        <v>149</v>
      </c>
      <c r="B5" s="8" t="s">
        <v>179</v>
      </c>
      <c r="C5" s="1">
        <f t="shared" si="0"/>
        <v>6</v>
      </c>
      <c r="D5">
        <v>0</v>
      </c>
      <c r="E5">
        <v>0</v>
      </c>
      <c r="F5">
        <v>0</v>
      </c>
      <c r="G5">
        <v>6</v>
      </c>
      <c r="H5">
        <v>0</v>
      </c>
      <c r="I5" s="44">
        <v>116</v>
      </c>
      <c r="J5">
        <v>119</v>
      </c>
      <c r="K5" s="12">
        <f t="shared" si="1"/>
        <v>19.333333333333332</v>
      </c>
      <c r="L5" s="12">
        <v>19.833333333333332</v>
      </c>
      <c r="M5" s="12" t="e">
        <f>L5/L26</f>
        <v>#DIV/0!</v>
      </c>
      <c r="N5" s="45" t="e">
        <f>K5/K26</f>
        <v>#DIV/0!</v>
      </c>
      <c r="O5" s="16">
        <v>87150</v>
      </c>
      <c r="P5" s="16">
        <v>115802</v>
      </c>
      <c r="Q5" s="16">
        <f t="shared" si="2"/>
        <v>14525</v>
      </c>
      <c r="R5" s="16">
        <f t="shared" si="3"/>
        <v>19300.333333333332</v>
      </c>
      <c r="S5" s="12" t="e">
        <f>R5/R26</f>
        <v>#DIV/0!</v>
      </c>
      <c r="T5" s="12" t="e">
        <f>Q5/Q26</f>
        <v>#DIV/0!</v>
      </c>
      <c r="U5" s="12" t="e">
        <f t="shared" si="4"/>
        <v>#DIV/0!</v>
      </c>
      <c r="V5" s="12" t="e">
        <f t="shared" si="5"/>
        <v>#DIV/0!</v>
      </c>
      <c r="W5" s="12" t="e">
        <f>(0.6*CG5)+(0.4*EF5)</f>
        <v>#REF!</v>
      </c>
      <c r="X5" s="12">
        <v>-4.0000000000000001E-3</v>
      </c>
      <c r="Y5" s="54">
        <v>13</v>
      </c>
      <c r="Z5" s="12">
        <v>-0.15656379445190446</v>
      </c>
      <c r="AA5" s="12" t="e">
        <f>(0.6*CH5)+(0.4*EG5)</f>
        <v>#REF!</v>
      </c>
      <c r="AB5" s="30"/>
      <c r="AC5" s="30"/>
      <c r="AD5" s="30"/>
      <c r="AE5" s="30"/>
      <c r="AF5" s="274"/>
      <c r="AG5" s="209"/>
      <c r="AH5" s="29"/>
      <c r="AI5" s="274"/>
      <c r="AJ5" s="142">
        <v>15</v>
      </c>
      <c r="AK5" s="209"/>
      <c r="AL5" s="30"/>
      <c r="AM5" s="114"/>
      <c r="AN5" s="30"/>
      <c r="AO5" s="30"/>
      <c r="AP5" s="30"/>
      <c r="AQ5" s="274"/>
      <c r="AR5" s="18"/>
      <c r="AS5" s="209"/>
      <c r="AT5" s="209"/>
      <c r="AU5" s="212"/>
      <c r="AV5" s="212"/>
      <c r="AW5" s="274"/>
      <c r="AX5" s="274"/>
      <c r="AY5" s="274"/>
      <c r="BB5" s="12"/>
      <c r="BC5" s="12"/>
      <c r="BD5" s="12"/>
      <c r="BE5" s="12"/>
      <c r="BF5" s="12"/>
      <c r="BG5" s="12"/>
      <c r="BH5" s="12"/>
      <c r="BI5" s="12"/>
      <c r="BJ5" s="12"/>
      <c r="BK5" s="1"/>
      <c r="BL5" s="19"/>
      <c r="BQ5">
        <v>232</v>
      </c>
      <c r="BR5">
        <v>232</v>
      </c>
      <c r="BS5">
        <f t="shared" si="34"/>
        <v>0</v>
      </c>
      <c r="BT5">
        <v>37</v>
      </c>
      <c r="BU5" s="16">
        <v>218</v>
      </c>
      <c r="BV5" s="16">
        <v>354</v>
      </c>
      <c r="BW5" s="16">
        <v>108</v>
      </c>
      <c r="BX5" s="16">
        <f t="shared" si="6"/>
        <v>503.40499553969664</v>
      </c>
      <c r="BY5" s="16">
        <f t="shared" si="7"/>
        <v>319.33199999999999</v>
      </c>
      <c r="BZ5" s="16">
        <f t="shared" si="35"/>
        <v>-285.40499553969664</v>
      </c>
      <c r="CA5" s="16">
        <f t="shared" si="36"/>
        <v>34.668000000000006</v>
      </c>
      <c r="CB5" s="14">
        <f t="shared" si="8"/>
        <v>0.46971262157138677</v>
      </c>
      <c r="CC5" s="54">
        <v>34.398870000000002</v>
      </c>
      <c r="CD5">
        <f t="shared" si="37"/>
        <v>195</v>
      </c>
      <c r="CE5" s="54">
        <f t="shared" si="38"/>
        <v>197.60113000000001</v>
      </c>
      <c r="CF5" s="12">
        <v>-0.40533999999999998</v>
      </c>
      <c r="CG5" s="12" t="e">
        <f t="shared" si="9"/>
        <v>#REF!</v>
      </c>
      <c r="CH5" s="12" t="e">
        <f t="shared" si="9"/>
        <v>#REF!</v>
      </c>
      <c r="CI5" s="16">
        <v>87150</v>
      </c>
      <c r="CJ5" s="16">
        <v>87149.57</v>
      </c>
      <c r="CK5" s="54">
        <v>31854.2</v>
      </c>
      <c r="CL5" s="16">
        <f t="shared" si="10"/>
        <v>221.50596000000002</v>
      </c>
      <c r="CM5" s="16">
        <f t="shared" si="39"/>
        <v>-3.505960000000016</v>
      </c>
      <c r="CN5" s="12" t="e">
        <f t="shared" si="11"/>
        <v>#REF!</v>
      </c>
      <c r="CO5" s="12">
        <f t="shared" si="12"/>
        <v>-0.46658121032960265</v>
      </c>
      <c r="CP5" s="18"/>
      <c r="CQ5" s="16"/>
      <c r="CR5" s="16"/>
      <c r="CS5" s="16"/>
      <c r="CT5" s="12"/>
      <c r="CU5" s="12"/>
      <c r="CV5" s="12"/>
      <c r="CW5" s="12"/>
      <c r="CX5" s="16">
        <v>26</v>
      </c>
      <c r="CY5" s="16">
        <v>48</v>
      </c>
      <c r="CZ5" s="16">
        <v>32.659999999999997</v>
      </c>
      <c r="DA5" s="16">
        <f t="shared" si="40"/>
        <v>106.66</v>
      </c>
      <c r="DB5" s="16">
        <f t="shared" si="41"/>
        <v>134</v>
      </c>
      <c r="DC5" s="16">
        <f t="shared" si="13"/>
        <v>139.53978999999998</v>
      </c>
      <c r="DD5" s="16">
        <f t="shared" si="14"/>
        <v>372.92667519181589</v>
      </c>
      <c r="DE5" s="16">
        <f t="shared" si="42"/>
        <v>-266.26667519181592</v>
      </c>
      <c r="DF5" s="17">
        <f t="shared" si="15"/>
        <v>-0.3627726969631685</v>
      </c>
      <c r="DG5" s="16">
        <f t="shared" si="16"/>
        <v>0</v>
      </c>
      <c r="DH5" s="16">
        <f t="shared" si="43"/>
        <v>-31.539789999999982</v>
      </c>
      <c r="DI5" s="16">
        <f t="shared" si="44"/>
        <v>134</v>
      </c>
      <c r="DJ5" s="12" t="e">
        <f t="shared" si="17"/>
        <v>#REF!</v>
      </c>
      <c r="DK5" s="12" t="e">
        <f t="shared" si="18"/>
        <v>#REF!</v>
      </c>
      <c r="DL5" s="16">
        <v>0</v>
      </c>
      <c r="DM5" s="16">
        <v>87150</v>
      </c>
      <c r="DN5" s="16">
        <v>0</v>
      </c>
      <c r="DO5" s="16">
        <v>8220</v>
      </c>
      <c r="DP5" s="16">
        <v>621501</v>
      </c>
      <c r="DQ5" s="16">
        <f t="shared" si="45"/>
        <v>629721</v>
      </c>
      <c r="DR5" s="16">
        <f t="shared" si="46"/>
        <v>0</v>
      </c>
      <c r="DS5" s="16" t="e">
        <f t="shared" si="19"/>
        <v>#REF!</v>
      </c>
      <c r="DT5" s="16">
        <f t="shared" si="20"/>
        <v>71149</v>
      </c>
      <c r="DU5" s="16">
        <f t="shared" si="21"/>
        <v>16001</v>
      </c>
      <c r="DV5" s="16">
        <f t="shared" si="22"/>
        <v>0</v>
      </c>
      <c r="DW5" s="16" t="e">
        <f t="shared" si="23"/>
        <v>#REF!</v>
      </c>
      <c r="DX5" s="17" t="e">
        <f t="shared" si="24"/>
        <v>#DIV/0!</v>
      </c>
      <c r="DY5" s="16">
        <f t="shared" si="47"/>
        <v>0</v>
      </c>
      <c r="DZ5" s="17" t="e">
        <f t="shared" si="25"/>
        <v>#REF!</v>
      </c>
      <c r="EA5" s="17" t="e">
        <f t="shared" si="26"/>
        <v>#REF!</v>
      </c>
      <c r="EB5" s="16">
        <v>46431.81</v>
      </c>
      <c r="EC5" s="54">
        <f>CI5-CK5</f>
        <v>55295.8</v>
      </c>
      <c r="ED5" s="54">
        <f>CJ5-EB5</f>
        <v>40717.760000000009</v>
      </c>
      <c r="EE5" s="12">
        <v>0.15561</v>
      </c>
      <c r="EF5" s="12" t="e">
        <f t="shared" si="27"/>
        <v>#REF!</v>
      </c>
      <c r="EG5" s="12" t="e">
        <f t="shared" si="27"/>
        <v>#REF!</v>
      </c>
      <c r="EH5" s="12" t="e">
        <f t="shared" si="28"/>
        <v>#DIV/0!</v>
      </c>
      <c r="EI5" s="12" t="e">
        <f t="shared" si="29"/>
        <v>#DIV/0!</v>
      </c>
      <c r="EJ5" s="12" t="e">
        <f t="shared" si="30"/>
        <v>#REF!</v>
      </c>
      <c r="EK5" s="16">
        <f t="shared" si="31"/>
        <v>200474.34782608695</v>
      </c>
      <c r="EL5" s="16">
        <f t="shared" si="48"/>
        <v>429246.65217391308</v>
      </c>
      <c r="EM5" s="14">
        <f t="shared" si="32"/>
        <v>0.24773431769947535</v>
      </c>
      <c r="EN5" s="12">
        <f t="shared" si="33"/>
        <v>-0.11856989109811095</v>
      </c>
      <c r="EO5" s="12" t="e">
        <f t="shared" si="49"/>
        <v>#REF!</v>
      </c>
    </row>
    <row r="6" spans="1:145" x14ac:dyDescent="0.35">
      <c r="A6" s="8" t="s">
        <v>180</v>
      </c>
      <c r="B6" s="141" t="s">
        <v>397</v>
      </c>
      <c r="C6" s="1">
        <v>0</v>
      </c>
      <c r="I6" s="44"/>
      <c r="K6" s="12"/>
      <c r="L6" s="12"/>
      <c r="M6" s="12"/>
      <c r="N6" s="45"/>
      <c r="O6" s="16"/>
      <c r="P6" s="16"/>
      <c r="Q6" s="16"/>
      <c r="R6" s="16"/>
      <c r="S6" s="12"/>
      <c r="T6" s="12"/>
      <c r="U6" s="12"/>
      <c r="V6" s="12"/>
      <c r="W6" s="12"/>
      <c r="X6" s="12"/>
      <c r="Y6" s="54">
        <v>9</v>
      </c>
      <c r="Z6" s="12">
        <v>-0.13027444431225516</v>
      </c>
      <c r="AA6" s="12"/>
      <c r="AB6" s="30"/>
      <c r="AC6" s="30"/>
      <c r="AD6" s="30"/>
      <c r="AE6" s="30"/>
      <c r="AF6" s="274"/>
      <c r="AG6" s="209"/>
      <c r="AH6" s="29"/>
      <c r="AI6" s="274"/>
      <c r="AJ6" s="142">
        <v>12</v>
      </c>
      <c r="AK6" s="209"/>
      <c r="AL6" s="30"/>
      <c r="AM6" s="114"/>
      <c r="AN6" s="30"/>
      <c r="AO6" s="30"/>
      <c r="AP6" s="30"/>
      <c r="AQ6" s="274"/>
      <c r="AR6" s="209"/>
      <c r="AS6" s="209"/>
      <c r="AT6" s="209"/>
      <c r="AU6" s="212"/>
      <c r="AV6" s="212"/>
      <c r="AW6" s="274"/>
      <c r="AX6" s="274"/>
      <c r="AY6" s="274"/>
      <c r="BB6" s="12"/>
      <c r="BC6" s="12"/>
      <c r="BD6" s="12"/>
      <c r="BE6" s="12"/>
      <c r="BF6" s="12"/>
      <c r="BG6" s="12"/>
      <c r="BH6" s="12"/>
      <c r="BI6" s="12"/>
      <c r="BJ6" s="12"/>
      <c r="BK6" s="18"/>
      <c r="BL6" s="19"/>
      <c r="BN6" s="19"/>
      <c r="BP6" s="144" t="s">
        <v>398</v>
      </c>
      <c r="BU6" s="16">
        <v>112</v>
      </c>
      <c r="BV6" s="16">
        <v>161</v>
      </c>
      <c r="BW6" s="16">
        <v>60</v>
      </c>
      <c r="BX6" s="16">
        <f t="shared" si="6"/>
        <v>348.51115075825152</v>
      </c>
      <c r="BY6" s="16">
        <f t="shared" si="7"/>
        <v>221.07599999999999</v>
      </c>
      <c r="BZ6" s="16">
        <f t="shared" si="35"/>
        <v>-236.51115075825152</v>
      </c>
      <c r="CA6" s="16">
        <f t="shared" si="36"/>
        <v>-60.075999999999993</v>
      </c>
      <c r="CB6" s="12">
        <f t="shared" si="8"/>
        <v>0.51804451333988832</v>
      </c>
      <c r="CC6" s="54"/>
      <c r="CE6" s="54"/>
      <c r="CF6" s="12"/>
      <c r="CG6" s="12"/>
      <c r="CH6" s="12"/>
      <c r="CI6" s="16"/>
      <c r="CJ6" s="16"/>
      <c r="CK6" s="54"/>
      <c r="CL6" s="16">
        <f t="shared" si="10"/>
        <v>153.35028</v>
      </c>
      <c r="CM6" s="16">
        <f t="shared" si="39"/>
        <v>-41.350279999999998</v>
      </c>
      <c r="CN6" s="12" t="e">
        <f t="shared" si="11"/>
        <v>#REF!</v>
      </c>
      <c r="CO6" s="12">
        <f t="shared" si="12"/>
        <v>-0.52178734286840944</v>
      </c>
      <c r="CP6" s="18"/>
      <c r="CQ6" s="16"/>
      <c r="CR6" s="16"/>
      <c r="CS6" s="16"/>
      <c r="CT6" s="12"/>
      <c r="CU6" s="12"/>
      <c r="CV6" s="12"/>
      <c r="CW6" s="12"/>
      <c r="CX6" s="16">
        <v>18</v>
      </c>
      <c r="CY6" s="16">
        <v>9</v>
      </c>
      <c r="CZ6" s="16">
        <v>60.66</v>
      </c>
      <c r="DA6" s="16">
        <f t="shared" si="40"/>
        <v>87.66</v>
      </c>
      <c r="DB6" s="16">
        <f t="shared" si="41"/>
        <v>78</v>
      </c>
      <c r="DC6" s="16">
        <f t="shared" si="13"/>
        <v>96.604469999999992</v>
      </c>
      <c r="DD6" s="16">
        <f t="shared" si="14"/>
        <v>298.34134015345273</v>
      </c>
      <c r="DE6" s="16">
        <f t="shared" si="42"/>
        <v>-210.68134015345274</v>
      </c>
      <c r="DF6" s="17">
        <f t="shared" si="15"/>
        <v>-0.28704094461773594</v>
      </c>
      <c r="DG6" s="16">
        <f t="shared" si="16"/>
        <v>0</v>
      </c>
      <c r="DH6" s="16">
        <f t="shared" si="43"/>
        <v>-36.604469999999992</v>
      </c>
      <c r="DI6" s="16">
        <f t="shared" si="44"/>
        <v>78</v>
      </c>
      <c r="DJ6" s="12" t="e">
        <f t="shared" si="17"/>
        <v>#REF!</v>
      </c>
      <c r="DK6" s="12" t="e">
        <f t="shared" si="18"/>
        <v>#REF!</v>
      </c>
      <c r="DL6" s="16">
        <v>15000</v>
      </c>
      <c r="DM6" s="16">
        <v>15000</v>
      </c>
      <c r="DN6" s="16">
        <v>0</v>
      </c>
      <c r="DO6" s="16">
        <v>0</v>
      </c>
      <c r="DP6" s="16">
        <v>0</v>
      </c>
      <c r="DQ6" s="16">
        <f t="shared" si="45"/>
        <v>0</v>
      </c>
      <c r="DR6" s="16">
        <f t="shared" si="46"/>
        <v>15000</v>
      </c>
      <c r="DS6" s="16" t="e">
        <f t="shared" si="19"/>
        <v>#REF!</v>
      </c>
      <c r="DT6" s="16">
        <f t="shared" si="20"/>
        <v>49257</v>
      </c>
      <c r="DU6" s="16">
        <f t="shared" si="21"/>
        <v>-34257</v>
      </c>
      <c r="DV6" s="16">
        <f t="shared" si="22"/>
        <v>0</v>
      </c>
      <c r="DW6" s="16" t="e">
        <f t="shared" si="23"/>
        <v>#REF!</v>
      </c>
      <c r="DX6" s="17" t="e">
        <f t="shared" si="24"/>
        <v>#DIV/0!</v>
      </c>
      <c r="DY6" s="16">
        <f t="shared" si="47"/>
        <v>15000</v>
      </c>
      <c r="DZ6" s="17" t="e">
        <f t="shared" si="25"/>
        <v>#REF!</v>
      </c>
      <c r="EA6" s="17" t="e">
        <f t="shared" si="26"/>
        <v>#REF!</v>
      </c>
      <c r="EB6" s="16"/>
      <c r="EC6" s="54"/>
      <c r="ED6" s="54"/>
      <c r="EE6" s="12"/>
      <c r="EF6" s="12"/>
      <c r="EG6" s="12"/>
      <c r="EH6" s="12" t="e">
        <f t="shared" si="28"/>
        <v>#DIV/0!</v>
      </c>
      <c r="EI6" s="12" t="e">
        <f t="shared" si="29"/>
        <v>#DIV/0!</v>
      </c>
      <c r="EJ6" s="12" t="e">
        <f t="shared" si="30"/>
        <v>#REF!</v>
      </c>
      <c r="EK6" s="16">
        <f t="shared" si="31"/>
        <v>160379.47826086957</v>
      </c>
      <c r="EL6" s="16">
        <f t="shared" si="48"/>
        <v>-160379.47826086957</v>
      </c>
      <c r="EM6" s="12">
        <f t="shared" si="32"/>
        <v>-9.2561002907616888E-2</v>
      </c>
      <c r="EN6" s="12">
        <f t="shared" si="33"/>
        <v>-0.2092489679336883</v>
      </c>
      <c r="EO6" s="12" t="e">
        <f t="shared" si="49"/>
        <v>#REF!</v>
      </c>
    </row>
    <row r="7" spans="1:145" x14ac:dyDescent="0.35">
      <c r="A7" s="8" t="s">
        <v>180</v>
      </c>
      <c r="B7" s="8" t="s">
        <v>183</v>
      </c>
      <c r="C7" s="1">
        <f t="shared" si="0"/>
        <v>56</v>
      </c>
      <c r="D7">
        <v>4</v>
      </c>
      <c r="E7">
        <v>12</v>
      </c>
      <c r="F7">
        <v>0</v>
      </c>
      <c r="G7">
        <v>0</v>
      </c>
      <c r="H7">
        <v>40</v>
      </c>
      <c r="I7" s="44">
        <v>558</v>
      </c>
      <c r="J7">
        <v>590</v>
      </c>
      <c r="K7" s="12">
        <f t="shared" si="1"/>
        <v>9.9642857142857135</v>
      </c>
      <c r="L7" s="12">
        <v>10.535714285714286</v>
      </c>
      <c r="M7" s="12" t="e">
        <f>L7/L26</f>
        <v>#DIV/0!</v>
      </c>
      <c r="N7" s="45" t="e">
        <f>K7/K26</f>
        <v>#DIV/0!</v>
      </c>
      <c r="O7" s="16">
        <v>82320</v>
      </c>
      <c r="P7" s="16">
        <v>96000</v>
      </c>
      <c r="Q7" s="16">
        <f t="shared" si="2"/>
        <v>1470</v>
      </c>
      <c r="R7" s="16">
        <f t="shared" si="3"/>
        <v>1714.2857142857142</v>
      </c>
      <c r="S7" s="12" t="e">
        <f>R7/R26</f>
        <v>#DIV/0!</v>
      </c>
      <c r="T7" s="12" t="e">
        <f>Q7/Q26</f>
        <v>#DIV/0!</v>
      </c>
      <c r="U7" s="12" t="e">
        <f t="shared" si="4"/>
        <v>#DIV/0!</v>
      </c>
      <c r="V7" s="12" t="e">
        <f t="shared" si="5"/>
        <v>#DIV/0!</v>
      </c>
      <c r="W7" s="12" t="e">
        <f t="shared" ref="W7:W12" si="50">(0.6*CG7)+(0.4*EF7)</f>
        <v>#REF!</v>
      </c>
      <c r="X7" s="15">
        <v>9.2999999999999999E-2</v>
      </c>
      <c r="Y7" s="54">
        <v>46</v>
      </c>
      <c r="Z7" s="12">
        <v>-0.53032953177321596</v>
      </c>
      <c r="AA7" s="12" t="e">
        <f t="shared" ref="AA7:AA12" si="51">(0.6*CH7)+(0.4*EG7)</f>
        <v>#REF!</v>
      </c>
      <c r="AB7" s="30"/>
      <c r="AC7" s="30"/>
      <c r="AD7" s="30"/>
      <c r="AE7" s="30"/>
      <c r="AF7" s="274">
        <f>X7/BM2</f>
        <v>1.6332982086406742E-2</v>
      </c>
      <c r="AG7" s="209"/>
      <c r="AH7" s="29"/>
      <c r="AI7" s="274"/>
      <c r="AJ7" s="142">
        <v>36</v>
      </c>
      <c r="AK7" s="209"/>
      <c r="AL7" s="30"/>
      <c r="AM7" s="114"/>
      <c r="AN7" s="30"/>
      <c r="AO7" s="30"/>
      <c r="AP7" s="30"/>
      <c r="AQ7" s="274"/>
      <c r="AR7" s="209"/>
      <c r="AS7" s="209"/>
      <c r="AT7" s="209"/>
      <c r="AU7" s="212">
        <v>0</v>
      </c>
      <c r="AV7" s="212">
        <v>0</v>
      </c>
      <c r="AW7" s="274"/>
      <c r="AX7" s="274"/>
      <c r="AY7" s="274"/>
      <c r="AZ7" s="18"/>
      <c r="BB7" s="12"/>
      <c r="BC7" s="12"/>
      <c r="BD7" s="12"/>
      <c r="BE7" s="12"/>
      <c r="BF7" s="12"/>
      <c r="BG7" s="12"/>
      <c r="BH7" s="12"/>
      <c r="BI7" s="12"/>
      <c r="BJ7" s="12"/>
      <c r="BK7" s="18"/>
      <c r="BN7" s="27"/>
      <c r="BP7" s="14" t="e">
        <f>SUM(EJ3,EJ4,EJ10,EJ13,EJ14,EJ19)</f>
        <v>#REF!</v>
      </c>
      <c r="BQ7">
        <v>1116</v>
      </c>
      <c r="BR7">
        <v>1122</v>
      </c>
      <c r="BS7">
        <f t="shared" si="34"/>
        <v>-6</v>
      </c>
      <c r="BT7">
        <v>343</v>
      </c>
      <c r="BU7" s="16">
        <v>776</v>
      </c>
      <c r="BV7" s="16">
        <v>1375</v>
      </c>
      <c r="BW7" s="16">
        <v>684</v>
      </c>
      <c r="BX7" s="16">
        <f t="shared" si="6"/>
        <v>1781.2792149866189</v>
      </c>
      <c r="BY7" s="16">
        <f t="shared" si="7"/>
        <v>1129.944</v>
      </c>
      <c r="BZ7" s="16">
        <f t="shared" si="35"/>
        <v>-1005.2792149866189</v>
      </c>
      <c r="CA7" s="16">
        <f t="shared" si="36"/>
        <v>245.05600000000004</v>
      </c>
      <c r="CB7" s="12">
        <f t="shared" si="8"/>
        <v>-0.24188784709224395</v>
      </c>
      <c r="CC7" s="54">
        <v>321.05610000000001</v>
      </c>
      <c r="CD7">
        <f t="shared" si="37"/>
        <v>773</v>
      </c>
      <c r="CE7" s="54">
        <f t="shared" si="38"/>
        <v>800.94389999999999</v>
      </c>
      <c r="CF7" s="12">
        <v>-5.1389999999999998E-2</v>
      </c>
      <c r="CG7" s="12" t="e">
        <f t="shared" ref="CG7:CH12" si="52">(CD7-CD$25)/CD$26</f>
        <v>#REF!</v>
      </c>
      <c r="CH7" s="12" t="e">
        <f t="shared" si="52"/>
        <v>#REF!</v>
      </c>
      <c r="CI7" s="16">
        <v>82320</v>
      </c>
      <c r="CJ7" s="16">
        <v>80320</v>
      </c>
      <c r="CK7" s="54">
        <v>250839.77</v>
      </c>
      <c r="CL7" s="16">
        <f t="shared" si="10"/>
        <v>783.79032000000007</v>
      </c>
      <c r="CM7" s="16">
        <f t="shared" si="39"/>
        <v>-7.7903200000000652</v>
      </c>
      <c r="CN7" s="12" t="e">
        <f t="shared" si="11"/>
        <v>#REF!</v>
      </c>
      <c r="CO7" s="12">
        <f t="shared" si="12"/>
        <v>-0.3439907791405617</v>
      </c>
      <c r="CP7" s="264">
        <v>98294.608362535699</v>
      </c>
      <c r="CQ7" s="285">
        <f>CT7*CW4</f>
        <v>25376.268998315787</v>
      </c>
      <c r="CR7" s="16">
        <f>AVERAGE(AV7,CP7,CQ7)</f>
        <v>41223.625786950499</v>
      </c>
      <c r="CS7" s="285">
        <f>CR7-(CU7*CR$25)</f>
        <v>42602.695059571161</v>
      </c>
      <c r="CT7" s="12">
        <f>AJ7*CU7</f>
        <v>0.52244183998019711</v>
      </c>
      <c r="CU7" s="12">
        <f>EN7/CW3</f>
        <v>1.4512273332783251E-2</v>
      </c>
      <c r="CV7" s="12"/>
      <c r="CW7" s="12"/>
      <c r="CX7" s="16">
        <v>396</v>
      </c>
      <c r="CY7" s="16">
        <v>414</v>
      </c>
      <c r="CZ7" s="16">
        <v>280.5</v>
      </c>
      <c r="DA7" s="16">
        <f t="shared" si="40"/>
        <v>1090.5</v>
      </c>
      <c r="DB7" s="16">
        <f t="shared" si="41"/>
        <v>1080</v>
      </c>
      <c r="DC7" s="16">
        <f t="shared" si="13"/>
        <v>493.75617999999997</v>
      </c>
      <c r="DD7" s="16">
        <f t="shared" si="14"/>
        <v>895.0240204603582</v>
      </c>
      <c r="DE7" s="16">
        <f t="shared" si="42"/>
        <v>195.4759795396418</v>
      </c>
      <c r="DF7" s="109">
        <f t="shared" si="15"/>
        <v>0.26632453437151987</v>
      </c>
      <c r="DG7" s="16">
        <f t="shared" si="16"/>
        <v>0</v>
      </c>
      <c r="DH7" s="16">
        <f t="shared" si="43"/>
        <v>190.24382000000003</v>
      </c>
      <c r="DI7" s="16">
        <f t="shared" si="44"/>
        <v>1080</v>
      </c>
      <c r="DJ7" s="12" t="e">
        <f t="shared" si="17"/>
        <v>#REF!</v>
      </c>
      <c r="DK7" s="12" t="e">
        <f t="shared" si="18"/>
        <v>#REF!</v>
      </c>
      <c r="DL7" s="16">
        <v>20320</v>
      </c>
      <c r="DM7" s="16">
        <v>20320</v>
      </c>
      <c r="DN7" s="16">
        <v>30140</v>
      </c>
      <c r="DO7" s="16">
        <v>46389</v>
      </c>
      <c r="DP7" s="16">
        <v>8220</v>
      </c>
      <c r="DQ7" s="16">
        <f t="shared" si="45"/>
        <v>84749</v>
      </c>
      <c r="DR7" s="16">
        <f t="shared" si="46"/>
        <v>50460</v>
      </c>
      <c r="DS7" s="16" t="e">
        <f t="shared" si="19"/>
        <v>#REF!</v>
      </c>
      <c r="DT7" s="16">
        <f t="shared" si="20"/>
        <v>251758</v>
      </c>
      <c r="DU7" s="16">
        <f t="shared" si="21"/>
        <v>-231438</v>
      </c>
      <c r="DV7" s="16">
        <f t="shared" si="22"/>
        <v>0</v>
      </c>
      <c r="DW7" s="16" t="e">
        <f t="shared" si="23"/>
        <v>#REF!</v>
      </c>
      <c r="DX7" s="17" t="e">
        <f t="shared" si="24"/>
        <v>#DIV/0!</v>
      </c>
      <c r="DY7" s="16">
        <f t="shared" si="47"/>
        <v>50460</v>
      </c>
      <c r="DZ7" s="17" t="e">
        <f t="shared" si="25"/>
        <v>#REF!</v>
      </c>
      <c r="EA7" s="17" t="e">
        <f t="shared" si="26"/>
        <v>#REF!</v>
      </c>
      <c r="EB7" s="16">
        <v>269495.06</v>
      </c>
      <c r="EC7" s="54">
        <f t="shared" ref="EC7:EC12" si="53">CI7-CK7</f>
        <v>-168519.77</v>
      </c>
      <c r="ED7" s="54">
        <f t="shared" ref="ED7:ED12" si="54">CJ7-EB7</f>
        <v>-189175.06</v>
      </c>
      <c r="EE7" s="12">
        <v>-0.35437999999999997</v>
      </c>
      <c r="EF7" s="12" t="e">
        <f t="shared" ref="EF7:EG12" si="55">(EC7-EC$25)/EC$26</f>
        <v>#REF!</v>
      </c>
      <c r="EG7" s="12" t="e">
        <f t="shared" si="55"/>
        <v>#REF!</v>
      </c>
      <c r="EH7" s="12" t="e">
        <f t="shared" si="28"/>
        <v>#DIV/0!</v>
      </c>
      <c r="EI7" s="12" t="e">
        <f t="shared" si="29"/>
        <v>#DIV/0!</v>
      </c>
      <c r="EJ7" s="12" t="e">
        <f t="shared" si="30"/>
        <v>#REF!</v>
      </c>
      <c r="EK7" s="16">
        <f t="shared" si="31"/>
        <v>481138.4347826087</v>
      </c>
      <c r="EL7" s="16">
        <f t="shared" si="48"/>
        <v>-396389.4347826087</v>
      </c>
      <c r="EM7" s="12">
        <f t="shared" si="32"/>
        <v>-0.22877118708281499</v>
      </c>
      <c r="EN7" s="14">
        <f t="shared" si="33"/>
        <v>6.8286245789785913E-2</v>
      </c>
      <c r="EO7" s="12" t="e">
        <f t="shared" si="49"/>
        <v>#REF!</v>
      </c>
    </row>
    <row r="8" spans="1:145" x14ac:dyDescent="0.35">
      <c r="A8" s="7" t="s">
        <v>180</v>
      </c>
      <c r="B8" s="7" t="s">
        <v>184</v>
      </c>
      <c r="C8" s="1">
        <f t="shared" si="0"/>
        <v>10</v>
      </c>
      <c r="D8">
        <v>3</v>
      </c>
      <c r="E8">
        <v>0</v>
      </c>
      <c r="F8">
        <v>0</v>
      </c>
      <c r="G8">
        <v>0</v>
      </c>
      <c r="H8">
        <v>7</v>
      </c>
      <c r="I8" s="44">
        <v>16.5</v>
      </c>
      <c r="J8">
        <v>23.5</v>
      </c>
      <c r="K8" s="12">
        <f t="shared" si="1"/>
        <v>1.65</v>
      </c>
      <c r="L8" s="12">
        <v>2.35</v>
      </c>
      <c r="M8" s="12" t="e">
        <f>L8/L26</f>
        <v>#DIV/0!</v>
      </c>
      <c r="N8" s="45" t="e">
        <f>K8/K26</f>
        <v>#DIV/0!</v>
      </c>
      <c r="O8" s="16">
        <v>0</v>
      </c>
      <c r="P8" s="16">
        <v>0</v>
      </c>
      <c r="Q8" s="16">
        <f t="shared" si="2"/>
        <v>0</v>
      </c>
      <c r="R8" s="16">
        <f t="shared" si="3"/>
        <v>0</v>
      </c>
      <c r="S8" s="12" t="e">
        <f>R8/R26</f>
        <v>#DIV/0!</v>
      </c>
      <c r="T8" s="12" t="e">
        <f>Q8/Q26</f>
        <v>#DIV/0!</v>
      </c>
      <c r="U8" s="12" t="e">
        <f t="shared" si="4"/>
        <v>#DIV/0!</v>
      </c>
      <c r="V8" s="12" t="e">
        <f t="shared" si="5"/>
        <v>#DIV/0!</v>
      </c>
      <c r="W8" s="12" t="e">
        <f t="shared" si="50"/>
        <v>#REF!</v>
      </c>
      <c r="X8" s="12">
        <v>-0.36499999999999999</v>
      </c>
      <c r="Y8" s="54">
        <v>9</v>
      </c>
      <c r="Z8" s="12">
        <v>-0.21244359167702281</v>
      </c>
      <c r="AA8" s="12" t="e">
        <f t="shared" si="51"/>
        <v>#REF!</v>
      </c>
      <c r="AB8" s="18"/>
      <c r="AC8" s="18"/>
      <c r="AD8" s="18"/>
      <c r="AE8" s="18"/>
      <c r="AF8" s="17"/>
      <c r="AG8" s="18"/>
      <c r="AH8" s="29"/>
      <c r="AI8" s="17"/>
      <c r="AJ8" s="16">
        <v>10</v>
      </c>
      <c r="AK8" s="18"/>
      <c r="AL8" s="30"/>
      <c r="AM8" s="114"/>
      <c r="AN8" s="30"/>
      <c r="AO8" s="30"/>
      <c r="AP8" s="30"/>
      <c r="AQ8" s="17"/>
      <c r="AR8" s="209"/>
      <c r="AS8" s="209"/>
      <c r="AT8" s="209"/>
      <c r="AU8" s="212"/>
      <c r="AV8" s="212"/>
      <c r="AW8" s="17"/>
      <c r="AX8" s="17"/>
      <c r="AY8" s="17"/>
      <c r="BB8" s="12"/>
      <c r="BC8" s="12"/>
      <c r="BD8" s="12"/>
      <c r="BE8" s="12"/>
      <c r="BF8" s="12"/>
      <c r="BG8" s="12"/>
      <c r="BH8" s="12"/>
      <c r="BI8" s="12"/>
      <c r="BJ8" s="12"/>
      <c r="BK8" s="18"/>
      <c r="BQ8">
        <v>33</v>
      </c>
      <c r="BR8">
        <v>33</v>
      </c>
      <c r="BS8">
        <f t="shared" si="34"/>
        <v>0</v>
      </c>
      <c r="BT8">
        <v>61</v>
      </c>
      <c r="BU8" s="16">
        <v>39</v>
      </c>
      <c r="BV8" s="16">
        <v>56</v>
      </c>
      <c r="BW8" s="16">
        <v>21</v>
      </c>
      <c r="BX8" s="16">
        <f t="shared" si="6"/>
        <v>348.51115075825152</v>
      </c>
      <c r="BY8" s="16">
        <f t="shared" si="7"/>
        <v>221.07599999999999</v>
      </c>
      <c r="BZ8" s="16">
        <f t="shared" si="35"/>
        <v>-309.51115075825152</v>
      </c>
      <c r="CA8" s="16">
        <f t="shared" si="36"/>
        <v>-165.07599999999999</v>
      </c>
      <c r="CB8" s="12">
        <f t="shared" si="8"/>
        <v>0.44588352631029904</v>
      </c>
      <c r="CC8" s="54">
        <v>57.331449999999997</v>
      </c>
      <c r="CD8">
        <f t="shared" si="37"/>
        <v>-28</v>
      </c>
      <c r="CE8" s="54">
        <f t="shared" si="38"/>
        <v>-24.331449999999997</v>
      </c>
      <c r="CF8" s="12">
        <v>-0.54215000000000002</v>
      </c>
      <c r="CG8" s="12" t="e">
        <f t="shared" si="52"/>
        <v>#REF!</v>
      </c>
      <c r="CH8" s="12" t="e">
        <f t="shared" si="52"/>
        <v>#REF!</v>
      </c>
      <c r="CI8" s="16">
        <v>0</v>
      </c>
      <c r="CJ8" s="16">
        <v>0</v>
      </c>
      <c r="CK8" s="54">
        <v>51066.46</v>
      </c>
      <c r="CL8" s="16">
        <f t="shared" si="10"/>
        <v>153.35028</v>
      </c>
      <c r="CM8" s="16">
        <f t="shared" si="39"/>
        <v>-114.35028</v>
      </c>
      <c r="CN8" s="12" t="e">
        <f t="shared" si="11"/>
        <v>#REF!</v>
      </c>
      <c r="CO8" s="12">
        <f t="shared" si="12"/>
        <v>-0.58296951711242195</v>
      </c>
      <c r="CP8" s="18"/>
      <c r="CQ8" s="16"/>
      <c r="CR8" s="16"/>
      <c r="CS8" s="16"/>
      <c r="CT8" s="12"/>
      <c r="CU8" s="12"/>
      <c r="CV8" s="12"/>
      <c r="CW8" s="12"/>
      <c r="CX8" s="16">
        <v>16</v>
      </c>
      <c r="CY8" s="16">
        <v>18</v>
      </c>
      <c r="CZ8" s="16">
        <v>13</v>
      </c>
      <c r="DA8" s="16">
        <f t="shared" si="40"/>
        <v>47</v>
      </c>
      <c r="DB8" s="16">
        <f t="shared" si="41"/>
        <v>37</v>
      </c>
      <c r="DC8" s="16">
        <f t="shared" si="13"/>
        <v>96.604469999999992</v>
      </c>
      <c r="DD8" s="16">
        <f t="shared" si="14"/>
        <v>248.61778346121059</v>
      </c>
      <c r="DE8" s="16">
        <f t="shared" si="42"/>
        <v>-201.61778346121059</v>
      </c>
      <c r="DF8" s="17">
        <f t="shared" si="15"/>
        <v>-0.27469238127253093</v>
      </c>
      <c r="DG8" s="16">
        <f t="shared" si="16"/>
        <v>0</v>
      </c>
      <c r="DH8" s="16">
        <f t="shared" si="43"/>
        <v>-75.604469999999992</v>
      </c>
      <c r="DI8" s="16">
        <f t="shared" si="44"/>
        <v>37</v>
      </c>
      <c r="DJ8" s="12" t="e">
        <f t="shared" si="17"/>
        <v>#REF!</v>
      </c>
      <c r="DK8" s="12" t="e">
        <f t="shared" si="18"/>
        <v>#REF!</v>
      </c>
      <c r="DL8" s="16">
        <v>0</v>
      </c>
      <c r="DM8" s="16">
        <v>0</v>
      </c>
      <c r="DN8" s="16">
        <v>10960</v>
      </c>
      <c r="DO8" s="16">
        <v>32880</v>
      </c>
      <c r="DP8" s="16">
        <v>8220</v>
      </c>
      <c r="DQ8" s="16">
        <f t="shared" si="45"/>
        <v>52060</v>
      </c>
      <c r="DR8" s="16">
        <f t="shared" si="46"/>
        <v>10960</v>
      </c>
      <c r="DS8" s="16" t="e">
        <f t="shared" si="19"/>
        <v>#REF!</v>
      </c>
      <c r="DT8" s="16">
        <f t="shared" si="20"/>
        <v>49257</v>
      </c>
      <c r="DU8" s="16">
        <f t="shared" si="21"/>
        <v>-49257</v>
      </c>
      <c r="DV8" s="16">
        <f t="shared" si="22"/>
        <v>0</v>
      </c>
      <c r="DW8" s="16" t="e">
        <f t="shared" si="23"/>
        <v>#REF!</v>
      </c>
      <c r="DX8" s="17" t="e">
        <f t="shared" si="24"/>
        <v>#DIV/0!</v>
      </c>
      <c r="DY8" s="16">
        <f t="shared" si="47"/>
        <v>10960</v>
      </c>
      <c r="DZ8" s="17" t="e">
        <f t="shared" si="25"/>
        <v>#REF!</v>
      </c>
      <c r="EA8" s="17" t="e">
        <f t="shared" si="26"/>
        <v>#REF!</v>
      </c>
      <c r="EB8" s="16">
        <v>69419.72</v>
      </c>
      <c r="EC8" s="54">
        <f t="shared" si="53"/>
        <v>-51066.46</v>
      </c>
      <c r="ED8" s="54">
        <f t="shared" si="54"/>
        <v>-69419.72</v>
      </c>
      <c r="EE8" s="12">
        <v>-8.6749999999999994E-2</v>
      </c>
      <c r="EF8" s="12" t="e">
        <f t="shared" si="55"/>
        <v>#REF!</v>
      </c>
      <c r="EG8" s="12" t="e">
        <f t="shared" si="55"/>
        <v>#REF!</v>
      </c>
      <c r="EH8" s="12" t="e">
        <f t="shared" si="28"/>
        <v>#DIV/0!</v>
      </c>
      <c r="EI8" s="12" t="e">
        <f t="shared" si="29"/>
        <v>#DIV/0!</v>
      </c>
      <c r="EJ8" s="12" t="e">
        <f t="shared" si="30"/>
        <v>#REF!</v>
      </c>
      <c r="EK8" s="16">
        <f t="shared" si="31"/>
        <v>133649.5652173913</v>
      </c>
      <c r="EL8" s="16">
        <f t="shared" si="48"/>
        <v>-81589.565217391297</v>
      </c>
      <c r="EM8" s="12">
        <f t="shared" si="32"/>
        <v>-4.7088393510260874E-2</v>
      </c>
      <c r="EN8" s="12">
        <f t="shared" si="33"/>
        <v>-0.1836507861676229</v>
      </c>
      <c r="EO8" s="12" t="e">
        <f t="shared" si="49"/>
        <v>#REF!</v>
      </c>
    </row>
    <row r="9" spans="1:145" x14ac:dyDescent="0.35">
      <c r="A9" s="8" t="s">
        <v>180</v>
      </c>
      <c r="B9" s="8" t="s">
        <v>34</v>
      </c>
      <c r="C9" s="1">
        <f t="shared" si="0"/>
        <v>23</v>
      </c>
      <c r="D9">
        <v>10</v>
      </c>
      <c r="E9">
        <v>1</v>
      </c>
      <c r="F9">
        <v>0</v>
      </c>
      <c r="G9">
        <v>0</v>
      </c>
      <c r="H9">
        <v>12</v>
      </c>
      <c r="I9" s="44">
        <v>84.5</v>
      </c>
      <c r="J9">
        <v>116.5</v>
      </c>
      <c r="K9" s="12">
        <f t="shared" si="1"/>
        <v>3.6739130434782608</v>
      </c>
      <c r="L9" s="12">
        <v>5.0652173913043477</v>
      </c>
      <c r="M9" s="12" t="e">
        <f>L9/L26</f>
        <v>#DIV/0!</v>
      </c>
      <c r="N9" s="45" t="e">
        <f>K9/K26</f>
        <v>#DIV/0!</v>
      </c>
      <c r="O9" s="16">
        <v>269015</v>
      </c>
      <c r="P9" s="16">
        <v>32226</v>
      </c>
      <c r="Q9" s="16">
        <f t="shared" si="2"/>
        <v>11696.304347826086</v>
      </c>
      <c r="R9" s="16">
        <f t="shared" si="3"/>
        <v>1401.1304347826087</v>
      </c>
      <c r="S9" s="12" t="e">
        <f>R9/R26</f>
        <v>#DIV/0!</v>
      </c>
      <c r="T9" s="12" t="e">
        <f>Q9/Q26</f>
        <v>#DIV/0!</v>
      </c>
      <c r="U9" s="12" t="e">
        <f t="shared" si="4"/>
        <v>#DIV/0!</v>
      </c>
      <c r="V9" s="12" t="e">
        <f t="shared" si="5"/>
        <v>#DIV/0!</v>
      </c>
      <c r="W9" s="12" t="e">
        <f t="shared" si="50"/>
        <v>#REF!</v>
      </c>
      <c r="X9" s="12">
        <v>-0.25900000000000001</v>
      </c>
      <c r="Y9" s="54">
        <v>22</v>
      </c>
      <c r="Z9" s="12">
        <v>-0.24419623558882686</v>
      </c>
      <c r="AA9" s="12" t="e">
        <f t="shared" si="51"/>
        <v>#REF!</v>
      </c>
      <c r="AB9" s="62"/>
      <c r="AC9" s="62"/>
      <c r="AD9" s="62"/>
      <c r="AE9" s="62"/>
      <c r="AF9" s="17"/>
      <c r="AG9" s="18"/>
      <c r="AH9" s="29"/>
      <c r="AI9" s="17"/>
      <c r="AJ9" s="16">
        <v>39</v>
      </c>
      <c r="AK9" s="18"/>
      <c r="AL9" s="30"/>
      <c r="AM9" s="116" t="e">
        <f t="shared" ref="AM9:AM10" si="56">SUM(AN9:AO9)</f>
        <v>#DIV/0!</v>
      </c>
      <c r="AN9" s="30"/>
      <c r="AO9" s="34" t="e">
        <f>BE9*#REF!</f>
        <v>#DIV/0!</v>
      </c>
      <c r="AP9" s="30"/>
      <c r="AQ9" s="17"/>
      <c r="AR9" s="18"/>
      <c r="AS9" s="209"/>
      <c r="AT9" s="209"/>
      <c r="AU9" s="212"/>
      <c r="AV9" s="212"/>
      <c r="AW9" s="17"/>
      <c r="AX9" s="17"/>
      <c r="AY9" s="17"/>
      <c r="BB9" s="12"/>
      <c r="BC9" s="12"/>
      <c r="BD9" s="12"/>
      <c r="BE9" s="12" t="e">
        <f>Y9*BG9</f>
        <v>#DIV/0!</v>
      </c>
      <c r="BF9" s="12"/>
      <c r="BG9" s="12" t="e">
        <f>DX9/BN$12</f>
        <v>#DIV/0!</v>
      </c>
      <c r="BH9" s="12"/>
      <c r="BI9" s="12"/>
      <c r="BJ9" s="12"/>
      <c r="BP9" s="144" t="s">
        <v>399</v>
      </c>
      <c r="BQ9">
        <v>169</v>
      </c>
      <c r="BR9">
        <v>169</v>
      </c>
      <c r="BS9">
        <f t="shared" si="34"/>
        <v>0</v>
      </c>
      <c r="BT9">
        <v>141</v>
      </c>
      <c r="BU9" s="16">
        <v>113</v>
      </c>
      <c r="BV9" s="16">
        <v>211</v>
      </c>
      <c r="BW9" s="16">
        <v>52</v>
      </c>
      <c r="BX9" s="16">
        <f t="shared" si="6"/>
        <v>851.91614629794822</v>
      </c>
      <c r="BY9" s="16">
        <f t="shared" si="7"/>
        <v>540.40800000000002</v>
      </c>
      <c r="BZ9" s="16">
        <f t="shared" si="35"/>
        <v>-738.91614629794822</v>
      </c>
      <c r="CA9" s="16">
        <f t="shared" si="36"/>
        <v>-329.40800000000002</v>
      </c>
      <c r="CB9" s="12">
        <f t="shared" si="8"/>
        <v>2.1413823384533497E-2</v>
      </c>
      <c r="CC9" s="54">
        <v>131.86232999999999</v>
      </c>
      <c r="CD9">
        <f t="shared" si="37"/>
        <v>28</v>
      </c>
      <c r="CE9" s="54">
        <f t="shared" si="38"/>
        <v>37.137670000000014</v>
      </c>
      <c r="CF9" s="12">
        <v>-0.50756999999999997</v>
      </c>
      <c r="CG9" s="12" t="e">
        <f t="shared" si="52"/>
        <v>#REF!</v>
      </c>
      <c r="CH9" s="12" t="e">
        <f t="shared" si="52"/>
        <v>#REF!</v>
      </c>
      <c r="CI9" s="16">
        <v>269015</v>
      </c>
      <c r="CJ9" s="16">
        <v>269015.78000000003</v>
      </c>
      <c r="CK9" s="54">
        <v>110240.4</v>
      </c>
      <c r="CL9" s="16">
        <f t="shared" si="10"/>
        <v>374.85624000000001</v>
      </c>
      <c r="CM9" s="16">
        <f t="shared" si="39"/>
        <v>-261.85624000000001</v>
      </c>
      <c r="CN9" s="12" t="e">
        <f t="shared" si="11"/>
        <v>#REF!</v>
      </c>
      <c r="CO9" s="12">
        <f t="shared" si="12"/>
        <v>-0.67872369861591775</v>
      </c>
      <c r="CP9" s="18"/>
      <c r="CQ9" s="16"/>
      <c r="CR9" s="16"/>
      <c r="CS9" s="16"/>
      <c r="CT9" s="12"/>
      <c r="CU9" s="12"/>
      <c r="CV9" s="12"/>
      <c r="CW9" s="12"/>
      <c r="CX9" s="16">
        <v>16</v>
      </c>
      <c r="CY9" s="16">
        <v>27</v>
      </c>
      <c r="CZ9" s="16">
        <v>64.33</v>
      </c>
      <c r="DA9" s="16">
        <f t="shared" si="40"/>
        <v>107.33</v>
      </c>
      <c r="DB9" s="16">
        <f t="shared" si="41"/>
        <v>68</v>
      </c>
      <c r="DC9" s="16">
        <f t="shared" si="13"/>
        <v>236.14425999999997</v>
      </c>
      <c r="DD9" s="16">
        <f t="shared" si="14"/>
        <v>969.60935549872136</v>
      </c>
      <c r="DE9" s="16">
        <f t="shared" si="42"/>
        <v>-862.27935549872132</v>
      </c>
      <c r="DF9" s="17">
        <f t="shared" si="15"/>
        <v>-1.1748049473505753</v>
      </c>
      <c r="DG9" s="16">
        <f t="shared" si="16"/>
        <v>0</v>
      </c>
      <c r="DH9" s="16">
        <f t="shared" si="43"/>
        <v>-184.14425999999997</v>
      </c>
      <c r="DI9" s="16">
        <f t="shared" si="44"/>
        <v>68</v>
      </c>
      <c r="DJ9" s="12" t="e">
        <f t="shared" si="17"/>
        <v>#REF!</v>
      </c>
      <c r="DK9" s="12" t="e">
        <f t="shared" si="18"/>
        <v>#REF!</v>
      </c>
      <c r="DL9" s="16">
        <v>271309</v>
      </c>
      <c r="DM9" s="16">
        <v>271309</v>
      </c>
      <c r="DN9" s="16">
        <v>2528</v>
      </c>
      <c r="DO9" s="16">
        <v>7023</v>
      </c>
      <c r="DP9" s="16">
        <v>0</v>
      </c>
      <c r="DQ9" s="16">
        <f t="shared" si="45"/>
        <v>9551</v>
      </c>
      <c r="DR9" s="16">
        <f t="shared" si="46"/>
        <v>273837</v>
      </c>
      <c r="DS9" s="16" t="e">
        <f t="shared" si="19"/>
        <v>#REF!</v>
      </c>
      <c r="DT9" s="16">
        <f t="shared" si="20"/>
        <v>120406</v>
      </c>
      <c r="DU9" s="16">
        <f t="shared" si="21"/>
        <v>150903</v>
      </c>
      <c r="DV9" s="16">
        <f t="shared" si="22"/>
        <v>0</v>
      </c>
      <c r="DW9" s="16" t="e">
        <f t="shared" si="23"/>
        <v>#REF!</v>
      </c>
      <c r="DX9" s="109" t="e">
        <f t="shared" si="24"/>
        <v>#DIV/0!</v>
      </c>
      <c r="DY9" s="16">
        <f t="shared" si="47"/>
        <v>273837</v>
      </c>
      <c r="DZ9" s="109" t="e">
        <f t="shared" si="25"/>
        <v>#REF!</v>
      </c>
      <c r="EA9" s="17" t="e">
        <f t="shared" si="26"/>
        <v>#REF!</v>
      </c>
      <c r="EB9" s="16">
        <v>133745.95000000001</v>
      </c>
      <c r="EC9" s="54">
        <f t="shared" si="53"/>
        <v>158774.6</v>
      </c>
      <c r="ED9" s="54">
        <f t="shared" si="54"/>
        <v>135269.83000000002</v>
      </c>
      <c r="EE9" s="12">
        <v>0.39139000000000002</v>
      </c>
      <c r="EF9" s="12" t="e">
        <f t="shared" si="55"/>
        <v>#REF!</v>
      </c>
      <c r="EG9" s="12" t="e">
        <f t="shared" si="55"/>
        <v>#REF!</v>
      </c>
      <c r="EH9" s="12" t="e">
        <f t="shared" si="28"/>
        <v>#DIV/0!</v>
      </c>
      <c r="EI9" s="14" t="e">
        <f t="shared" si="29"/>
        <v>#DIV/0!</v>
      </c>
      <c r="EJ9" s="12" t="e">
        <f t="shared" si="30"/>
        <v>#REF!</v>
      </c>
      <c r="EK9" s="16">
        <f t="shared" si="31"/>
        <v>521233.30434782605</v>
      </c>
      <c r="EL9" s="16">
        <f t="shared" si="48"/>
        <v>-511682.30434782605</v>
      </c>
      <c r="EM9" s="12">
        <f t="shared" si="32"/>
        <v>-0.29531101967720313</v>
      </c>
      <c r="EN9" s="12">
        <f t="shared" si="33"/>
        <v>-0.82300737628122644</v>
      </c>
      <c r="EO9" s="12" t="e">
        <f t="shared" si="49"/>
        <v>#REF!</v>
      </c>
    </row>
    <row r="10" spans="1:145" x14ac:dyDescent="0.35">
      <c r="A10" s="8" t="s">
        <v>180</v>
      </c>
      <c r="B10" s="8" t="s">
        <v>13</v>
      </c>
      <c r="C10" s="1">
        <f t="shared" si="0"/>
        <v>224</v>
      </c>
      <c r="D10">
        <v>0</v>
      </c>
      <c r="E10">
        <v>0</v>
      </c>
      <c r="F10">
        <v>224</v>
      </c>
      <c r="G10">
        <v>0</v>
      </c>
      <c r="H10">
        <v>0</v>
      </c>
      <c r="I10" s="44">
        <v>2028</v>
      </c>
      <c r="J10">
        <v>1960.5</v>
      </c>
      <c r="K10" s="12">
        <f t="shared" si="1"/>
        <v>9.0535714285714288</v>
      </c>
      <c r="L10" s="12">
        <v>8.7522321428571423</v>
      </c>
      <c r="M10" s="12" t="e">
        <f>L10/L26</f>
        <v>#DIV/0!</v>
      </c>
      <c r="N10" s="45" t="e">
        <f>K10/K26</f>
        <v>#DIV/0!</v>
      </c>
      <c r="O10" s="16">
        <v>233645</v>
      </c>
      <c r="P10" s="16">
        <v>207193</v>
      </c>
      <c r="Q10" s="16">
        <f t="shared" si="2"/>
        <v>1043.0580357142858</v>
      </c>
      <c r="R10" s="16">
        <f t="shared" si="3"/>
        <v>924.96875</v>
      </c>
      <c r="S10" s="12" t="e">
        <f>R10/R26</f>
        <v>#DIV/0!</v>
      </c>
      <c r="T10" s="12" t="e">
        <f>Q10/Q26</f>
        <v>#DIV/0!</v>
      </c>
      <c r="U10" s="12" t="e">
        <f t="shared" si="4"/>
        <v>#DIV/0!</v>
      </c>
      <c r="V10" s="12" t="e">
        <f t="shared" si="5"/>
        <v>#DIV/0!</v>
      </c>
      <c r="W10" s="14" t="e">
        <f t="shared" si="50"/>
        <v>#REF!</v>
      </c>
      <c r="X10" s="15">
        <v>0.55800000000000005</v>
      </c>
      <c r="Y10" s="54">
        <v>100</v>
      </c>
      <c r="Z10" s="14">
        <v>0.77524131368688476</v>
      </c>
      <c r="AA10" s="14" t="e">
        <f t="shared" si="51"/>
        <v>#REF!</v>
      </c>
      <c r="AB10" s="34" t="e">
        <f>AE10*#REF!</f>
        <v>#REF!</v>
      </c>
      <c r="AC10" s="34" t="e">
        <f>(AH10*#REF!)</f>
        <v>#REF!</v>
      </c>
      <c r="AD10" s="66" t="e">
        <f>AC10-AB10</f>
        <v>#REF!</v>
      </c>
      <c r="AE10" s="34" t="e">
        <f>C10*AI10</f>
        <v>#REF!</v>
      </c>
      <c r="AF10" s="17">
        <f>X10/BM2</f>
        <v>9.7997892518440474E-2</v>
      </c>
      <c r="AG10" s="34">
        <f>AQ10*BN$7</f>
        <v>0</v>
      </c>
      <c r="AH10" s="102">
        <f>C10*AY10</f>
        <v>0</v>
      </c>
      <c r="AI10" s="274" t="e">
        <f>W10/BO$2</f>
        <v>#REF!</v>
      </c>
      <c r="AJ10" s="142">
        <v>116</v>
      </c>
      <c r="AK10" s="275">
        <v>161355.39767464454</v>
      </c>
      <c r="AL10" s="66" t="e">
        <f>BC10*BN$13</f>
        <v>#DIV/0!</v>
      </c>
      <c r="AM10" s="116" t="e">
        <f t="shared" si="56"/>
        <v>#REF!</v>
      </c>
      <c r="AN10" s="34" t="e">
        <f>BD10*#REF!</f>
        <v>#REF!</v>
      </c>
      <c r="AO10" s="30"/>
      <c r="AP10" s="34">
        <v>327736.63</v>
      </c>
      <c r="AQ10" s="274">
        <f>Y10*AX10</f>
        <v>0</v>
      </c>
      <c r="AR10" s="208">
        <v>283203.49865791859</v>
      </c>
      <c r="AS10" s="275" t="e">
        <f>AVERAGE(AK10,#REF!)</f>
        <v>#REF!</v>
      </c>
      <c r="AT10" s="209" t="e">
        <f>AVERAGE(AK10,#REF!,#REF!)</f>
        <v>#REF!</v>
      </c>
      <c r="AU10" s="213">
        <v>232927.73273096941</v>
      </c>
      <c r="AV10" s="214">
        <v>217484.13969405691</v>
      </c>
      <c r="AW10" s="274"/>
      <c r="AX10" s="274"/>
      <c r="AY10" s="274"/>
      <c r="BB10" s="12" t="e">
        <f>EH10/#REF!</f>
        <v>#DIV/0!</v>
      </c>
      <c r="BC10" s="12" t="e">
        <f>Y10*BB10</f>
        <v>#DIV/0!</v>
      </c>
      <c r="BD10" s="12" t="e">
        <f>Y10*BF10</f>
        <v>#REF!</v>
      </c>
      <c r="BE10" s="12"/>
      <c r="BF10" s="12" t="e">
        <f>CO10/#REF!</f>
        <v>#REF!</v>
      </c>
      <c r="BG10" s="12"/>
      <c r="BH10" s="12" t="e">
        <f>EJ10/BP$7</f>
        <v>#REF!</v>
      </c>
      <c r="BI10" s="12" t="e">
        <f>Y10*BJ10</f>
        <v>#REF!</v>
      </c>
      <c r="BJ10" s="12" t="e">
        <f>EO10/BP$10</f>
        <v>#REF!</v>
      </c>
      <c r="BP10" s="14" t="e">
        <f>SUM(EO3,EO4,EO10,EO13,EO14,EO19)</f>
        <v>#REF!</v>
      </c>
      <c r="BQ10">
        <v>4056</v>
      </c>
      <c r="BR10">
        <v>4095</v>
      </c>
      <c r="BS10">
        <f t="shared" si="34"/>
        <v>-39</v>
      </c>
      <c r="BT10">
        <v>1370</v>
      </c>
      <c r="BU10" s="16">
        <v>3711</v>
      </c>
      <c r="BV10" s="16">
        <v>5765</v>
      </c>
      <c r="BW10" s="16">
        <v>2574</v>
      </c>
      <c r="BX10" s="16">
        <f t="shared" si="6"/>
        <v>3872.3461195361283</v>
      </c>
      <c r="BY10" s="16">
        <f t="shared" si="7"/>
        <v>2456.4</v>
      </c>
      <c r="BZ10" s="16">
        <f t="shared" si="35"/>
        <v>-161.3461195361283</v>
      </c>
      <c r="CA10" s="16">
        <f t="shared" si="36"/>
        <v>3308.6</v>
      </c>
      <c r="CB10" s="14">
        <f t="shared" si="8"/>
        <v>0.59234564817685142</v>
      </c>
      <c r="CC10" s="54">
        <v>1284.2243800000001</v>
      </c>
      <c r="CD10">
        <f t="shared" si="37"/>
        <v>2686</v>
      </c>
      <c r="CE10" s="54">
        <f t="shared" si="38"/>
        <v>2810.7756199999999</v>
      </c>
      <c r="CF10" s="12">
        <v>1.11937</v>
      </c>
      <c r="CG10" s="12" t="e">
        <f t="shared" si="52"/>
        <v>#REF!</v>
      </c>
      <c r="CH10" s="12" t="e">
        <f t="shared" si="52"/>
        <v>#REF!</v>
      </c>
      <c r="CI10" s="16">
        <v>233645</v>
      </c>
      <c r="CJ10" s="16">
        <v>167695.71000000002</v>
      </c>
      <c r="CK10" s="54">
        <v>902916.26</v>
      </c>
      <c r="CL10" s="16">
        <f t="shared" si="10"/>
        <v>1703.8920000000001</v>
      </c>
      <c r="CM10" s="16">
        <f t="shared" si="39"/>
        <v>2007.1079999999999</v>
      </c>
      <c r="CN10" s="14" t="e">
        <f t="shared" si="11"/>
        <v>#REF!</v>
      </c>
      <c r="CO10" s="14">
        <f t="shared" si="12"/>
        <v>1.4410976285946664</v>
      </c>
      <c r="CP10" s="264">
        <v>150137.29080834211</v>
      </c>
      <c r="CQ10" s="285">
        <v>0</v>
      </c>
      <c r="CR10" s="16">
        <f>AVERAGE(AV10,CP10,CQ10)</f>
        <v>122540.47683413299</v>
      </c>
      <c r="CS10" s="285">
        <f>CR10-(CU10*CR$25)</f>
        <v>122540.47683413299</v>
      </c>
      <c r="CT10" s="12"/>
      <c r="CU10" s="12"/>
      <c r="CV10" s="12"/>
      <c r="CW10" s="12"/>
      <c r="CX10" s="16">
        <v>904</v>
      </c>
      <c r="CY10" s="16">
        <v>798</v>
      </c>
      <c r="CZ10" s="16">
        <v>647.36599999999999</v>
      </c>
      <c r="DA10" s="16">
        <f t="shared" si="40"/>
        <v>2349.366</v>
      </c>
      <c r="DB10" s="16">
        <f t="shared" si="41"/>
        <v>3478</v>
      </c>
      <c r="DC10" s="16">
        <f t="shared" si="13"/>
        <v>1073.383</v>
      </c>
      <c r="DD10" s="16">
        <f t="shared" si="14"/>
        <v>2883.9662881500431</v>
      </c>
      <c r="DE10" s="16">
        <f t="shared" si="42"/>
        <v>-534.60028815004307</v>
      </c>
      <c r="DF10" s="17">
        <f t="shared" si="15"/>
        <v>-0.72836147516307426</v>
      </c>
      <c r="DG10" s="16">
        <f t="shared" si="16"/>
        <v>0</v>
      </c>
      <c r="DH10" s="16">
        <f t="shared" si="43"/>
        <v>1500.617</v>
      </c>
      <c r="DI10" s="16">
        <f t="shared" si="44"/>
        <v>3478</v>
      </c>
      <c r="DJ10" s="14" t="e">
        <f t="shared" si="17"/>
        <v>#REF!</v>
      </c>
      <c r="DK10" s="14" t="e">
        <f t="shared" si="18"/>
        <v>#REF!</v>
      </c>
      <c r="DL10" s="16">
        <v>92846</v>
      </c>
      <c r="DM10" s="16">
        <v>92846</v>
      </c>
      <c r="DN10" s="16">
        <v>8220</v>
      </c>
      <c r="DO10" s="16">
        <v>53592</v>
      </c>
      <c r="DP10" s="16">
        <v>0</v>
      </c>
      <c r="DQ10" s="16">
        <f t="shared" si="45"/>
        <v>61812</v>
      </c>
      <c r="DR10" s="16">
        <f t="shared" si="46"/>
        <v>101066</v>
      </c>
      <c r="DS10" s="16" t="e">
        <f t="shared" si="19"/>
        <v>#REF!</v>
      </c>
      <c r="DT10" s="16">
        <f t="shared" si="20"/>
        <v>547300</v>
      </c>
      <c r="DU10" s="16">
        <f t="shared" si="21"/>
        <v>-454454</v>
      </c>
      <c r="DV10" s="16">
        <f t="shared" si="22"/>
        <v>0</v>
      </c>
      <c r="DW10" s="16" t="e">
        <f t="shared" si="23"/>
        <v>#REF!</v>
      </c>
      <c r="DX10" s="17" t="e">
        <f t="shared" si="24"/>
        <v>#DIV/0!</v>
      </c>
      <c r="DY10" s="16">
        <f t="shared" si="47"/>
        <v>101066</v>
      </c>
      <c r="DZ10" s="17" t="e">
        <f t="shared" si="25"/>
        <v>#REF!</v>
      </c>
      <c r="EA10" s="109" t="e">
        <f t="shared" si="26"/>
        <v>#REF!</v>
      </c>
      <c r="EB10" s="16">
        <v>802727.82</v>
      </c>
      <c r="EC10" s="54">
        <f t="shared" si="53"/>
        <v>-669271.26</v>
      </c>
      <c r="ED10" s="54">
        <f t="shared" si="54"/>
        <v>-635032.10999999987</v>
      </c>
      <c r="EE10" s="12">
        <v>-1.4953799999999999</v>
      </c>
      <c r="EF10" s="12" t="e">
        <f t="shared" si="55"/>
        <v>#REF!</v>
      </c>
      <c r="EG10" s="12" t="e">
        <f t="shared" si="55"/>
        <v>#REF!</v>
      </c>
      <c r="EH10" s="14" t="e">
        <f t="shared" si="28"/>
        <v>#DIV/0!</v>
      </c>
      <c r="EI10" s="12" t="e">
        <f t="shared" si="29"/>
        <v>#DIV/0!</v>
      </c>
      <c r="EJ10" s="14" t="e">
        <f t="shared" si="30"/>
        <v>#REF!</v>
      </c>
      <c r="EK10" s="16">
        <f t="shared" si="31"/>
        <v>1550334.956521739</v>
      </c>
      <c r="EL10" s="16">
        <f t="shared" si="48"/>
        <v>-1488522.956521739</v>
      </c>
      <c r="EM10" s="12">
        <f t="shared" si="32"/>
        <v>-0.8590823414611356</v>
      </c>
      <c r="EN10" s="12">
        <f t="shared" si="33"/>
        <v>-0.78064982168229879</v>
      </c>
      <c r="EO10" s="12" t="e">
        <f t="shared" si="49"/>
        <v>#REF!</v>
      </c>
    </row>
    <row r="11" spans="1:145" x14ac:dyDescent="0.35">
      <c r="A11" s="7" t="s">
        <v>191</v>
      </c>
      <c r="B11" s="7" t="s">
        <v>193</v>
      </c>
      <c r="C11" s="1">
        <f t="shared" si="0"/>
        <v>26</v>
      </c>
      <c r="D11">
        <v>0</v>
      </c>
      <c r="E11">
        <v>0</v>
      </c>
      <c r="F11">
        <v>12</v>
      </c>
      <c r="G11">
        <v>14</v>
      </c>
      <c r="H11">
        <v>0</v>
      </c>
      <c r="I11" s="44">
        <v>98.5</v>
      </c>
      <c r="J11">
        <v>78.5</v>
      </c>
      <c r="K11" s="12">
        <f t="shared" si="1"/>
        <v>3.7884615384615383</v>
      </c>
      <c r="L11" s="12">
        <v>3.0192307692307692</v>
      </c>
      <c r="M11" s="12" t="e">
        <f>L11/L26</f>
        <v>#DIV/0!</v>
      </c>
      <c r="N11" s="45" t="e">
        <f>K11/K26</f>
        <v>#DIV/0!</v>
      </c>
      <c r="O11" s="16">
        <v>68400</v>
      </c>
      <c r="P11" s="16">
        <v>35000</v>
      </c>
      <c r="Q11" s="16">
        <f t="shared" si="2"/>
        <v>2630.7692307692309</v>
      </c>
      <c r="R11" s="16">
        <f t="shared" si="3"/>
        <v>1346.1538461538462</v>
      </c>
      <c r="S11" s="12" t="e">
        <f>R11/R26</f>
        <v>#DIV/0!</v>
      </c>
      <c r="T11" s="12" t="e">
        <f>Q11/Q26</f>
        <v>#DIV/0!</v>
      </c>
      <c r="U11" s="12" t="e">
        <f t="shared" si="4"/>
        <v>#DIV/0!</v>
      </c>
      <c r="V11" s="12" t="e">
        <f t="shared" si="5"/>
        <v>#DIV/0!</v>
      </c>
      <c r="W11" s="12" t="e">
        <f t="shared" si="50"/>
        <v>#REF!</v>
      </c>
      <c r="X11" s="12">
        <v>-0.318</v>
      </c>
      <c r="Y11" s="54">
        <v>32</v>
      </c>
      <c r="Z11" s="12">
        <v>-0.23046572487570954</v>
      </c>
      <c r="AA11" s="12" t="e">
        <f t="shared" si="51"/>
        <v>#REF!</v>
      </c>
      <c r="AB11" s="18"/>
      <c r="AC11" s="18"/>
      <c r="AD11" s="18"/>
      <c r="AE11" s="18"/>
      <c r="AF11" s="17"/>
      <c r="AG11" s="18"/>
      <c r="AH11" s="29"/>
      <c r="AI11" s="17"/>
      <c r="AJ11" s="16">
        <v>30</v>
      </c>
      <c r="AK11" s="18"/>
      <c r="AL11" s="30"/>
      <c r="AM11" s="114"/>
      <c r="AN11" s="30"/>
      <c r="AO11" s="30"/>
      <c r="AP11" s="1"/>
      <c r="AQ11" s="17"/>
      <c r="AS11" s="209"/>
      <c r="AT11" s="209"/>
      <c r="AW11" s="17"/>
      <c r="AX11" s="17"/>
      <c r="AY11" s="17"/>
      <c r="BB11" s="12"/>
      <c r="BC11" s="12"/>
      <c r="BD11" s="12"/>
      <c r="BE11" s="12"/>
      <c r="BF11" s="12"/>
      <c r="BG11" s="12"/>
      <c r="BH11" s="12"/>
      <c r="BI11" s="12"/>
      <c r="BJ11" s="12"/>
      <c r="BQ11">
        <v>197</v>
      </c>
      <c r="BR11">
        <v>197</v>
      </c>
      <c r="BS11">
        <f t="shared" si="34"/>
        <v>0</v>
      </c>
      <c r="BT11">
        <v>159</v>
      </c>
      <c r="BU11" s="16">
        <v>669</v>
      </c>
      <c r="BV11" s="16">
        <v>767</v>
      </c>
      <c r="BW11" s="16">
        <v>315</v>
      </c>
      <c r="BX11" s="16">
        <f t="shared" si="6"/>
        <v>1239.150758251561</v>
      </c>
      <c r="BY11" s="16">
        <f t="shared" si="7"/>
        <v>786.048</v>
      </c>
      <c r="BZ11" s="16">
        <f t="shared" si="35"/>
        <v>-570.150758251561</v>
      </c>
      <c r="CA11" s="16">
        <f t="shared" si="36"/>
        <v>-19.048000000000002</v>
      </c>
      <c r="CB11" s="12">
        <f t="shared" si="8"/>
        <v>0.18823953540999849</v>
      </c>
      <c r="CC11" s="54">
        <v>149.06175999999999</v>
      </c>
      <c r="CD11">
        <f t="shared" si="37"/>
        <v>38</v>
      </c>
      <c r="CE11" s="54">
        <f t="shared" si="38"/>
        <v>47.938240000000008</v>
      </c>
      <c r="CF11" s="12">
        <v>-0.50165999999999999</v>
      </c>
      <c r="CG11" s="12" t="e">
        <f t="shared" si="52"/>
        <v>#REF!</v>
      </c>
      <c r="CH11" s="12" t="e">
        <f t="shared" si="52"/>
        <v>#REF!</v>
      </c>
      <c r="CI11" s="16">
        <v>68400</v>
      </c>
      <c r="CJ11" s="16">
        <v>68400</v>
      </c>
      <c r="CK11" s="54">
        <v>123462.48</v>
      </c>
      <c r="CL11" s="16">
        <f t="shared" si="10"/>
        <v>545.24544000000003</v>
      </c>
      <c r="CM11" s="16">
        <f t="shared" si="39"/>
        <v>123.75455999999997</v>
      </c>
      <c r="CN11" s="12" t="e">
        <f t="shared" si="11"/>
        <v>#REF!</v>
      </c>
      <c r="CO11" s="12">
        <f t="shared" si="12"/>
        <v>-0.4978808452980919</v>
      </c>
      <c r="CP11" s="18"/>
      <c r="CQ11" s="16"/>
      <c r="CR11" s="16"/>
      <c r="CS11" s="16"/>
      <c r="CT11" s="12"/>
      <c r="CU11" s="12"/>
      <c r="CV11" s="12"/>
      <c r="CW11" s="12"/>
      <c r="CX11" s="16">
        <v>224</v>
      </c>
      <c r="CY11" s="16">
        <v>122</v>
      </c>
      <c r="CZ11" s="16">
        <v>70.13</v>
      </c>
      <c r="DA11" s="16">
        <f t="shared" si="40"/>
        <v>416.13</v>
      </c>
      <c r="DB11" s="16">
        <f t="shared" si="41"/>
        <v>539</v>
      </c>
      <c r="DC11" s="16">
        <f t="shared" si="13"/>
        <v>343.48255999999998</v>
      </c>
      <c r="DD11" s="16">
        <f t="shared" si="14"/>
        <v>745.85335038363178</v>
      </c>
      <c r="DE11" s="16">
        <f t="shared" si="42"/>
        <v>-329.72335038363178</v>
      </c>
      <c r="DF11" s="17">
        <f t="shared" si="15"/>
        <v>-0.44922868768400204</v>
      </c>
      <c r="DG11" s="16">
        <f t="shared" si="16"/>
        <v>0</v>
      </c>
      <c r="DH11" s="16">
        <f t="shared" si="43"/>
        <v>-28.482559999999978</v>
      </c>
      <c r="DI11" s="16">
        <f t="shared" si="44"/>
        <v>539</v>
      </c>
      <c r="DJ11" s="12" t="e">
        <f t="shared" si="17"/>
        <v>#REF!</v>
      </c>
      <c r="DK11" s="12" t="e">
        <f t="shared" si="18"/>
        <v>#REF!</v>
      </c>
      <c r="DL11" s="16">
        <v>33400</v>
      </c>
      <c r="DM11" s="16">
        <v>33400</v>
      </c>
      <c r="DN11" s="16">
        <v>0</v>
      </c>
      <c r="DO11" s="16">
        <v>0</v>
      </c>
      <c r="DP11" s="16">
        <v>0</v>
      </c>
      <c r="DQ11" s="16">
        <f t="shared" si="45"/>
        <v>0</v>
      </c>
      <c r="DR11" s="16">
        <f t="shared" si="46"/>
        <v>33400</v>
      </c>
      <c r="DS11" s="16" t="e">
        <f t="shared" si="19"/>
        <v>#REF!</v>
      </c>
      <c r="DT11" s="16">
        <f t="shared" si="20"/>
        <v>175136</v>
      </c>
      <c r="DU11" s="16">
        <f t="shared" si="21"/>
        <v>-141736</v>
      </c>
      <c r="DV11" s="16">
        <f t="shared" si="22"/>
        <v>0</v>
      </c>
      <c r="DW11" s="16" t="e">
        <f t="shared" si="23"/>
        <v>#REF!</v>
      </c>
      <c r="DX11" s="17" t="e">
        <f t="shared" si="24"/>
        <v>#DIV/0!</v>
      </c>
      <c r="DY11" s="16">
        <f t="shared" si="47"/>
        <v>33400</v>
      </c>
      <c r="DZ11" s="17" t="e">
        <f t="shared" si="25"/>
        <v>#REF!</v>
      </c>
      <c r="EA11" s="17" t="e">
        <f t="shared" si="26"/>
        <v>#REF!</v>
      </c>
      <c r="EB11" s="16">
        <v>147299.82</v>
      </c>
      <c r="EC11" s="54">
        <f t="shared" si="53"/>
        <v>-55062.479999999996</v>
      </c>
      <c r="ED11" s="54">
        <f t="shared" si="54"/>
        <v>-78899.820000000007</v>
      </c>
      <c r="EE11" s="12">
        <v>-9.5850000000000005E-2</v>
      </c>
      <c r="EF11" s="12" t="e">
        <f t="shared" si="55"/>
        <v>#REF!</v>
      </c>
      <c r="EG11" s="12" t="e">
        <f t="shared" si="55"/>
        <v>#REF!</v>
      </c>
      <c r="EH11" s="12" t="e">
        <f t="shared" si="28"/>
        <v>#DIV/0!</v>
      </c>
      <c r="EI11" s="12" t="e">
        <f t="shared" si="29"/>
        <v>#DIV/0!</v>
      </c>
      <c r="EJ11" s="12" t="e">
        <f t="shared" si="30"/>
        <v>#REF!</v>
      </c>
      <c r="EK11" s="16">
        <f t="shared" si="31"/>
        <v>400948.69565217389</v>
      </c>
      <c r="EL11" s="16">
        <f t="shared" si="48"/>
        <v>-400948.69565217389</v>
      </c>
      <c r="EM11" s="12">
        <f t="shared" si="32"/>
        <v>-0.23140250726904216</v>
      </c>
      <c r="EN11" s="12">
        <f t="shared" si="33"/>
        <v>-0.36209821551801807</v>
      </c>
      <c r="EO11" s="12" t="e">
        <f t="shared" si="49"/>
        <v>#REF!</v>
      </c>
    </row>
    <row r="12" spans="1:145" x14ac:dyDescent="0.35">
      <c r="A12" s="8" t="s">
        <v>204</v>
      </c>
      <c r="B12" s="8" t="s">
        <v>205</v>
      </c>
      <c r="C12" s="1">
        <f t="shared" si="0"/>
        <v>28</v>
      </c>
      <c r="D12">
        <v>0</v>
      </c>
      <c r="E12">
        <v>0</v>
      </c>
      <c r="F12">
        <v>0</v>
      </c>
      <c r="G12">
        <v>28</v>
      </c>
      <c r="H12">
        <v>0</v>
      </c>
      <c r="I12" s="44">
        <v>111.5</v>
      </c>
      <c r="J12">
        <v>120</v>
      </c>
      <c r="K12" s="12">
        <f>I12/C12</f>
        <v>3.9821428571428572</v>
      </c>
      <c r="L12" s="12">
        <v>4.2857142857142856</v>
      </c>
      <c r="M12" s="12" t="e">
        <f>L12/L26</f>
        <v>#DIV/0!</v>
      </c>
      <c r="N12" s="45" t="e">
        <f>K12/K26</f>
        <v>#DIV/0!</v>
      </c>
      <c r="O12" s="16">
        <v>5912</v>
      </c>
      <c r="P12" s="16">
        <v>160321</v>
      </c>
      <c r="Q12" s="16">
        <f t="shared" si="2"/>
        <v>211.14285714285714</v>
      </c>
      <c r="R12" s="16">
        <f t="shared" si="3"/>
        <v>5725.75</v>
      </c>
      <c r="S12" s="12" t="e">
        <f>R12/R26</f>
        <v>#DIV/0!</v>
      </c>
      <c r="T12" s="12" t="e">
        <f>Q12/Q26</f>
        <v>#DIV/0!</v>
      </c>
      <c r="U12" s="12" t="e">
        <f t="shared" si="4"/>
        <v>#DIV/0!</v>
      </c>
      <c r="V12" s="12" t="e">
        <f t="shared" si="5"/>
        <v>#DIV/0!</v>
      </c>
      <c r="W12" s="12" t="e">
        <f t="shared" si="50"/>
        <v>#REF!</v>
      </c>
      <c r="X12" s="12">
        <v>-0.16800000000000001</v>
      </c>
      <c r="Y12" s="54">
        <v>24</v>
      </c>
      <c r="Z12" s="12">
        <v>-0.42892277630941106</v>
      </c>
      <c r="AA12" s="12" t="e">
        <f t="shared" si="51"/>
        <v>#REF!</v>
      </c>
      <c r="AB12" s="18"/>
      <c r="AC12" s="18"/>
      <c r="AD12" s="18"/>
      <c r="AE12" s="18"/>
      <c r="AF12" s="17"/>
      <c r="AG12" s="18"/>
      <c r="AH12" s="29"/>
      <c r="AI12" s="17"/>
      <c r="AJ12" s="16">
        <v>25</v>
      </c>
      <c r="AK12" s="18"/>
      <c r="AL12" s="30"/>
      <c r="AM12" s="114"/>
      <c r="AN12" s="30"/>
      <c r="AO12" s="30"/>
      <c r="AP12" s="30"/>
      <c r="AQ12" s="17"/>
      <c r="AR12" s="18"/>
      <c r="AS12" s="209"/>
      <c r="AT12" s="209"/>
      <c r="AU12" s="212"/>
      <c r="AV12" s="212"/>
      <c r="AW12" s="17"/>
      <c r="AX12" s="17"/>
      <c r="AY12" s="17"/>
      <c r="BB12" s="12"/>
      <c r="BC12" s="12"/>
      <c r="BD12" s="12"/>
      <c r="BE12" s="12"/>
      <c r="BF12" s="12"/>
      <c r="BG12" s="12"/>
      <c r="BH12" s="12"/>
      <c r="BI12" s="12"/>
      <c r="BJ12" s="12"/>
      <c r="BK12" s="144"/>
      <c r="BN12" s="17"/>
      <c r="BQ12">
        <v>223</v>
      </c>
      <c r="BR12">
        <v>223</v>
      </c>
      <c r="BS12">
        <f t="shared" si="34"/>
        <v>0</v>
      </c>
      <c r="BT12">
        <v>171</v>
      </c>
      <c r="BU12" s="16">
        <v>252</v>
      </c>
      <c r="BV12" s="16">
        <v>434</v>
      </c>
      <c r="BW12" s="16">
        <v>135</v>
      </c>
      <c r="BX12" s="16">
        <f t="shared" si="6"/>
        <v>929.36306868867075</v>
      </c>
      <c r="BY12" s="16">
        <f t="shared" si="7"/>
        <v>589.53600000000006</v>
      </c>
      <c r="BZ12" s="16">
        <f t="shared" si="35"/>
        <v>-677.36306868867075</v>
      </c>
      <c r="CA12" s="16">
        <f t="shared" si="36"/>
        <v>-155.53600000000006</v>
      </c>
      <c r="CB12" s="12">
        <f t="shared" si="8"/>
        <v>8.2259451261168723E-2</v>
      </c>
      <c r="CC12" s="54">
        <v>160.52805000000001</v>
      </c>
      <c r="CD12">
        <f t="shared" si="37"/>
        <v>52</v>
      </c>
      <c r="CE12" s="54">
        <f t="shared" si="38"/>
        <v>62.471949999999993</v>
      </c>
      <c r="CF12" s="12">
        <v>-0.49323</v>
      </c>
      <c r="CG12" s="12" t="e">
        <f t="shared" si="52"/>
        <v>#REF!</v>
      </c>
      <c r="CH12" s="12" t="e">
        <f t="shared" si="52"/>
        <v>#REF!</v>
      </c>
      <c r="CI12" s="16">
        <v>5912</v>
      </c>
      <c r="CJ12" s="16">
        <v>5912</v>
      </c>
      <c r="CK12" s="54">
        <v>132211.99</v>
      </c>
      <c r="CL12" s="16">
        <f t="shared" si="10"/>
        <v>408.93407999999999</v>
      </c>
      <c r="CM12" s="16">
        <f t="shared" si="39"/>
        <v>-156.93407999999999</v>
      </c>
      <c r="CN12" s="12" t="e">
        <f t="shared" si="11"/>
        <v>#REF!</v>
      </c>
      <c r="CO12" s="12">
        <f t="shared" si="12"/>
        <v>-0.57741067956682313</v>
      </c>
      <c r="CP12" s="18"/>
      <c r="CQ12" s="16"/>
      <c r="CR12" s="16"/>
      <c r="CS12" s="16"/>
      <c r="CT12" s="12"/>
      <c r="CU12" s="12"/>
      <c r="CV12" s="12"/>
      <c r="CW12" s="12"/>
      <c r="CX12" s="16">
        <v>42</v>
      </c>
      <c r="CY12" s="16">
        <v>56</v>
      </c>
      <c r="CZ12" s="16">
        <v>33.869999999999997</v>
      </c>
      <c r="DA12" s="16">
        <f t="shared" si="40"/>
        <v>131.87</v>
      </c>
      <c r="DB12" s="16">
        <f t="shared" si="41"/>
        <v>177</v>
      </c>
      <c r="DC12" s="16">
        <f t="shared" si="13"/>
        <v>257.61192</v>
      </c>
      <c r="DD12" s="16">
        <f t="shared" si="14"/>
        <v>621.54445865302648</v>
      </c>
      <c r="DE12" s="16">
        <f t="shared" si="42"/>
        <v>-489.67445865302648</v>
      </c>
      <c r="DF12" s="17">
        <f t="shared" si="15"/>
        <v>-0.66715267267887535</v>
      </c>
      <c r="DG12" s="16">
        <f t="shared" si="16"/>
        <v>0</v>
      </c>
      <c r="DH12" s="16">
        <f t="shared" si="43"/>
        <v>-122.61192</v>
      </c>
      <c r="DI12" s="16">
        <f t="shared" si="44"/>
        <v>177</v>
      </c>
      <c r="DJ12" s="12" t="e">
        <f t="shared" si="17"/>
        <v>#REF!</v>
      </c>
      <c r="DK12" s="12" t="e">
        <f t="shared" si="18"/>
        <v>#REF!</v>
      </c>
      <c r="DL12" s="16">
        <v>0</v>
      </c>
      <c r="DM12" s="16">
        <v>0</v>
      </c>
      <c r="DN12" s="16">
        <v>0</v>
      </c>
      <c r="DO12" s="16">
        <v>0</v>
      </c>
      <c r="DP12" s="16">
        <v>0</v>
      </c>
      <c r="DQ12" s="16">
        <f t="shared" si="45"/>
        <v>0</v>
      </c>
      <c r="DR12" s="16">
        <f t="shared" si="46"/>
        <v>0</v>
      </c>
      <c r="DS12" s="16" t="e">
        <f t="shared" si="19"/>
        <v>#REF!</v>
      </c>
      <c r="DT12" s="16">
        <f t="shared" si="20"/>
        <v>131352</v>
      </c>
      <c r="DU12" s="16">
        <f t="shared" si="21"/>
        <v>-131352</v>
      </c>
      <c r="DV12" s="16">
        <f t="shared" si="22"/>
        <v>0</v>
      </c>
      <c r="DW12" s="16" t="e">
        <f t="shared" si="23"/>
        <v>#REF!</v>
      </c>
      <c r="DX12" s="17" t="e">
        <f t="shared" si="24"/>
        <v>#DIV/0!</v>
      </c>
      <c r="DY12" s="16">
        <f t="shared" si="47"/>
        <v>0</v>
      </c>
      <c r="DZ12" s="17" t="e">
        <f t="shared" si="25"/>
        <v>#REF!</v>
      </c>
      <c r="EA12" s="17" t="e">
        <f t="shared" si="26"/>
        <v>#REF!</v>
      </c>
      <c r="EB12" s="16">
        <v>156150.01999999999</v>
      </c>
      <c r="EC12" s="54">
        <f t="shared" si="53"/>
        <v>-126299.98999999999</v>
      </c>
      <c r="ED12" s="54">
        <f t="shared" si="54"/>
        <v>-150238.01999999999</v>
      </c>
      <c r="EE12" s="12">
        <v>-0.25817000000000001</v>
      </c>
      <c r="EF12" s="12" t="e">
        <f t="shared" si="55"/>
        <v>#REF!</v>
      </c>
      <c r="EG12" s="12" t="e">
        <f t="shared" si="55"/>
        <v>#REF!</v>
      </c>
      <c r="EH12" s="12" t="e">
        <f t="shared" si="28"/>
        <v>#DIV/0!</v>
      </c>
      <c r="EI12" s="12" t="e">
        <f t="shared" si="29"/>
        <v>#DIV/0!</v>
      </c>
      <c r="EJ12" s="12" t="e">
        <f t="shared" si="30"/>
        <v>#REF!</v>
      </c>
      <c r="EK12" s="16">
        <f t="shared" si="31"/>
        <v>334123.91304347827</v>
      </c>
      <c r="EL12" s="16">
        <f t="shared" si="48"/>
        <v>-334123.91304347827</v>
      </c>
      <c r="EM12" s="12">
        <f t="shared" si="32"/>
        <v>-0.19283542272420182</v>
      </c>
      <c r="EN12" s="12">
        <f t="shared" si="33"/>
        <v>-0.47742577269700592</v>
      </c>
      <c r="EO12" s="12" t="e">
        <f t="shared" si="49"/>
        <v>#REF!</v>
      </c>
    </row>
    <row r="13" spans="1:145" x14ac:dyDescent="0.35">
      <c r="A13" s="8" t="s">
        <v>214</v>
      </c>
      <c r="B13" s="8" t="s">
        <v>17</v>
      </c>
      <c r="C13" s="1">
        <f t="shared" si="0"/>
        <v>146</v>
      </c>
      <c r="D13">
        <v>36</v>
      </c>
      <c r="E13">
        <v>12</v>
      </c>
      <c r="F13">
        <v>38</v>
      </c>
      <c r="G13">
        <v>37</v>
      </c>
      <c r="H13">
        <v>23</v>
      </c>
      <c r="I13" s="49">
        <v>2662.5</v>
      </c>
      <c r="J13" s="9">
        <v>2882.5</v>
      </c>
      <c r="K13" s="12">
        <f t="shared" ref="K13:K24" si="57">I13/C13</f>
        <v>18.236301369863014</v>
      </c>
      <c r="L13" s="12">
        <v>19.743150684931507</v>
      </c>
      <c r="M13" s="12" t="e">
        <f>L13/L26</f>
        <v>#DIV/0!</v>
      </c>
      <c r="N13" s="45" t="e">
        <f>K13/K26</f>
        <v>#DIV/0!</v>
      </c>
      <c r="O13" s="16">
        <v>148434</v>
      </c>
      <c r="P13" s="16">
        <v>167241</v>
      </c>
      <c r="Q13" s="16">
        <f t="shared" si="2"/>
        <v>1016.6712328767123</v>
      </c>
      <c r="R13" s="16">
        <f t="shared" si="3"/>
        <v>1145.486301369863</v>
      </c>
      <c r="S13" s="12" t="e">
        <f>R13/R26</f>
        <v>#DIV/0!</v>
      </c>
      <c r="T13" s="12" t="e">
        <f>Q13/Q26</f>
        <v>#DIV/0!</v>
      </c>
      <c r="U13" s="12" t="e">
        <f t="shared" si="4"/>
        <v>#DIV/0!</v>
      </c>
      <c r="V13" s="12" t="e">
        <f t="shared" si="5"/>
        <v>#DIV/0!</v>
      </c>
      <c r="W13" s="14" t="e">
        <f t="shared" ref="W13:W22" si="58">(0.6*CG13)+(0.4*EF13)</f>
        <v>#REF!</v>
      </c>
      <c r="X13" s="15">
        <v>1.3009999999999999</v>
      </c>
      <c r="Y13" s="54">
        <v>158</v>
      </c>
      <c r="Z13" s="14">
        <v>0.18430088265305994</v>
      </c>
      <c r="AA13" s="14" t="e">
        <f t="shared" ref="AA13:AA22" si="59">(0.6*CH13)+(0.4*EG13)</f>
        <v>#REF!</v>
      </c>
      <c r="AB13" s="34" t="e">
        <f>AE13*#REF!</f>
        <v>#REF!</v>
      </c>
      <c r="AC13" s="34" t="e">
        <f>(AH13*#REF!)</f>
        <v>#REF!</v>
      </c>
      <c r="AD13" s="66" t="e">
        <f>AC13-AB13</f>
        <v>#REF!</v>
      </c>
      <c r="AE13" s="34" t="e">
        <f>C13*AI13</f>
        <v>#REF!</v>
      </c>
      <c r="AF13" s="274">
        <f>X13/BM2</f>
        <v>0.2284861257463997</v>
      </c>
      <c r="AG13" s="34">
        <f>AQ13*BN$7</f>
        <v>0</v>
      </c>
      <c r="AH13" s="102">
        <f>C13*AY13</f>
        <v>0</v>
      </c>
      <c r="AI13" s="274" t="e">
        <f>W13/BO$2</f>
        <v>#REF!</v>
      </c>
      <c r="AJ13" s="142">
        <v>154</v>
      </c>
      <c r="AK13" s="275">
        <v>857188.4135871341</v>
      </c>
      <c r="AL13" s="66" t="e">
        <f>BC13*BN$13</f>
        <v>#DIV/0!</v>
      </c>
      <c r="AM13" s="116" t="e">
        <f t="shared" ref="AM13:AM14" si="60">SUM(AN13:AO13)</f>
        <v>#REF!</v>
      </c>
      <c r="AN13" s="34" t="e">
        <f>BD13*#REF!</f>
        <v>#REF!</v>
      </c>
      <c r="AO13" s="30"/>
      <c r="AP13" s="34">
        <v>375068.12</v>
      </c>
      <c r="AQ13" s="274">
        <f>Y13*AX13</f>
        <v>0</v>
      </c>
      <c r="AR13" s="208">
        <v>352007.44787199091</v>
      </c>
      <c r="AS13" s="275">
        <f>AVERAGE(AK13,AP12)</f>
        <v>857188.4135871341</v>
      </c>
      <c r="AT13" s="209" t="e">
        <f>AVERAGE(AK13,#REF!,#REF!)</f>
        <v>#REF!</v>
      </c>
      <c r="AU13" s="213">
        <v>607712.95969389763</v>
      </c>
      <c r="AV13" s="214">
        <v>599071.66587545292</v>
      </c>
      <c r="AW13" s="274"/>
      <c r="AX13" s="274"/>
      <c r="AY13" s="274"/>
      <c r="BB13" s="12" t="e">
        <f>EH13/#REF!</f>
        <v>#DIV/0!</v>
      </c>
      <c r="BC13" s="12" t="e">
        <f>Y13*BB13</f>
        <v>#DIV/0!</v>
      </c>
      <c r="BD13" s="12" t="e">
        <f>Y13*BF13</f>
        <v>#REF!</v>
      </c>
      <c r="BE13" s="12"/>
      <c r="BF13" s="12" t="e">
        <f>CO13/#REF!</f>
        <v>#REF!</v>
      </c>
      <c r="BG13" s="12"/>
      <c r="BH13" s="12" t="e">
        <f>EJ13/BP$7</f>
        <v>#REF!</v>
      </c>
      <c r="BI13" s="12" t="e">
        <f>Y13*BJ13</f>
        <v>#REF!</v>
      </c>
      <c r="BJ13" s="12" t="e">
        <f>EO13/BP$10</f>
        <v>#REF!</v>
      </c>
      <c r="BK13" s="144"/>
      <c r="BN13" s="27"/>
      <c r="BQ13">
        <v>5325</v>
      </c>
      <c r="BR13">
        <v>5332</v>
      </c>
      <c r="BS13">
        <f t="shared" si="34"/>
        <v>-7</v>
      </c>
      <c r="BT13">
        <v>893</v>
      </c>
      <c r="BU13" s="16">
        <v>4612</v>
      </c>
      <c r="BV13" s="16">
        <v>7436</v>
      </c>
      <c r="BW13" s="16">
        <v>3132</v>
      </c>
      <c r="BX13" s="16">
        <f t="shared" si="6"/>
        <v>6118.3068688670828</v>
      </c>
      <c r="BY13" s="16">
        <f t="shared" si="7"/>
        <v>3881.1120000000001</v>
      </c>
      <c r="BZ13" s="16">
        <f t="shared" ref="BZ13:BZ16" si="61">BU13-BX13</f>
        <v>-1506.3068688670828</v>
      </c>
      <c r="CA13" s="16">
        <f t="shared" si="36"/>
        <v>3554.8879999999999</v>
      </c>
      <c r="CB13" s="12">
        <f t="shared" si="8"/>
        <v>-0.73715702562832197</v>
      </c>
      <c r="CC13" s="54">
        <v>837.03911000000005</v>
      </c>
      <c r="CD13">
        <f t="shared" si="37"/>
        <v>4432</v>
      </c>
      <c r="CE13" s="54">
        <f t="shared" si="38"/>
        <v>4494.9608900000003</v>
      </c>
      <c r="CF13" s="12">
        <v>2.18832</v>
      </c>
      <c r="CG13" s="12" t="e">
        <f t="shared" ref="CG13:CH17" si="62">(CD13-CD$25)/CD$26</f>
        <v>#REF!</v>
      </c>
      <c r="CH13" s="12" t="e">
        <f t="shared" si="62"/>
        <v>#REF!</v>
      </c>
      <c r="CI13" s="16">
        <v>148434</v>
      </c>
      <c r="CJ13" s="16">
        <v>234293</v>
      </c>
      <c r="CK13" s="54">
        <v>607990.1</v>
      </c>
      <c r="CL13" s="16">
        <f t="shared" si="10"/>
        <v>2692.1493600000003</v>
      </c>
      <c r="CM13" s="16">
        <f t="shared" ref="CM13:CM16" si="63">BU13-CL13</f>
        <v>1919.8506399999997</v>
      </c>
      <c r="CN13" s="14" t="e">
        <f t="shared" si="11"/>
        <v>#REF!</v>
      </c>
      <c r="CO13" s="14">
        <f t="shared" si="12"/>
        <v>1.5846065365014221</v>
      </c>
      <c r="CP13" s="264">
        <v>402261.5418564502</v>
      </c>
      <c r="CQ13" s="285">
        <v>0</v>
      </c>
      <c r="CR13" s="16">
        <f>AVERAGE(AV13,CP13,CQ13)</f>
        <v>333777.73591063434</v>
      </c>
      <c r="CS13" s="285">
        <f>CR13-(CU13*CR$25)</f>
        <v>333777.73591063434</v>
      </c>
      <c r="CT13" s="12"/>
      <c r="CU13" s="12"/>
      <c r="CV13" s="12"/>
      <c r="CW13" s="12"/>
      <c r="CX13" s="16">
        <v>1293</v>
      </c>
      <c r="CY13" s="16">
        <v>1486</v>
      </c>
      <c r="CZ13" s="16">
        <v>1197.43</v>
      </c>
      <c r="DA13" s="16">
        <f t="shared" si="40"/>
        <v>3976.4300000000003</v>
      </c>
      <c r="DB13" s="16">
        <f t="shared" si="41"/>
        <v>4425</v>
      </c>
      <c r="DC13" s="16">
        <f t="shared" si="13"/>
        <v>1695.9451399999998</v>
      </c>
      <c r="DD13" s="16">
        <f t="shared" si="14"/>
        <v>3828.7138653026432</v>
      </c>
      <c r="DE13" s="16">
        <f t="shared" si="42"/>
        <v>147.71613469735712</v>
      </c>
      <c r="DF13" s="109">
        <f t="shared" si="15"/>
        <v>0.20125455252908078</v>
      </c>
      <c r="DG13" s="16">
        <f t="shared" si="16"/>
        <v>0</v>
      </c>
      <c r="DH13" s="16">
        <f t="shared" si="43"/>
        <v>1436.0548600000002</v>
      </c>
      <c r="DI13" s="16">
        <f t="shared" si="44"/>
        <v>4425</v>
      </c>
      <c r="DJ13" s="14" t="e">
        <f t="shared" ref="DJ13:DK17" si="64">(DH13-DH$24)/DH$25</f>
        <v>#REF!</v>
      </c>
      <c r="DK13" s="14" t="e">
        <f t="shared" si="64"/>
        <v>#REF!</v>
      </c>
      <c r="DL13" s="16">
        <v>275499</v>
      </c>
      <c r="DM13" s="16">
        <v>361359</v>
      </c>
      <c r="DN13" s="16">
        <v>139344</v>
      </c>
      <c r="DO13" s="16">
        <v>0</v>
      </c>
      <c r="DP13" s="16">
        <v>280882</v>
      </c>
      <c r="DQ13" s="16">
        <f t="shared" si="45"/>
        <v>420226</v>
      </c>
      <c r="DR13" s="16">
        <f t="shared" si="46"/>
        <v>414843</v>
      </c>
      <c r="DS13" s="16" t="e">
        <f t="shared" si="19"/>
        <v>#REF!</v>
      </c>
      <c r="DT13" s="16">
        <f t="shared" si="20"/>
        <v>864734</v>
      </c>
      <c r="DU13" s="16">
        <f t="shared" si="21"/>
        <v>-503375</v>
      </c>
      <c r="DV13" s="16">
        <f t="shared" si="22"/>
        <v>0</v>
      </c>
      <c r="DW13" s="16" t="e">
        <f t="shared" si="23"/>
        <v>#REF!</v>
      </c>
      <c r="DX13" s="17" t="e">
        <f t="shared" si="24"/>
        <v>#DIV/0!</v>
      </c>
      <c r="DY13" s="16">
        <f t="shared" si="47"/>
        <v>414843</v>
      </c>
      <c r="DZ13" s="17" t="e">
        <f t="shared" si="25"/>
        <v>#REF!</v>
      </c>
      <c r="EA13" s="17" t="e">
        <f t="shared" si="26"/>
        <v>#REF!</v>
      </c>
      <c r="EB13" s="16">
        <v>573070.71</v>
      </c>
      <c r="EC13" s="54">
        <f t="shared" ref="EC13:EC22" si="65">CI13-CK13</f>
        <v>-459556.1</v>
      </c>
      <c r="ED13" s="54">
        <f t="shared" ref="ED13:ED22" si="66">CJ13-EB13</f>
        <v>-338777.70999999996</v>
      </c>
      <c r="EE13" s="12">
        <v>-1.01753</v>
      </c>
      <c r="EF13" s="12" t="e">
        <f t="shared" ref="EF13:EG17" si="67">(EC13-EC$25)/EC$26</f>
        <v>#REF!</v>
      </c>
      <c r="EG13" s="12" t="e">
        <f t="shared" si="67"/>
        <v>#REF!</v>
      </c>
      <c r="EH13" s="14" t="e">
        <f t="shared" si="28"/>
        <v>#DIV/0!</v>
      </c>
      <c r="EI13" s="12" t="e">
        <f t="shared" si="29"/>
        <v>#DIV/0!</v>
      </c>
      <c r="EJ13" s="14" t="e">
        <f t="shared" si="30"/>
        <v>#REF!</v>
      </c>
      <c r="EK13" s="16">
        <f t="shared" si="31"/>
        <v>2058203.3043478259</v>
      </c>
      <c r="EL13" s="16">
        <f t="shared" si="48"/>
        <v>-1637977.3043478259</v>
      </c>
      <c r="EM13" s="12">
        <f t="shared" si="32"/>
        <v>-0.94533804246288666</v>
      </c>
      <c r="EN13" s="12">
        <f t="shared" si="33"/>
        <v>-0.2573824854677062</v>
      </c>
      <c r="EO13" s="12" t="e">
        <f t="shared" si="49"/>
        <v>#REF!</v>
      </c>
    </row>
    <row r="14" spans="1:145" x14ac:dyDescent="0.35">
      <c r="A14" s="8" t="s">
        <v>214</v>
      </c>
      <c r="B14" s="8" t="s">
        <v>19</v>
      </c>
      <c r="C14" s="1">
        <f t="shared" si="0"/>
        <v>13</v>
      </c>
      <c r="D14">
        <v>5</v>
      </c>
      <c r="E14">
        <v>1</v>
      </c>
      <c r="F14">
        <v>2</v>
      </c>
      <c r="G14">
        <v>4</v>
      </c>
      <c r="H14">
        <v>1</v>
      </c>
      <c r="I14" s="49">
        <v>172</v>
      </c>
      <c r="J14" s="9">
        <v>114</v>
      </c>
      <c r="K14" s="12">
        <f t="shared" si="57"/>
        <v>13.23076923076923</v>
      </c>
      <c r="L14" s="12">
        <v>8.7692307692307701</v>
      </c>
      <c r="M14" s="12" t="e">
        <f>L14/L26</f>
        <v>#DIV/0!</v>
      </c>
      <c r="N14" s="45" t="e">
        <f>K14/K26</f>
        <v>#DIV/0!</v>
      </c>
      <c r="O14" s="16">
        <v>323297</v>
      </c>
      <c r="P14" s="16">
        <v>0</v>
      </c>
      <c r="Q14" s="16">
        <f t="shared" si="2"/>
        <v>24869</v>
      </c>
      <c r="R14" s="16">
        <f t="shared" si="3"/>
        <v>0</v>
      </c>
      <c r="S14" s="12" t="e">
        <f>R14/R26</f>
        <v>#DIV/0!</v>
      </c>
      <c r="T14" s="12" t="e">
        <f>Q14/Q26</f>
        <v>#DIV/0!</v>
      </c>
      <c r="U14" s="12" t="e">
        <f t="shared" si="4"/>
        <v>#DIV/0!</v>
      </c>
      <c r="V14" s="12" t="e">
        <f t="shared" si="5"/>
        <v>#DIV/0!</v>
      </c>
      <c r="W14" s="12" t="e">
        <f t="shared" si="58"/>
        <v>#REF!</v>
      </c>
      <c r="X14" s="12">
        <v>-0.32400000000000001</v>
      </c>
      <c r="Y14" s="54">
        <v>13</v>
      </c>
      <c r="Z14" s="14">
        <v>0.41572195881361695</v>
      </c>
      <c r="AA14" s="12" t="e">
        <f t="shared" si="59"/>
        <v>#REF!</v>
      </c>
      <c r="AB14" s="30"/>
      <c r="AC14" s="30"/>
      <c r="AD14" s="30"/>
      <c r="AE14" s="30"/>
      <c r="AF14" s="17"/>
      <c r="AG14" s="34">
        <f>AQ14*BN$7</f>
        <v>0</v>
      </c>
      <c r="AH14" s="29"/>
      <c r="AI14" s="17"/>
      <c r="AJ14" s="16">
        <v>12</v>
      </c>
      <c r="AK14" s="35">
        <v>0</v>
      </c>
      <c r="AL14" s="66" t="e">
        <f>BC14*BN$13</f>
        <v>#DIV/0!</v>
      </c>
      <c r="AM14" s="116" t="e">
        <f t="shared" si="60"/>
        <v>#DIV/0!</v>
      </c>
      <c r="AN14" s="30"/>
      <c r="AO14" s="34" t="e">
        <f>BE14*#REF!</f>
        <v>#DIV/0!</v>
      </c>
      <c r="AP14" s="34">
        <v>10593.61</v>
      </c>
      <c r="AQ14" s="274">
        <f>Y14*AX14</f>
        <v>0</v>
      </c>
      <c r="AR14" s="208">
        <v>5790.6409632636787</v>
      </c>
      <c r="AS14" s="275" t="e">
        <f>AVERAGE(AK14,#REF!)</f>
        <v>#REF!</v>
      </c>
      <c r="AT14" s="209" t="e">
        <f>AVERAGE(AK14,#REF!,#REF!)</f>
        <v>#REF!</v>
      </c>
      <c r="AU14" s="213">
        <v>2408.0056143982533</v>
      </c>
      <c r="AV14" s="214">
        <v>1420.388250302771</v>
      </c>
      <c r="AW14" s="274"/>
      <c r="AX14" s="274"/>
      <c r="AY14" s="17"/>
      <c r="BB14" s="12" t="e">
        <f>EH14/#REF!</f>
        <v>#DIV/0!</v>
      </c>
      <c r="BC14" s="12" t="e">
        <f>Y14*BB14</f>
        <v>#DIV/0!</v>
      </c>
      <c r="BD14" s="12"/>
      <c r="BE14" s="12" t="e">
        <f>Y14*BG14</f>
        <v>#DIV/0!</v>
      </c>
      <c r="BF14" s="12"/>
      <c r="BG14" s="12" t="e">
        <f>DX14/BN$12</f>
        <v>#DIV/0!</v>
      </c>
      <c r="BH14" s="12" t="e">
        <f>EJ14/BP$7</f>
        <v>#REF!</v>
      </c>
      <c r="BI14" s="12" t="e">
        <f>Y14*BJ14</f>
        <v>#REF!</v>
      </c>
      <c r="BJ14" s="12" t="e">
        <f>EO14/BP$10</f>
        <v>#REF!</v>
      </c>
      <c r="BQ14">
        <v>344</v>
      </c>
      <c r="BR14">
        <v>344</v>
      </c>
      <c r="BS14">
        <f t="shared" si="34"/>
        <v>0</v>
      </c>
      <c r="BT14">
        <v>80</v>
      </c>
      <c r="BU14" s="16">
        <v>502</v>
      </c>
      <c r="BV14" s="16">
        <v>640</v>
      </c>
      <c r="BW14" s="16">
        <v>307</v>
      </c>
      <c r="BX14" s="16">
        <f t="shared" si="6"/>
        <v>503.40499553969664</v>
      </c>
      <c r="BY14" s="16">
        <f t="shared" si="7"/>
        <v>319.33199999999999</v>
      </c>
      <c r="BZ14" s="16">
        <f t="shared" si="61"/>
        <v>-1.4049955396966425</v>
      </c>
      <c r="CA14" s="16">
        <f t="shared" si="36"/>
        <v>320.66800000000001</v>
      </c>
      <c r="CB14" s="14">
        <f t="shared" si="8"/>
        <v>0.75044851631663811</v>
      </c>
      <c r="CC14" s="54">
        <v>74.530879999999996</v>
      </c>
      <c r="CD14">
        <f t="shared" si="37"/>
        <v>264</v>
      </c>
      <c r="CE14" s="54">
        <f t="shared" si="38"/>
        <v>269.46911999999998</v>
      </c>
      <c r="CF14" s="12">
        <v>-0.36298999999999998</v>
      </c>
      <c r="CG14" s="12" t="e">
        <f t="shared" si="62"/>
        <v>#REF!</v>
      </c>
      <c r="CH14" s="12" t="e">
        <f t="shared" si="62"/>
        <v>#REF!</v>
      </c>
      <c r="CI14" s="16">
        <v>0</v>
      </c>
      <c r="CJ14" s="16">
        <v>323296.88</v>
      </c>
      <c r="CK14" s="54">
        <v>65074.29</v>
      </c>
      <c r="CL14" s="16">
        <f t="shared" si="10"/>
        <v>221.50596000000002</v>
      </c>
      <c r="CM14" s="16">
        <f t="shared" si="63"/>
        <v>280.49403999999998</v>
      </c>
      <c r="CN14" s="12" t="e">
        <f t="shared" si="11"/>
        <v>#REF!</v>
      </c>
      <c r="CO14" s="12">
        <f t="shared" si="12"/>
        <v>-0.29993262143638771</v>
      </c>
      <c r="CP14" s="264">
        <v>24238.986072367166</v>
      </c>
      <c r="CQ14" s="285">
        <f>CT14*CW4</f>
        <v>17413.301693904992</v>
      </c>
      <c r="CR14" s="16">
        <f>AVERAGE(AV14,CP14,CQ14)</f>
        <v>14357.558672191642</v>
      </c>
      <c r="CS14" s="285">
        <f>CR14-(CU14*CR$25)</f>
        <v>17196.527943347879</v>
      </c>
      <c r="CT14" s="12">
        <f>AJ14*CU14</f>
        <v>0.35850177099311964</v>
      </c>
      <c r="CU14" s="12">
        <f>EN14/CW3</f>
        <v>2.987514758275997E-2</v>
      </c>
      <c r="CV14" s="12"/>
      <c r="CW14" s="12"/>
      <c r="CX14" s="16">
        <v>134</v>
      </c>
      <c r="CY14" s="16">
        <v>153</v>
      </c>
      <c r="CZ14" s="16">
        <v>139.46</v>
      </c>
      <c r="DA14" s="16">
        <f t="shared" si="40"/>
        <v>426.46000000000004</v>
      </c>
      <c r="DB14" s="16">
        <f t="shared" si="41"/>
        <v>441</v>
      </c>
      <c r="DC14" s="16">
        <f t="shared" si="13"/>
        <v>139.53978999999998</v>
      </c>
      <c r="DD14" s="16">
        <f t="shared" si="14"/>
        <v>298.34134015345273</v>
      </c>
      <c r="DE14" s="16">
        <f t="shared" si="42"/>
        <v>128.1186598465473</v>
      </c>
      <c r="DF14" s="109">
        <f t="shared" si="15"/>
        <v>0.17455414475114692</v>
      </c>
      <c r="DG14" s="16">
        <f t="shared" si="16"/>
        <v>0</v>
      </c>
      <c r="DH14" s="16">
        <f t="shared" si="43"/>
        <v>167.46021000000002</v>
      </c>
      <c r="DI14" s="16">
        <f t="shared" si="44"/>
        <v>441</v>
      </c>
      <c r="DJ14" s="12" t="e">
        <f t="shared" si="64"/>
        <v>#REF!</v>
      </c>
      <c r="DK14" s="12" t="e">
        <f t="shared" si="64"/>
        <v>#REF!</v>
      </c>
      <c r="DL14" s="16">
        <v>323297</v>
      </c>
      <c r="DM14" s="16">
        <v>323297</v>
      </c>
      <c r="DN14" s="16">
        <v>251193</v>
      </c>
      <c r="DO14" s="16">
        <v>0</v>
      </c>
      <c r="DP14" s="16">
        <v>64446</v>
      </c>
      <c r="DQ14" s="16">
        <f t="shared" si="45"/>
        <v>315639</v>
      </c>
      <c r="DR14" s="16">
        <f t="shared" si="46"/>
        <v>574490</v>
      </c>
      <c r="DS14" s="16" t="e">
        <f t="shared" si="19"/>
        <v>#REF!</v>
      </c>
      <c r="DT14" s="16">
        <f t="shared" si="20"/>
        <v>71149</v>
      </c>
      <c r="DU14" s="16">
        <f t="shared" si="21"/>
        <v>252148</v>
      </c>
      <c r="DV14" s="16">
        <f t="shared" si="22"/>
        <v>0</v>
      </c>
      <c r="DW14" s="16" t="e">
        <f t="shared" si="23"/>
        <v>#REF!</v>
      </c>
      <c r="DX14" s="109" t="e">
        <f t="shared" si="24"/>
        <v>#DIV/0!</v>
      </c>
      <c r="DY14" s="16">
        <f t="shared" si="47"/>
        <v>574490</v>
      </c>
      <c r="DZ14" s="109" t="e">
        <f t="shared" si="25"/>
        <v>#REF!</v>
      </c>
      <c r="EA14" s="109" t="e">
        <f t="shared" si="26"/>
        <v>#REF!</v>
      </c>
      <c r="EB14" s="16">
        <v>85348.02</v>
      </c>
      <c r="EC14" s="54">
        <f t="shared" si="65"/>
        <v>-65074.29</v>
      </c>
      <c r="ED14" s="54">
        <f t="shared" si="66"/>
        <v>237948.86</v>
      </c>
      <c r="EE14" s="12">
        <v>-0.11867</v>
      </c>
      <c r="EF14" s="12" t="e">
        <f t="shared" si="67"/>
        <v>#REF!</v>
      </c>
      <c r="EG14" s="12" t="e">
        <f t="shared" si="67"/>
        <v>#REF!</v>
      </c>
      <c r="EH14" s="14" t="e">
        <f t="shared" si="28"/>
        <v>#DIV/0!</v>
      </c>
      <c r="EI14" s="14" t="e">
        <f t="shared" si="29"/>
        <v>#DIV/0!</v>
      </c>
      <c r="EJ14" s="14" t="e">
        <f t="shared" si="30"/>
        <v>#REF!</v>
      </c>
      <c r="EK14" s="16">
        <f t="shared" si="31"/>
        <v>160379.47826086957</v>
      </c>
      <c r="EL14" s="16">
        <f t="shared" si="48"/>
        <v>155259.52173913043</v>
      </c>
      <c r="EM14" s="14">
        <f t="shared" si="32"/>
        <v>8.9606084263195745E-2</v>
      </c>
      <c r="EN14" s="14">
        <f t="shared" si="33"/>
        <v>0.14057492055596643</v>
      </c>
      <c r="EO14" s="12" t="e">
        <f t="shared" si="49"/>
        <v>#REF!</v>
      </c>
    </row>
    <row r="15" spans="1:145" x14ac:dyDescent="0.35">
      <c r="A15" s="8" t="s">
        <v>219</v>
      </c>
      <c r="B15" s="8" t="s">
        <v>24</v>
      </c>
      <c r="C15" s="1">
        <f t="shared" si="0"/>
        <v>36</v>
      </c>
      <c r="D15" s="9">
        <v>2</v>
      </c>
      <c r="E15" s="9">
        <v>16</v>
      </c>
      <c r="F15">
        <v>9</v>
      </c>
      <c r="G15">
        <v>0</v>
      </c>
      <c r="H15" s="9">
        <v>9</v>
      </c>
      <c r="I15" s="49">
        <v>176</v>
      </c>
      <c r="J15" s="9">
        <v>227</v>
      </c>
      <c r="K15" s="12">
        <f t="shared" si="57"/>
        <v>4.8888888888888893</v>
      </c>
      <c r="L15" s="12">
        <v>6.3055555555555554</v>
      </c>
      <c r="M15" s="12" t="e">
        <f>L15/L26</f>
        <v>#DIV/0!</v>
      </c>
      <c r="N15" s="45" t="e">
        <f>K15/K26</f>
        <v>#DIV/0!</v>
      </c>
      <c r="O15" s="16">
        <v>0</v>
      </c>
      <c r="P15" s="16">
        <v>136430</v>
      </c>
      <c r="Q15" s="16">
        <f t="shared" si="2"/>
        <v>0</v>
      </c>
      <c r="R15" s="16">
        <f t="shared" si="3"/>
        <v>3789.7222222222222</v>
      </c>
      <c r="S15" s="12" t="e">
        <f>R15/R26</f>
        <v>#DIV/0!</v>
      </c>
      <c r="T15" s="12" t="e">
        <f>Q15/Q26</f>
        <v>#DIV/0!</v>
      </c>
      <c r="U15" s="12" t="e">
        <f t="shared" si="4"/>
        <v>#DIV/0!</v>
      </c>
      <c r="V15" s="12" t="e">
        <f t="shared" si="5"/>
        <v>#DIV/0!</v>
      </c>
      <c r="W15" s="12" t="e">
        <f t="shared" si="58"/>
        <v>#REF!</v>
      </c>
      <c r="X15" s="12">
        <v>-0.15</v>
      </c>
      <c r="Y15" s="54">
        <v>35</v>
      </c>
      <c r="Z15" s="12">
        <v>-0.4285709234548627</v>
      </c>
      <c r="AA15" s="12" t="e">
        <f t="shared" si="59"/>
        <v>#REF!</v>
      </c>
      <c r="AB15" s="30"/>
      <c r="AC15" s="30"/>
      <c r="AD15" s="30"/>
      <c r="AE15" s="30"/>
      <c r="AF15" s="17"/>
      <c r="AG15" s="18"/>
      <c r="AH15" s="29"/>
      <c r="AI15" s="17"/>
      <c r="AJ15" s="16">
        <v>34</v>
      </c>
      <c r="AK15" s="18"/>
      <c r="AL15" s="30"/>
      <c r="AM15" s="114"/>
      <c r="AN15" s="30"/>
      <c r="AO15" s="30"/>
      <c r="AP15" s="30"/>
      <c r="AQ15" s="17"/>
      <c r="AR15" s="18"/>
      <c r="AS15" s="209"/>
      <c r="AT15" s="209"/>
      <c r="AU15" s="212"/>
      <c r="AV15" s="212"/>
      <c r="AW15" s="17"/>
      <c r="AX15" s="17"/>
      <c r="AY15" s="17"/>
      <c r="BB15" s="12"/>
      <c r="BC15" s="12"/>
      <c r="BD15" s="12"/>
      <c r="BE15" s="12"/>
      <c r="BF15" s="12"/>
      <c r="BG15" s="12"/>
      <c r="BH15" s="12"/>
      <c r="BI15" s="12"/>
      <c r="BJ15" s="12"/>
      <c r="BK15" s="144" t="s">
        <v>400</v>
      </c>
      <c r="BQ15">
        <v>352</v>
      </c>
      <c r="BR15">
        <v>352</v>
      </c>
      <c r="BS15">
        <f t="shared" si="34"/>
        <v>0</v>
      </c>
      <c r="BT15">
        <v>220</v>
      </c>
      <c r="BU15" s="16">
        <v>564</v>
      </c>
      <c r="BV15" s="16">
        <v>756</v>
      </c>
      <c r="BW15" s="16">
        <v>496</v>
      </c>
      <c r="BX15" s="16">
        <f t="shared" si="6"/>
        <v>1355.3211418376447</v>
      </c>
      <c r="BY15" s="16">
        <f t="shared" si="7"/>
        <v>859.74</v>
      </c>
      <c r="BZ15" s="16">
        <f t="shared" si="61"/>
        <v>-791.32114183764475</v>
      </c>
      <c r="CA15" s="16">
        <f t="shared" si="36"/>
        <v>-103.74000000000001</v>
      </c>
      <c r="CB15" s="12">
        <f t="shared" si="8"/>
        <v>-3.0388864333627103E-2</v>
      </c>
      <c r="CC15" s="54">
        <v>206.39320000000001</v>
      </c>
      <c r="CD15">
        <f t="shared" si="37"/>
        <v>132</v>
      </c>
      <c r="CE15" s="54">
        <f t="shared" si="38"/>
        <v>145.60679999999999</v>
      </c>
      <c r="CF15" s="12">
        <v>-0.44422</v>
      </c>
      <c r="CG15" s="12" t="e">
        <f t="shared" si="62"/>
        <v>#REF!</v>
      </c>
      <c r="CH15" s="12" t="e">
        <f t="shared" si="62"/>
        <v>#REF!</v>
      </c>
      <c r="CI15" s="16">
        <v>0</v>
      </c>
      <c r="CJ15" s="16">
        <v>0</v>
      </c>
      <c r="CK15" s="54">
        <v>166767.28</v>
      </c>
      <c r="CL15" s="16">
        <f t="shared" si="10"/>
        <v>596.36220000000003</v>
      </c>
      <c r="CM15" s="16">
        <f t="shared" si="63"/>
        <v>-32.36220000000003</v>
      </c>
      <c r="CN15" s="12" t="e">
        <f t="shared" si="11"/>
        <v>#REF!</v>
      </c>
      <c r="CO15" s="12">
        <f t="shared" si="12"/>
        <v>-0.5472298043559386</v>
      </c>
      <c r="CP15" s="18"/>
      <c r="CQ15" s="16"/>
      <c r="CR15" s="16"/>
      <c r="CS15" s="16"/>
      <c r="CT15" s="12"/>
      <c r="CU15" s="12"/>
      <c r="CV15" s="12"/>
      <c r="CW15" s="12"/>
      <c r="CX15" s="16">
        <v>251</v>
      </c>
      <c r="CY15" s="16">
        <v>368</v>
      </c>
      <c r="CZ15" s="16">
        <v>275.66000000000003</v>
      </c>
      <c r="DA15" s="16">
        <f t="shared" si="40"/>
        <v>894.66000000000008</v>
      </c>
      <c r="DB15" s="16">
        <f t="shared" si="41"/>
        <v>747</v>
      </c>
      <c r="DC15" s="16">
        <f t="shared" si="13"/>
        <v>375.68404999999996</v>
      </c>
      <c r="DD15" s="16">
        <f t="shared" si="14"/>
        <v>845.30046376811606</v>
      </c>
      <c r="DE15" s="16">
        <f t="shared" si="42"/>
        <v>49.359536231884022</v>
      </c>
      <c r="DF15" s="17">
        <f t="shared" si="15"/>
        <v>6.7249467349950395E-2</v>
      </c>
      <c r="DG15" s="16">
        <f t="shared" si="16"/>
        <v>0</v>
      </c>
      <c r="DH15" s="16">
        <f t="shared" si="43"/>
        <v>120.31595000000004</v>
      </c>
      <c r="DI15" s="16">
        <f t="shared" si="44"/>
        <v>747</v>
      </c>
      <c r="DJ15" s="12" t="e">
        <f t="shared" si="64"/>
        <v>#REF!</v>
      </c>
      <c r="DK15" s="12" t="e">
        <f t="shared" si="64"/>
        <v>#REF!</v>
      </c>
      <c r="DL15" s="16">
        <v>14954</v>
      </c>
      <c r="DM15" s="16">
        <v>14954</v>
      </c>
      <c r="DN15" s="16">
        <v>22059</v>
      </c>
      <c r="DO15" s="16">
        <v>1032</v>
      </c>
      <c r="DP15" s="16">
        <v>24319</v>
      </c>
      <c r="DQ15" s="16">
        <f t="shared" si="45"/>
        <v>47410</v>
      </c>
      <c r="DR15" s="16">
        <f t="shared" si="46"/>
        <v>37013</v>
      </c>
      <c r="DS15" s="16" t="e">
        <f t="shared" si="19"/>
        <v>#REF!</v>
      </c>
      <c r="DT15" s="16">
        <f t="shared" si="20"/>
        <v>191555</v>
      </c>
      <c r="DU15" s="16">
        <f t="shared" si="21"/>
        <v>-176601</v>
      </c>
      <c r="DV15" s="16">
        <f t="shared" si="22"/>
        <v>0</v>
      </c>
      <c r="DW15" s="16" t="e">
        <f t="shared" si="23"/>
        <v>#REF!</v>
      </c>
      <c r="DX15" s="17" t="e">
        <f t="shared" si="24"/>
        <v>#DIV/0!</v>
      </c>
      <c r="DY15" s="16">
        <f t="shared" si="47"/>
        <v>37013</v>
      </c>
      <c r="DZ15" s="17" t="e">
        <f t="shared" si="25"/>
        <v>#REF!</v>
      </c>
      <c r="EA15" s="17" t="e">
        <f t="shared" si="26"/>
        <v>#REF!</v>
      </c>
      <c r="EB15" s="16">
        <v>190315.58</v>
      </c>
      <c r="EC15" s="54">
        <f t="shared" si="65"/>
        <v>-166767.28</v>
      </c>
      <c r="ED15" s="54">
        <f t="shared" si="66"/>
        <v>-190315.58</v>
      </c>
      <c r="EE15" s="12">
        <v>-0.35038000000000002</v>
      </c>
      <c r="EF15" s="12" t="e">
        <f t="shared" si="67"/>
        <v>#REF!</v>
      </c>
      <c r="EG15" s="12" t="e">
        <f t="shared" si="67"/>
        <v>#REF!</v>
      </c>
      <c r="EH15" s="12" t="e">
        <f t="shared" si="28"/>
        <v>#DIV/0!</v>
      </c>
      <c r="EI15" s="12" t="e">
        <f t="shared" si="29"/>
        <v>#DIV/0!</v>
      </c>
      <c r="EJ15" s="12" t="e">
        <f t="shared" si="30"/>
        <v>#REF!</v>
      </c>
      <c r="EK15" s="16">
        <f t="shared" si="31"/>
        <v>454408.52173913043</v>
      </c>
      <c r="EL15" s="16">
        <f t="shared" si="48"/>
        <v>-406998.52173913043</v>
      </c>
      <c r="EM15" s="12">
        <f t="shared" si="32"/>
        <v>-0.23489408846195833</v>
      </c>
      <c r="EN15" s="12">
        <f t="shared" si="33"/>
        <v>-5.3607954974813105E-2</v>
      </c>
      <c r="EO15" s="12" t="e">
        <f t="shared" si="49"/>
        <v>#REF!</v>
      </c>
    </row>
    <row r="16" spans="1:145" x14ac:dyDescent="0.35">
      <c r="A16" s="8" t="s">
        <v>221</v>
      </c>
      <c r="B16" s="8" t="s">
        <v>24</v>
      </c>
      <c r="C16" s="1">
        <f t="shared" si="0"/>
        <v>64</v>
      </c>
      <c r="D16">
        <v>7</v>
      </c>
      <c r="E16">
        <v>17</v>
      </c>
      <c r="F16">
        <v>0</v>
      </c>
      <c r="G16">
        <v>24</v>
      </c>
      <c r="H16">
        <v>16</v>
      </c>
      <c r="I16" s="49">
        <v>406.5</v>
      </c>
      <c r="J16" s="9">
        <v>353.5</v>
      </c>
      <c r="K16" s="12">
        <f t="shared" si="57"/>
        <v>6.3515625</v>
      </c>
      <c r="L16" s="12">
        <v>5.5234375</v>
      </c>
      <c r="M16" s="12" t="e">
        <f>L16/L26</f>
        <v>#DIV/0!</v>
      </c>
      <c r="N16" s="45" t="e">
        <f>K16/K26</f>
        <v>#DIV/0!</v>
      </c>
      <c r="O16" s="16">
        <v>183895</v>
      </c>
      <c r="P16" s="16">
        <v>38496</v>
      </c>
      <c r="Q16" s="16">
        <f t="shared" si="2"/>
        <v>2873.359375</v>
      </c>
      <c r="R16" s="16">
        <f t="shared" si="3"/>
        <v>601.5</v>
      </c>
      <c r="S16" s="12" t="e">
        <f>R16/R26</f>
        <v>#DIV/0!</v>
      </c>
      <c r="T16" s="12" t="e">
        <f>Q16/Q26</f>
        <v>#DIV/0!</v>
      </c>
      <c r="U16" s="12" t="e">
        <f t="shared" si="4"/>
        <v>#DIV/0!</v>
      </c>
      <c r="V16" s="12" t="e">
        <f t="shared" si="5"/>
        <v>#DIV/0!</v>
      </c>
      <c r="W16" s="12" t="e">
        <f t="shared" si="58"/>
        <v>#REF!</v>
      </c>
      <c r="X16" s="12">
        <v>-0.218</v>
      </c>
      <c r="Y16" s="54">
        <v>49</v>
      </c>
      <c r="Z16" s="12">
        <v>-0.30398116402644704</v>
      </c>
      <c r="AA16" s="12" t="e">
        <f t="shared" si="59"/>
        <v>#REF!</v>
      </c>
      <c r="AB16" s="30"/>
      <c r="AC16" s="30"/>
      <c r="AD16" s="30"/>
      <c r="AE16" s="30"/>
      <c r="AF16" s="17"/>
      <c r="AG16" s="18"/>
      <c r="AH16" s="29"/>
      <c r="AI16" s="17"/>
      <c r="AJ16" s="16">
        <v>58</v>
      </c>
      <c r="AK16" s="18"/>
      <c r="AL16" s="30"/>
      <c r="AM16" s="114"/>
      <c r="AN16" s="30"/>
      <c r="AO16" s="30"/>
      <c r="AP16" s="30"/>
      <c r="AQ16" s="17"/>
      <c r="AR16" s="18"/>
      <c r="AS16" s="209"/>
      <c r="AT16" s="209"/>
      <c r="AU16" s="212"/>
      <c r="AV16" s="212"/>
      <c r="AW16" s="17"/>
      <c r="AX16" s="17"/>
      <c r="AY16" s="17"/>
      <c r="BB16" s="12"/>
      <c r="BC16" s="12"/>
      <c r="BD16" s="12"/>
      <c r="BE16" s="12"/>
      <c r="BF16" s="12"/>
      <c r="BG16" s="12"/>
      <c r="BH16" s="12"/>
      <c r="BI16" s="12"/>
      <c r="BJ16" s="12"/>
      <c r="BK16" s="61">
        <v>5594386.7941099582</v>
      </c>
      <c r="BQ16">
        <v>813</v>
      </c>
      <c r="BR16">
        <v>798</v>
      </c>
      <c r="BS16">
        <f t="shared" si="34"/>
        <v>15</v>
      </c>
      <c r="BT16">
        <v>391</v>
      </c>
      <c r="BU16" s="16">
        <v>878</v>
      </c>
      <c r="BV16" s="16">
        <v>1285</v>
      </c>
      <c r="BW16" s="16">
        <v>618</v>
      </c>
      <c r="BX16" s="16">
        <f t="shared" si="6"/>
        <v>1897.4495985727028</v>
      </c>
      <c r="BY16" s="16">
        <f t="shared" si="7"/>
        <v>1203.636</v>
      </c>
      <c r="BZ16" s="16">
        <f t="shared" si="61"/>
        <v>-1019.4495985727028</v>
      </c>
      <c r="CA16" s="16">
        <f t="shared" si="36"/>
        <v>81.364000000000033</v>
      </c>
      <c r="CB16" s="12">
        <f t="shared" si="8"/>
        <v>-0.25589536580676053</v>
      </c>
      <c r="CC16" s="54">
        <v>366.92124999999999</v>
      </c>
      <c r="CD16">
        <f t="shared" si="37"/>
        <v>422</v>
      </c>
      <c r="CE16" s="54">
        <f t="shared" si="38"/>
        <v>431.07875000000001</v>
      </c>
      <c r="CF16" s="12">
        <v>-0.26684000000000002</v>
      </c>
      <c r="CG16" s="12" t="e">
        <f t="shared" si="62"/>
        <v>#REF!</v>
      </c>
      <c r="CH16" s="12" t="e">
        <f t="shared" si="62"/>
        <v>#REF!</v>
      </c>
      <c r="CI16" s="16">
        <v>183895</v>
      </c>
      <c r="CJ16" s="16">
        <v>24916</v>
      </c>
      <c r="CK16" s="54">
        <v>283776.15999999997</v>
      </c>
      <c r="CL16" s="16">
        <f t="shared" si="10"/>
        <v>834.90708000000006</v>
      </c>
      <c r="CM16" s="16">
        <f t="shared" si="63"/>
        <v>43.092919999999935</v>
      </c>
      <c r="CN16" s="12" t="e">
        <f t="shared" si="11"/>
        <v>#REF!</v>
      </c>
      <c r="CO16" s="12">
        <f t="shared" si="12"/>
        <v>-0.43937204072485586</v>
      </c>
      <c r="CP16" s="18"/>
      <c r="CQ16" s="16"/>
      <c r="CR16" s="16"/>
      <c r="CS16" s="16"/>
      <c r="CT16" s="12"/>
      <c r="CU16" s="12"/>
      <c r="CV16" s="12"/>
      <c r="CW16" s="12"/>
      <c r="CX16" s="16">
        <v>406</v>
      </c>
      <c r="CY16" s="16">
        <v>458</v>
      </c>
      <c r="CZ16" s="16">
        <v>428.73</v>
      </c>
      <c r="DA16" s="16">
        <f t="shared" si="40"/>
        <v>1292.73</v>
      </c>
      <c r="DB16" s="16">
        <f t="shared" si="41"/>
        <v>1024</v>
      </c>
      <c r="DC16" s="16">
        <f t="shared" si="13"/>
        <v>525.95767000000001</v>
      </c>
      <c r="DD16" s="16">
        <f t="shared" si="14"/>
        <v>1441.9831440750215</v>
      </c>
      <c r="DE16" s="16">
        <f t="shared" si="42"/>
        <v>-149.25314407502151</v>
      </c>
      <c r="DF16" s="17">
        <f t="shared" si="15"/>
        <v>-0.20334863747903251</v>
      </c>
      <c r="DG16" s="16">
        <f t="shared" si="16"/>
        <v>0</v>
      </c>
      <c r="DH16" s="16">
        <f t="shared" si="43"/>
        <v>92.042329999999993</v>
      </c>
      <c r="DI16" s="16">
        <f t="shared" si="44"/>
        <v>1024</v>
      </c>
      <c r="DJ16" s="12" t="e">
        <f t="shared" si="64"/>
        <v>#REF!</v>
      </c>
      <c r="DK16" s="12" t="e">
        <f t="shared" si="64"/>
        <v>#REF!</v>
      </c>
      <c r="DL16" s="16">
        <v>245204</v>
      </c>
      <c r="DM16" s="16">
        <v>279145</v>
      </c>
      <c r="DN16" s="16">
        <v>23408</v>
      </c>
      <c r="DO16" s="16">
        <v>11254</v>
      </c>
      <c r="DP16" s="16">
        <v>4252</v>
      </c>
      <c r="DQ16" s="16">
        <f t="shared" si="45"/>
        <v>38914</v>
      </c>
      <c r="DR16" s="16">
        <f t="shared" si="46"/>
        <v>268612</v>
      </c>
      <c r="DS16" s="16" t="e">
        <f t="shared" si="19"/>
        <v>#REF!</v>
      </c>
      <c r="DT16" s="16">
        <f t="shared" si="20"/>
        <v>268177</v>
      </c>
      <c r="DU16" s="16">
        <f t="shared" si="21"/>
        <v>10968</v>
      </c>
      <c r="DV16" s="16">
        <f t="shared" si="22"/>
        <v>0</v>
      </c>
      <c r="DW16" s="16" t="e">
        <f t="shared" si="23"/>
        <v>#REF!</v>
      </c>
      <c r="DX16" s="17" t="e">
        <f t="shared" si="24"/>
        <v>#DIV/0!</v>
      </c>
      <c r="DY16" s="16">
        <f t="shared" si="47"/>
        <v>268612</v>
      </c>
      <c r="DZ16" s="17" t="e">
        <f t="shared" si="25"/>
        <v>#REF!</v>
      </c>
      <c r="EA16" s="17" t="e">
        <f t="shared" si="26"/>
        <v>#REF!</v>
      </c>
      <c r="EB16" s="16">
        <v>299370.76</v>
      </c>
      <c r="EC16" s="54">
        <f t="shared" si="65"/>
        <v>-99881.159999999974</v>
      </c>
      <c r="ED16" s="54">
        <f t="shared" si="66"/>
        <v>-274454.76</v>
      </c>
      <c r="EE16" s="12">
        <v>-0.19797999999999999</v>
      </c>
      <c r="EF16" s="12" t="e">
        <f t="shared" si="67"/>
        <v>#REF!</v>
      </c>
      <c r="EG16" s="12" t="e">
        <f t="shared" si="67"/>
        <v>#REF!</v>
      </c>
      <c r="EH16" s="12" t="e">
        <f t="shared" si="28"/>
        <v>#DIV/0!</v>
      </c>
      <c r="EI16" s="12" t="e">
        <f t="shared" si="29"/>
        <v>#DIV/0!</v>
      </c>
      <c r="EJ16" s="12" t="e">
        <f t="shared" si="30"/>
        <v>#REF!</v>
      </c>
      <c r="EK16" s="16">
        <f t="shared" si="31"/>
        <v>775167.47826086951</v>
      </c>
      <c r="EL16" s="16">
        <f t="shared" si="48"/>
        <v>-736253.47826086951</v>
      </c>
      <c r="EM16" s="12">
        <f t="shared" si="32"/>
        <v>-0.42491945404136311</v>
      </c>
      <c r="EN16" s="12">
        <f t="shared" si="33"/>
        <v>-0.29197696410396473</v>
      </c>
      <c r="EO16" s="12" t="e">
        <f t="shared" si="49"/>
        <v>#REF!</v>
      </c>
    </row>
    <row r="17" spans="1:145" x14ac:dyDescent="0.35">
      <c r="A17" s="8" t="s">
        <v>223</v>
      </c>
      <c r="B17" s="8" t="s">
        <v>49</v>
      </c>
      <c r="C17" s="1">
        <f t="shared" si="0"/>
        <v>40</v>
      </c>
      <c r="D17">
        <v>8</v>
      </c>
      <c r="E17">
        <v>17</v>
      </c>
      <c r="F17">
        <v>0</v>
      </c>
      <c r="G17">
        <v>15</v>
      </c>
      <c r="H17">
        <v>0</v>
      </c>
      <c r="I17" s="49">
        <v>156</v>
      </c>
      <c r="J17" s="9">
        <v>172.5</v>
      </c>
      <c r="K17" s="12">
        <f t="shared" si="57"/>
        <v>3.9</v>
      </c>
      <c r="L17" s="12">
        <v>4.3125</v>
      </c>
      <c r="M17" s="12" t="e">
        <f>L17/L26</f>
        <v>#DIV/0!</v>
      </c>
      <c r="N17" s="45" t="e">
        <f>K17/K26</f>
        <v>#DIV/0!</v>
      </c>
      <c r="O17" s="16">
        <v>21151</v>
      </c>
      <c r="P17" s="16">
        <v>105135</v>
      </c>
      <c r="Q17" s="16">
        <f t="shared" si="2"/>
        <v>528.77499999999998</v>
      </c>
      <c r="R17" s="16">
        <f t="shared" si="3"/>
        <v>2628.375</v>
      </c>
      <c r="S17" s="12" t="e">
        <f>R17/R26</f>
        <v>#DIV/0!</v>
      </c>
      <c r="T17" s="12" t="e">
        <f>Q17/Q26</f>
        <v>#DIV/0!</v>
      </c>
      <c r="U17" s="12" t="e">
        <f t="shared" si="4"/>
        <v>#DIV/0!</v>
      </c>
      <c r="V17" s="12" t="e">
        <f t="shared" si="5"/>
        <v>#DIV/0!</v>
      </c>
      <c r="W17" s="12" t="e">
        <f t="shared" si="58"/>
        <v>#REF!</v>
      </c>
      <c r="X17" s="12">
        <v>-0.22</v>
      </c>
      <c r="Y17" s="54">
        <v>36</v>
      </c>
      <c r="Z17" s="12">
        <v>-0.71821294445698614</v>
      </c>
      <c r="AA17" s="12" t="e">
        <f t="shared" si="59"/>
        <v>#REF!</v>
      </c>
      <c r="AB17" s="30"/>
      <c r="AC17" s="30"/>
      <c r="AD17" s="30"/>
      <c r="AE17" s="30"/>
      <c r="AF17" s="17"/>
      <c r="AG17" s="18"/>
      <c r="AH17" s="29"/>
      <c r="AI17" s="17"/>
      <c r="AJ17" s="16">
        <v>37</v>
      </c>
      <c r="AK17" s="18"/>
      <c r="AL17" s="30"/>
      <c r="AM17" s="114"/>
      <c r="AN17" s="30"/>
      <c r="AO17" s="30"/>
      <c r="AP17" s="30"/>
      <c r="AQ17" s="17"/>
      <c r="AR17" s="18"/>
      <c r="AS17" s="209"/>
      <c r="AT17" s="209"/>
      <c r="AU17" s="212"/>
      <c r="AV17" s="212"/>
      <c r="AW17" s="17"/>
      <c r="AX17" s="17"/>
      <c r="AY17" s="17"/>
      <c r="BB17" s="12"/>
      <c r="BC17" s="12"/>
      <c r="BD17" s="12"/>
      <c r="BE17" s="12"/>
      <c r="BF17" s="12"/>
      <c r="BG17" s="12"/>
      <c r="BH17" s="12"/>
      <c r="BI17" s="12"/>
      <c r="BJ17" s="12"/>
      <c r="BK17" s="144" t="s">
        <v>401</v>
      </c>
      <c r="BN17" s="40" t="e">
        <f>BK16/AW24</f>
        <v>#DIV/0!</v>
      </c>
      <c r="BQ17">
        <v>312</v>
      </c>
      <c r="BR17">
        <v>323</v>
      </c>
      <c r="BS17">
        <f t="shared" si="34"/>
        <v>-11</v>
      </c>
      <c r="BT17">
        <v>245</v>
      </c>
      <c r="BU17" s="16">
        <v>277</v>
      </c>
      <c r="BV17" s="16">
        <v>442</v>
      </c>
      <c r="BW17" s="16">
        <v>140</v>
      </c>
      <c r="BX17" s="16">
        <f t="shared" si="6"/>
        <v>1394.0446030330061</v>
      </c>
      <c r="BY17" s="16">
        <f t="shared" si="7"/>
        <v>884.30399999999997</v>
      </c>
      <c r="BZ17" s="16">
        <f t="shared" ref="BZ17:BZ22" si="68">BU17-BX17</f>
        <v>-1117.0446030330061</v>
      </c>
      <c r="CA17" s="16">
        <f t="shared" si="36"/>
        <v>-442.30399999999997</v>
      </c>
      <c r="CB17" s="12">
        <f t="shared" si="8"/>
        <v>-0.35236867883433104</v>
      </c>
      <c r="CC17" s="54">
        <v>229.32578000000001</v>
      </c>
      <c r="CD17">
        <f t="shared" si="37"/>
        <v>67</v>
      </c>
      <c r="CE17" s="54">
        <f t="shared" si="38"/>
        <v>93.674219999999991</v>
      </c>
      <c r="CF17" s="12">
        <v>-0.48368</v>
      </c>
      <c r="CG17" s="12" t="e">
        <f t="shared" si="62"/>
        <v>#REF!</v>
      </c>
      <c r="CH17" s="12" t="e">
        <f t="shared" si="62"/>
        <v>#REF!</v>
      </c>
      <c r="CI17" s="16">
        <v>21151</v>
      </c>
      <c r="CJ17" s="16">
        <v>21150.959999999999</v>
      </c>
      <c r="CK17" s="54">
        <v>183817.48</v>
      </c>
      <c r="CL17" s="16">
        <f t="shared" si="10"/>
        <v>613.40111999999999</v>
      </c>
      <c r="CM17" s="16">
        <f t="shared" ref="CM17:CM22" si="69">BU17-CL17</f>
        <v>-336.40111999999999</v>
      </c>
      <c r="CN17" s="12" t="e">
        <f t="shared" si="11"/>
        <v>#REF!</v>
      </c>
      <c r="CO17" s="12">
        <f t="shared" si="12"/>
        <v>-0.74450677236307994</v>
      </c>
      <c r="CP17" s="18"/>
      <c r="CQ17" s="16"/>
      <c r="CR17" s="16"/>
      <c r="CS17" s="16"/>
      <c r="CT17" s="12"/>
      <c r="CU17" s="12"/>
      <c r="CV17" s="12"/>
      <c r="CW17" s="12"/>
      <c r="CX17" s="16">
        <v>126</v>
      </c>
      <c r="CY17" s="16">
        <v>64</v>
      </c>
      <c r="CZ17" s="16">
        <v>107.57</v>
      </c>
      <c r="DA17" s="16">
        <f t="shared" si="40"/>
        <v>297.57</v>
      </c>
      <c r="DB17" s="16">
        <f t="shared" si="41"/>
        <v>266</v>
      </c>
      <c r="DC17" s="16">
        <f t="shared" si="13"/>
        <v>386.41787999999997</v>
      </c>
      <c r="DD17" s="16">
        <f t="shared" si="14"/>
        <v>919.88579880647922</v>
      </c>
      <c r="DE17" s="16">
        <f t="shared" si="42"/>
        <v>-622.31579880647928</v>
      </c>
      <c r="DF17" s="17">
        <f t="shared" si="15"/>
        <v>-0.8478687035588679</v>
      </c>
      <c r="DG17" s="16">
        <f t="shared" si="16"/>
        <v>0</v>
      </c>
      <c r="DH17" s="16">
        <f t="shared" si="43"/>
        <v>-246.41787999999997</v>
      </c>
      <c r="DI17" s="16">
        <f t="shared" si="44"/>
        <v>266</v>
      </c>
      <c r="DJ17" s="12" t="e">
        <f t="shared" si="64"/>
        <v>#REF!</v>
      </c>
      <c r="DK17" s="12" t="e">
        <f t="shared" si="64"/>
        <v>#REF!</v>
      </c>
      <c r="DL17" s="16">
        <v>20000</v>
      </c>
      <c r="DM17" s="16">
        <v>20000</v>
      </c>
      <c r="DN17" s="16">
        <v>46481</v>
      </c>
      <c r="DO17" s="16">
        <v>21531</v>
      </c>
      <c r="DP17" s="16">
        <v>7795</v>
      </c>
      <c r="DQ17" s="16">
        <f t="shared" si="45"/>
        <v>75807</v>
      </c>
      <c r="DR17" s="16">
        <f t="shared" si="46"/>
        <v>66481</v>
      </c>
      <c r="DS17" s="16" t="e">
        <f t="shared" si="19"/>
        <v>#REF!</v>
      </c>
      <c r="DT17" s="16">
        <f t="shared" si="20"/>
        <v>197028</v>
      </c>
      <c r="DU17" s="16">
        <f t="shared" si="21"/>
        <v>-177028</v>
      </c>
      <c r="DV17" s="16">
        <f t="shared" si="22"/>
        <v>0</v>
      </c>
      <c r="DW17" s="16" t="e">
        <f t="shared" si="23"/>
        <v>#REF!</v>
      </c>
      <c r="DX17" s="17" t="e">
        <f t="shared" si="24"/>
        <v>#DIV/0!</v>
      </c>
      <c r="DY17" s="16">
        <f t="shared" si="47"/>
        <v>66481</v>
      </c>
      <c r="DZ17" s="17" t="e">
        <f t="shared" si="25"/>
        <v>#REF!</v>
      </c>
      <c r="EA17" s="17" t="e">
        <f t="shared" si="26"/>
        <v>#REF!</v>
      </c>
      <c r="EB17" s="16">
        <v>206776.13</v>
      </c>
      <c r="EC17" s="54">
        <f t="shared" si="65"/>
        <v>-162666.48000000001</v>
      </c>
      <c r="ED17" s="54">
        <f t="shared" si="66"/>
        <v>-185625.17</v>
      </c>
      <c r="EE17" s="12">
        <v>-0.34104000000000001</v>
      </c>
      <c r="EF17" s="12" t="e">
        <f t="shared" si="67"/>
        <v>#REF!</v>
      </c>
      <c r="EG17" s="12" t="e">
        <f t="shared" si="67"/>
        <v>#REF!</v>
      </c>
      <c r="EH17" s="12" t="e">
        <f t="shared" si="28"/>
        <v>#DIV/0!</v>
      </c>
      <c r="EI17" s="12" t="e">
        <f t="shared" si="29"/>
        <v>#DIV/0!</v>
      </c>
      <c r="EJ17" s="12" t="e">
        <f t="shared" si="30"/>
        <v>#REF!</v>
      </c>
      <c r="EK17" s="16">
        <f t="shared" si="31"/>
        <v>494503.39130434784</v>
      </c>
      <c r="EL17" s="16">
        <f t="shared" si="48"/>
        <v>-418696.39130434784</v>
      </c>
      <c r="EM17" s="12">
        <f t="shared" si="32"/>
        <v>-0.24164536705807527</v>
      </c>
      <c r="EN17" s="12">
        <f t="shared" si="33"/>
        <v>-0.60537936895855082</v>
      </c>
      <c r="EO17" s="12" t="e">
        <f t="shared" si="49"/>
        <v>#REF!</v>
      </c>
    </row>
    <row r="18" spans="1:145" x14ac:dyDescent="0.35">
      <c r="A18" s="141" t="s">
        <v>217</v>
      </c>
      <c r="B18" s="8" t="s">
        <v>22</v>
      </c>
      <c r="I18" s="49"/>
      <c r="J18" s="9"/>
      <c r="K18" s="12"/>
      <c r="L18" s="12"/>
      <c r="M18" s="12"/>
      <c r="N18" s="45"/>
      <c r="O18" s="16"/>
      <c r="P18" s="16"/>
      <c r="Q18" s="16"/>
      <c r="R18" s="16"/>
      <c r="S18" s="12"/>
      <c r="T18" s="12"/>
      <c r="U18" s="12"/>
      <c r="V18" s="12"/>
      <c r="W18" s="12"/>
      <c r="X18" s="12"/>
      <c r="Y18" s="54">
        <v>0</v>
      </c>
      <c r="Z18" s="12"/>
      <c r="AA18" s="12"/>
      <c r="AB18" s="30"/>
      <c r="AC18" s="30"/>
      <c r="AD18" s="30"/>
      <c r="AE18" s="30"/>
      <c r="AF18" s="17"/>
      <c r="AG18" s="18"/>
      <c r="AH18" s="29"/>
      <c r="AI18" s="17"/>
      <c r="AJ18" s="16">
        <v>10</v>
      </c>
      <c r="AK18" s="18"/>
      <c r="AL18" s="30"/>
      <c r="AM18" s="114"/>
      <c r="AN18" s="30"/>
      <c r="AO18" s="30"/>
      <c r="AQ18" s="17"/>
      <c r="AS18" s="209"/>
      <c r="AT18" s="209"/>
      <c r="AU18">
        <v>0</v>
      </c>
      <c r="AV18">
        <v>0</v>
      </c>
      <c r="AW18" s="17"/>
      <c r="AX18" s="17"/>
      <c r="AY18" s="17"/>
      <c r="BB18" s="12"/>
      <c r="BC18" s="12"/>
      <c r="BD18" s="12"/>
      <c r="BE18" s="12"/>
      <c r="BF18" s="12"/>
      <c r="BG18" s="12"/>
      <c r="BH18" s="12"/>
      <c r="BI18" s="12"/>
      <c r="BJ18" s="12"/>
      <c r="BK18" s="144"/>
      <c r="BN18" s="40"/>
      <c r="BU18" s="16"/>
      <c r="BV18" s="16"/>
      <c r="BW18" s="16"/>
      <c r="BX18" s="16">
        <f t="shared" si="6"/>
        <v>0</v>
      </c>
      <c r="BY18" s="16">
        <f t="shared" si="7"/>
        <v>0</v>
      </c>
      <c r="BZ18" s="16"/>
      <c r="CA18" s="16"/>
      <c r="CB18" s="12"/>
      <c r="CC18" s="54"/>
      <c r="CE18" s="54"/>
      <c r="CF18" s="12"/>
      <c r="CG18" s="12"/>
      <c r="CH18" s="12"/>
      <c r="CI18" s="16"/>
      <c r="CJ18" s="16"/>
      <c r="CK18" s="54"/>
      <c r="CL18" s="16">
        <f t="shared" si="10"/>
        <v>0</v>
      </c>
      <c r="CM18" s="16"/>
      <c r="CN18" s="12"/>
      <c r="CO18" s="12"/>
      <c r="CP18" s="264">
        <v>4820.109326886648</v>
      </c>
      <c r="CQ18" s="16">
        <f>CT18*CW4</f>
        <v>0</v>
      </c>
      <c r="CR18" s="16">
        <f>AVERAGE(AU18,AV18,CQ18)</f>
        <v>0</v>
      </c>
      <c r="CS18" s="16">
        <f>CR18-(CU18*CR$25)</f>
        <v>0</v>
      </c>
      <c r="CT18" s="12"/>
      <c r="CU18" s="12"/>
      <c r="CV18" s="12"/>
      <c r="CW18" s="12"/>
      <c r="CX18" s="16">
        <v>93</v>
      </c>
      <c r="CY18" s="16">
        <v>100</v>
      </c>
      <c r="CZ18" s="16">
        <v>57.73</v>
      </c>
      <c r="DA18" s="16">
        <f t="shared" si="40"/>
        <v>250.73</v>
      </c>
      <c r="DB18" s="16"/>
      <c r="DC18" s="16">
        <f t="shared" si="13"/>
        <v>0</v>
      </c>
      <c r="DD18" s="16">
        <f t="shared" si="14"/>
        <v>248.61778346121059</v>
      </c>
      <c r="DE18" s="16">
        <f t="shared" si="42"/>
        <v>2.1122165387893972</v>
      </c>
      <c r="DF18" s="17">
        <f t="shared" si="15"/>
        <v>2.8777709031552585E-3</v>
      </c>
      <c r="DG18" s="16">
        <f t="shared" si="16"/>
        <v>0</v>
      </c>
      <c r="DH18" s="16"/>
      <c r="DI18" s="16"/>
      <c r="DJ18" s="12"/>
      <c r="DK18" s="12"/>
      <c r="DL18" s="16"/>
      <c r="DM18" s="16"/>
      <c r="DN18" s="16">
        <v>0</v>
      </c>
      <c r="DO18" s="16">
        <v>0</v>
      </c>
      <c r="DP18" s="16">
        <v>0</v>
      </c>
      <c r="DQ18" s="16">
        <f t="shared" si="45"/>
        <v>0</v>
      </c>
      <c r="DR18" s="16"/>
      <c r="DS18" s="16" t="e">
        <f t="shared" si="19"/>
        <v>#REF!</v>
      </c>
      <c r="DT18" s="16">
        <f t="shared" si="20"/>
        <v>0</v>
      </c>
      <c r="DU18" s="16"/>
      <c r="DV18" s="16">
        <f t="shared" si="22"/>
        <v>0</v>
      </c>
      <c r="DW18" s="16"/>
      <c r="DX18" s="17"/>
      <c r="DY18" s="16"/>
      <c r="DZ18" s="17"/>
      <c r="EA18" s="17"/>
      <c r="EB18" s="16"/>
      <c r="EC18" s="54"/>
      <c r="ED18" s="54"/>
      <c r="EE18" s="12"/>
      <c r="EF18" s="12"/>
      <c r="EG18" s="12"/>
      <c r="EH18" s="12"/>
      <c r="EI18" s="12"/>
      <c r="EJ18" s="12"/>
      <c r="EK18" s="16">
        <f t="shared" si="31"/>
        <v>133649.5652173913</v>
      </c>
      <c r="EL18" s="16">
        <f t="shared" si="48"/>
        <v>-133649.5652173913</v>
      </c>
      <c r="EM18" s="12">
        <f t="shared" si="32"/>
        <v>-7.7134169089680737E-2</v>
      </c>
      <c r="EN18" s="12">
        <f t="shared" si="33"/>
        <v>-2.9127005093979141E-2</v>
      </c>
      <c r="EO18" s="12"/>
    </row>
    <row r="19" spans="1:145" x14ac:dyDescent="0.35">
      <c r="A19" s="7" t="s">
        <v>231</v>
      </c>
      <c r="B19" s="7" t="s">
        <v>234</v>
      </c>
      <c r="C19" s="1">
        <f t="shared" si="0"/>
        <v>32</v>
      </c>
      <c r="D19">
        <v>0</v>
      </c>
      <c r="E19">
        <v>0</v>
      </c>
      <c r="F19">
        <v>32</v>
      </c>
      <c r="G19">
        <v>0</v>
      </c>
      <c r="H19">
        <v>0</v>
      </c>
      <c r="I19" s="49">
        <v>679.5</v>
      </c>
      <c r="J19" s="9">
        <v>325</v>
      </c>
      <c r="K19" s="12">
        <f t="shared" si="57"/>
        <v>21.234375</v>
      </c>
      <c r="L19" s="12">
        <v>10.15625</v>
      </c>
      <c r="M19" s="12" t="e">
        <f>L19/L26</f>
        <v>#DIV/0!</v>
      </c>
      <c r="N19" s="45" t="e">
        <f>K19/K26</f>
        <v>#DIV/0!</v>
      </c>
      <c r="O19" s="16">
        <v>1928697</v>
      </c>
      <c r="P19" s="16">
        <v>1003351</v>
      </c>
      <c r="Q19" s="16">
        <f t="shared" si="2"/>
        <v>60271.78125</v>
      </c>
      <c r="R19" s="16">
        <f t="shared" si="3"/>
        <v>31354.71875</v>
      </c>
      <c r="S19" s="12" t="e">
        <f>R19/R26</f>
        <v>#DIV/0!</v>
      </c>
      <c r="T19" s="12" t="e">
        <f>Q19/Q26</f>
        <v>#DIV/0!</v>
      </c>
      <c r="U19" s="12" t="e">
        <f t="shared" si="4"/>
        <v>#DIV/0!</v>
      </c>
      <c r="V19" s="12" t="e">
        <f t="shared" si="5"/>
        <v>#DIV/0!</v>
      </c>
      <c r="W19" s="14" t="e">
        <f t="shared" si="58"/>
        <v>#REF!</v>
      </c>
      <c r="X19" s="15">
        <v>0.214</v>
      </c>
      <c r="Y19" s="54">
        <v>41</v>
      </c>
      <c r="Z19" s="14">
        <v>2.4035941860547334</v>
      </c>
      <c r="AA19" s="14" t="e">
        <f t="shared" si="59"/>
        <v>#REF!</v>
      </c>
      <c r="AB19" s="34" t="e">
        <f>AE19*#REF!</f>
        <v>#REF!</v>
      </c>
      <c r="AC19" s="34" t="e">
        <f>(AH19*#REF!)</f>
        <v>#REF!</v>
      </c>
      <c r="AD19" s="66" t="e">
        <f>AC19-AB19</f>
        <v>#REF!</v>
      </c>
      <c r="AE19" s="34" t="e">
        <f>C19*AI19</f>
        <v>#REF!</v>
      </c>
      <c r="AF19" s="274">
        <f>X19/BM2</f>
        <v>3.758342114506498E-2</v>
      </c>
      <c r="AG19" s="34">
        <f>AQ19*BN$7</f>
        <v>0</v>
      </c>
      <c r="AH19" s="102">
        <f>C19*AY19</f>
        <v>0</v>
      </c>
      <c r="AI19" s="274" t="e">
        <f>W19/BO$2</f>
        <v>#REF!</v>
      </c>
      <c r="AJ19" s="142">
        <v>43</v>
      </c>
      <c r="AK19" s="275">
        <v>322096.95977560454</v>
      </c>
      <c r="AL19" s="66" t="e">
        <f>BC19*BN$13</f>
        <v>#DIV/0!</v>
      </c>
      <c r="AM19" s="116" t="e">
        <f>SUM(AN19:AO19)</f>
        <v>#REF!</v>
      </c>
      <c r="AN19" s="34" t="e">
        <f>BD19*#REF!</f>
        <v>#REF!</v>
      </c>
      <c r="AO19" s="34" t="e">
        <f>BE19*#REF!</f>
        <v>#DIV/0!</v>
      </c>
      <c r="AP19" s="34">
        <v>435345.21</v>
      </c>
      <c r="AQ19" s="274">
        <f>Y19*AX19</f>
        <v>0</v>
      </c>
      <c r="AR19" s="208">
        <v>479005.2194384177</v>
      </c>
      <c r="AS19" s="275" t="e">
        <f>AVERAGE(AK19,#REF!)</f>
        <v>#REF!</v>
      </c>
      <c r="AT19" s="209" t="e">
        <f>AVERAGE(AK19,AU14,#REF!)</f>
        <v>#REF!</v>
      </c>
      <c r="AU19" s="213">
        <v>341079.59495685349</v>
      </c>
      <c r="AV19" s="214">
        <v>346302.53852180007</v>
      </c>
      <c r="AW19" s="274"/>
      <c r="AX19" s="274"/>
      <c r="AY19" s="274"/>
      <c r="BB19" s="12" t="e">
        <f>EH19/#REF!</f>
        <v>#DIV/0!</v>
      </c>
      <c r="BC19" s="12" t="e">
        <f>Y19*BB19</f>
        <v>#DIV/0!</v>
      </c>
      <c r="BD19" s="12" t="e">
        <f>Y19*BF19</f>
        <v>#REF!</v>
      </c>
      <c r="BE19" s="12" t="e">
        <f>Y19*BG19</f>
        <v>#DIV/0!</v>
      </c>
      <c r="BF19" s="12" t="e">
        <f>CO19/#REF!</f>
        <v>#REF!</v>
      </c>
      <c r="BG19" s="12" t="e">
        <f>DX19/BN$12</f>
        <v>#DIV/0!</v>
      </c>
      <c r="BH19" s="12" t="e">
        <f>EJ19/BP$7</f>
        <v>#REF!</v>
      </c>
      <c r="BI19" s="12" t="e">
        <f>Y19*BJ19</f>
        <v>#REF!</v>
      </c>
      <c r="BJ19" s="12" t="e">
        <f>EO19/BP$10</f>
        <v>#REF!</v>
      </c>
      <c r="BQ19">
        <v>1359</v>
      </c>
      <c r="BR19">
        <v>1363</v>
      </c>
      <c r="BS19">
        <f t="shared" si="34"/>
        <v>-4</v>
      </c>
      <c r="BT19">
        <v>196</v>
      </c>
      <c r="BU19" s="16">
        <v>1826</v>
      </c>
      <c r="BV19" s="16">
        <v>2226</v>
      </c>
      <c r="BW19" s="16">
        <v>978</v>
      </c>
      <c r="BX19" s="16">
        <f t="shared" si="6"/>
        <v>1587.6619090098125</v>
      </c>
      <c r="BY19" s="16">
        <f t="shared" si="7"/>
        <v>1007.124</v>
      </c>
      <c r="BZ19" s="16">
        <f t="shared" si="68"/>
        <v>238.33809099018754</v>
      </c>
      <c r="CA19" s="16">
        <f t="shared" si="36"/>
        <v>1218.876</v>
      </c>
      <c r="CB19" s="14">
        <f>(BZ19-BZ$24)/BZ$25</f>
        <v>0.98743615683056507</v>
      </c>
      <c r="CC19" s="54">
        <v>183.46063000000001</v>
      </c>
      <c r="CD19">
        <f t="shared" si="37"/>
        <v>1163</v>
      </c>
      <c r="CE19" s="54">
        <f t="shared" si="38"/>
        <v>1179.53937</v>
      </c>
      <c r="CF19" s="12">
        <v>0.18725</v>
      </c>
      <c r="CG19" s="12" t="e">
        <f t="shared" ref="CG19:CH22" si="70">(CD19-CD$25)/CD$26</f>
        <v>#REF!</v>
      </c>
      <c r="CH19" s="12" t="e">
        <f t="shared" si="70"/>
        <v>#REF!</v>
      </c>
      <c r="CI19" s="16">
        <v>1928697</v>
      </c>
      <c r="CJ19" s="16">
        <v>1928697</v>
      </c>
      <c r="CK19" s="54">
        <v>149572.01999999999</v>
      </c>
      <c r="CL19" s="16">
        <f t="shared" si="10"/>
        <v>698.59572000000003</v>
      </c>
      <c r="CM19" s="16">
        <f t="shared" si="69"/>
        <v>1127.40428</v>
      </c>
      <c r="CN19" s="14" t="e">
        <f>(CM19-CM$24)/CM$25</f>
        <v>#REF!</v>
      </c>
      <c r="CO19" s="14">
        <f>(CA19-CA$24)/CA$25</f>
        <v>0.22344183916709759</v>
      </c>
      <c r="CP19" s="264">
        <v>657525.35286147823</v>
      </c>
      <c r="CQ19" s="285">
        <f>CT19*CW4</f>
        <v>896783.53952223016</v>
      </c>
      <c r="CR19" s="16">
        <f>AVERAGE(AV19,CP19,CQ19)</f>
        <v>633537.14363516949</v>
      </c>
      <c r="CS19" s="285">
        <f>CR19-(CU19*CR$25)</f>
        <v>674339.00594739767</v>
      </c>
      <c r="CT19" s="12">
        <f>AJ19*CU19</f>
        <v>18.462810371494843</v>
      </c>
      <c r="CU19" s="12">
        <f>EN19/CW3</f>
        <v>0.42936768305801964</v>
      </c>
      <c r="CV19" s="12"/>
      <c r="CW19" s="12"/>
      <c r="CX19" s="16">
        <v>518</v>
      </c>
      <c r="CY19" s="16">
        <v>350</v>
      </c>
      <c r="CZ19" s="16">
        <v>635.20000000000005</v>
      </c>
      <c r="DA19" s="16">
        <f t="shared" si="40"/>
        <v>1503.2</v>
      </c>
      <c r="DB19" s="16">
        <f t="shared" si="41"/>
        <v>1496</v>
      </c>
      <c r="DC19" s="16">
        <f t="shared" si="13"/>
        <v>440.08702999999997</v>
      </c>
      <c r="DD19" s="16">
        <f t="shared" si="14"/>
        <v>1069.0564688832055</v>
      </c>
      <c r="DE19" s="16">
        <f t="shared" si="42"/>
        <v>434.14353111679452</v>
      </c>
      <c r="DF19" s="109">
        <f t="shared" si="15"/>
        <v>0.59149504735767178</v>
      </c>
      <c r="DG19" s="16">
        <f t="shared" si="16"/>
        <v>0</v>
      </c>
      <c r="DH19" s="16">
        <f t="shared" si="43"/>
        <v>537.91297000000009</v>
      </c>
      <c r="DI19" s="16">
        <f t="shared" si="44"/>
        <v>1496</v>
      </c>
      <c r="DJ19" s="14" t="e">
        <f t="shared" ref="DJ19:DK22" si="71">(DH19-DH$24)/DH$25</f>
        <v>#REF!</v>
      </c>
      <c r="DK19" s="14" t="e">
        <f t="shared" si="71"/>
        <v>#REF!</v>
      </c>
      <c r="DL19" s="16">
        <v>1928697</v>
      </c>
      <c r="DM19" s="16">
        <v>1928697</v>
      </c>
      <c r="DN19" s="16">
        <v>2732373</v>
      </c>
      <c r="DO19" s="16">
        <v>3896075</v>
      </c>
      <c r="DP19" s="16">
        <v>1160538</v>
      </c>
      <c r="DQ19" s="16">
        <f t="shared" si="45"/>
        <v>7788986</v>
      </c>
      <c r="DR19" s="16">
        <f t="shared" si="46"/>
        <v>4661070</v>
      </c>
      <c r="DS19" s="16" t="e">
        <f t="shared" si="19"/>
        <v>#REF!</v>
      </c>
      <c r="DT19" s="16">
        <f t="shared" si="20"/>
        <v>224393</v>
      </c>
      <c r="DU19" s="16">
        <f t="shared" si="21"/>
        <v>1704304</v>
      </c>
      <c r="DV19" s="16">
        <f t="shared" si="22"/>
        <v>0</v>
      </c>
      <c r="DW19" s="16" t="e">
        <f t="shared" si="23"/>
        <v>#REF!</v>
      </c>
      <c r="DX19" s="109" t="e">
        <f>(DU19-DU$24)/DU$25</f>
        <v>#DIV/0!</v>
      </c>
      <c r="DY19" s="16">
        <f t="shared" si="47"/>
        <v>4661070</v>
      </c>
      <c r="DZ19" s="109" t="e">
        <f>(DW19-DW$24)/DW$25</f>
        <v>#REF!</v>
      </c>
      <c r="EA19" s="109" t="e">
        <f t="shared" si="26"/>
        <v>#REF!</v>
      </c>
      <c r="EB19" s="16">
        <v>173460.51</v>
      </c>
      <c r="EC19" s="54">
        <f t="shared" si="65"/>
        <v>1779124.98</v>
      </c>
      <c r="ED19" s="54">
        <f t="shared" si="66"/>
        <v>1755236.49</v>
      </c>
      <c r="EE19" s="12">
        <v>4.0834900000000003</v>
      </c>
      <c r="EF19" s="12" t="e">
        <f t="shared" ref="EF19:EG22" si="72">(EC19-EC$25)/EC$26</f>
        <v>#REF!</v>
      </c>
      <c r="EG19" s="12" t="e">
        <f t="shared" si="72"/>
        <v>#REF!</v>
      </c>
      <c r="EH19" s="14" t="e">
        <f t="shared" si="28"/>
        <v>#DIV/0!</v>
      </c>
      <c r="EI19" s="14" t="e">
        <f>(DY19-DY$24)/DY$25</f>
        <v>#DIV/0!</v>
      </c>
      <c r="EJ19" s="14" t="e">
        <f t="shared" si="30"/>
        <v>#REF!</v>
      </c>
      <c r="EK19" s="16">
        <f t="shared" si="31"/>
        <v>574693.13043478259</v>
      </c>
      <c r="EL19" s="16">
        <f t="shared" si="48"/>
        <v>7214292.8695652178</v>
      </c>
      <c r="EM19" s="14">
        <f t="shared" si="32"/>
        <v>4.1636385809290326</v>
      </c>
      <c r="EN19" s="14">
        <f t="shared" si="33"/>
        <v>2.0203524607862162</v>
      </c>
      <c r="EO19" s="12" t="e">
        <f t="shared" si="49"/>
        <v>#REF!</v>
      </c>
    </row>
    <row r="20" spans="1:145" x14ac:dyDescent="0.35">
      <c r="A20" s="7" t="s">
        <v>237</v>
      </c>
      <c r="B20" s="7" t="s">
        <v>24</v>
      </c>
      <c r="C20" s="1">
        <f t="shared" si="0"/>
        <v>33</v>
      </c>
      <c r="D20">
        <v>2</v>
      </c>
      <c r="E20">
        <v>0</v>
      </c>
      <c r="F20">
        <v>23</v>
      </c>
      <c r="G20">
        <v>7</v>
      </c>
      <c r="H20">
        <v>1</v>
      </c>
      <c r="I20" s="49">
        <v>442.5</v>
      </c>
      <c r="J20" s="9">
        <v>392.5</v>
      </c>
      <c r="K20" s="12">
        <f t="shared" si="57"/>
        <v>13.409090909090908</v>
      </c>
      <c r="L20" s="12">
        <v>11.893939393939394</v>
      </c>
      <c r="M20" s="12" t="e">
        <f>L20/L26</f>
        <v>#DIV/0!</v>
      </c>
      <c r="N20" s="45" t="e">
        <f>K20/K26</f>
        <v>#DIV/0!</v>
      </c>
      <c r="O20" s="16">
        <v>0</v>
      </c>
      <c r="P20" s="16">
        <v>0</v>
      </c>
      <c r="Q20" s="16">
        <f t="shared" si="2"/>
        <v>0</v>
      </c>
      <c r="R20" s="16">
        <f t="shared" si="3"/>
        <v>0</v>
      </c>
      <c r="S20" s="12" t="e">
        <f>R20/R26</f>
        <v>#DIV/0!</v>
      </c>
      <c r="T20" s="12" t="e">
        <f>Q20/Q26</f>
        <v>#DIV/0!</v>
      </c>
      <c r="U20" s="12" t="e">
        <f t="shared" si="4"/>
        <v>#DIV/0!</v>
      </c>
      <c r="V20" s="12" t="e">
        <f t="shared" si="5"/>
        <v>#DIV/0!</v>
      </c>
      <c r="W20" s="12" t="e">
        <f t="shared" si="58"/>
        <v>#REF!</v>
      </c>
      <c r="X20" s="12">
        <v>-0.20599999999999999</v>
      </c>
      <c r="Y20" s="54">
        <v>35</v>
      </c>
      <c r="Z20" s="12">
        <v>-0.14347040075077108</v>
      </c>
      <c r="AA20" s="12" t="e">
        <f t="shared" si="59"/>
        <v>#REF!</v>
      </c>
      <c r="AB20" s="18"/>
      <c r="AC20" s="18"/>
      <c r="AD20" s="18"/>
      <c r="AE20" s="18"/>
      <c r="AF20" s="17"/>
      <c r="AG20" s="18"/>
      <c r="AH20" s="28"/>
      <c r="AI20" s="17"/>
      <c r="AJ20" s="16">
        <v>28</v>
      </c>
      <c r="AK20" s="18"/>
      <c r="AL20" s="18"/>
      <c r="AM20" s="17"/>
      <c r="AN20" s="18"/>
      <c r="AO20" s="18"/>
      <c r="AP20" s="30"/>
      <c r="AQ20" s="17"/>
      <c r="AR20" s="18"/>
      <c r="AS20" s="18"/>
      <c r="AT20" s="18"/>
      <c r="AU20" s="212">
        <v>0</v>
      </c>
      <c r="AV20" s="212">
        <v>0</v>
      </c>
      <c r="AW20" s="17"/>
      <c r="AX20" s="17"/>
      <c r="AY20" s="274"/>
      <c r="BB20" s="12"/>
      <c r="BC20" s="12"/>
      <c r="BD20" s="12"/>
      <c r="BE20" s="12"/>
      <c r="BF20" s="12"/>
      <c r="BG20" s="12"/>
      <c r="BH20" s="12"/>
      <c r="BI20" s="12"/>
      <c r="BJ20" s="12"/>
      <c r="BQ20">
        <v>885</v>
      </c>
      <c r="BR20">
        <v>885</v>
      </c>
      <c r="BS20">
        <f t="shared" si="34"/>
        <v>0</v>
      </c>
      <c r="BT20">
        <v>202</v>
      </c>
      <c r="BU20" s="16">
        <v>886</v>
      </c>
      <c r="BV20" s="16">
        <v>1332</v>
      </c>
      <c r="BW20" s="16">
        <v>487</v>
      </c>
      <c r="BX20" s="16">
        <f t="shared" si="6"/>
        <v>1355.3211418376447</v>
      </c>
      <c r="BY20" s="16">
        <f t="shared" si="7"/>
        <v>859.74</v>
      </c>
      <c r="BZ20" s="16">
        <f t="shared" si="68"/>
        <v>-469.32114183764475</v>
      </c>
      <c r="CA20" s="16">
        <f t="shared" si="36"/>
        <v>472.26</v>
      </c>
      <c r="CB20" s="14">
        <f>(BZ20-BZ$24)/BZ$25</f>
        <v>0.28791028393387619</v>
      </c>
      <c r="CC20" s="54">
        <v>189.19377</v>
      </c>
      <c r="CD20">
        <f t="shared" si="37"/>
        <v>683</v>
      </c>
      <c r="CE20" s="54">
        <f t="shared" si="38"/>
        <v>695.80623000000003</v>
      </c>
      <c r="CF20" s="12">
        <v>-0.10668</v>
      </c>
      <c r="CG20" s="12" t="e">
        <f t="shared" si="70"/>
        <v>#REF!</v>
      </c>
      <c r="CH20" s="12" t="e">
        <f t="shared" si="70"/>
        <v>#REF!</v>
      </c>
      <c r="CI20" s="16">
        <v>0</v>
      </c>
      <c r="CJ20" s="16">
        <v>0</v>
      </c>
      <c r="CK20" s="54">
        <v>153885.43</v>
      </c>
      <c r="CL20" s="16">
        <f t="shared" si="10"/>
        <v>596.36220000000003</v>
      </c>
      <c r="CM20" s="16">
        <f t="shared" si="69"/>
        <v>289.63779999999997</v>
      </c>
      <c r="CN20" s="12" t="e">
        <f>(CM20-CM$24)/CM$25</f>
        <v>#REF!</v>
      </c>
      <c r="CO20" s="12">
        <f>(CA20-CA$24)/CA$25</f>
        <v>-0.21160187707449876</v>
      </c>
      <c r="CP20" s="264">
        <v>37903.11739388376</v>
      </c>
      <c r="CQ20" s="16">
        <f>CT20*CW4</f>
        <v>0</v>
      </c>
      <c r="CR20" s="16">
        <f>AVERAGE(AU20,AV20,CQ20)</f>
        <v>0</v>
      </c>
      <c r="CS20" s="16">
        <f>CR20-(CU20*CR$25)</f>
        <v>0</v>
      </c>
      <c r="CT20" s="12"/>
      <c r="CU20" s="12"/>
      <c r="CV20" s="12"/>
      <c r="CW20" s="12"/>
      <c r="CX20" s="16">
        <v>298</v>
      </c>
      <c r="CY20" s="16">
        <v>186</v>
      </c>
      <c r="CZ20" s="16">
        <v>173.17</v>
      </c>
      <c r="DA20" s="16">
        <f t="shared" si="40"/>
        <v>657.17</v>
      </c>
      <c r="DB20" s="16">
        <f t="shared" si="41"/>
        <v>785</v>
      </c>
      <c r="DC20" s="16">
        <f t="shared" si="13"/>
        <v>375.68404999999996</v>
      </c>
      <c r="DD20" s="16">
        <f t="shared" si="14"/>
        <v>696.12979369138964</v>
      </c>
      <c r="DE20" s="16">
        <f t="shared" si="42"/>
        <v>-38.959793691389677</v>
      </c>
      <c r="DF20" s="17">
        <f t="shared" si="15"/>
        <v>-5.3080429311600279E-2</v>
      </c>
      <c r="DG20" s="16">
        <f t="shared" si="16"/>
        <v>0</v>
      </c>
      <c r="DH20" s="16">
        <f t="shared" si="43"/>
        <v>111.31595000000004</v>
      </c>
      <c r="DI20" s="16">
        <f t="shared" si="44"/>
        <v>785</v>
      </c>
      <c r="DJ20" s="12" t="e">
        <f t="shared" si="71"/>
        <v>#REF!</v>
      </c>
      <c r="DK20" s="12" t="e">
        <f t="shared" si="71"/>
        <v>#REF!</v>
      </c>
      <c r="DL20" s="16">
        <v>0</v>
      </c>
      <c r="DM20" s="16">
        <v>9629</v>
      </c>
      <c r="DN20" s="16">
        <v>0</v>
      </c>
      <c r="DO20" s="16">
        <v>296790</v>
      </c>
      <c r="DP20" s="16">
        <v>8723</v>
      </c>
      <c r="DQ20" s="16">
        <f t="shared" si="45"/>
        <v>305513</v>
      </c>
      <c r="DR20" s="16">
        <f t="shared" si="46"/>
        <v>0</v>
      </c>
      <c r="DS20" s="16" t="e">
        <f t="shared" si="19"/>
        <v>#REF!</v>
      </c>
      <c r="DT20" s="16">
        <f t="shared" si="20"/>
        <v>191555</v>
      </c>
      <c r="DU20" s="16">
        <f t="shared" si="21"/>
        <v>-181926</v>
      </c>
      <c r="DV20" s="16">
        <f t="shared" si="22"/>
        <v>0</v>
      </c>
      <c r="DW20" s="16" t="e">
        <f t="shared" si="23"/>
        <v>#REF!</v>
      </c>
      <c r="DX20" s="17" t="e">
        <f>(DU20-DU$24)/DU$25</f>
        <v>#DIV/0!</v>
      </c>
      <c r="DY20" s="16">
        <f t="shared" si="47"/>
        <v>0</v>
      </c>
      <c r="DZ20" s="17" t="e">
        <f>(DW20-DW$24)/DW$25</f>
        <v>#REF!</v>
      </c>
      <c r="EA20" s="17" t="e">
        <f t="shared" si="26"/>
        <v>#REF!</v>
      </c>
      <c r="EB20" s="16">
        <v>177714.32</v>
      </c>
      <c r="EC20" s="54">
        <f t="shared" si="65"/>
        <v>-153885.43</v>
      </c>
      <c r="ED20" s="54">
        <f t="shared" si="66"/>
        <v>-177714.32</v>
      </c>
      <c r="EE20" s="12">
        <v>-0.32102999999999998</v>
      </c>
      <c r="EF20" s="12" t="e">
        <f t="shared" si="72"/>
        <v>#REF!</v>
      </c>
      <c r="EG20" s="12" t="e">
        <f t="shared" si="72"/>
        <v>#REF!</v>
      </c>
      <c r="EH20" s="12" t="e">
        <f t="shared" si="28"/>
        <v>#DIV/0!</v>
      </c>
      <c r="EI20" s="12" t="e">
        <f>(DY20-DY$24)/DY$25</f>
        <v>#DIV/0!</v>
      </c>
      <c r="EJ20" s="12" t="e">
        <f t="shared" si="30"/>
        <v>#REF!</v>
      </c>
      <c r="EK20" s="16">
        <f t="shared" si="31"/>
        <v>374218.78260869562</v>
      </c>
      <c r="EL20" s="16">
        <f t="shared" si="48"/>
        <v>-68705.782608695619</v>
      </c>
      <c r="EM20" s="12">
        <f t="shared" si="32"/>
        <v>-3.9652680085848609E-2</v>
      </c>
      <c r="EN20" s="12">
        <f t="shared" si="33"/>
        <v>-4.7709329621299611E-2</v>
      </c>
      <c r="EO20" s="12" t="e">
        <f t="shared" si="49"/>
        <v>#REF!</v>
      </c>
    </row>
    <row r="21" spans="1:145" x14ac:dyDescent="0.35">
      <c r="A21" s="8" t="s">
        <v>241</v>
      </c>
      <c r="B21" s="8" t="s">
        <v>22</v>
      </c>
      <c r="C21" s="1">
        <f t="shared" si="0"/>
        <v>23</v>
      </c>
      <c r="D21">
        <v>0</v>
      </c>
      <c r="E21">
        <v>6</v>
      </c>
      <c r="F21">
        <v>6</v>
      </c>
      <c r="G21">
        <v>6</v>
      </c>
      <c r="H21">
        <v>5</v>
      </c>
      <c r="I21" s="49">
        <v>22.5</v>
      </c>
      <c r="J21" s="9">
        <v>38.5</v>
      </c>
      <c r="K21" s="12">
        <f t="shared" si="57"/>
        <v>0.97826086956521741</v>
      </c>
      <c r="L21" s="12">
        <v>1.673913043478261</v>
      </c>
      <c r="M21" s="12" t="e">
        <f>L21/L26</f>
        <v>#DIV/0!</v>
      </c>
      <c r="N21" s="45" t="e">
        <f>K21/K26</f>
        <v>#DIV/0!</v>
      </c>
      <c r="O21" s="16">
        <v>0</v>
      </c>
      <c r="P21" s="16">
        <v>0</v>
      </c>
      <c r="Q21" s="16">
        <f t="shared" si="2"/>
        <v>0</v>
      </c>
      <c r="R21" s="16">
        <f t="shared" si="3"/>
        <v>0</v>
      </c>
      <c r="S21" s="12" t="e">
        <f>R21/R26</f>
        <v>#DIV/0!</v>
      </c>
      <c r="T21" s="12" t="e">
        <f>Q21/Q26</f>
        <v>#DIV/0!</v>
      </c>
      <c r="U21" s="12" t="e">
        <f t="shared" si="4"/>
        <v>#DIV/0!</v>
      </c>
      <c r="V21" s="12" t="e">
        <f t="shared" si="5"/>
        <v>#DIV/0!</v>
      </c>
      <c r="W21" s="12" t="e">
        <f t="shared" si="58"/>
        <v>#REF!</v>
      </c>
      <c r="X21" s="12">
        <v>-0.39300000000000002</v>
      </c>
      <c r="Y21" s="54">
        <v>19</v>
      </c>
      <c r="Z21" s="12">
        <v>-0.45066129326366638</v>
      </c>
      <c r="AA21" s="12" t="e">
        <f t="shared" si="59"/>
        <v>#REF!</v>
      </c>
      <c r="AB21" s="18"/>
      <c r="AC21" s="18"/>
      <c r="AD21" s="18"/>
      <c r="AE21" s="18"/>
      <c r="AF21" s="17"/>
      <c r="AG21" s="18"/>
      <c r="AH21" s="28"/>
      <c r="AI21" s="17"/>
      <c r="AJ21" s="16">
        <v>12</v>
      </c>
      <c r="AK21" s="18"/>
      <c r="AL21" s="18"/>
      <c r="AM21" s="17"/>
      <c r="AN21" s="18"/>
      <c r="AO21" s="18"/>
      <c r="AQ21" s="17"/>
      <c r="AR21" s="18"/>
      <c r="AS21" s="18"/>
      <c r="AT21" s="18"/>
      <c r="AU21" s="212"/>
      <c r="AV21" s="212"/>
      <c r="AW21" s="17"/>
      <c r="AX21" s="17"/>
      <c r="AY21" s="17"/>
      <c r="BB21" s="12"/>
      <c r="BC21" s="12"/>
      <c r="BD21" s="12"/>
      <c r="BE21" s="12"/>
      <c r="BF21" s="12"/>
      <c r="BG21" s="12"/>
      <c r="BH21" s="12"/>
      <c r="BI21" s="12"/>
      <c r="BJ21" s="12"/>
      <c r="BK21" s="144" t="s">
        <v>402</v>
      </c>
      <c r="BQ21">
        <v>45</v>
      </c>
      <c r="BR21">
        <v>44</v>
      </c>
      <c r="BS21">
        <f t="shared" si="34"/>
        <v>1</v>
      </c>
      <c r="BT21">
        <v>141</v>
      </c>
      <c r="BU21" s="16">
        <v>80</v>
      </c>
      <c r="BV21" s="16">
        <v>96</v>
      </c>
      <c r="BW21" s="16">
        <v>70</v>
      </c>
      <c r="BX21" s="16">
        <f t="shared" si="6"/>
        <v>735.74576271186436</v>
      </c>
      <c r="BY21" s="16">
        <f t="shared" si="7"/>
        <v>466.71600000000001</v>
      </c>
      <c r="BZ21" s="16">
        <f t="shared" si="68"/>
        <v>-655.74576271186436</v>
      </c>
      <c r="CA21" s="16">
        <f t="shared" si="36"/>
        <v>-370.71600000000001</v>
      </c>
      <c r="CB21" s="12">
        <f>(BZ21-BZ$24)/BZ$25</f>
        <v>0.10362830244208637</v>
      </c>
      <c r="CC21" s="54">
        <v>131.86232999999999</v>
      </c>
      <c r="CD21">
        <f t="shared" si="37"/>
        <v>-96</v>
      </c>
      <c r="CE21" s="54">
        <f t="shared" si="38"/>
        <v>-87.862329999999986</v>
      </c>
      <c r="CF21" s="12">
        <v>-0.58348</v>
      </c>
      <c r="CG21" s="12" t="e">
        <f t="shared" si="70"/>
        <v>#REF!</v>
      </c>
      <c r="CH21" s="12" t="e">
        <f t="shared" si="70"/>
        <v>#REF!</v>
      </c>
      <c r="CI21" s="16">
        <v>0</v>
      </c>
      <c r="CJ21" s="16">
        <v>0</v>
      </c>
      <c r="CK21" s="54">
        <v>110240.4</v>
      </c>
      <c r="CL21" s="16">
        <f t="shared" si="10"/>
        <v>323.73948000000001</v>
      </c>
      <c r="CM21" s="16">
        <f t="shared" si="69"/>
        <v>-243.73948000000001</v>
      </c>
      <c r="CN21" s="12" t="e">
        <f>(CM21-CM$24)/CM$25</f>
        <v>#REF!</v>
      </c>
      <c r="CO21" s="12">
        <f>(CA21-CA$24)/CA$25</f>
        <v>-0.70279334865088605</v>
      </c>
      <c r="CP21" s="18"/>
      <c r="CQ21" s="16"/>
      <c r="CR21" s="16"/>
      <c r="CS21" s="16"/>
      <c r="CT21" s="12"/>
      <c r="CU21" s="12"/>
      <c r="CV21" s="12"/>
      <c r="CW21" s="12"/>
      <c r="CX21" s="16">
        <v>28</v>
      </c>
      <c r="CY21" s="16">
        <v>63</v>
      </c>
      <c r="CZ21" s="16">
        <v>20</v>
      </c>
      <c r="DA21" s="16">
        <f t="shared" si="40"/>
        <v>111</v>
      </c>
      <c r="DB21" s="16">
        <f t="shared" si="41"/>
        <v>98</v>
      </c>
      <c r="DC21" s="16">
        <f t="shared" si="13"/>
        <v>203.94277</v>
      </c>
      <c r="DD21" s="16">
        <f t="shared" si="14"/>
        <v>298.34134015345273</v>
      </c>
      <c r="DE21" s="16">
        <f t="shared" si="42"/>
        <v>-187.34134015345273</v>
      </c>
      <c r="DF21" s="17">
        <f t="shared" si="15"/>
        <v>-0.2552415662651098</v>
      </c>
      <c r="DG21" s="16">
        <f t="shared" si="16"/>
        <v>0</v>
      </c>
      <c r="DH21" s="16">
        <f t="shared" si="43"/>
        <v>-133.94277</v>
      </c>
      <c r="DI21" s="16">
        <f t="shared" si="44"/>
        <v>98</v>
      </c>
      <c r="DJ21" s="12" t="e">
        <f t="shared" si="71"/>
        <v>#REF!</v>
      </c>
      <c r="DK21" s="12" t="e">
        <f t="shared" si="71"/>
        <v>#REF!</v>
      </c>
      <c r="DL21" s="16">
        <v>0</v>
      </c>
      <c r="DM21" s="16">
        <v>0</v>
      </c>
      <c r="DN21" s="16">
        <v>0</v>
      </c>
      <c r="DO21" s="16">
        <v>0</v>
      </c>
      <c r="DP21" s="16">
        <v>0</v>
      </c>
      <c r="DQ21" s="16">
        <f t="shared" si="45"/>
        <v>0</v>
      </c>
      <c r="DR21" s="16">
        <f t="shared" si="46"/>
        <v>0</v>
      </c>
      <c r="DS21" s="16" t="e">
        <f t="shared" si="19"/>
        <v>#REF!</v>
      </c>
      <c r="DT21" s="16">
        <f t="shared" si="20"/>
        <v>103987</v>
      </c>
      <c r="DU21" s="16">
        <f t="shared" si="21"/>
        <v>-103987</v>
      </c>
      <c r="DV21" s="16">
        <f t="shared" si="22"/>
        <v>0</v>
      </c>
      <c r="DW21" s="16" t="e">
        <f t="shared" si="23"/>
        <v>#REF!</v>
      </c>
      <c r="DX21" s="17" t="e">
        <f>(DU21-DU$24)/DU$25</f>
        <v>#DIV/0!</v>
      </c>
      <c r="DY21" s="16">
        <f t="shared" si="47"/>
        <v>0</v>
      </c>
      <c r="DZ21" s="17" t="e">
        <f>(DW21-DW$24)/DW$25</f>
        <v>#REF!</v>
      </c>
      <c r="EA21" s="17" t="e">
        <f t="shared" si="26"/>
        <v>#REF!</v>
      </c>
      <c r="EB21" s="16">
        <v>133745.95000000001</v>
      </c>
      <c r="EC21" s="54">
        <f t="shared" si="65"/>
        <v>-110240.4</v>
      </c>
      <c r="ED21" s="54">
        <f t="shared" si="66"/>
        <v>-133745.95000000001</v>
      </c>
      <c r="EE21" s="12">
        <v>-0.22158</v>
      </c>
      <c r="EF21" s="12" t="e">
        <f t="shared" si="72"/>
        <v>#REF!</v>
      </c>
      <c r="EG21" s="12" t="e">
        <f t="shared" si="72"/>
        <v>#REF!</v>
      </c>
      <c r="EH21" s="12" t="e">
        <f t="shared" si="28"/>
        <v>#DIV/0!</v>
      </c>
      <c r="EI21" s="12" t="e">
        <f>(DY21-DY$24)/DY$25</f>
        <v>#DIV/0!</v>
      </c>
      <c r="EJ21" s="12" t="e">
        <f t="shared" si="30"/>
        <v>#REF!</v>
      </c>
      <c r="EK21" s="16">
        <f t="shared" si="31"/>
        <v>160379.47826086957</v>
      </c>
      <c r="EL21" s="16">
        <f t="shared" si="48"/>
        <v>-160379.47826086957</v>
      </c>
      <c r="EM21" s="12">
        <f t="shared" si="32"/>
        <v>-9.2561002907616888E-2</v>
      </c>
      <c r="EN21" s="12">
        <f t="shared" si="33"/>
        <v>-0.19016934092211263</v>
      </c>
      <c r="EO21" s="12" t="e">
        <f t="shared" si="49"/>
        <v>#REF!</v>
      </c>
    </row>
    <row r="22" spans="1:145" x14ac:dyDescent="0.35">
      <c r="A22" s="7" t="s">
        <v>242</v>
      </c>
      <c r="B22" s="7" t="s">
        <v>117</v>
      </c>
      <c r="C22" s="1">
        <f t="shared" si="0"/>
        <v>10</v>
      </c>
      <c r="D22">
        <v>0</v>
      </c>
      <c r="E22">
        <v>0</v>
      </c>
      <c r="F22">
        <v>0</v>
      </c>
      <c r="G22">
        <v>0</v>
      </c>
      <c r="H22">
        <v>10</v>
      </c>
      <c r="I22" s="50">
        <v>47</v>
      </c>
      <c r="J22" s="51">
        <v>48.5</v>
      </c>
      <c r="K22" s="46">
        <f t="shared" si="57"/>
        <v>4.7</v>
      </c>
      <c r="L22" s="46">
        <v>4.8499999999999996</v>
      </c>
      <c r="M22" s="46" t="e">
        <f>L22/L26</f>
        <v>#DIV/0!</v>
      </c>
      <c r="N22" s="47" t="e">
        <f>K22/K26</f>
        <v>#DIV/0!</v>
      </c>
      <c r="O22" s="16">
        <v>0</v>
      </c>
      <c r="P22" s="16">
        <v>0</v>
      </c>
      <c r="Q22" s="16">
        <f t="shared" si="2"/>
        <v>0</v>
      </c>
      <c r="R22" s="16">
        <f t="shared" si="3"/>
        <v>0</v>
      </c>
      <c r="S22" s="12" t="e">
        <f>R22/R26</f>
        <v>#DIV/0!</v>
      </c>
      <c r="T22" s="12" t="e">
        <f>Q22/Q26</f>
        <v>#DIV/0!</v>
      </c>
      <c r="U22" s="12" t="e">
        <f t="shared" si="4"/>
        <v>#DIV/0!</v>
      </c>
      <c r="V22" s="12" t="e">
        <f t="shared" si="5"/>
        <v>#DIV/0!</v>
      </c>
      <c r="W22" s="12" t="e">
        <f t="shared" si="58"/>
        <v>#REF!</v>
      </c>
      <c r="X22" s="12">
        <v>-0.35199999999999998</v>
      </c>
      <c r="Y22" s="54">
        <v>10</v>
      </c>
      <c r="Z22" s="12">
        <v>-0.20103027775890056</v>
      </c>
      <c r="AA22" s="12" t="e">
        <f t="shared" si="59"/>
        <v>#REF!</v>
      </c>
      <c r="AB22" s="18"/>
      <c r="AC22" s="18"/>
      <c r="AD22" s="18"/>
      <c r="AE22" s="18"/>
      <c r="AF22" s="17"/>
      <c r="AG22" s="18"/>
      <c r="AH22" s="28"/>
      <c r="AI22" s="17"/>
      <c r="AJ22" s="16">
        <v>10</v>
      </c>
      <c r="AK22" s="18"/>
      <c r="AL22" s="18"/>
      <c r="AM22" s="17"/>
      <c r="AN22" s="18"/>
      <c r="AO22" s="18"/>
      <c r="AQ22" s="17"/>
      <c r="AR22" s="18"/>
      <c r="AS22" s="18"/>
      <c r="AT22" s="18"/>
      <c r="AU22" s="212"/>
      <c r="AV22" s="212"/>
      <c r="AW22" s="17"/>
      <c r="AX22" s="17"/>
      <c r="AY22" s="17"/>
      <c r="BB22" s="12"/>
      <c r="BC22" s="12"/>
      <c r="BD22" s="12"/>
      <c r="BE22" s="12"/>
      <c r="BF22" s="12"/>
      <c r="BG22" s="12"/>
      <c r="BH22" s="12"/>
      <c r="BI22" s="12"/>
      <c r="BJ22" s="12"/>
      <c r="BK22" s="35">
        <v>5561640.8546679541</v>
      </c>
      <c r="BQ22">
        <v>94</v>
      </c>
      <c r="BR22">
        <v>94</v>
      </c>
      <c r="BS22">
        <f t="shared" si="34"/>
        <v>0</v>
      </c>
      <c r="BT22">
        <v>61</v>
      </c>
      <c r="BU22" s="16">
        <v>81</v>
      </c>
      <c r="BV22" s="16">
        <v>128</v>
      </c>
      <c r="BW22" s="16">
        <v>64</v>
      </c>
      <c r="BX22" s="16">
        <f t="shared" si="6"/>
        <v>387.23461195361278</v>
      </c>
      <c r="BY22" s="16">
        <f t="shared" si="7"/>
        <v>245.64</v>
      </c>
      <c r="BZ22" s="16">
        <f t="shared" si="68"/>
        <v>-306.23461195361278</v>
      </c>
      <c r="CA22" s="16">
        <f t="shared" si="36"/>
        <v>-117.63999999999999</v>
      </c>
      <c r="CB22" s="12">
        <f>(BZ22-BZ$24)/BZ$25</f>
        <v>0.44912240677856591</v>
      </c>
      <c r="CC22" s="54">
        <v>57.331449999999997</v>
      </c>
      <c r="CD22">
        <f t="shared" si="37"/>
        <v>33</v>
      </c>
      <c r="CE22" s="54">
        <f t="shared" si="38"/>
        <v>36.668550000000003</v>
      </c>
      <c r="CF22" s="12">
        <v>-0.50480999999999998</v>
      </c>
      <c r="CG22" s="12" t="e">
        <f t="shared" si="70"/>
        <v>#REF!</v>
      </c>
      <c r="CH22" s="12" t="e">
        <f t="shared" si="70"/>
        <v>#REF!</v>
      </c>
      <c r="CI22" s="16">
        <v>0</v>
      </c>
      <c r="CJ22" s="16">
        <v>0</v>
      </c>
      <c r="CK22" s="54">
        <v>51066.46</v>
      </c>
      <c r="CL22" s="16">
        <f t="shared" si="10"/>
        <v>170.38920000000002</v>
      </c>
      <c r="CM22" s="16">
        <f t="shared" si="69"/>
        <v>-89.389200000000017</v>
      </c>
      <c r="CN22" s="12" t="e">
        <f>(CM22-CM$24)/CM$25</f>
        <v>#REF!</v>
      </c>
      <c r="CO22" s="12">
        <f>(CA22-CA$24)/CA$25</f>
        <v>-0.55532915885109835</v>
      </c>
      <c r="CP22" s="18"/>
      <c r="CQ22" s="16"/>
      <c r="CR22" s="16"/>
      <c r="CS22" s="16"/>
      <c r="CT22" s="12"/>
      <c r="CU22" s="12"/>
      <c r="CV22" s="12"/>
      <c r="CW22" s="12"/>
      <c r="CX22" s="16">
        <v>46</v>
      </c>
      <c r="CY22" s="16">
        <v>24</v>
      </c>
      <c r="CZ22" s="16">
        <v>43</v>
      </c>
      <c r="DA22" s="16">
        <f t="shared" si="40"/>
        <v>113</v>
      </c>
      <c r="DB22" s="16">
        <f t="shared" si="41"/>
        <v>110</v>
      </c>
      <c r="DC22" s="16">
        <f t="shared" si="13"/>
        <v>107.33829999999999</v>
      </c>
      <c r="DD22" s="16">
        <f t="shared" si="14"/>
        <v>248.61778346121059</v>
      </c>
      <c r="DE22" s="16">
        <f t="shared" si="42"/>
        <v>-135.61778346121059</v>
      </c>
      <c r="DF22" s="17">
        <f t="shared" si="15"/>
        <v>-0.18477125996690444</v>
      </c>
      <c r="DG22" s="16">
        <f t="shared" si="16"/>
        <v>0</v>
      </c>
      <c r="DH22" s="16">
        <f t="shared" si="43"/>
        <v>-43.33829999999999</v>
      </c>
      <c r="DI22" s="16">
        <f t="shared" si="44"/>
        <v>110</v>
      </c>
      <c r="DJ22" s="12" t="e">
        <f t="shared" si="71"/>
        <v>#REF!</v>
      </c>
      <c r="DK22" s="12" t="e">
        <f t="shared" si="71"/>
        <v>#REF!</v>
      </c>
      <c r="DL22" s="16">
        <v>0</v>
      </c>
      <c r="DM22" s="16">
        <v>0</v>
      </c>
      <c r="DN22" s="16">
        <v>0</v>
      </c>
      <c r="DO22" s="16">
        <v>0</v>
      </c>
      <c r="DP22" s="16">
        <v>3160</v>
      </c>
      <c r="DQ22" s="16">
        <f t="shared" si="45"/>
        <v>3160</v>
      </c>
      <c r="DR22" s="16">
        <f t="shared" si="46"/>
        <v>0</v>
      </c>
      <c r="DS22" s="16" t="e">
        <f t="shared" si="19"/>
        <v>#REF!</v>
      </c>
      <c r="DT22" s="16">
        <f t="shared" si="20"/>
        <v>54730</v>
      </c>
      <c r="DU22" s="16">
        <f t="shared" si="21"/>
        <v>-54730</v>
      </c>
      <c r="DV22" s="16">
        <f t="shared" si="22"/>
        <v>0</v>
      </c>
      <c r="DW22" s="16" t="e">
        <f t="shared" si="23"/>
        <v>#REF!</v>
      </c>
      <c r="DX22" s="17" t="e">
        <f>(DU22-DU$24)/DU$25</f>
        <v>#DIV/0!</v>
      </c>
      <c r="DY22" s="16">
        <f t="shared" si="47"/>
        <v>0</v>
      </c>
      <c r="DZ22" s="17" t="e">
        <f>(DW22-DW$24)/DW$25</f>
        <v>#REF!</v>
      </c>
      <c r="EA22" s="17" t="e">
        <f t="shared" si="26"/>
        <v>#REF!</v>
      </c>
      <c r="EB22" s="16">
        <v>69419.72</v>
      </c>
      <c r="EC22" s="54">
        <f t="shared" si="65"/>
        <v>-51066.46</v>
      </c>
      <c r="ED22" s="54">
        <f t="shared" si="66"/>
        <v>-69419.72</v>
      </c>
      <c r="EE22" s="12">
        <v>-8.6749999999999994E-2</v>
      </c>
      <c r="EF22" s="12" t="e">
        <f t="shared" si="72"/>
        <v>#REF!</v>
      </c>
      <c r="EG22" s="12" t="e">
        <f t="shared" si="72"/>
        <v>#REF!</v>
      </c>
      <c r="EH22" s="12" t="e">
        <f t="shared" si="28"/>
        <v>#DIV/0!</v>
      </c>
      <c r="EI22" s="12" t="e">
        <f>(DY22-DY$24)/DY$25</f>
        <v>#DIV/0!</v>
      </c>
      <c r="EJ22" s="12" t="e">
        <f t="shared" si="30"/>
        <v>#REF!</v>
      </c>
      <c r="EK22" s="16">
        <f t="shared" si="31"/>
        <v>133649.5652173913</v>
      </c>
      <c r="EL22" s="16">
        <f t="shared" si="48"/>
        <v>-130489.5652173913</v>
      </c>
      <c r="EM22" s="12">
        <f t="shared" si="32"/>
        <v>-7.5310414751782795E-2</v>
      </c>
      <c r="EN22" s="12">
        <f t="shared" si="33"/>
        <v>-0.14098692188085576</v>
      </c>
      <c r="EO22" s="12" t="e">
        <f t="shared" si="49"/>
        <v>#REF!</v>
      </c>
    </row>
    <row r="23" spans="1:145" x14ac:dyDescent="0.35">
      <c r="A23" s="7" t="s">
        <v>242</v>
      </c>
      <c r="B23" s="8" t="s">
        <v>22</v>
      </c>
      <c r="I23" s="9"/>
      <c r="J23" s="9"/>
      <c r="K23" s="12"/>
      <c r="L23" s="12"/>
      <c r="M23" s="12"/>
      <c r="N23" s="12"/>
      <c r="O23" s="16"/>
      <c r="P23" s="16"/>
      <c r="Q23" s="16"/>
      <c r="R23" s="16"/>
      <c r="S23" s="12"/>
      <c r="T23" s="12"/>
      <c r="U23" s="12"/>
      <c r="V23" s="12"/>
      <c r="W23" s="12"/>
      <c r="X23" s="12"/>
      <c r="Y23" s="54">
        <v>0</v>
      </c>
      <c r="Z23" s="12"/>
      <c r="AA23" s="12"/>
      <c r="AB23" s="18"/>
      <c r="AC23" s="18"/>
      <c r="AD23" s="18"/>
      <c r="AE23" s="18"/>
      <c r="AF23" s="17"/>
      <c r="AG23" s="18"/>
      <c r="AH23" s="28"/>
      <c r="AI23" s="17"/>
      <c r="AJ23" s="16">
        <v>13</v>
      </c>
      <c r="AK23" s="18"/>
      <c r="AL23" s="18"/>
      <c r="AM23" s="17"/>
      <c r="AN23" s="18"/>
      <c r="AO23" s="18"/>
      <c r="AQ23" s="17"/>
      <c r="AS23" s="18"/>
      <c r="AT23" s="18"/>
      <c r="AW23" s="17"/>
      <c r="AX23" s="17"/>
      <c r="AY23" s="17"/>
      <c r="BB23" s="12"/>
      <c r="BC23" s="12"/>
      <c r="BD23" s="12"/>
      <c r="BE23" s="12"/>
      <c r="BF23" s="12"/>
      <c r="BG23" s="12"/>
      <c r="BH23" s="12"/>
      <c r="BI23" s="12"/>
      <c r="BJ23" s="12"/>
      <c r="BK23" s="35"/>
      <c r="BU23" s="16"/>
      <c r="BV23" s="16"/>
      <c r="BW23" s="16"/>
      <c r="BX23" s="16">
        <f t="shared" si="6"/>
        <v>0</v>
      </c>
      <c r="BY23" s="16">
        <f t="shared" si="7"/>
        <v>0</v>
      </c>
      <c r="BZ23" s="16"/>
      <c r="CA23" s="16"/>
      <c r="CB23" s="12"/>
      <c r="CC23" s="54"/>
      <c r="CE23" s="54"/>
      <c r="CF23" s="12"/>
      <c r="CG23" s="12"/>
      <c r="CH23" s="12"/>
      <c r="CI23" s="16"/>
      <c r="CJ23" s="16"/>
      <c r="CK23" s="54"/>
      <c r="CL23" s="16">
        <f t="shared" si="10"/>
        <v>0</v>
      </c>
      <c r="CM23" s="16"/>
      <c r="CN23" s="12"/>
      <c r="CO23" s="12"/>
      <c r="CP23" s="18"/>
      <c r="CQ23" s="16"/>
      <c r="CR23" s="16"/>
      <c r="CS23" s="16"/>
      <c r="CT23" s="12"/>
      <c r="CU23" s="12"/>
      <c r="CV23" s="12"/>
      <c r="CW23" s="12"/>
      <c r="CX23" s="16">
        <v>38</v>
      </c>
      <c r="CY23" s="16">
        <v>98</v>
      </c>
      <c r="CZ23" s="16">
        <v>71.83</v>
      </c>
      <c r="DA23" s="16">
        <f t="shared" si="40"/>
        <v>207.82999999999998</v>
      </c>
      <c r="DB23" s="16"/>
      <c r="DC23" s="16">
        <f t="shared" si="13"/>
        <v>0</v>
      </c>
      <c r="DD23" s="16">
        <f t="shared" si="14"/>
        <v>323.2031184995738</v>
      </c>
      <c r="DE23" s="16">
        <f t="shared" si="42"/>
        <v>-115.37311849957382</v>
      </c>
      <c r="DF23" s="17">
        <f t="shared" si="15"/>
        <v>-0.15718909369709977</v>
      </c>
      <c r="DG23" s="16">
        <f t="shared" si="16"/>
        <v>0</v>
      </c>
      <c r="DH23" s="16"/>
      <c r="DI23" s="16"/>
      <c r="DJ23" s="12"/>
      <c r="DK23" s="12"/>
      <c r="DL23" s="16"/>
      <c r="DM23" s="16"/>
      <c r="DN23" s="16">
        <v>0</v>
      </c>
      <c r="DO23" s="16">
        <v>0</v>
      </c>
      <c r="DP23" s="16">
        <v>0</v>
      </c>
      <c r="DQ23" s="16">
        <f t="shared" si="45"/>
        <v>0</v>
      </c>
      <c r="DR23" s="16"/>
      <c r="DS23" s="16" t="e">
        <f t="shared" si="19"/>
        <v>#REF!</v>
      </c>
      <c r="DT23" s="16">
        <f t="shared" si="20"/>
        <v>0</v>
      </c>
      <c r="DU23" s="16"/>
      <c r="DV23" s="16">
        <f t="shared" si="22"/>
        <v>0</v>
      </c>
      <c r="DW23" s="16"/>
      <c r="DX23" s="17"/>
      <c r="DY23" s="16"/>
      <c r="DZ23" s="17"/>
      <c r="EA23" s="17"/>
      <c r="EB23" s="16"/>
      <c r="EC23" s="54"/>
      <c r="ED23" s="54"/>
      <c r="EE23" s="12"/>
      <c r="EF23" s="12"/>
      <c r="EG23" s="12"/>
      <c r="EH23" s="12"/>
      <c r="EI23" s="12"/>
      <c r="EJ23" s="12"/>
      <c r="EK23" s="16">
        <f t="shared" si="31"/>
        <v>173744.4347826087</v>
      </c>
      <c r="EL23" s="16">
        <f t="shared" si="48"/>
        <v>-173744.4347826087</v>
      </c>
      <c r="EM23" s="12">
        <f t="shared" si="32"/>
        <v>-0.10027441981658496</v>
      </c>
      <c r="EN23" s="12">
        <f t="shared" si="33"/>
        <v>-0.13442322414489383</v>
      </c>
      <c r="EO23" s="12"/>
    </row>
    <row r="24" spans="1:145" x14ac:dyDescent="0.35">
      <c r="B24" s="106" t="s">
        <v>403</v>
      </c>
      <c r="C24" s="1">
        <f t="shared" ref="C24:J24" si="73">SUM(C3:C22)</f>
        <v>1236</v>
      </c>
      <c r="D24" s="1">
        <f t="shared" si="73"/>
        <v>190</v>
      </c>
      <c r="E24" s="1">
        <f t="shared" si="73"/>
        <v>192</v>
      </c>
      <c r="F24" s="1">
        <f t="shared" si="73"/>
        <v>429</v>
      </c>
      <c r="G24" s="1">
        <f t="shared" si="73"/>
        <v>236</v>
      </c>
      <c r="H24" s="1">
        <f t="shared" si="73"/>
        <v>189</v>
      </c>
      <c r="I24" s="276">
        <f t="shared" si="73"/>
        <v>14109</v>
      </c>
      <c r="J24" s="1">
        <f t="shared" si="73"/>
        <v>14094</v>
      </c>
      <c r="K24" s="23">
        <f t="shared" si="57"/>
        <v>11.41504854368932</v>
      </c>
      <c r="L24" s="23">
        <v>10.790566037735848</v>
      </c>
      <c r="M24" s="23" t="e">
        <f>SUM(M3:M22)</f>
        <v>#DIV/0!</v>
      </c>
      <c r="N24" s="23" t="e">
        <f>SUM(N3:N22)</f>
        <v>#DIV/0!</v>
      </c>
      <c r="O24" s="24">
        <f>SUM(O3:O22)</f>
        <v>5640450</v>
      </c>
      <c r="P24" s="24">
        <f>SUM(P3:P22)</f>
        <v>5048287</v>
      </c>
      <c r="Q24" s="24">
        <f t="shared" si="2"/>
        <v>4563.4708737864075</v>
      </c>
      <c r="R24" s="24">
        <f t="shared" si="3"/>
        <v>4084.3745954692558</v>
      </c>
      <c r="S24" s="23" t="e">
        <f>SUM(S3:S22)</f>
        <v>#DIV/0!</v>
      </c>
      <c r="T24" s="23" t="e">
        <f>SUM(T3:T22)</f>
        <v>#DIV/0!</v>
      </c>
      <c r="U24" s="23" t="e">
        <f>SUM(U3:U22)</f>
        <v>#DIV/0!</v>
      </c>
      <c r="V24" s="23" t="e">
        <f>SUM(V3:V22)</f>
        <v>#DIV/0!</v>
      </c>
      <c r="W24" s="23"/>
      <c r="X24" s="23"/>
      <c r="Y24" s="74">
        <f>SUM(Y3:Y23)</f>
        <v>1121</v>
      </c>
      <c r="Z24" s="74"/>
      <c r="AA24" s="23"/>
      <c r="AB24" s="30" t="e">
        <f>SUM(AB3:AB22)</f>
        <v>#REF!</v>
      </c>
      <c r="AC24" s="30" t="e">
        <f>SUM(AC3:AC22)</f>
        <v>#REF!</v>
      </c>
      <c r="AD24" s="30"/>
      <c r="AE24" s="30" t="e">
        <f>SUM(AE3:AE22)</f>
        <v>#REF!</v>
      </c>
      <c r="AF24" s="30">
        <f>SUM(AF3:AF22)</f>
        <v>1.0000000000000002</v>
      </c>
      <c r="AG24" s="30">
        <f>SUM(AG3:AG22)</f>
        <v>0</v>
      </c>
      <c r="AH24" s="29">
        <f>SUM(AH3:AH22)</f>
        <v>0</v>
      </c>
      <c r="AI24" s="114" t="e">
        <f>SUM(AI3:AI22)</f>
        <v>#REF!</v>
      </c>
      <c r="AJ24" s="24">
        <f>SUM(AJ3:AJ23)</f>
        <v>1173</v>
      </c>
      <c r="AK24" s="30">
        <f>SUM(AK3:AK22)</f>
        <v>5859135.9433210781</v>
      </c>
      <c r="AL24" s="30" t="e">
        <f>SUM(AL3:AL22)</f>
        <v>#DIV/0!</v>
      </c>
      <c r="AM24" s="114" t="e">
        <f>SUM(AM3:AM22)</f>
        <v>#REF!</v>
      </c>
      <c r="AN24" s="30" t="e">
        <f>SUM(AN3:AN22)</f>
        <v>#REF!</v>
      </c>
      <c r="AO24" s="30" t="e">
        <f>SUM(AO3:AO22)</f>
        <v>#DIV/0!</v>
      </c>
      <c r="AP24" s="30">
        <v>5594386.79</v>
      </c>
      <c r="AQ24" s="29">
        <f>SUM(AQ3:AQ22)</f>
        <v>0</v>
      </c>
      <c r="AR24" s="18"/>
      <c r="AS24" s="30" t="e">
        <f>SUM(AS3:AS22)</f>
        <v>#REF!</v>
      </c>
      <c r="AT24" s="30" t="e">
        <f>SUM(AT3:AT22)</f>
        <v>#REF!</v>
      </c>
      <c r="AU24" s="213">
        <v>5594386.7941099582</v>
      </c>
      <c r="AV24" s="214">
        <v>5561640.8546679541</v>
      </c>
      <c r="AW24" s="29"/>
      <c r="AX24" s="114"/>
      <c r="AY24" s="114"/>
      <c r="BB24" s="23" t="e">
        <f t="shared" ref="BB24:BG24" si="74">SUM(BB3:BB22)</f>
        <v>#DIV/0!</v>
      </c>
      <c r="BC24" s="23" t="e">
        <f t="shared" si="74"/>
        <v>#DIV/0!</v>
      </c>
      <c r="BD24" s="23" t="e">
        <f t="shared" si="74"/>
        <v>#REF!</v>
      </c>
      <c r="BE24" s="23" t="e">
        <f t="shared" si="74"/>
        <v>#DIV/0!</v>
      </c>
      <c r="BF24" s="23" t="e">
        <f t="shared" si="74"/>
        <v>#REF!</v>
      </c>
      <c r="BG24" s="23" t="e">
        <f t="shared" si="74"/>
        <v>#DIV/0!</v>
      </c>
      <c r="BH24" s="23"/>
      <c r="BI24" s="29" t="e">
        <f>SUM(BI3:BI22)</f>
        <v>#REF!</v>
      </c>
      <c r="BJ24" s="23"/>
      <c r="BK24" s="144" t="s">
        <v>404</v>
      </c>
      <c r="BN24" s="31" t="e">
        <f>BK22/BI24</f>
        <v>#REF!</v>
      </c>
      <c r="BQ24" s="1">
        <f>SUM(BQ3:BQ22)</f>
        <v>28218</v>
      </c>
      <c r="BR24" s="1">
        <f>SUM(BR3:BR22)</f>
        <v>28313</v>
      </c>
      <c r="BS24">
        <f t="shared" si="34"/>
        <v>-95</v>
      </c>
      <c r="BU24" s="24" t="e">
        <f>SUM(BU17:BU22,BU3:BU12,#REF!,#REF!,BU13:BU16)</f>
        <v>#REF!</v>
      </c>
      <c r="BV24" s="24">
        <f>SUM(BV3:BV22)</f>
        <v>43409</v>
      </c>
      <c r="BW24" s="24">
        <f>SUM(BW3:BW22)</f>
        <v>19802</v>
      </c>
      <c r="BX24" s="1"/>
      <c r="BY24" s="1"/>
      <c r="BZ24" s="29">
        <f>AVERAGE(BZ3:BZ22)</f>
        <v>-760.57894736842081</v>
      </c>
      <c r="CA24" s="29">
        <f>AVERAGE(CA3:CA22)</f>
        <v>835.40821052631566</v>
      </c>
      <c r="CB24" s="1"/>
      <c r="CE24" s="54"/>
      <c r="CI24" s="24">
        <f>SUM(CI3:CI22)</f>
        <v>5317153</v>
      </c>
      <c r="CJ24" s="24">
        <f>SUM(CJ3:CJ22)</f>
        <v>5499380.4699999997</v>
      </c>
      <c r="CK24" s="74"/>
      <c r="CL24" s="74"/>
      <c r="CM24" s="29" t="e">
        <f>AVERAGE(CM17:CM22,CM3:CM12,#REF!,#REF!,CM13:CM16)</f>
        <v>#REF!</v>
      </c>
      <c r="CN24" s="74"/>
      <c r="CO24" s="74"/>
      <c r="CP24" s="266">
        <f t="shared" ref="CP24:CU24" si="75">SUM(CP3:CP23)</f>
        <v>5234903</v>
      </c>
      <c r="CQ24" s="286">
        <f t="shared" si="75"/>
        <v>5519452</v>
      </c>
      <c r="CR24" s="24">
        <f t="shared" si="75"/>
        <v>5424424.2093157284</v>
      </c>
      <c r="CS24" s="286">
        <f t="shared" si="75"/>
        <v>5519452</v>
      </c>
      <c r="CT24" s="23">
        <f t="shared" si="75"/>
        <v>113.63343676541898</v>
      </c>
      <c r="CU24" s="23">
        <f t="shared" si="75"/>
        <v>1</v>
      </c>
      <c r="CV24" s="74"/>
      <c r="CW24" s="74"/>
      <c r="CX24" s="24">
        <f>SUM(CX3:CX23)</f>
        <v>9467</v>
      </c>
      <c r="CY24" s="24">
        <f>SUM(CY3:CY23)</f>
        <v>9874</v>
      </c>
      <c r="CZ24" s="24">
        <f>SUM(CZ3:CZ23)</f>
        <v>9821.866</v>
      </c>
      <c r="DA24" s="24">
        <f>SUM(DA3:DA23)</f>
        <v>29162.866000000002</v>
      </c>
      <c r="DB24" s="24">
        <f t="shared" si="41"/>
        <v>29269</v>
      </c>
      <c r="DC24" s="74"/>
      <c r="DD24" s="74"/>
      <c r="DE24" s="74"/>
      <c r="DF24" s="74"/>
      <c r="DG24" s="74"/>
      <c r="DH24" s="24" t="e">
        <f>AVERAGE(DH17:DH22,DH3:DH12,#REF!,#REF!,DH13:DH16)</f>
        <v>#REF!</v>
      </c>
      <c r="DI24" s="24" t="e">
        <f>AVERAGE(DI17:DI22,DI3:DI12,#REF!,#REF!,DI13:DI16)</f>
        <v>#REF!</v>
      </c>
      <c r="DJ24" s="74"/>
      <c r="DK24" s="74"/>
      <c r="DL24" s="24" t="e">
        <f>SUM(DL17:DL22,DL3:DL12,#REF!,#REF!,DL13:DL16)</f>
        <v>#REF!</v>
      </c>
      <c r="DM24" s="24">
        <f>SUM(DM3:DM22)</f>
        <v>6937227</v>
      </c>
      <c r="DN24" s="24">
        <f>SUM(DN3:DN23)</f>
        <v>5374542</v>
      </c>
      <c r="DO24" s="24">
        <f>SUM(DO3:DO23)</f>
        <v>6428828</v>
      </c>
      <c r="DP24" s="24">
        <f>SUM(DP3:DP23)</f>
        <v>3873724</v>
      </c>
      <c r="DQ24" s="24">
        <f>SUM(DQ3:DQ23)</f>
        <v>15677094</v>
      </c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74"/>
      <c r="EK24" s="16"/>
    </row>
    <row r="25" spans="1:145" x14ac:dyDescent="0.35">
      <c r="L25" s="13"/>
      <c r="AA25" s="1"/>
      <c r="AR25" s="18"/>
      <c r="AS25" s="18" t="e">
        <f>AS24-#REF!</f>
        <v>#REF!</v>
      </c>
      <c r="AT25" s="18" t="e">
        <f>AT24-#REF!</f>
        <v>#REF!</v>
      </c>
      <c r="BS25" s="75">
        <f>(BQ24/BR24)*100</f>
        <v>99.664465086709285</v>
      </c>
      <c r="BT25" s="1" t="s">
        <v>405</v>
      </c>
      <c r="BU25" s="1"/>
      <c r="BV25" s="1"/>
      <c r="BW25" s="1"/>
      <c r="BX25" s="1"/>
      <c r="BY25" s="1"/>
      <c r="BZ25" s="29">
        <f>STDEV(BZ3:BZ22)</f>
        <v>1011.6269608405815</v>
      </c>
      <c r="CA25" s="29">
        <f>STDEV(CA3:CA22)</f>
        <v>1716.18614894641</v>
      </c>
      <c r="CB25" s="1"/>
      <c r="CC25" s="1"/>
      <c r="CD25" s="54" t="e">
        <f>AVERAGE(CD3:CD11,CD12,#REF!,CD13:CD22)</f>
        <v>#REF!</v>
      </c>
      <c r="CE25" s="54" t="e">
        <f>AVERAGE(CE3:CE11,CE12,#REF!,CE13:CE22)</f>
        <v>#REF!</v>
      </c>
      <c r="CF25" s="54"/>
      <c r="CK25" s="1" t="s">
        <v>406</v>
      </c>
      <c r="CL25" s="1"/>
      <c r="CM25" s="29" t="e">
        <f>STDEV(CM3:CM12,#REF!,#REF!,CM13:CM16,CM17:CM22)</f>
        <v>#REF!</v>
      </c>
      <c r="CN25" s="1"/>
      <c r="CO25" s="1"/>
      <c r="CP25" s="1"/>
      <c r="CQ25" s="1"/>
      <c r="CR25" s="24">
        <f>CR24-CQ24</f>
        <v>-95027.790684271604</v>
      </c>
      <c r="CS25" s="24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29" t="e">
        <f>STDEV(DH3:DH12,#REF!,#REF!,DH13:DH16,DH17:DH22)</f>
        <v>#REF!</v>
      </c>
      <c r="DI25" s="29" t="e">
        <f>STDEV(DI3:DI12,#REF!,#REF!,DI13:DI16,DI17:DI22)</f>
        <v>#REF!</v>
      </c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29"/>
      <c r="DZ25" s="1"/>
      <c r="EA25" s="1"/>
      <c r="EB25" s="1"/>
      <c r="EC25" s="54" t="e">
        <f>AVERAGE(EC3:EC11,EC12,#REF!,EC13:EC22)</f>
        <v>#REF!</v>
      </c>
      <c r="ED25" s="54" t="e">
        <f>AVERAGE(ED3:ED11,ED12,#REF!,ED13:ED22)</f>
        <v>#REF!</v>
      </c>
    </row>
    <row r="26" spans="1:145" ht="18.5" x14ac:dyDescent="0.45">
      <c r="A26" s="11"/>
      <c r="K26" s="12"/>
      <c r="L26" s="12"/>
      <c r="Q26" s="17"/>
      <c r="R26" s="17"/>
      <c r="AR26" s="18"/>
      <c r="BP26" s="1" t="s">
        <v>407</v>
      </c>
      <c r="BR26" s="144" t="s">
        <v>408</v>
      </c>
      <c r="BT26" s="1" t="s">
        <v>409</v>
      </c>
      <c r="BU26" s="23" t="e">
        <f>BU24/Y24</f>
        <v>#REF!</v>
      </c>
      <c r="BV26" s="23">
        <f>BV24/Y24</f>
        <v>38.723461195361281</v>
      </c>
      <c r="BW26" s="23">
        <f>BW24/Y24</f>
        <v>17.664585191793041</v>
      </c>
      <c r="BX26" s="1"/>
      <c r="BY26" s="1"/>
      <c r="BZ26" s="1"/>
      <c r="CA26" s="1"/>
      <c r="CB26" s="1"/>
      <c r="CC26" s="1"/>
      <c r="CD26" t="e">
        <f>STDEV(CD3:CD11,CD12,#REF!,CD13:CD22)</f>
        <v>#REF!</v>
      </c>
      <c r="CE26" t="e">
        <f>STDEV(CE3:CE11,CE12,#REF!,CE13:CE22)</f>
        <v>#REF!</v>
      </c>
      <c r="CJ26" s="144" t="s">
        <v>408</v>
      </c>
      <c r="CK26" s="1" t="s">
        <v>409</v>
      </c>
      <c r="CL26" s="1"/>
      <c r="CM26" s="1"/>
      <c r="CN26" s="1" t="s">
        <v>407</v>
      </c>
      <c r="CO26" s="1"/>
      <c r="CP26" s="1"/>
      <c r="CQ26" s="1"/>
      <c r="CR26" s="1"/>
      <c r="CS26" s="1"/>
      <c r="CT26" s="1"/>
      <c r="CU26" s="1"/>
      <c r="CV26" s="1"/>
      <c r="CW26" s="1"/>
      <c r="CX26" s="23"/>
      <c r="CZ26" s="174" t="s">
        <v>596</v>
      </c>
      <c r="DA26" s="174">
        <f>DA24/AJ24</f>
        <v>24.86177834612106</v>
      </c>
      <c r="DB26" s="1"/>
      <c r="DC26" s="1"/>
      <c r="DD26" s="104" t="s">
        <v>598</v>
      </c>
      <c r="DE26" s="29">
        <f>AVERAGE(DE3:DE23)</f>
        <v>-1.6782342711286177E-13</v>
      </c>
      <c r="DF26" s="29"/>
      <c r="DG26" s="1"/>
      <c r="DH26" s="1"/>
      <c r="DI26" s="1"/>
      <c r="DJ26" s="1" t="s">
        <v>410</v>
      </c>
      <c r="DK26" s="1" t="s">
        <v>411</v>
      </c>
      <c r="DL26" s="24" t="e">
        <f>DL24/Y24</f>
        <v>#REF!</v>
      </c>
      <c r="DM26" s="24">
        <f>DM24/Y24</f>
        <v>6188.4272970561997</v>
      </c>
      <c r="DN26" s="24"/>
      <c r="DP26" s="174" t="s">
        <v>596</v>
      </c>
      <c r="DQ26" s="24">
        <f>DQ24/AJ24</f>
        <v>13364.95652173913</v>
      </c>
      <c r="DR26" s="24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t="e">
        <f>STDEV(EC3:EC11,EC12,#REF!,EC13:EC22)</f>
        <v>#REF!</v>
      </c>
      <c r="ED26" t="e">
        <f>STDEV(ED3:ED11,ED12,#REF!,ED13:ED22)</f>
        <v>#REF!</v>
      </c>
      <c r="EK26" s="104" t="s">
        <v>598</v>
      </c>
      <c r="EL26" s="12">
        <f>AVERAGE(EL3:EL23)</f>
        <v>5.5435867536635623E-11</v>
      </c>
    </row>
    <row r="27" spans="1:145" ht="18.5" x14ac:dyDescent="0.45">
      <c r="A27" s="11"/>
      <c r="AR27" s="30">
        <f>SUM(AR3:AR26)</f>
        <v>5561640.8546679541</v>
      </c>
      <c r="BP27" s="1" t="s">
        <v>412</v>
      </c>
      <c r="BR27" s="144" t="s">
        <v>413</v>
      </c>
      <c r="BU27" s="23">
        <v>17.038920000000001</v>
      </c>
      <c r="BV27" s="23">
        <v>24.564</v>
      </c>
      <c r="BW27" s="23">
        <v>10.733829999999999</v>
      </c>
      <c r="BX27" s="1"/>
      <c r="BY27" s="1"/>
      <c r="BZ27" s="1"/>
      <c r="CA27" s="1"/>
      <c r="CB27" s="1"/>
      <c r="CJ27" s="144" t="s">
        <v>413</v>
      </c>
      <c r="CN27" s="1" t="s">
        <v>412</v>
      </c>
      <c r="CO27" s="1"/>
      <c r="CP27" s="1"/>
      <c r="CQ27" s="1"/>
      <c r="CR27" s="1"/>
      <c r="CS27" s="1"/>
      <c r="CT27" s="1"/>
      <c r="CU27" s="1"/>
      <c r="CV27" s="1"/>
      <c r="CW27" s="1"/>
      <c r="CX27" s="23"/>
      <c r="CY27" s="23"/>
      <c r="CZ27" s="23"/>
      <c r="DA27" s="23"/>
      <c r="DB27" s="1"/>
      <c r="DC27" s="1"/>
      <c r="DD27" s="104" t="s">
        <v>599</v>
      </c>
      <c r="DE27" s="29">
        <f>STDEV(DE3:DE23)</f>
        <v>733.97661240986179</v>
      </c>
      <c r="DF27" s="29"/>
      <c r="DG27" s="1"/>
      <c r="DH27" s="1"/>
      <c r="DI27" s="1"/>
      <c r="DJ27" s="1" t="s">
        <v>414</v>
      </c>
      <c r="DK27" s="1" t="s">
        <v>415</v>
      </c>
      <c r="DL27" s="24">
        <v>4932.0010000000002</v>
      </c>
      <c r="DM27" s="24">
        <v>5473</v>
      </c>
      <c r="DN27" s="24"/>
      <c r="DO27" s="24"/>
      <c r="DP27" s="24"/>
      <c r="DQ27" s="24"/>
      <c r="DR27" s="24"/>
      <c r="EK27" s="104" t="s">
        <v>599</v>
      </c>
      <c r="EL27" s="12">
        <f>STDEV(EL3:EL23)</f>
        <v>1732689.5044659453</v>
      </c>
    </row>
    <row r="28" spans="1:145" ht="18.5" x14ac:dyDescent="0.45">
      <c r="A28" s="11"/>
      <c r="B28" s="106"/>
      <c r="BR28" s="144" t="s">
        <v>416</v>
      </c>
      <c r="BW28">
        <v>2023</v>
      </c>
      <c r="CJ28" s="144" t="s">
        <v>417</v>
      </c>
      <c r="DL28">
        <v>2023</v>
      </c>
    </row>
    <row r="29" spans="1:145" ht="18.5" x14ac:dyDescent="0.45">
      <c r="A29" s="11"/>
      <c r="AA29" s="1"/>
    </row>
    <row r="30" spans="1:145" ht="18.5" x14ac:dyDescent="0.45">
      <c r="A30" s="11"/>
    </row>
    <row r="31" spans="1:145" ht="18.5" x14ac:dyDescent="0.45">
      <c r="A31" s="11"/>
      <c r="B31" s="106"/>
    </row>
    <row r="32" spans="1:145" ht="18.5" x14ac:dyDescent="0.45">
      <c r="A32" s="11"/>
      <c r="AA32" s="1"/>
    </row>
    <row r="33" spans="1:27" ht="18.5" x14ac:dyDescent="0.45">
      <c r="A33" s="11"/>
    </row>
    <row r="34" spans="1:27" ht="18.5" x14ac:dyDescent="0.45">
      <c r="A34" s="11"/>
      <c r="B34" s="106"/>
    </row>
    <row r="35" spans="1:27" ht="18.5" x14ac:dyDescent="0.45">
      <c r="A35" s="11"/>
      <c r="AA35" s="1"/>
    </row>
    <row r="36" spans="1:27" ht="18.5" x14ac:dyDescent="0.45">
      <c r="A36" s="11"/>
    </row>
    <row r="37" spans="1:27" ht="18.5" x14ac:dyDescent="0.45">
      <c r="A37" s="11"/>
      <c r="B37" s="106"/>
    </row>
    <row r="38" spans="1:27" ht="18.5" x14ac:dyDescent="0.45">
      <c r="A38" s="11"/>
      <c r="AA38" s="1"/>
    </row>
    <row r="39" spans="1:27" ht="18.5" x14ac:dyDescent="0.45">
      <c r="A39" s="11"/>
    </row>
    <row r="40" spans="1:27" ht="18.5" x14ac:dyDescent="0.45">
      <c r="A40" s="11"/>
      <c r="B40" s="106"/>
    </row>
    <row r="41" spans="1:27" ht="18.5" x14ac:dyDescent="0.45">
      <c r="A41" s="11"/>
      <c r="AA41" s="1"/>
    </row>
    <row r="42" spans="1:27" ht="18.5" x14ac:dyDescent="0.45">
      <c r="A42" s="11"/>
    </row>
    <row r="43" spans="1:27" ht="18.5" x14ac:dyDescent="0.45">
      <c r="A43" s="11"/>
      <c r="B43" s="106"/>
    </row>
    <row r="44" spans="1:27" ht="18.5" x14ac:dyDescent="0.45">
      <c r="A44" s="11"/>
      <c r="AA44" s="1"/>
    </row>
    <row r="45" spans="1:27" ht="18.5" x14ac:dyDescent="0.45">
      <c r="A45" s="11"/>
    </row>
    <row r="46" spans="1:27" ht="18.5" x14ac:dyDescent="0.45">
      <c r="A46" s="11"/>
    </row>
    <row r="47" spans="1:27" ht="18.5" x14ac:dyDescent="0.45">
      <c r="A47" s="11"/>
      <c r="AA47" s="1"/>
    </row>
    <row r="48" spans="1:27" ht="18.5" x14ac:dyDescent="0.45">
      <c r="A48" s="11"/>
    </row>
    <row r="49" spans="1:1" ht="18.5" x14ac:dyDescent="0.45">
      <c r="A49" s="11"/>
    </row>
    <row r="50" spans="1:1" ht="18.5" x14ac:dyDescent="0.45">
      <c r="A50" s="11"/>
    </row>
  </sheetData>
  <dataValidations disablePrompts="1" count="1">
    <dataValidation type="list" showInputMessage="1" showErrorMessage="1" sqref="D1:H1" xr:uid="{00000000-0002-0000-0400-000000000000}">
      <formula1>$A$26:$A$50</formula1>
    </dataValidation>
  </dataValidations>
  <pageMargins left="0.75" right="0.75" top="1" bottom="1" header="0.5" footer="0.5"/>
  <pageSetup paperSize="9" orientation="portrait" r:id="rId1"/>
  <ignoredErrors>
    <ignoredError sqref="C3:C4 C11 C24 C19:C22 C7:C10 C13:C17 C5 C12" formulaRange="1"/>
    <ignoredError sqref="R24 DY19:DY22 DY11 DY3:DY4 DY13:DY17 DY5:DY10 DY12 AJ24 CR1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D67"/>
  <sheetViews>
    <sheetView workbookViewId="0">
      <pane ySplit="2" topLeftCell="A29" activePane="bottomLeft" state="frozen"/>
      <selection pane="bottomLeft" activeCell="B29" sqref="B29"/>
    </sheetView>
  </sheetViews>
  <sheetFormatPr defaultColWidth="8.54296875" defaultRowHeight="14.5" x14ac:dyDescent="0.35"/>
  <cols>
    <col min="1" max="1" width="38.453125" customWidth="1"/>
    <col min="2" max="2" width="37.81640625" customWidth="1"/>
    <col min="3" max="3" width="11.54296875" style="1" hidden="1" customWidth="1"/>
    <col min="4" max="4" width="24.54296875" hidden="1" customWidth="1"/>
    <col min="5" max="5" width="17.453125" hidden="1" customWidth="1"/>
    <col min="6" max="6" width="15.453125" hidden="1" customWidth="1"/>
    <col min="7" max="7" width="10" hidden="1" customWidth="1"/>
    <col min="8" max="8" width="15.54296875" hidden="1" customWidth="1"/>
    <col min="9" max="9" width="17" hidden="1" customWidth="1"/>
    <col min="10" max="10" width="12.54296875" hidden="1" customWidth="1"/>
    <col min="11" max="11" width="8.54296875" hidden="1" customWidth="1"/>
    <col min="12" max="12" width="13.453125" hidden="1" customWidth="1"/>
    <col min="13" max="15" width="16.453125" hidden="1" customWidth="1"/>
    <col min="16" max="17" width="13.81640625" hidden="1" customWidth="1"/>
    <col min="18" max="19" width="20.1796875" hidden="1" customWidth="1"/>
    <col min="20" max="21" width="14.54296875" hidden="1" customWidth="1"/>
    <col min="22" max="23" width="13.81640625" hidden="1" customWidth="1"/>
    <col min="24" max="25" width="14" hidden="1" customWidth="1"/>
    <col min="26" max="26" width="8.1796875" hidden="1" customWidth="1"/>
    <col min="27" max="27" width="6.453125" hidden="1" customWidth="1"/>
    <col min="28" max="28" width="21" hidden="1" customWidth="1"/>
    <col min="29" max="29" width="15.1796875" hidden="1" customWidth="1"/>
    <col min="30" max="30" width="14.1796875" hidden="1" customWidth="1"/>
    <col min="31" max="31" width="8.26953125" bestFit="1" customWidth="1"/>
    <col min="32" max="32" width="11.453125" hidden="1" customWidth="1"/>
    <col min="33" max="33" width="9.1796875" hidden="1" customWidth="1"/>
    <col min="34" max="34" width="11.453125" hidden="1" customWidth="1"/>
    <col min="35" max="35" width="11.1796875" hidden="1" customWidth="1"/>
    <col min="36" max="36" width="15.453125" hidden="1" customWidth="1"/>
    <col min="37" max="37" width="11.1796875" hidden="1" customWidth="1"/>
    <col min="38" max="38" width="12.453125" hidden="1" customWidth="1"/>
    <col min="39" max="39" width="11.1796875" hidden="1" customWidth="1"/>
    <col min="40" max="41" width="11.54296875" hidden="1" customWidth="1"/>
    <col min="42" max="43" width="14.453125" hidden="1" customWidth="1"/>
    <col min="44" max="45" width="11.54296875" hidden="1" customWidth="1"/>
    <col min="46" max="46" width="11.453125" hidden="1" customWidth="1"/>
    <col min="47" max="48" width="11.54296875" hidden="1" customWidth="1"/>
    <col min="49" max="49" width="12.453125" hidden="1" customWidth="1"/>
    <col min="50" max="50" width="12.1796875" style="16" customWidth="1"/>
    <col min="51" max="51" width="14.453125" hidden="1" customWidth="1"/>
    <col min="52" max="52" width="12.54296875" hidden="1" customWidth="1"/>
    <col min="53" max="53" width="11.54296875" hidden="1" customWidth="1"/>
    <col min="54" max="54" width="15.453125" hidden="1" customWidth="1"/>
    <col min="55" max="58" width="15" hidden="1" customWidth="1"/>
    <col min="59" max="60" width="12.54296875" hidden="1" customWidth="1"/>
    <col min="61" max="61" width="14.453125" hidden="1" customWidth="1"/>
    <col min="62" max="62" width="10" hidden="1" customWidth="1"/>
    <col min="63" max="63" width="16" hidden="1" customWidth="1"/>
    <col min="64" max="64" width="7.1796875" hidden="1" customWidth="1"/>
    <col min="65" max="65" width="8.54296875" hidden="1" customWidth="1"/>
    <col min="66" max="66" width="8" hidden="1" customWidth="1"/>
    <col min="67" max="67" width="10" hidden="1" customWidth="1"/>
    <col min="68" max="68" width="10.453125" hidden="1" customWidth="1"/>
    <col min="69" max="69" width="12.81640625" hidden="1" customWidth="1"/>
    <col min="70" max="70" width="11" hidden="1" customWidth="1"/>
    <col min="71" max="72" width="11" customWidth="1"/>
    <col min="73" max="73" width="11.81640625" customWidth="1"/>
    <col min="74" max="74" width="11" customWidth="1"/>
    <col min="75" max="75" width="11.81640625" customWidth="1"/>
    <col min="76" max="76" width="12.54296875" customWidth="1"/>
    <col min="77" max="77" width="13.1796875" bestFit="1" customWidth="1"/>
    <col min="78" max="78" width="11" customWidth="1"/>
    <col min="79" max="79" width="8" bestFit="1" customWidth="1"/>
    <col min="80" max="81" width="8" customWidth="1"/>
    <col min="82" max="82" width="10.26953125" bestFit="1" customWidth="1"/>
    <col min="83" max="83" width="10.1796875" bestFit="1" customWidth="1"/>
    <col min="84" max="84" width="10.81640625" bestFit="1" customWidth="1"/>
    <col min="85" max="85" width="10.1796875" customWidth="1"/>
    <col min="86" max="86" width="10.453125" hidden="1" customWidth="1"/>
    <col min="87" max="88" width="13.54296875" hidden="1" customWidth="1"/>
    <col min="89" max="89" width="10.81640625" hidden="1" customWidth="1"/>
    <col min="90" max="90" width="11.54296875" hidden="1" customWidth="1"/>
    <col min="91" max="91" width="11" hidden="1" customWidth="1"/>
    <col min="92" max="92" width="14.453125" hidden="1" customWidth="1"/>
    <col min="93" max="93" width="11.54296875" hidden="1" customWidth="1"/>
    <col min="94" max="94" width="11.453125" hidden="1" customWidth="1"/>
    <col min="95" max="95" width="9" hidden="1" customWidth="1"/>
    <col min="96" max="96" width="15" hidden="1" customWidth="1"/>
    <col min="97" max="97" width="0" hidden="1" customWidth="1"/>
    <col min="98" max="98" width="15.54296875" hidden="1" customWidth="1"/>
    <col min="99" max="99" width="11.453125" hidden="1" customWidth="1"/>
    <col min="100" max="100" width="18.453125" hidden="1" customWidth="1"/>
    <col min="101" max="101" width="9.54296875" hidden="1" customWidth="1"/>
    <col min="102" max="102" width="15.81640625" hidden="1" customWidth="1"/>
    <col min="103" max="103" width="0" hidden="1" customWidth="1"/>
    <col min="104" max="104" width="9.81640625" hidden="1" customWidth="1"/>
    <col min="105" max="105" width="0" hidden="1" customWidth="1"/>
    <col min="106" max="106" width="10.54296875" hidden="1" customWidth="1"/>
    <col min="107" max="107" width="8.54296875" bestFit="1" customWidth="1"/>
    <col min="108" max="108" width="11" hidden="1" customWidth="1"/>
    <col min="109" max="109" width="11.54296875" hidden="1" customWidth="1"/>
    <col min="110" max="110" width="13.54296875" hidden="1" customWidth="1"/>
    <col min="111" max="111" width="12.453125" hidden="1" customWidth="1"/>
    <col min="112" max="113" width="14.453125" hidden="1" customWidth="1"/>
    <col min="114" max="114" width="11.54296875" hidden="1" customWidth="1"/>
    <col min="115" max="115" width="12.453125" hidden="1" customWidth="1"/>
    <col min="116" max="116" width="9.81640625" hidden="1" customWidth="1"/>
    <col min="117" max="117" width="6.453125" hidden="1" customWidth="1"/>
    <col min="118" max="118" width="14.81640625" hidden="1" customWidth="1"/>
    <col min="119" max="119" width="11.54296875" hidden="1" customWidth="1"/>
    <col min="120" max="120" width="15.54296875" hidden="1" customWidth="1"/>
    <col min="121" max="121" width="0" hidden="1" customWidth="1"/>
    <col min="122" max="122" width="13.81640625" hidden="1" customWidth="1"/>
    <col min="123" max="123" width="19.453125" hidden="1" customWidth="1"/>
    <col min="124" max="124" width="9.1796875" hidden="1" customWidth="1"/>
    <col min="125" max="125" width="10" hidden="1" customWidth="1"/>
    <col min="126" max="126" width="0" hidden="1" customWidth="1"/>
    <col min="127" max="127" width="10.26953125" bestFit="1" customWidth="1"/>
    <col min="128" max="128" width="8.7265625" bestFit="1" customWidth="1"/>
    <col min="129" max="129" width="10.453125" bestFit="1" customWidth="1"/>
    <col min="130" max="130" width="10.453125" customWidth="1"/>
    <col min="131" max="131" width="11.7265625" bestFit="1" customWidth="1"/>
    <col min="132" max="132" width="11.7265625" customWidth="1"/>
    <col min="133" max="133" width="6.453125" bestFit="1" customWidth="1"/>
    <col min="134" max="134" width="7" hidden="1" customWidth="1"/>
  </cols>
  <sheetData>
    <row r="1" spans="1:134" ht="43.5" x14ac:dyDescent="0.35">
      <c r="C1" s="2" t="s">
        <v>267</v>
      </c>
      <c r="D1" s="4" t="s">
        <v>155</v>
      </c>
      <c r="E1" s="4" t="s">
        <v>161</v>
      </c>
      <c r="F1" s="4" t="s">
        <v>162</v>
      </c>
      <c r="G1" s="4" t="s">
        <v>165</v>
      </c>
      <c r="H1" s="4" t="s">
        <v>166</v>
      </c>
      <c r="I1" s="4" t="s">
        <v>167</v>
      </c>
      <c r="J1" s="4" t="s">
        <v>168</v>
      </c>
      <c r="K1" s="4" t="s">
        <v>173</v>
      </c>
      <c r="L1" s="270" t="s">
        <v>268</v>
      </c>
      <c r="M1" s="271" t="s">
        <v>268</v>
      </c>
      <c r="N1" s="272" t="s">
        <v>269</v>
      </c>
      <c r="O1" s="272" t="s">
        <v>269</v>
      </c>
      <c r="P1" s="272"/>
      <c r="Q1" s="273"/>
      <c r="R1" s="144" t="s">
        <v>270</v>
      </c>
      <c r="S1" s="144" t="s">
        <v>270</v>
      </c>
      <c r="T1" s="144"/>
      <c r="U1" s="144"/>
      <c r="V1" s="144"/>
      <c r="W1" s="144"/>
      <c r="AX1" s="294" t="s">
        <v>271</v>
      </c>
      <c r="BH1" s="33"/>
      <c r="BS1" s="295">
        <v>5567977</v>
      </c>
    </row>
    <row r="2" spans="1:134" ht="18" customHeight="1" x14ac:dyDescent="0.35">
      <c r="A2" s="41" t="s">
        <v>145</v>
      </c>
      <c r="B2" s="41" t="s">
        <v>146</v>
      </c>
      <c r="C2" s="6" t="s">
        <v>274</v>
      </c>
      <c r="L2" s="42" t="s">
        <v>275</v>
      </c>
      <c r="M2" s="1" t="s">
        <v>418</v>
      </c>
      <c r="N2" s="1" t="s">
        <v>277</v>
      </c>
      <c r="O2" s="1" t="s">
        <v>278</v>
      </c>
      <c r="P2" s="1" t="s">
        <v>279</v>
      </c>
      <c r="Q2" s="43" t="s">
        <v>280</v>
      </c>
      <c r="R2" s="1" t="s">
        <v>281</v>
      </c>
      <c r="S2" s="1" t="s">
        <v>282</v>
      </c>
      <c r="T2" s="1" t="s">
        <v>283</v>
      </c>
      <c r="U2" s="1" t="s">
        <v>284</v>
      </c>
      <c r="V2" s="1" t="s">
        <v>279</v>
      </c>
      <c r="W2" s="1" t="s">
        <v>280</v>
      </c>
      <c r="X2" s="1" t="s">
        <v>285</v>
      </c>
      <c r="Y2" s="1" t="s">
        <v>286</v>
      </c>
      <c r="Z2" s="1" t="s">
        <v>289</v>
      </c>
      <c r="AA2" s="1" t="s">
        <v>290</v>
      </c>
      <c r="AB2" s="1" t="s">
        <v>419</v>
      </c>
      <c r="AC2" s="1" t="s">
        <v>287</v>
      </c>
      <c r="AD2" s="1" t="s">
        <v>288</v>
      </c>
      <c r="AE2" s="1" t="s">
        <v>300</v>
      </c>
      <c r="AF2" s="1" t="s">
        <v>301</v>
      </c>
      <c r="AG2" s="1" t="s">
        <v>388</v>
      </c>
      <c r="AH2" s="1" t="s">
        <v>297</v>
      </c>
      <c r="AI2" s="1" t="s">
        <v>302</v>
      </c>
      <c r="AJ2" s="64" t="s">
        <v>420</v>
      </c>
      <c r="AK2" s="1" t="s">
        <v>421</v>
      </c>
      <c r="AL2" s="104" t="s">
        <v>294</v>
      </c>
      <c r="AM2" s="1" t="s">
        <v>422</v>
      </c>
      <c r="AN2" s="1" t="s">
        <v>296</v>
      </c>
      <c r="AO2" s="1" t="s">
        <v>303</v>
      </c>
      <c r="AP2" s="1" t="s">
        <v>423</v>
      </c>
      <c r="AQ2" s="1" t="s">
        <v>424</v>
      </c>
      <c r="AR2" s="1" t="s">
        <v>306</v>
      </c>
      <c r="AS2" s="1" t="s">
        <v>425</v>
      </c>
      <c r="AT2" s="1" t="s">
        <v>307</v>
      </c>
      <c r="AU2" s="1" t="s">
        <v>308</v>
      </c>
      <c r="AV2" s="1" t="s">
        <v>309</v>
      </c>
      <c r="AW2" s="1" t="s">
        <v>310</v>
      </c>
      <c r="AX2" s="24" t="s">
        <v>311</v>
      </c>
      <c r="AY2" s="1" t="s">
        <v>312</v>
      </c>
      <c r="AZ2" s="1" t="s">
        <v>313</v>
      </c>
      <c r="BA2" s="1" t="s">
        <v>324</v>
      </c>
      <c r="BB2" s="1" t="s">
        <v>323</v>
      </c>
      <c r="BC2" s="1" t="s">
        <v>426</v>
      </c>
      <c r="BD2" s="1" t="s">
        <v>427</v>
      </c>
      <c r="BE2" s="1" t="s">
        <v>428</v>
      </c>
      <c r="BF2" s="1" t="s">
        <v>429</v>
      </c>
      <c r="BG2" s="1" t="s">
        <v>325</v>
      </c>
      <c r="BH2" s="1" t="s">
        <v>315</v>
      </c>
      <c r="BI2" s="12"/>
      <c r="BJ2" s="1" t="s">
        <v>327</v>
      </c>
      <c r="BK2" s="1" t="s">
        <v>328</v>
      </c>
      <c r="BL2" s="1" t="s">
        <v>329</v>
      </c>
      <c r="BM2" s="1" t="s">
        <v>330</v>
      </c>
      <c r="BN2" s="1" t="s">
        <v>331</v>
      </c>
      <c r="BO2" s="1" t="s">
        <v>332</v>
      </c>
      <c r="BP2" s="1" t="s">
        <v>333</v>
      </c>
      <c r="BQ2" s="1" t="s">
        <v>335</v>
      </c>
      <c r="BR2" s="1" t="s">
        <v>430</v>
      </c>
      <c r="BS2" s="1" t="s">
        <v>352</v>
      </c>
      <c r="BT2" s="1" t="s">
        <v>353</v>
      </c>
      <c r="BU2" s="6" t="s">
        <v>431</v>
      </c>
      <c r="BV2" s="1" t="s">
        <v>355</v>
      </c>
      <c r="BW2" s="6" t="s">
        <v>356</v>
      </c>
      <c r="BX2" s="6" t="s">
        <v>357</v>
      </c>
      <c r="BY2" s="1"/>
      <c r="BZ2" s="1"/>
      <c r="CA2" s="1" t="s">
        <v>358</v>
      </c>
      <c r="CB2" s="1" t="s">
        <v>331</v>
      </c>
      <c r="CC2" s="1" t="s">
        <v>359</v>
      </c>
      <c r="CD2" s="1" t="s">
        <v>360</v>
      </c>
      <c r="CE2" s="1" t="s">
        <v>597</v>
      </c>
      <c r="CF2" s="1" t="s">
        <v>600</v>
      </c>
      <c r="CG2" s="1" t="s">
        <v>601</v>
      </c>
      <c r="CH2" s="1" t="s">
        <v>361</v>
      </c>
      <c r="CI2" s="1" t="s">
        <v>362</v>
      </c>
      <c r="CJ2" s="1" t="s">
        <v>337</v>
      </c>
      <c r="CK2" s="1" t="s">
        <v>432</v>
      </c>
      <c r="CL2" s="1" t="s">
        <v>351</v>
      </c>
      <c r="CM2" s="1" t="s">
        <v>363</v>
      </c>
      <c r="CN2" s="1" t="s">
        <v>364</v>
      </c>
      <c r="CO2" s="1" t="s">
        <v>365</v>
      </c>
      <c r="CP2" s="1" t="s">
        <v>366</v>
      </c>
      <c r="CQ2" s="1" t="s">
        <v>433</v>
      </c>
      <c r="CR2" s="1" t="s">
        <v>339</v>
      </c>
      <c r="CS2" s="1" t="s">
        <v>340</v>
      </c>
      <c r="CT2" s="1" t="s">
        <v>341</v>
      </c>
      <c r="CU2" s="1" t="s">
        <v>342</v>
      </c>
      <c r="CV2" s="1" t="s">
        <v>434</v>
      </c>
      <c r="CW2" s="1" t="s">
        <v>345</v>
      </c>
      <c r="CX2" s="1" t="s">
        <v>346</v>
      </c>
      <c r="CY2" s="1" t="s">
        <v>347</v>
      </c>
      <c r="CZ2" s="1" t="s">
        <v>367</v>
      </c>
      <c r="DA2" s="1" t="s">
        <v>368</v>
      </c>
      <c r="DB2" s="1" t="s">
        <v>369</v>
      </c>
      <c r="DC2" s="1" t="s">
        <v>370</v>
      </c>
      <c r="DD2" s="1" t="s">
        <v>373</v>
      </c>
      <c r="DE2" s="1" t="s">
        <v>374</v>
      </c>
      <c r="DF2" s="1" t="s">
        <v>375</v>
      </c>
      <c r="DG2" s="1" t="s">
        <v>378</v>
      </c>
      <c r="DH2" s="1" t="s">
        <v>376</v>
      </c>
      <c r="DI2" s="1" t="s">
        <v>379</v>
      </c>
      <c r="DJ2" s="1" t="s">
        <v>377</v>
      </c>
      <c r="DK2" s="1" t="s">
        <v>380</v>
      </c>
      <c r="DL2" s="1" t="s">
        <v>381</v>
      </c>
      <c r="DM2" s="1" t="s">
        <v>290</v>
      </c>
      <c r="DN2" s="1" t="s">
        <v>382</v>
      </c>
      <c r="DO2" s="1" t="s">
        <v>383</v>
      </c>
      <c r="DP2" s="1" t="s">
        <v>384</v>
      </c>
      <c r="DQ2" s="1" t="s">
        <v>385</v>
      </c>
      <c r="DR2" s="1" t="s">
        <v>387</v>
      </c>
      <c r="DS2" s="1" t="s">
        <v>435</v>
      </c>
      <c r="DT2" s="1" t="s">
        <v>388</v>
      </c>
      <c r="DU2" s="1" t="s">
        <v>389</v>
      </c>
      <c r="DV2" s="1" t="s">
        <v>390</v>
      </c>
      <c r="DW2" s="1" t="s">
        <v>368</v>
      </c>
      <c r="DX2" s="1" t="s">
        <v>371</v>
      </c>
      <c r="DY2" s="1" t="s">
        <v>372</v>
      </c>
      <c r="DZ2" s="1" t="s">
        <v>602</v>
      </c>
      <c r="EA2" s="1" t="s">
        <v>603</v>
      </c>
      <c r="EB2" s="1" t="s">
        <v>604</v>
      </c>
      <c r="EC2" s="1" t="s">
        <v>391</v>
      </c>
      <c r="ED2" s="1" t="s">
        <v>392</v>
      </c>
    </row>
    <row r="3" spans="1:134" x14ac:dyDescent="0.35">
      <c r="A3" s="8" t="s">
        <v>149</v>
      </c>
      <c r="B3" s="8" t="s">
        <v>8</v>
      </c>
      <c r="C3" s="1">
        <f t="shared" ref="C3:C41" si="0">SUM(D3:K3)</f>
        <v>30</v>
      </c>
      <c r="D3">
        <v>0</v>
      </c>
      <c r="E3">
        <v>30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 s="44">
        <v>208</v>
      </c>
      <c r="M3">
        <v>175.5</v>
      </c>
      <c r="N3" s="12">
        <f t="shared" ref="N3:N41" si="1">L3/C3</f>
        <v>6.9333333333333336</v>
      </c>
      <c r="O3" s="12">
        <v>5.85</v>
      </c>
      <c r="P3" s="20">
        <f>O3/O43</f>
        <v>5.4675647023372076E-2</v>
      </c>
      <c r="Q3" s="48">
        <f>N3/N$43</f>
        <v>3.9809383766686378E-2</v>
      </c>
      <c r="R3" s="16">
        <v>398452</v>
      </c>
      <c r="S3" s="16">
        <v>430290</v>
      </c>
      <c r="T3" s="16">
        <f t="shared" ref="T3:T41" si="2">R3/C3</f>
        <v>13281.733333333334</v>
      </c>
      <c r="U3" s="16">
        <f t="shared" ref="U3:U41" si="3">S3/C3</f>
        <v>14343</v>
      </c>
      <c r="V3" s="20">
        <f>U3/U43</f>
        <v>0.12001996651358771</v>
      </c>
      <c r="W3" s="20">
        <f>T3/T$43</f>
        <v>0.12245690644005019</v>
      </c>
      <c r="X3" s="20">
        <f>(0.6*P3)+(0.4*V3)</f>
        <v>8.0813374819458328E-2</v>
      </c>
      <c r="Y3" s="20">
        <f>(0.6*Q3)+(0.4*W3)</f>
        <v>7.2868392836031901E-2</v>
      </c>
      <c r="Z3" s="54">
        <v>34</v>
      </c>
      <c r="AA3" s="14">
        <v>0.85291315647893573</v>
      </c>
      <c r="AB3" s="14">
        <f t="shared" ref="AB3:AB14" si="4">(0.6*CV3)+(0.4*DR3)</f>
        <v>0.44712510160044511</v>
      </c>
      <c r="AC3" s="12">
        <v>0.39300000000000002</v>
      </c>
      <c r="AD3" s="37">
        <v>0.60099999999999998</v>
      </c>
      <c r="AE3" s="54">
        <v>26</v>
      </c>
      <c r="AF3" s="124">
        <v>80374.206284261221</v>
      </c>
      <c r="AG3" s="119">
        <v>0.48370811386126988</v>
      </c>
      <c r="AH3" s="124">
        <v>219732.97</v>
      </c>
      <c r="AI3" s="115" t="e">
        <f>AR3*#REF!</f>
        <v>#REF!</v>
      </c>
      <c r="AJ3" s="34" t="e">
        <f>AM3*#REF!</f>
        <v>#DIV/0!</v>
      </c>
      <c r="AK3" s="30"/>
      <c r="AL3" s="30" t="e">
        <f>AJ3-AF3</f>
        <v>#DIV/0!</v>
      </c>
      <c r="AM3" s="34" t="e">
        <f>C3*AS3</f>
        <v>#DIV/0!</v>
      </c>
      <c r="AN3" s="12" t="e">
        <f>AD3/#REF!</f>
        <v>#REF!</v>
      </c>
      <c r="AO3" s="34" t="e">
        <f>SUM(AP3:AQ3)</f>
        <v>#DIV/0!</v>
      </c>
      <c r="AP3" s="34" t="e">
        <f>BE3*#REF!</f>
        <v>#DIV/0!</v>
      </c>
      <c r="AQ3" s="34" t="e">
        <f>BF3*BI$14</f>
        <v>#DIV/0!</v>
      </c>
      <c r="AR3" s="12">
        <f>Z3*AZ3</f>
        <v>2.5136963326281174</v>
      </c>
      <c r="AS3" s="12" t="e">
        <f>AB3/BI$2</f>
        <v>#DIV/0!</v>
      </c>
      <c r="AT3" s="18">
        <v>196868.73</v>
      </c>
      <c r="AU3" s="35">
        <f>AVERAGE(AF3,AH3)</f>
        <v>150053.58814213061</v>
      </c>
      <c r="AV3" s="35">
        <f>AVERAGE(AF3,AW3,AT3)</f>
        <v>141806.54542808709</v>
      </c>
      <c r="AW3" s="34">
        <v>148176.70000000001</v>
      </c>
      <c r="AX3" s="293">
        <f>AV3-(BG3*AV$45)</f>
        <v>141806.54542808709</v>
      </c>
      <c r="AY3" s="12">
        <f>Z3*BB3</f>
        <v>3.3247706546874674</v>
      </c>
      <c r="AZ3" s="12">
        <f>AG3/BI$6</f>
        <v>7.3932245077297565E-2</v>
      </c>
      <c r="BA3" s="12">
        <f>Z3*BG3</f>
        <v>-0.15029932697985018</v>
      </c>
      <c r="BB3" s="12">
        <f>DV3/BI$9</f>
        <v>9.7787372196690217E-2</v>
      </c>
      <c r="BC3" s="12" t="e">
        <f>CL3/BI$12</f>
        <v>#DIV/0!</v>
      </c>
      <c r="BD3" s="12" t="e">
        <f>DI3/BI$13</f>
        <v>#DIV/0!</v>
      </c>
      <c r="BE3" s="12" t="e">
        <f>Z3*BC3</f>
        <v>#DIV/0!</v>
      </c>
      <c r="BF3" s="12" t="e">
        <f>Z3*BD3</f>
        <v>#DIV/0!</v>
      </c>
      <c r="BG3" s="12">
        <f>ED3/BI$6</f>
        <v>-4.4205684405838287E-3</v>
      </c>
      <c r="BH3" s="18"/>
      <c r="BJ3">
        <v>416</v>
      </c>
      <c r="BK3">
        <v>419</v>
      </c>
      <c r="BL3">
        <f t="shared" ref="BL3:BL14" si="5">BJ3-BK3</f>
        <v>-3</v>
      </c>
      <c r="BM3">
        <v>161</v>
      </c>
      <c r="BN3">
        <v>847</v>
      </c>
      <c r="BO3" s="16">
        <v>1053</v>
      </c>
      <c r="BP3" s="16">
        <v>567</v>
      </c>
      <c r="BQ3" s="16">
        <f>Z3*BO$45</f>
        <v>523.46400000000006</v>
      </c>
      <c r="BR3" s="16">
        <f>Z3*BN$44</f>
        <v>391.56329651656756</v>
      </c>
      <c r="BS3" s="267">
        <v>338953</v>
      </c>
      <c r="BT3" s="285">
        <f>BW3*BZ$4</f>
        <v>242381.01971504578</v>
      </c>
      <c r="BU3" s="16">
        <f>AVERAGE(AX3,BS3,BT3)</f>
        <v>241046.85504771097</v>
      </c>
      <c r="BV3" s="296">
        <f>BU3-(BX3*BU$42)</f>
        <v>368157.69865661627</v>
      </c>
      <c r="BW3" s="12">
        <f>AE3*BX3</f>
        <v>2.951748886480412</v>
      </c>
      <c r="BX3" s="12">
        <f>EC3/BZ3</f>
        <v>0.11352880332616969</v>
      </c>
      <c r="BY3" s="149" t="s">
        <v>393</v>
      </c>
      <c r="BZ3" s="218">
        <f>SUM(EC3,EC11,EC12,EC15,EC19,EC20,EC21,EC30,EC31,EC35)</f>
        <v>9.531770934647227</v>
      </c>
      <c r="CA3" s="16">
        <v>260</v>
      </c>
      <c r="CB3" s="16">
        <v>293</v>
      </c>
      <c r="CC3" s="16">
        <v>372.8</v>
      </c>
      <c r="CD3" s="16">
        <f>CA3+CB3+CC3</f>
        <v>925.8</v>
      </c>
      <c r="CE3" s="16">
        <f t="shared" ref="CE3:CE40" si="6">AE3*CD$43</f>
        <v>373.56266114180482</v>
      </c>
      <c r="CF3" s="16">
        <f>CD3-CE3</f>
        <v>552.23733885819513</v>
      </c>
      <c r="CG3" s="109">
        <f t="shared" ref="CG3:CG40" si="7">(CF3-CF$43)/CF$44</f>
        <v>1.6650540564547163</v>
      </c>
      <c r="CH3" s="16">
        <f>BP3+CA3</f>
        <v>827</v>
      </c>
      <c r="CI3" s="16">
        <f>Z3*BP$45</f>
        <v>255.63753399999999</v>
      </c>
      <c r="CJ3" s="16">
        <f>BO3-BR3</f>
        <v>661.43670348343244</v>
      </c>
      <c r="CK3" s="16">
        <f>BN3-BR3</f>
        <v>455.43670348343244</v>
      </c>
      <c r="CL3" s="14">
        <f>(CJ3-CJ$41)/CJ$42</f>
        <v>0.69752606752130675</v>
      </c>
      <c r="CM3" s="16">
        <f>Z3*CA$45</f>
        <v>0</v>
      </c>
      <c r="CN3" s="16">
        <f>BP3-CI3</f>
        <v>311.36246600000004</v>
      </c>
      <c r="CO3" s="16">
        <f>CH3-CM3</f>
        <v>827</v>
      </c>
      <c r="CP3" s="14">
        <f>(CN3-CN$41)/CN$42</f>
        <v>1.2525443288424396</v>
      </c>
      <c r="CQ3" s="14">
        <f>(CK3-CK$41)/CK$42</f>
        <v>1.1033761046732229</v>
      </c>
      <c r="CR3">
        <v>150</v>
      </c>
      <c r="CS3">
        <f>BJ3-BM3</f>
        <v>255</v>
      </c>
      <c r="CT3">
        <v>269</v>
      </c>
      <c r="CU3" s="12">
        <v>0.185</v>
      </c>
      <c r="CV3" s="12">
        <v>0.109</v>
      </c>
      <c r="CW3" s="16">
        <v>398452</v>
      </c>
      <c r="CX3" s="16">
        <v>425272.83999999997</v>
      </c>
      <c r="CY3">
        <v>79541</v>
      </c>
      <c r="CZ3" s="14">
        <f>(CO3-CO$41)/CO$42</f>
        <v>7.4128155530607157E-2</v>
      </c>
      <c r="DA3" s="16">
        <v>175164</v>
      </c>
      <c r="DB3" s="16">
        <v>175164</v>
      </c>
      <c r="DC3" s="16">
        <v>0</v>
      </c>
      <c r="DD3" s="16">
        <f>(DA3+DC3)</f>
        <v>175164</v>
      </c>
      <c r="DE3" s="16">
        <f>Z3*DA$44</f>
        <v>81255.24808836024</v>
      </c>
      <c r="DF3" s="16">
        <f>Z3*DB$45</f>
        <v>125424.64</v>
      </c>
      <c r="DG3" s="16">
        <f t="shared" ref="DG3:DG40" si="8">DA3-DE3</f>
        <v>93908.75191163976</v>
      </c>
      <c r="DH3" s="16">
        <f t="shared" ref="DH3:DH40" si="9">DB3-DF3</f>
        <v>49739.360000000001</v>
      </c>
      <c r="DI3" s="14">
        <f>(DH3-DH$41)/DH$42</f>
        <v>6.6481547708884259E-2</v>
      </c>
      <c r="DJ3" s="16">
        <f>Z3*DC$45</f>
        <v>0</v>
      </c>
      <c r="DK3" s="16">
        <f>DD3-DJ3</f>
        <v>175164</v>
      </c>
      <c r="DL3" s="109">
        <f>(DG3-DG$41)/DG$42</f>
        <v>0.38278329877165479</v>
      </c>
      <c r="DM3" s="109">
        <f t="shared" ref="DM3:DM40" si="10">(0.6*CQ3)+(0.4*DL3)</f>
        <v>0.81513898231259563</v>
      </c>
      <c r="DN3" s="16">
        <v>83945.99</v>
      </c>
      <c r="DO3">
        <f t="shared" ref="DO3:DO14" si="11">CW3-CY3</f>
        <v>318911</v>
      </c>
      <c r="DP3" s="16">
        <f t="shared" ref="DP3:DP14" si="12">CX3-DN3</f>
        <v>341326.85</v>
      </c>
      <c r="DQ3" s="12">
        <v>0.70499999999999996</v>
      </c>
      <c r="DR3" s="12">
        <f>(DP3-DP$42)/DP$43</f>
        <v>0.95431275400111271</v>
      </c>
      <c r="DS3" s="12">
        <f t="shared" ref="DS3:DS14" si="13">(0.6*CV3)+(0.4*DQ3)</f>
        <v>0.34739999999999999</v>
      </c>
      <c r="DT3" s="14">
        <f t="shared" ref="DT3:DT40" si="14">(0.6*CL3)+(0.4*DI3)</f>
        <v>0.44510825959633776</v>
      </c>
      <c r="DU3" s="12">
        <f>(DK3-DK$41)/DK$42</f>
        <v>-0.18349711259295703</v>
      </c>
      <c r="DV3" s="14">
        <f t="shared" ref="DV3:DV40" si="15">(0.6*CP3)+(0.4*DL3)</f>
        <v>0.9046399168141257</v>
      </c>
      <c r="DW3" s="16">
        <v>259246</v>
      </c>
      <c r="DX3" s="16">
        <v>0</v>
      </c>
      <c r="DY3" s="16">
        <f>DC3+DW3+DX3</f>
        <v>259246</v>
      </c>
      <c r="DZ3" s="16">
        <f t="shared" ref="DZ3:DZ40" si="16">AE3*DY$43</f>
        <v>173918.95580110498</v>
      </c>
      <c r="EA3" s="16">
        <f>DY3-DZ3</f>
        <v>85327.044198895019</v>
      </c>
      <c r="EB3" s="109">
        <f t="shared" ref="EB3:EB40" si="17">(EA3-EA$43)/EA$44</f>
        <v>0.20774528479208967</v>
      </c>
      <c r="EC3" s="14">
        <f t="shared" ref="EC3:EC40" si="18">(0.6*CG3)+(0.4*EB3)</f>
        <v>1.0821305477896657</v>
      </c>
      <c r="ED3" s="12">
        <f>(0.6*CZ3)+(0.4*DU3)</f>
        <v>-2.8921951718818527E-2</v>
      </c>
    </row>
    <row r="4" spans="1:134" x14ac:dyDescent="0.35">
      <c r="A4" s="8" t="s">
        <v>149</v>
      </c>
      <c r="B4" s="8" t="s">
        <v>10</v>
      </c>
      <c r="C4" s="1">
        <f t="shared" si="0"/>
        <v>50</v>
      </c>
      <c r="D4">
        <v>0</v>
      </c>
      <c r="E4">
        <v>0</v>
      </c>
      <c r="F4">
        <v>0</v>
      </c>
      <c r="G4">
        <v>0</v>
      </c>
      <c r="H4">
        <v>0</v>
      </c>
      <c r="I4">
        <v>50</v>
      </c>
      <c r="J4">
        <v>0</v>
      </c>
      <c r="K4">
        <v>0</v>
      </c>
      <c r="L4" s="44">
        <v>405</v>
      </c>
      <c r="M4">
        <v>217</v>
      </c>
      <c r="N4" s="12">
        <f t="shared" si="1"/>
        <v>8.1</v>
      </c>
      <c r="O4" s="12">
        <v>4.34</v>
      </c>
      <c r="P4" s="20">
        <f>O4/O43</f>
        <v>4.0562787706228169E-2</v>
      </c>
      <c r="Q4" s="48">
        <f>N4/N$43</f>
        <v>4.6508078150503791E-2</v>
      </c>
      <c r="R4" s="16">
        <v>0</v>
      </c>
      <c r="S4" s="16">
        <v>2135</v>
      </c>
      <c r="T4" s="16">
        <f t="shared" si="2"/>
        <v>0</v>
      </c>
      <c r="U4" s="16">
        <f t="shared" si="3"/>
        <v>42.7</v>
      </c>
      <c r="V4" s="20">
        <f>U4/U43</f>
        <v>3.5730687932302834E-4</v>
      </c>
      <c r="W4" s="20">
        <f>T4/T$43</f>
        <v>0</v>
      </c>
      <c r="X4" s="20">
        <f t="shared" ref="X4:X40" si="19">(0.6*P4)+(0.4*V4)</f>
        <v>2.448059537546611E-2</v>
      </c>
      <c r="Y4" s="20">
        <f t="shared" ref="Y4:Y40" si="20">(0.6*Q4)+(0.4*W4)</f>
        <v>2.7904846890302273E-2</v>
      </c>
      <c r="Z4" s="54">
        <v>86</v>
      </c>
      <c r="AA4" s="12">
        <v>-0.8935292141129656</v>
      </c>
      <c r="AB4" s="12">
        <f t="shared" si="4"/>
        <v>0.41883083300437396</v>
      </c>
      <c r="AC4" s="12">
        <v>0.59099999999999997</v>
      </c>
      <c r="AD4">
        <v>9.2999999999999999E-2</v>
      </c>
      <c r="AE4" s="54">
        <v>52</v>
      </c>
      <c r="AF4" s="122"/>
      <c r="AG4" s="117">
        <v>-0.49369575666111093</v>
      </c>
      <c r="AH4" s="122"/>
      <c r="AI4" s="103"/>
      <c r="AJ4" s="30"/>
      <c r="AK4" s="18"/>
      <c r="AL4" s="30">
        <f>AJ4-AF4</f>
        <v>0</v>
      </c>
      <c r="AM4" s="30"/>
      <c r="AN4" s="12"/>
      <c r="AO4" s="18"/>
      <c r="AP4" s="30"/>
      <c r="AQ4" s="30"/>
      <c r="AR4" s="12"/>
      <c r="AS4" s="12"/>
      <c r="AT4" s="18"/>
      <c r="AU4" s="18"/>
      <c r="AV4" s="18"/>
      <c r="AW4" s="30"/>
      <c r="AX4" s="24"/>
      <c r="AY4" s="12"/>
      <c r="AZ4" s="12"/>
      <c r="BA4" s="12"/>
      <c r="BB4" s="12"/>
      <c r="BC4" s="12"/>
      <c r="BD4" s="12"/>
      <c r="BE4" s="12"/>
      <c r="BF4" s="12"/>
      <c r="BG4" s="12"/>
      <c r="BH4" s="144" t="s">
        <v>402</v>
      </c>
      <c r="BI4" s="144" t="s">
        <v>436</v>
      </c>
      <c r="BJ4">
        <v>910</v>
      </c>
      <c r="BK4">
        <v>871</v>
      </c>
      <c r="BL4">
        <f t="shared" si="5"/>
        <v>39</v>
      </c>
      <c r="BM4">
        <v>268</v>
      </c>
      <c r="BN4">
        <v>623</v>
      </c>
      <c r="BO4" s="16">
        <v>1025</v>
      </c>
      <c r="BP4" s="16">
        <v>291</v>
      </c>
      <c r="BQ4" s="16">
        <f>Z4*BO$45</f>
        <v>1324.056</v>
      </c>
      <c r="BR4" s="16">
        <f>Z4*BN$44</f>
        <v>990.42480883602389</v>
      </c>
      <c r="BS4" s="268"/>
      <c r="BT4" s="16"/>
      <c r="BU4" s="16"/>
      <c r="BV4" s="16"/>
      <c r="BW4" s="12"/>
      <c r="BX4" s="12"/>
      <c r="BY4" s="149" t="s">
        <v>396</v>
      </c>
      <c r="BZ4" s="211">
        <f>BS1/BW41</f>
        <v>82114.376607440528</v>
      </c>
      <c r="CA4" s="16">
        <v>165</v>
      </c>
      <c r="CB4" s="16">
        <v>136</v>
      </c>
      <c r="CC4" s="16">
        <v>173.66</v>
      </c>
      <c r="CD4" s="16">
        <f t="shared" ref="CD4:CD40" si="21">CA4+CB4+CC4</f>
        <v>474.65999999999997</v>
      </c>
      <c r="CE4" s="16">
        <f t="shared" si="6"/>
        <v>747.12532228360965</v>
      </c>
      <c r="CF4" s="16">
        <f t="shared" ref="CF4:CF40" si="22">CD4-CE4</f>
        <v>-272.46532228360968</v>
      </c>
      <c r="CG4" s="17">
        <f t="shared" si="7"/>
        <v>-0.82151179970838595</v>
      </c>
      <c r="CH4" s="16">
        <f>BP4+CA4</f>
        <v>456</v>
      </c>
      <c r="CI4" s="16">
        <f>Z4*BP$45</f>
        <v>646.61258599999996</v>
      </c>
      <c r="CJ4" s="16">
        <f>BO4-BR4</f>
        <v>34.575191163976115</v>
      </c>
      <c r="CK4" s="16">
        <f>BN4-BR4</f>
        <v>-367.42480883602389</v>
      </c>
      <c r="CL4" s="12">
        <f>(CJ4-CJ$41)/CJ$42</f>
        <v>-0.37252909395854195</v>
      </c>
      <c r="CM4" s="16">
        <f>Z4*CA$45</f>
        <v>0</v>
      </c>
      <c r="CN4" s="16">
        <f>BP4-CI4</f>
        <v>-355.61258599999996</v>
      </c>
      <c r="CO4" s="16">
        <f t="shared" ref="CO4:CO40" si="23">CH4-CM4</f>
        <v>456</v>
      </c>
      <c r="CP4" s="12">
        <f>(CN4-CN$41)/CN$42</f>
        <v>-1.5025021996157142</v>
      </c>
      <c r="CQ4" s="12">
        <f>(CK4-CK$41)/CK$42</f>
        <v>-0.89015169667488858</v>
      </c>
      <c r="CR4">
        <v>251</v>
      </c>
      <c r="CS4">
        <f>BJ4-BM4</f>
        <v>642</v>
      </c>
      <c r="CT4">
        <v>620</v>
      </c>
      <c r="CU4" s="14">
        <v>1.2010000000000001</v>
      </c>
      <c r="CV4" s="12">
        <v>0.97099999999999997</v>
      </c>
      <c r="CW4" s="16">
        <v>0</v>
      </c>
      <c r="CX4" s="16">
        <v>0</v>
      </c>
      <c r="CY4">
        <v>139354</v>
      </c>
      <c r="CZ4" s="12">
        <f>(CO4-CO$41)/CO$42</f>
        <v>-0.53373157623082934</v>
      </c>
      <c r="DA4" s="16">
        <v>0</v>
      </c>
      <c r="DB4" s="16">
        <v>19125</v>
      </c>
      <c r="DC4" s="16">
        <v>0</v>
      </c>
      <c r="DD4" s="16">
        <f t="shared" ref="DD4:DD40" si="24">(DA4+DC4)</f>
        <v>0</v>
      </c>
      <c r="DE4" s="16">
        <f>Z4*DA$44</f>
        <v>205527.98045879355</v>
      </c>
      <c r="DF4" s="16">
        <f>Z4*DB$45</f>
        <v>317250.56</v>
      </c>
      <c r="DG4" s="16">
        <f t="shared" si="8"/>
        <v>-205527.98045879355</v>
      </c>
      <c r="DH4" s="16">
        <f t="shared" si="9"/>
        <v>-298125.56</v>
      </c>
      <c r="DI4" s="12">
        <f>(DH4-DH$41)/DH$42</f>
        <v>-0.70138467696488571</v>
      </c>
      <c r="DJ4" s="16">
        <f>Z4*DC$45</f>
        <v>0</v>
      </c>
      <c r="DK4" s="16">
        <f t="shared" ref="DK4:DK40" si="25">DD4-DJ4</f>
        <v>0</v>
      </c>
      <c r="DL4" s="17">
        <f>(DG4-DG$41)/DG$42</f>
        <v>-0.83775661744410757</v>
      </c>
      <c r="DM4" s="17">
        <f t="shared" si="10"/>
        <v>-0.86919366498257611</v>
      </c>
      <c r="DN4" s="16">
        <v>140448.95000000001</v>
      </c>
      <c r="DO4">
        <f t="shared" si="11"/>
        <v>-139354</v>
      </c>
      <c r="DP4" s="16">
        <f t="shared" si="12"/>
        <v>-140448.95000000001</v>
      </c>
      <c r="DQ4" s="12">
        <v>-0.32100000000000001</v>
      </c>
      <c r="DR4" s="12">
        <f>(DP4-DP$42)/DP$43</f>
        <v>-0.40942291748906512</v>
      </c>
      <c r="DS4" s="12">
        <f t="shared" si="13"/>
        <v>0.45419999999999999</v>
      </c>
      <c r="DT4" s="12">
        <f t="shared" si="14"/>
        <v>-0.5040713271610795</v>
      </c>
      <c r="DU4" s="12">
        <f>(DK4-DK$41)/DK$42</f>
        <v>-0.55342780665821023</v>
      </c>
      <c r="DV4" s="12">
        <f t="shared" si="15"/>
        <v>-1.2366039667470714</v>
      </c>
      <c r="DW4" s="16">
        <v>156506</v>
      </c>
      <c r="DX4" s="16">
        <v>136605</v>
      </c>
      <c r="DY4" s="16">
        <f t="shared" ref="DY4:DY40" si="26">DC4+DW4+DX4</f>
        <v>293111</v>
      </c>
      <c r="DZ4" s="16">
        <f t="shared" si="16"/>
        <v>347837.91160220996</v>
      </c>
      <c r="EA4" s="16">
        <f t="shared" ref="EA4:EA40" si="27">DY4-DZ4</f>
        <v>-54726.911602209962</v>
      </c>
      <c r="EB4" s="17">
        <f t="shared" si="17"/>
        <v>-0.13324331041036871</v>
      </c>
      <c r="EC4" s="12">
        <f t="shared" si="18"/>
        <v>-0.54620440398917902</v>
      </c>
      <c r="ED4" s="12">
        <f t="shared" ref="ED4:ED40" si="28">(0.6*CZ4)+(0.4*DU4)</f>
        <v>-0.54161006840178172</v>
      </c>
    </row>
    <row r="5" spans="1:134" x14ac:dyDescent="0.35">
      <c r="A5" s="8" t="s">
        <v>149</v>
      </c>
      <c r="B5" s="141" t="s">
        <v>437</v>
      </c>
      <c r="L5" s="44"/>
      <c r="N5" s="12"/>
      <c r="O5" s="12"/>
      <c r="P5" s="20"/>
      <c r="Q5" s="48"/>
      <c r="R5" s="16"/>
      <c r="S5" s="16"/>
      <c r="T5" s="16"/>
      <c r="U5" s="16"/>
      <c r="V5" s="20"/>
      <c r="W5" s="20"/>
      <c r="X5" s="20"/>
      <c r="Y5" s="20"/>
      <c r="Z5" s="54">
        <v>0</v>
      </c>
      <c r="AA5" s="12"/>
      <c r="AB5" s="12"/>
      <c r="AC5" s="12"/>
      <c r="AE5" s="54">
        <v>7</v>
      </c>
      <c r="AF5" s="122"/>
      <c r="AG5" s="117"/>
      <c r="AH5" s="122"/>
      <c r="AI5" s="103"/>
      <c r="AJ5" s="30"/>
      <c r="AK5" s="18"/>
      <c r="AL5" s="30"/>
      <c r="AM5" s="30"/>
      <c r="AN5" s="12"/>
      <c r="AO5" s="18"/>
      <c r="AP5" s="30"/>
      <c r="AQ5" s="30"/>
      <c r="AR5" s="12"/>
      <c r="AS5" s="12"/>
      <c r="AT5" s="18"/>
      <c r="AU5" s="18"/>
      <c r="AV5" s="18"/>
      <c r="AW5" s="30"/>
      <c r="AX5" s="24"/>
      <c r="AY5" s="12"/>
      <c r="AZ5" s="12"/>
      <c r="BA5" s="12"/>
      <c r="BB5" s="12"/>
      <c r="BC5" s="12"/>
      <c r="BD5" s="12"/>
      <c r="BE5" s="12"/>
      <c r="BF5" s="12"/>
      <c r="BG5" s="12"/>
      <c r="BH5" s="144"/>
      <c r="BI5" s="144"/>
      <c r="BO5" s="16"/>
      <c r="BP5" s="16"/>
      <c r="BQ5" s="16"/>
      <c r="BR5" s="16"/>
      <c r="BS5" s="268"/>
      <c r="BT5" s="16"/>
      <c r="BU5" s="16"/>
      <c r="BV5" s="16"/>
      <c r="BW5" s="12"/>
      <c r="BX5" s="12"/>
      <c r="BY5" s="16"/>
      <c r="BZ5" s="16"/>
      <c r="CA5" s="16">
        <v>5</v>
      </c>
      <c r="CB5" s="16">
        <v>3</v>
      </c>
      <c r="CC5" s="16">
        <v>47.5</v>
      </c>
      <c r="CD5" s="16">
        <f t="shared" si="21"/>
        <v>55.5</v>
      </c>
      <c r="CE5" s="16">
        <f t="shared" si="6"/>
        <v>100.5745626151013</v>
      </c>
      <c r="CF5" s="16">
        <f t="shared" si="22"/>
        <v>-45.0745626151013</v>
      </c>
      <c r="CG5" s="17">
        <f t="shared" si="7"/>
        <v>-0.13590457950629134</v>
      </c>
      <c r="CH5" s="16"/>
      <c r="CI5" s="16"/>
      <c r="CJ5" s="16"/>
      <c r="CK5" s="16"/>
      <c r="CL5" s="12"/>
      <c r="CM5" s="16"/>
      <c r="CN5" s="16"/>
      <c r="CO5" s="16"/>
      <c r="CP5" s="12"/>
      <c r="CQ5" s="12"/>
      <c r="CU5" s="14"/>
      <c r="CV5" s="12"/>
      <c r="CW5" s="16"/>
      <c r="CX5" s="16"/>
      <c r="CZ5" s="12"/>
      <c r="DA5" s="16"/>
      <c r="DB5" s="16"/>
      <c r="DC5" s="16">
        <v>0</v>
      </c>
      <c r="DD5" s="16"/>
      <c r="DE5" s="16"/>
      <c r="DF5" s="16"/>
      <c r="DG5" s="16"/>
      <c r="DH5" s="16"/>
      <c r="DI5" s="12"/>
      <c r="DJ5" s="16"/>
      <c r="DK5" s="16"/>
      <c r="DL5" s="17"/>
      <c r="DM5" s="17"/>
      <c r="DN5" s="16"/>
      <c r="DP5" s="16"/>
      <c r="DQ5" s="12"/>
      <c r="DR5" s="12"/>
      <c r="DS5" s="12"/>
      <c r="DT5" s="12"/>
      <c r="DU5" s="12"/>
      <c r="DV5" s="12"/>
      <c r="DW5" s="16">
        <v>0</v>
      </c>
      <c r="DX5" s="16">
        <v>0</v>
      </c>
      <c r="DY5" s="16">
        <f t="shared" si="26"/>
        <v>0</v>
      </c>
      <c r="DZ5" s="16">
        <f t="shared" si="16"/>
        <v>46824.334254143643</v>
      </c>
      <c r="EA5" s="16">
        <f t="shared" si="27"/>
        <v>-46824.334254143643</v>
      </c>
      <c r="EB5" s="17">
        <f t="shared" si="17"/>
        <v>-0.11400294884412554</v>
      </c>
      <c r="EC5" s="12">
        <f t="shared" si="18"/>
        <v>-0.12714392724142504</v>
      </c>
      <c r="ED5" s="12"/>
    </row>
    <row r="6" spans="1:134" x14ac:dyDescent="0.35">
      <c r="A6" s="7" t="s">
        <v>180</v>
      </c>
      <c r="B6" s="7" t="s">
        <v>76</v>
      </c>
      <c r="C6" s="1">
        <f t="shared" si="0"/>
        <v>10</v>
      </c>
      <c r="D6">
        <v>10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 s="44">
        <v>23</v>
      </c>
      <c r="M6">
        <v>11</v>
      </c>
      <c r="N6" s="12">
        <f t="shared" si="1"/>
        <v>2.2999999999999998</v>
      </c>
      <c r="O6" s="12">
        <v>1.1000000000000001</v>
      </c>
      <c r="P6" s="20">
        <f>O6/O43</f>
        <v>1.0280890893283639E-2</v>
      </c>
      <c r="Q6" s="48">
        <f t="shared" ref="Q6:Q14" si="29">N6/N$43</f>
        <v>1.3205997499525769E-2</v>
      </c>
      <c r="R6" s="16">
        <v>188988</v>
      </c>
      <c r="S6" s="16">
        <v>250887</v>
      </c>
      <c r="T6" s="16">
        <f t="shared" si="2"/>
        <v>18898.8</v>
      </c>
      <c r="U6" s="16">
        <f t="shared" si="3"/>
        <v>25088.7</v>
      </c>
      <c r="V6" s="20">
        <f>U6/U43</f>
        <v>0.20993829281666654</v>
      </c>
      <c r="W6" s="20">
        <f t="shared" ref="W6:W14" si="30">T6/T$43</f>
        <v>0.17424597568308509</v>
      </c>
      <c r="X6" s="20">
        <f>(0.6*P6)+(0.4*V6)</f>
        <v>9.0143851662636804E-2</v>
      </c>
      <c r="Y6" s="20">
        <f t="shared" si="20"/>
        <v>7.7621988772949485E-2</v>
      </c>
      <c r="Z6" s="54">
        <v>11</v>
      </c>
      <c r="AA6" s="12">
        <v>-2.2656124443612549E-2</v>
      </c>
      <c r="AB6" s="12">
        <f t="shared" si="4"/>
        <v>-0.15877169526952686</v>
      </c>
      <c r="AC6" s="12">
        <v>-0.159</v>
      </c>
      <c r="AD6">
        <v>-6.5000000000000002E-2</v>
      </c>
      <c r="AE6" s="54">
        <v>12</v>
      </c>
      <c r="AF6" s="122"/>
      <c r="AG6" s="117">
        <v>-6.8000000161179269E-2</v>
      </c>
      <c r="AH6" s="122"/>
      <c r="AI6" s="103"/>
      <c r="AJ6" s="30"/>
      <c r="AK6" s="30"/>
      <c r="AL6" s="30"/>
      <c r="AM6" s="30"/>
      <c r="AN6" s="12"/>
      <c r="AO6" s="34" t="e">
        <f>SUM(AP6:AQ6)</f>
        <v>#DIV/0!</v>
      </c>
      <c r="AP6" s="30"/>
      <c r="AQ6" s="34" t="e">
        <f>BF6*BI$14</f>
        <v>#DIV/0!</v>
      </c>
      <c r="AR6" s="12"/>
      <c r="AS6" s="12"/>
      <c r="AT6" s="18"/>
      <c r="AU6" s="18"/>
      <c r="AV6" s="18"/>
      <c r="AW6" s="30"/>
      <c r="AX6" s="24"/>
      <c r="AY6" s="12"/>
      <c r="AZ6" s="12"/>
      <c r="BA6" s="12"/>
      <c r="BB6" s="12"/>
      <c r="BC6" s="12"/>
      <c r="BD6" s="12" t="e">
        <f>DI6/BI$13</f>
        <v>#DIV/0!</v>
      </c>
      <c r="BE6" s="12"/>
      <c r="BF6" s="12" t="e">
        <f>Z6*BD6</f>
        <v>#DIV/0!</v>
      </c>
      <c r="BG6" s="12"/>
      <c r="BH6" s="35">
        <v>5153419.7317922032</v>
      </c>
      <c r="BI6" s="14">
        <f>SUM(ED3,ED11,ED15,ED19,ED20,ED21,ED24,ED31,ED32,ED34)</f>
        <v>6.5425865717393528</v>
      </c>
      <c r="BJ6">
        <v>46</v>
      </c>
      <c r="BK6">
        <v>46</v>
      </c>
      <c r="BL6">
        <f t="shared" si="5"/>
        <v>0</v>
      </c>
      <c r="BM6">
        <v>54</v>
      </c>
      <c r="BN6">
        <v>40</v>
      </c>
      <c r="BO6" s="16">
        <v>69</v>
      </c>
      <c r="BP6" s="16">
        <v>30</v>
      </c>
      <c r="BQ6" s="16">
        <f t="shared" ref="BQ6:BQ40" si="31">Z6*BO$45</f>
        <v>169.35599999999999</v>
      </c>
      <c r="BR6" s="16">
        <f t="shared" ref="BR6:BR40" si="32">Z6*BN$44</f>
        <v>126.68224299065422</v>
      </c>
      <c r="BS6" s="268"/>
      <c r="BT6" s="16"/>
      <c r="BU6" s="16"/>
      <c r="BV6" s="16"/>
      <c r="BW6" s="12"/>
      <c r="BX6" s="12"/>
      <c r="BY6" s="16"/>
      <c r="BZ6" s="16"/>
      <c r="CA6" s="16">
        <v>13</v>
      </c>
      <c r="CB6" s="16">
        <v>13</v>
      </c>
      <c r="CC6" s="16">
        <v>29</v>
      </c>
      <c r="CD6" s="16">
        <f t="shared" si="21"/>
        <v>55</v>
      </c>
      <c r="CE6" s="16">
        <f t="shared" si="6"/>
        <v>172.41353591160222</v>
      </c>
      <c r="CF6" s="16">
        <f t="shared" si="22"/>
        <v>-117.41353591160222</v>
      </c>
      <c r="CG6" s="17">
        <f t="shared" si="7"/>
        <v>-0.35401424441259216</v>
      </c>
      <c r="CH6" s="16">
        <f t="shared" ref="CH6:CH41" si="33">BP6+CA6</f>
        <v>43</v>
      </c>
      <c r="CI6" s="16">
        <f t="shared" ref="CI6:CI40" si="34">Z6*BP$45</f>
        <v>82.706260999999998</v>
      </c>
      <c r="CJ6" s="16">
        <f t="shared" ref="CJ6:CJ40" si="35">BO6-BR6</f>
        <v>-57.682242990654217</v>
      </c>
      <c r="CK6" s="16">
        <f t="shared" ref="CK6:CK40" si="36">BN6-BR6</f>
        <v>-86.682242990654217</v>
      </c>
      <c r="CL6" s="12">
        <f t="shared" ref="CL6:CL40" si="37">(CJ6-CJ$41)/CJ$42</f>
        <v>-0.53001291081750435</v>
      </c>
      <c r="CM6" s="16">
        <f t="shared" ref="CM6:CM40" si="38">Z6*CA$45</f>
        <v>0</v>
      </c>
      <c r="CN6" s="16">
        <f t="shared" ref="CN6:CN40" si="39">BP6-CI6</f>
        <v>-52.706260999999998</v>
      </c>
      <c r="CO6" s="16">
        <f t="shared" si="23"/>
        <v>43</v>
      </c>
      <c r="CP6" s="12">
        <f t="shared" ref="CP6:CP40" si="40">(CN6-CN$41)/CN$42</f>
        <v>-0.25129944977243046</v>
      </c>
      <c r="CQ6" s="12">
        <f t="shared" ref="CQ6:CQ35" si="41">(CK6-CK$41)/CK$42</f>
        <v>-0.21000309128323258</v>
      </c>
      <c r="CR6">
        <v>50</v>
      </c>
      <c r="CS6">
        <f t="shared" ref="CS6:CS24" si="42">BJ6-BM6</f>
        <v>-8</v>
      </c>
      <c r="CT6">
        <v>-4</v>
      </c>
      <c r="CU6" s="12">
        <v>-0.505</v>
      </c>
      <c r="CV6" s="12">
        <v>-0.56100000000000005</v>
      </c>
      <c r="CW6" s="16">
        <v>188988</v>
      </c>
      <c r="CX6" s="16">
        <v>188998.54</v>
      </c>
      <c r="CY6">
        <v>23814</v>
      </c>
      <c r="CZ6" s="12">
        <f t="shared" ref="CZ6:CZ40" si="43">(CO6-CO$41)/CO$42</f>
        <v>-1.2104056172482776</v>
      </c>
      <c r="DA6" s="16">
        <v>89489</v>
      </c>
      <c r="DB6" s="16">
        <v>316950</v>
      </c>
      <c r="DC6" s="16">
        <v>148546</v>
      </c>
      <c r="DD6" s="16">
        <f t="shared" si="24"/>
        <v>238035</v>
      </c>
      <c r="DE6" s="16">
        <f t="shared" ref="DE6:DE40" si="44">Z6*DA$44</f>
        <v>26288.462616822428</v>
      </c>
      <c r="DF6" s="16">
        <f t="shared" ref="DF6:DF40" si="45">Z6*DB$45</f>
        <v>40578.559999999998</v>
      </c>
      <c r="DG6" s="16">
        <f t="shared" si="8"/>
        <v>63200.537383177572</v>
      </c>
      <c r="DH6" s="16">
        <f t="shared" si="9"/>
        <v>276371.44</v>
      </c>
      <c r="DI6" s="14">
        <f t="shared" ref="DI6:DI40" si="46">(DH6-DH$41)/DH$42</f>
        <v>0.56674216513349773</v>
      </c>
      <c r="DJ6" s="16">
        <f t="shared" ref="DJ6:DJ40" si="47">Z6*DC$45</f>
        <v>0</v>
      </c>
      <c r="DK6" s="16">
        <f t="shared" si="25"/>
        <v>238035</v>
      </c>
      <c r="DL6" s="109">
        <f t="shared" ref="DL6:DL35" si="48">(DG6-DG$41)/DG$42</f>
        <v>0.2576129454519504</v>
      </c>
      <c r="DM6" s="17">
        <f t="shared" si="10"/>
        <v>-2.2956676589159383E-2</v>
      </c>
      <c r="DN6" s="16">
        <v>27751.57</v>
      </c>
      <c r="DO6">
        <f t="shared" si="11"/>
        <v>165174</v>
      </c>
      <c r="DP6" s="16">
        <f t="shared" si="12"/>
        <v>161246.97</v>
      </c>
      <c r="DQ6" s="12">
        <v>0.36</v>
      </c>
      <c r="DR6" s="12">
        <f t="shared" ref="DR6:DR14" si="49">(DP6-DP$42)/DP$43</f>
        <v>0.44457076182618283</v>
      </c>
      <c r="DS6" s="12">
        <f t="shared" si="13"/>
        <v>-0.19260000000000002</v>
      </c>
      <c r="DT6" s="12">
        <f t="shared" si="14"/>
        <v>-9.1310880437103503E-2</v>
      </c>
      <c r="DU6" s="12">
        <f t="shared" ref="DU6:DU40" si="50">(DK6-DK$41)/DK$42</f>
        <v>-5.0719186383367532E-2</v>
      </c>
      <c r="DV6" s="12">
        <f t="shared" si="15"/>
        <v>-4.7734491682678112E-2</v>
      </c>
      <c r="DW6" s="16">
        <v>43774</v>
      </c>
      <c r="DX6" s="16">
        <v>238789</v>
      </c>
      <c r="DY6" s="16">
        <f t="shared" si="26"/>
        <v>431109</v>
      </c>
      <c r="DZ6" s="16">
        <f t="shared" si="16"/>
        <v>80270.28729281768</v>
      </c>
      <c r="EA6" s="16">
        <f t="shared" si="27"/>
        <v>350838.71270718233</v>
      </c>
      <c r="EB6" s="109">
        <f t="shared" si="17"/>
        <v>0.85418508248745317</v>
      </c>
      <c r="EC6" s="12">
        <f t="shared" si="18"/>
        <v>0.12926548634742599</v>
      </c>
      <c r="ED6" s="12">
        <f t="shared" si="28"/>
        <v>-0.74653104490231348</v>
      </c>
    </row>
    <row r="7" spans="1:134" x14ac:dyDescent="0.35">
      <c r="A7" s="8" t="s">
        <v>180</v>
      </c>
      <c r="B7" s="8" t="s">
        <v>181</v>
      </c>
      <c r="C7" s="1">
        <f t="shared" si="0"/>
        <v>87</v>
      </c>
      <c r="D7">
        <v>87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 s="44">
        <v>35.5</v>
      </c>
      <c r="M7">
        <v>29.5</v>
      </c>
      <c r="N7" s="12">
        <f t="shared" si="1"/>
        <v>0.40804597701149425</v>
      </c>
      <c r="O7" s="12">
        <v>0.33908045977011492</v>
      </c>
      <c r="P7" s="20">
        <f>O7/O43</f>
        <v>3.1691356463100034E-3</v>
      </c>
      <c r="Q7" s="48">
        <f t="shared" si="29"/>
        <v>2.3428931096110186E-3</v>
      </c>
      <c r="R7" s="16">
        <v>0</v>
      </c>
      <c r="S7" s="16">
        <v>0</v>
      </c>
      <c r="T7" s="16">
        <f t="shared" si="2"/>
        <v>0</v>
      </c>
      <c r="U7" s="16">
        <f t="shared" si="3"/>
        <v>0</v>
      </c>
      <c r="V7" s="20">
        <f>U7/U43</f>
        <v>0</v>
      </c>
      <c r="W7" s="20">
        <f t="shared" si="30"/>
        <v>0</v>
      </c>
      <c r="X7" s="20">
        <f t="shared" si="19"/>
        <v>1.9014813877860019E-3</v>
      </c>
      <c r="Y7" s="20">
        <f t="shared" si="20"/>
        <v>1.4057358657666112E-3</v>
      </c>
      <c r="Z7" s="54">
        <v>70</v>
      </c>
      <c r="AA7" s="12">
        <v>-1.1728805659965378</v>
      </c>
      <c r="AB7" s="12">
        <f t="shared" si="4"/>
        <v>-1.0530259184602673</v>
      </c>
      <c r="AC7" s="12">
        <v>-1.147</v>
      </c>
      <c r="AD7">
        <v>-1.1100000000000001</v>
      </c>
      <c r="AE7" s="54">
        <v>61</v>
      </c>
      <c r="AF7" s="123"/>
      <c r="AG7" s="118">
        <v>-0.69470573007239356</v>
      </c>
      <c r="AH7" s="123"/>
      <c r="AI7" s="123"/>
      <c r="AJ7" s="18"/>
      <c r="AK7" s="18"/>
      <c r="AL7" s="18"/>
      <c r="AM7" s="18"/>
      <c r="AN7" s="12"/>
      <c r="AO7" s="34" t="e">
        <f>SUM(AP7:AQ7)</f>
        <v>#DIV/0!</v>
      </c>
      <c r="AP7" s="30"/>
      <c r="AQ7" s="34" t="e">
        <f>BF7*BI$14</f>
        <v>#DIV/0!</v>
      </c>
      <c r="AR7" s="12"/>
      <c r="AS7" s="12"/>
      <c r="AT7" s="18"/>
      <c r="AU7" s="18"/>
      <c r="AV7" s="18"/>
      <c r="AW7" s="30"/>
      <c r="AX7" s="24"/>
      <c r="AY7" s="12"/>
      <c r="AZ7" s="12"/>
      <c r="BA7" s="12"/>
      <c r="BB7" s="12"/>
      <c r="BC7" s="12"/>
      <c r="BD7" s="12" t="e">
        <f>DI7/BI$13</f>
        <v>#DIV/0!</v>
      </c>
      <c r="BE7" s="12"/>
      <c r="BF7" s="12" t="e">
        <f>Z7*BD7</f>
        <v>#DIV/0!</v>
      </c>
      <c r="BG7" s="12"/>
      <c r="BH7" s="209" t="s">
        <v>404</v>
      </c>
      <c r="BJ7">
        <v>71</v>
      </c>
      <c r="BK7">
        <v>71</v>
      </c>
      <c r="BL7">
        <f t="shared" si="5"/>
        <v>0</v>
      </c>
      <c r="BM7">
        <v>467</v>
      </c>
      <c r="BN7">
        <v>87</v>
      </c>
      <c r="BO7" s="16">
        <v>119</v>
      </c>
      <c r="BP7" s="16">
        <v>81</v>
      </c>
      <c r="BQ7" s="16">
        <f t="shared" si="31"/>
        <v>1077.72</v>
      </c>
      <c r="BR7" s="16">
        <f t="shared" si="32"/>
        <v>806.15972812234497</v>
      </c>
      <c r="BS7" s="268"/>
      <c r="BT7" s="16"/>
      <c r="BU7" s="16"/>
      <c r="BV7" s="16"/>
      <c r="BW7" s="12"/>
      <c r="BX7" s="12"/>
      <c r="BY7" s="16"/>
      <c r="BZ7" s="16"/>
      <c r="CA7" s="16">
        <v>71</v>
      </c>
      <c r="CB7" s="16">
        <v>63</v>
      </c>
      <c r="CC7" s="16">
        <v>53</v>
      </c>
      <c r="CD7" s="16">
        <f t="shared" si="21"/>
        <v>187</v>
      </c>
      <c r="CE7" s="16">
        <f t="shared" si="6"/>
        <v>876.43547421731137</v>
      </c>
      <c r="CF7" s="16">
        <f t="shared" si="22"/>
        <v>-689.43547421731137</v>
      </c>
      <c r="CG7" s="17">
        <f t="shared" si="7"/>
        <v>-2.0787209633140864</v>
      </c>
      <c r="CH7" s="16">
        <f t="shared" si="33"/>
        <v>152</v>
      </c>
      <c r="CI7" s="16">
        <f t="shared" si="34"/>
        <v>526.31257000000005</v>
      </c>
      <c r="CJ7" s="16">
        <f t="shared" si="35"/>
        <v>-687.15972812234497</v>
      </c>
      <c r="CK7" s="16">
        <f t="shared" si="36"/>
        <v>-719.15972812234497</v>
      </c>
      <c r="CL7" s="12">
        <f t="shared" si="37"/>
        <v>-1.6045335485708363</v>
      </c>
      <c r="CM7" s="16">
        <f t="shared" si="38"/>
        <v>0</v>
      </c>
      <c r="CN7" s="16">
        <f t="shared" si="39"/>
        <v>-445.31257000000005</v>
      </c>
      <c r="CO7" s="16">
        <f t="shared" si="23"/>
        <v>152</v>
      </c>
      <c r="CP7" s="12">
        <f t="shared" si="40"/>
        <v>-1.8730222494750188</v>
      </c>
      <c r="CQ7" s="12">
        <f t="shared" si="41"/>
        <v>-1.7422918561115761</v>
      </c>
      <c r="CR7">
        <v>436</v>
      </c>
      <c r="CS7">
        <f t="shared" si="42"/>
        <v>-396</v>
      </c>
      <c r="CT7">
        <v>-365</v>
      </c>
      <c r="CU7" s="12">
        <v>-1.5229999999999999</v>
      </c>
      <c r="CV7" s="12">
        <v>-1.4470000000000001</v>
      </c>
      <c r="CW7" s="16">
        <v>0</v>
      </c>
      <c r="CX7" s="16">
        <v>86356</v>
      </c>
      <c r="CY7">
        <v>255965</v>
      </c>
      <c r="CZ7" s="12">
        <f t="shared" si="43"/>
        <v>-1.0318161003695807</v>
      </c>
      <c r="DA7" s="16">
        <v>112242</v>
      </c>
      <c r="DB7" s="16">
        <v>571027</v>
      </c>
      <c r="DC7" s="16">
        <v>264087</v>
      </c>
      <c r="DD7" s="16">
        <f t="shared" si="24"/>
        <v>376329</v>
      </c>
      <c r="DE7" s="16">
        <f t="shared" si="44"/>
        <v>167290.21665250638</v>
      </c>
      <c r="DF7" s="16">
        <f t="shared" si="45"/>
        <v>258227.20000000001</v>
      </c>
      <c r="DG7" s="16">
        <f t="shared" si="8"/>
        <v>-55048.21665250638</v>
      </c>
      <c r="DH7" s="16">
        <f t="shared" si="9"/>
        <v>312799.8</v>
      </c>
      <c r="DI7" s="14">
        <f t="shared" si="46"/>
        <v>0.64715299605101873</v>
      </c>
      <c r="DJ7" s="16">
        <f t="shared" si="47"/>
        <v>0</v>
      </c>
      <c r="DK7" s="16">
        <f t="shared" si="25"/>
        <v>376329</v>
      </c>
      <c r="DL7" s="17">
        <f t="shared" si="48"/>
        <v>-0.22438311161423674</v>
      </c>
      <c r="DM7" s="17">
        <f t="shared" si="10"/>
        <v>-1.1351283583126404</v>
      </c>
      <c r="DN7" s="16">
        <v>245402.09</v>
      </c>
      <c r="DO7">
        <f t="shared" si="11"/>
        <v>-255965</v>
      </c>
      <c r="DP7" s="16">
        <f t="shared" si="12"/>
        <v>-159046.09</v>
      </c>
      <c r="DQ7" s="12">
        <v>-0.58399999999999996</v>
      </c>
      <c r="DR7" s="12">
        <f t="shared" si="49"/>
        <v>-0.46206479615066837</v>
      </c>
      <c r="DS7" s="12">
        <f t="shared" si="13"/>
        <v>-1.1017999999999999</v>
      </c>
      <c r="DT7" s="12">
        <f t="shared" si="14"/>
        <v>-0.70385893072209416</v>
      </c>
      <c r="DU7" s="12">
        <f t="shared" si="50"/>
        <v>0.24134536686421834</v>
      </c>
      <c r="DV7" s="12">
        <f t="shared" si="15"/>
        <v>-1.2135665943307061</v>
      </c>
      <c r="DW7" s="16">
        <v>198464</v>
      </c>
      <c r="DX7" s="16">
        <v>0</v>
      </c>
      <c r="DY7" s="16">
        <f t="shared" si="26"/>
        <v>462551</v>
      </c>
      <c r="DZ7" s="16">
        <f t="shared" si="16"/>
        <v>408040.62707182323</v>
      </c>
      <c r="EA7" s="16">
        <f t="shared" si="27"/>
        <v>54510.372928176774</v>
      </c>
      <c r="EB7" s="17">
        <f t="shared" si="17"/>
        <v>0.13271610489272928</v>
      </c>
      <c r="EC7" s="12">
        <f t="shared" si="18"/>
        <v>-1.1941461360313601</v>
      </c>
      <c r="ED7" s="12">
        <f t="shared" si="28"/>
        <v>-0.52255151347606099</v>
      </c>
    </row>
    <row r="8" spans="1:134" x14ac:dyDescent="0.35">
      <c r="A8" s="7" t="s">
        <v>180</v>
      </c>
      <c r="B8" s="7" t="s">
        <v>182</v>
      </c>
      <c r="C8" s="1">
        <f t="shared" si="0"/>
        <v>182</v>
      </c>
      <c r="D8">
        <v>0</v>
      </c>
      <c r="E8">
        <v>0</v>
      </c>
      <c r="F8">
        <v>57</v>
      </c>
      <c r="G8">
        <v>79</v>
      </c>
      <c r="H8">
        <v>0</v>
      </c>
      <c r="I8">
        <v>33</v>
      </c>
      <c r="J8">
        <v>13</v>
      </c>
      <c r="K8">
        <v>0</v>
      </c>
      <c r="L8" s="44">
        <v>715.5</v>
      </c>
      <c r="M8">
        <v>555</v>
      </c>
      <c r="N8" s="12">
        <f t="shared" si="1"/>
        <v>3.9313186813186811</v>
      </c>
      <c r="O8" s="12">
        <v>3.0494505494505493</v>
      </c>
      <c r="P8" s="20">
        <f>O8/O43</f>
        <v>2.850097125760449E-2</v>
      </c>
      <c r="Q8" s="48">
        <f t="shared" si="29"/>
        <v>2.2572602032753672E-2</v>
      </c>
      <c r="R8" s="16">
        <v>104888</v>
      </c>
      <c r="S8" s="16">
        <v>39742</v>
      </c>
      <c r="T8" s="16">
        <f t="shared" si="2"/>
        <v>576.30769230769226</v>
      </c>
      <c r="U8" s="16">
        <f t="shared" si="3"/>
        <v>218.36263736263737</v>
      </c>
      <c r="V8" s="20">
        <f>U8/U43</f>
        <v>1.8272241807210788E-3</v>
      </c>
      <c r="W8" s="20">
        <f t="shared" si="30"/>
        <v>5.3135276387824108E-3</v>
      </c>
      <c r="X8" s="20">
        <f t="shared" si="19"/>
        <v>1.7831472426851125E-2</v>
      </c>
      <c r="Y8" s="20">
        <f t="shared" si="20"/>
        <v>1.5668972275165168E-2</v>
      </c>
      <c r="Z8" s="54">
        <v>172</v>
      </c>
      <c r="AA8" s="12">
        <v>-0.13026596881313662</v>
      </c>
      <c r="AB8" s="12">
        <f t="shared" si="4"/>
        <v>0.11333071203396333</v>
      </c>
      <c r="AC8" s="12">
        <v>-1E-3</v>
      </c>
      <c r="AD8">
        <v>9.6000000000000002E-2</v>
      </c>
      <c r="AE8" s="54">
        <v>138</v>
      </c>
      <c r="AF8" s="123"/>
      <c r="AG8" s="118">
        <v>0.21658701419707752</v>
      </c>
      <c r="AH8" s="123"/>
      <c r="AI8" s="123"/>
      <c r="AJ8" s="18"/>
      <c r="AK8" s="18"/>
      <c r="AL8" s="18"/>
      <c r="AM8" s="18"/>
      <c r="AN8" s="12"/>
      <c r="AO8" s="34" t="e">
        <f>SUM(AP8:AQ8)</f>
        <v>#DIV/0!</v>
      </c>
      <c r="AP8" s="34" t="e">
        <f>BE8*#REF!</f>
        <v>#DIV/0!</v>
      </c>
      <c r="AQ8" s="30"/>
      <c r="AR8" s="12"/>
      <c r="AS8" s="12"/>
      <c r="AT8" s="18"/>
      <c r="AU8" s="18"/>
      <c r="AV8" s="18"/>
      <c r="AW8" s="30"/>
      <c r="AX8" s="24"/>
      <c r="AY8" s="12"/>
      <c r="AZ8" s="277" t="s">
        <v>438</v>
      </c>
      <c r="BA8" s="277"/>
      <c r="BB8" s="277"/>
      <c r="BC8" s="12" t="e">
        <f>CL8/BI$12</f>
        <v>#DIV/0!</v>
      </c>
      <c r="BD8" s="12"/>
      <c r="BE8" s="12" t="e">
        <f>Z8*BC8</f>
        <v>#DIV/0!</v>
      </c>
      <c r="BF8" s="12"/>
      <c r="BG8" s="12"/>
      <c r="BH8" s="31">
        <f>BH6/BA41</f>
        <v>39441.121171846222</v>
      </c>
      <c r="BI8" s="144" t="s">
        <v>439</v>
      </c>
      <c r="BJ8">
        <v>1431</v>
      </c>
      <c r="BK8">
        <v>1452</v>
      </c>
      <c r="BL8">
        <f t="shared" si="5"/>
        <v>-21</v>
      </c>
      <c r="BM8">
        <v>977</v>
      </c>
      <c r="BN8">
        <v>1921</v>
      </c>
      <c r="BO8" s="16">
        <v>2624</v>
      </c>
      <c r="BP8" s="16">
        <v>1204</v>
      </c>
      <c r="BQ8" s="16">
        <f t="shared" si="31"/>
        <v>2648.1120000000001</v>
      </c>
      <c r="BR8" s="16">
        <f t="shared" si="32"/>
        <v>1980.8496176720478</v>
      </c>
      <c r="BS8" s="268"/>
      <c r="BT8" s="16"/>
      <c r="BU8" s="16"/>
      <c r="BV8" s="16"/>
      <c r="BW8" s="12"/>
      <c r="BX8" s="12"/>
      <c r="BY8" s="16"/>
      <c r="BZ8" s="16"/>
      <c r="CA8" s="16">
        <v>568</v>
      </c>
      <c r="CB8" s="16">
        <v>737</v>
      </c>
      <c r="CC8" s="16">
        <v>772.4</v>
      </c>
      <c r="CD8" s="16">
        <f t="shared" si="21"/>
        <v>2077.4</v>
      </c>
      <c r="CE8" s="16">
        <f t="shared" si="6"/>
        <v>1982.7556629834257</v>
      </c>
      <c r="CF8" s="16">
        <f t="shared" si="22"/>
        <v>94.644337016574354</v>
      </c>
      <c r="CG8" s="17">
        <f t="shared" si="7"/>
        <v>0.28536269857402807</v>
      </c>
      <c r="CH8" s="16">
        <f t="shared" si="33"/>
        <v>1772</v>
      </c>
      <c r="CI8" s="16">
        <f t="shared" si="34"/>
        <v>1293.2251719999999</v>
      </c>
      <c r="CJ8" s="16">
        <f t="shared" si="35"/>
        <v>643.15038232795223</v>
      </c>
      <c r="CK8" s="16">
        <f t="shared" si="36"/>
        <v>-59.849617672047771</v>
      </c>
      <c r="CL8" s="14">
        <f t="shared" si="37"/>
        <v>0.66631124263199693</v>
      </c>
      <c r="CM8" s="16">
        <f t="shared" si="38"/>
        <v>0</v>
      </c>
      <c r="CN8" s="16">
        <f t="shared" si="39"/>
        <v>-89.22517199999993</v>
      </c>
      <c r="CO8" s="16">
        <f t="shared" si="23"/>
        <v>1772</v>
      </c>
      <c r="CP8" s="12">
        <f t="shared" si="40"/>
        <v>-0.40214661965071563</v>
      </c>
      <c r="CQ8" s="12">
        <f t="shared" si="41"/>
        <v>-0.1449963024676775</v>
      </c>
      <c r="CR8">
        <v>912</v>
      </c>
      <c r="CS8">
        <f t="shared" si="42"/>
        <v>454</v>
      </c>
      <c r="CT8">
        <v>540</v>
      </c>
      <c r="CU8" s="14">
        <v>0.70699999999999996</v>
      </c>
      <c r="CV8" s="12">
        <v>0.77400000000000002</v>
      </c>
      <c r="CW8" s="16">
        <v>104888</v>
      </c>
      <c r="CX8" s="16">
        <v>210359</v>
      </c>
      <c r="CY8">
        <v>575521</v>
      </c>
      <c r="CZ8" s="12">
        <f t="shared" si="43"/>
        <v>1.62245011379087</v>
      </c>
      <c r="DA8" s="16">
        <v>374643</v>
      </c>
      <c r="DB8" s="16">
        <v>404953</v>
      </c>
      <c r="DC8" s="16">
        <v>178297</v>
      </c>
      <c r="DD8" s="16">
        <f t="shared" si="24"/>
        <v>552940</v>
      </c>
      <c r="DE8" s="16">
        <f t="shared" si="44"/>
        <v>411055.9609175871</v>
      </c>
      <c r="DF8" s="16">
        <f t="shared" si="45"/>
        <v>634501.12</v>
      </c>
      <c r="DG8" s="16">
        <f t="shared" si="8"/>
        <v>-36412.960917587101</v>
      </c>
      <c r="DH8" s="16">
        <f t="shared" si="9"/>
        <v>-229548.12</v>
      </c>
      <c r="DI8" s="12">
        <f t="shared" si="46"/>
        <v>-0.55000896494830187</v>
      </c>
      <c r="DJ8" s="16">
        <f t="shared" si="47"/>
        <v>0</v>
      </c>
      <c r="DK8" s="16">
        <f t="shared" si="25"/>
        <v>552940</v>
      </c>
      <c r="DL8" s="17">
        <f t="shared" si="48"/>
        <v>-0.14842358155491275</v>
      </c>
      <c r="DM8" s="17">
        <f t="shared" si="10"/>
        <v>-0.14636721410257159</v>
      </c>
      <c r="DN8" s="16">
        <v>516229.79</v>
      </c>
      <c r="DO8">
        <f t="shared" si="11"/>
        <v>-470633</v>
      </c>
      <c r="DP8" s="16">
        <f t="shared" si="12"/>
        <v>-305870.78999999998</v>
      </c>
      <c r="DQ8" s="12">
        <v>-1.0649999999999999</v>
      </c>
      <c r="DR8" s="12">
        <f t="shared" si="49"/>
        <v>-0.87767321991509151</v>
      </c>
      <c r="DS8" s="12">
        <f t="shared" si="13"/>
        <v>3.839999999999999E-2</v>
      </c>
      <c r="DT8" s="12">
        <f t="shared" si="14"/>
        <v>0.17978315959987737</v>
      </c>
      <c r="DU8" s="12">
        <f t="shared" si="50"/>
        <v>0.61433199544976358</v>
      </c>
      <c r="DV8" s="12">
        <f t="shared" si="15"/>
        <v>-0.30065740441239447</v>
      </c>
      <c r="DW8" s="16">
        <v>417378</v>
      </c>
      <c r="DX8" s="16">
        <v>355829</v>
      </c>
      <c r="DY8" s="16">
        <f t="shared" si="26"/>
        <v>951504</v>
      </c>
      <c r="DZ8" s="16">
        <f t="shared" si="16"/>
        <v>923108.3038674033</v>
      </c>
      <c r="EA8" s="16">
        <f t="shared" si="27"/>
        <v>28395.696132596699</v>
      </c>
      <c r="EB8" s="17">
        <f t="shared" si="17"/>
        <v>6.9134845057861896E-2</v>
      </c>
      <c r="EC8" s="12">
        <f t="shared" si="18"/>
        <v>0.19887155716756158</v>
      </c>
      <c r="ED8" s="12">
        <f t="shared" si="28"/>
        <v>1.2192028664544274</v>
      </c>
    </row>
    <row r="9" spans="1:134" x14ac:dyDescent="0.35">
      <c r="A9" s="8" t="s">
        <v>180</v>
      </c>
      <c r="B9" s="8" t="s">
        <v>183</v>
      </c>
      <c r="C9" s="1">
        <f t="shared" si="0"/>
        <v>149</v>
      </c>
      <c r="D9">
        <v>149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 s="44">
        <v>278</v>
      </c>
      <c r="M9">
        <v>160</v>
      </c>
      <c r="N9" s="12">
        <f t="shared" si="1"/>
        <v>1.8657718120805369</v>
      </c>
      <c r="O9" s="12">
        <v>1.0738255033557047</v>
      </c>
      <c r="P9" s="20">
        <f>O9/O43</f>
        <v>1.0036257125841257E-2</v>
      </c>
      <c r="Q9" s="48">
        <f t="shared" si="29"/>
        <v>1.0712772993487493E-2</v>
      </c>
      <c r="R9" s="16">
        <v>133101</v>
      </c>
      <c r="S9" s="16">
        <v>62295</v>
      </c>
      <c r="T9" s="16">
        <f t="shared" si="2"/>
        <v>893.29530201342277</v>
      </c>
      <c r="U9" s="16">
        <f t="shared" si="3"/>
        <v>418.08724832214767</v>
      </c>
      <c r="V9" s="20">
        <f>U9/U43</f>
        <v>3.498488289993878E-3</v>
      </c>
      <c r="W9" s="20">
        <f t="shared" si="30"/>
        <v>8.2361372929733636E-3</v>
      </c>
      <c r="X9" s="20">
        <f t="shared" si="19"/>
        <v>7.4211495915023056E-3</v>
      </c>
      <c r="Y9" s="20">
        <f t="shared" si="20"/>
        <v>9.7221187132818417E-3</v>
      </c>
      <c r="Z9" s="54">
        <v>152</v>
      </c>
      <c r="AA9" s="12">
        <v>-0.97741659764009337</v>
      </c>
      <c r="AB9" s="12">
        <f t="shared" si="4"/>
        <v>-1.2535773235135954</v>
      </c>
      <c r="AC9" s="12">
        <v>-0.97299999999999998</v>
      </c>
      <c r="AD9">
        <v>-1.18</v>
      </c>
      <c r="AE9" s="54">
        <v>143</v>
      </c>
      <c r="AF9" s="123"/>
      <c r="AG9" s="118">
        <v>-0.8424392817913201</v>
      </c>
      <c r="AH9" s="123"/>
      <c r="AI9" s="123"/>
      <c r="AJ9" s="18"/>
      <c r="AK9" s="18"/>
      <c r="AL9" s="18"/>
      <c r="AM9" s="18"/>
      <c r="AN9" s="12"/>
      <c r="AO9" s="18"/>
      <c r="AP9" s="30"/>
      <c r="AQ9" s="30"/>
      <c r="AR9" s="12"/>
      <c r="AS9" s="12"/>
      <c r="AT9" s="18"/>
      <c r="AU9" s="18"/>
      <c r="AV9" s="18"/>
      <c r="AW9" s="30"/>
      <c r="AX9" s="24"/>
      <c r="AY9" s="12"/>
      <c r="AZ9" s="277" t="s">
        <v>254</v>
      </c>
      <c r="BA9" s="277"/>
      <c r="BB9" s="277"/>
      <c r="BC9" s="277"/>
      <c r="BD9" s="277"/>
      <c r="BE9" s="277"/>
      <c r="BF9" s="277"/>
      <c r="BG9" s="277"/>
      <c r="BH9" s="18"/>
      <c r="BI9" s="14">
        <f>SUM(DV3,DV11,DV15,DV17,DV19,DV20,DV21,DV24,DV32,DV34)</f>
        <v>9.2510913883085699</v>
      </c>
      <c r="BJ9">
        <v>556</v>
      </c>
      <c r="BK9">
        <v>361</v>
      </c>
      <c r="BL9">
        <f t="shared" si="5"/>
        <v>195</v>
      </c>
      <c r="BM9">
        <v>800</v>
      </c>
      <c r="BN9">
        <v>1151</v>
      </c>
      <c r="BO9" s="16">
        <v>1334</v>
      </c>
      <c r="BP9" s="16">
        <v>1000</v>
      </c>
      <c r="BQ9" s="16">
        <f t="shared" si="31"/>
        <v>2340.192</v>
      </c>
      <c r="BR9" s="16">
        <f t="shared" si="32"/>
        <v>1750.518266779949</v>
      </c>
      <c r="BS9" s="268"/>
      <c r="BT9" s="16"/>
      <c r="BU9" s="16"/>
      <c r="BV9" s="16"/>
      <c r="BW9" s="12"/>
      <c r="BX9" s="12"/>
      <c r="BY9" s="16"/>
      <c r="BZ9" s="16"/>
      <c r="CA9" s="16">
        <v>645</v>
      </c>
      <c r="CB9" s="16">
        <v>411</v>
      </c>
      <c r="CC9" s="16">
        <v>396.83</v>
      </c>
      <c r="CD9" s="16">
        <f t="shared" si="21"/>
        <v>1452.83</v>
      </c>
      <c r="CE9" s="16">
        <f t="shared" si="6"/>
        <v>2054.5946362799268</v>
      </c>
      <c r="CF9" s="16">
        <f t="shared" si="22"/>
        <v>-601.76463627992689</v>
      </c>
      <c r="CG9" s="17">
        <f t="shared" si="7"/>
        <v>-1.814384102930384</v>
      </c>
      <c r="CH9" s="16">
        <f t="shared" si="33"/>
        <v>1645</v>
      </c>
      <c r="CI9" s="16">
        <f t="shared" si="34"/>
        <v>1142.850152</v>
      </c>
      <c r="CJ9" s="16">
        <f t="shared" si="35"/>
        <v>-416.51826677994904</v>
      </c>
      <c r="CK9" s="16">
        <f t="shared" si="36"/>
        <v>-599.51826677994904</v>
      </c>
      <c r="CL9" s="12">
        <f t="shared" si="37"/>
        <v>-1.1425474688252109</v>
      </c>
      <c r="CM9" s="16">
        <f t="shared" si="38"/>
        <v>0</v>
      </c>
      <c r="CN9" s="16">
        <f t="shared" si="39"/>
        <v>-142.85015199999998</v>
      </c>
      <c r="CO9" s="16">
        <f t="shared" si="23"/>
        <v>1645</v>
      </c>
      <c r="CP9" s="12">
        <f t="shared" si="40"/>
        <v>-0.62365312809450979</v>
      </c>
      <c r="CQ9" s="12">
        <f t="shared" si="41"/>
        <v>-1.4524392189312549</v>
      </c>
      <c r="CR9">
        <v>747</v>
      </c>
      <c r="CS9">
        <f t="shared" si="42"/>
        <v>-244</v>
      </c>
      <c r="CT9">
        <v>-386</v>
      </c>
      <c r="CU9" s="12">
        <v>-1.1240000000000001</v>
      </c>
      <c r="CV9" s="12">
        <v>-1.4990000000000001</v>
      </c>
      <c r="CW9" s="16">
        <v>133101</v>
      </c>
      <c r="CX9" s="16">
        <v>113376</v>
      </c>
      <c r="CY9">
        <v>462045</v>
      </c>
      <c r="CZ9" s="12">
        <f t="shared" si="43"/>
        <v>1.4143687500881681</v>
      </c>
      <c r="DA9" s="16">
        <v>310487</v>
      </c>
      <c r="DB9" s="16">
        <v>396326</v>
      </c>
      <c r="DC9" s="16">
        <v>113652</v>
      </c>
      <c r="DD9" s="16">
        <f t="shared" si="24"/>
        <v>424139</v>
      </c>
      <c r="DE9" s="16">
        <f t="shared" si="44"/>
        <v>363258.7561597281</v>
      </c>
      <c r="DF9" s="16">
        <f t="shared" si="45"/>
        <v>560721.92000000004</v>
      </c>
      <c r="DG9" s="16">
        <f t="shared" si="8"/>
        <v>-52771.756159728102</v>
      </c>
      <c r="DH9" s="16">
        <f t="shared" si="9"/>
        <v>-164395.92000000004</v>
      </c>
      <c r="DI9" s="12">
        <f t="shared" si="46"/>
        <v>-0.40619402136850552</v>
      </c>
      <c r="DJ9" s="16">
        <f t="shared" si="47"/>
        <v>0</v>
      </c>
      <c r="DK9" s="16">
        <f t="shared" si="25"/>
        <v>424139</v>
      </c>
      <c r="DL9" s="17">
        <f t="shared" si="48"/>
        <v>-0.21510398651449181</v>
      </c>
      <c r="DM9" s="17">
        <f t="shared" si="10"/>
        <v>-0.95750512596454973</v>
      </c>
      <c r="DN9" s="16">
        <v>421991.78</v>
      </c>
      <c r="DO9">
        <f t="shared" si="11"/>
        <v>-328944</v>
      </c>
      <c r="DP9" s="16">
        <f t="shared" si="12"/>
        <v>-308615.78000000003</v>
      </c>
      <c r="DQ9" s="12">
        <v>-0.747</v>
      </c>
      <c r="DR9" s="12">
        <f t="shared" si="49"/>
        <v>-0.88544330878398836</v>
      </c>
      <c r="DS9" s="12">
        <f t="shared" si="13"/>
        <v>-1.1981999999999999</v>
      </c>
      <c r="DT9" s="12">
        <f t="shared" si="14"/>
        <v>-0.84800608984252868</v>
      </c>
      <c r="DU9" s="12">
        <f t="shared" si="50"/>
        <v>0.34231580875444556</v>
      </c>
      <c r="DV9" s="12">
        <f t="shared" si="15"/>
        <v>-0.4602334714625026</v>
      </c>
      <c r="DW9" s="16">
        <v>91930</v>
      </c>
      <c r="DX9" s="16">
        <v>76814</v>
      </c>
      <c r="DY9" s="16">
        <f t="shared" si="26"/>
        <v>282396</v>
      </c>
      <c r="DZ9" s="16">
        <f t="shared" si="16"/>
        <v>956554.25690607738</v>
      </c>
      <c r="EA9" s="16">
        <f t="shared" si="27"/>
        <v>-674158.25690607738</v>
      </c>
      <c r="EB9" s="17">
        <f t="shared" si="17"/>
        <v>-1.641369396898732</v>
      </c>
      <c r="EC9" s="12">
        <f t="shared" si="18"/>
        <v>-1.7451782205177231</v>
      </c>
      <c r="ED9" s="12">
        <f t="shared" si="28"/>
        <v>0.98554757355467904</v>
      </c>
    </row>
    <row r="10" spans="1:134" x14ac:dyDescent="0.35">
      <c r="A10" s="7" t="s">
        <v>180</v>
      </c>
      <c r="B10" s="7" t="s">
        <v>184</v>
      </c>
      <c r="C10" s="1">
        <f t="shared" si="0"/>
        <v>93</v>
      </c>
      <c r="D10">
        <v>0</v>
      </c>
      <c r="E10">
        <v>0</v>
      </c>
      <c r="F10">
        <v>0</v>
      </c>
      <c r="G10">
        <v>83</v>
      </c>
      <c r="H10">
        <v>0</v>
      </c>
      <c r="I10">
        <v>10</v>
      </c>
      <c r="J10">
        <v>0</v>
      </c>
      <c r="K10">
        <v>0</v>
      </c>
      <c r="L10" s="44">
        <v>109</v>
      </c>
      <c r="M10">
        <v>87.5</v>
      </c>
      <c r="N10" s="12">
        <f t="shared" si="1"/>
        <v>1.1720430107526882</v>
      </c>
      <c r="O10" s="12">
        <v>0.94086021505376349</v>
      </c>
      <c r="P10" s="20">
        <f>O10/O43</f>
        <v>8.7935283789082937E-3</v>
      </c>
      <c r="Q10" s="48">
        <f t="shared" si="29"/>
        <v>6.72956394318985E-3</v>
      </c>
      <c r="R10" s="16">
        <v>54022</v>
      </c>
      <c r="S10" s="16">
        <v>28590</v>
      </c>
      <c r="T10" s="16">
        <f t="shared" si="2"/>
        <v>580.88172043010752</v>
      </c>
      <c r="U10" s="16">
        <f t="shared" si="3"/>
        <v>307.41935483870969</v>
      </c>
      <c r="V10" s="20">
        <f>U10/U43</f>
        <v>2.5724367756655283E-3</v>
      </c>
      <c r="W10" s="20">
        <f t="shared" si="30"/>
        <v>5.3556999456480384E-3</v>
      </c>
      <c r="X10" s="20">
        <f t="shared" si="19"/>
        <v>6.3050917376111879E-3</v>
      </c>
      <c r="Y10" s="20">
        <f t="shared" si="20"/>
        <v>6.1800183441731256E-3</v>
      </c>
      <c r="Z10" s="54">
        <v>92</v>
      </c>
      <c r="AA10" s="12">
        <v>-1.2682217521005439</v>
      </c>
      <c r="AB10" s="12">
        <f t="shared" si="4"/>
        <v>-0.93674859252059317</v>
      </c>
      <c r="AC10" s="12">
        <v>-0.93500000000000005</v>
      </c>
      <c r="AD10">
        <v>-0.9</v>
      </c>
      <c r="AE10" s="54">
        <v>76</v>
      </c>
      <c r="AF10" s="123"/>
      <c r="AG10" s="118">
        <v>-1.1032259701102323</v>
      </c>
      <c r="AH10" s="123"/>
      <c r="AI10" s="123"/>
      <c r="AJ10" s="18"/>
      <c r="AK10" s="18"/>
      <c r="AL10" s="18"/>
      <c r="AM10" s="18"/>
      <c r="AN10" s="12"/>
      <c r="AO10" s="18"/>
      <c r="AP10" s="30"/>
      <c r="AQ10" s="30"/>
      <c r="AR10" s="12"/>
      <c r="AS10" s="12"/>
      <c r="AT10" s="18"/>
      <c r="AU10" s="18"/>
      <c r="AV10" s="18"/>
      <c r="AW10" s="30"/>
      <c r="AY10" s="12"/>
      <c r="AZ10" s="12"/>
      <c r="BA10" s="12"/>
      <c r="BB10" s="12"/>
      <c r="BC10" s="12"/>
      <c r="BD10" s="12"/>
      <c r="BE10" s="12"/>
      <c r="BF10" s="12"/>
      <c r="BG10" s="12"/>
      <c r="BJ10">
        <v>218</v>
      </c>
      <c r="BK10">
        <v>218</v>
      </c>
      <c r="BL10">
        <f t="shared" si="5"/>
        <v>0</v>
      </c>
      <c r="BM10">
        <v>499</v>
      </c>
      <c r="BN10">
        <v>315</v>
      </c>
      <c r="BO10" s="16">
        <v>414</v>
      </c>
      <c r="BP10" s="16">
        <v>231</v>
      </c>
      <c r="BQ10" s="16">
        <f t="shared" si="31"/>
        <v>1416.432</v>
      </c>
      <c r="BR10" s="16">
        <f t="shared" si="32"/>
        <v>1059.5242141036533</v>
      </c>
      <c r="BS10" s="268"/>
      <c r="BT10" s="16"/>
      <c r="BU10" s="16"/>
      <c r="BV10" s="16"/>
      <c r="BW10" s="12"/>
      <c r="BX10" s="12"/>
      <c r="BY10" s="16"/>
      <c r="BZ10" s="16"/>
      <c r="CA10" s="16">
        <v>133</v>
      </c>
      <c r="CB10" s="16">
        <v>145</v>
      </c>
      <c r="CC10" s="16">
        <v>121.9</v>
      </c>
      <c r="CD10" s="16">
        <f t="shared" si="21"/>
        <v>399.9</v>
      </c>
      <c r="CE10" s="16">
        <f t="shared" si="6"/>
        <v>1091.9523941068142</v>
      </c>
      <c r="CF10" s="16">
        <f t="shared" si="22"/>
        <v>-692.05239410681418</v>
      </c>
      <c r="CG10" s="17">
        <f t="shared" si="7"/>
        <v>-2.0866112539026274</v>
      </c>
      <c r="CH10" s="16">
        <f t="shared" si="33"/>
        <v>364</v>
      </c>
      <c r="CI10" s="16">
        <f t="shared" si="34"/>
        <v>691.72509200000002</v>
      </c>
      <c r="CJ10" s="16">
        <f t="shared" si="35"/>
        <v>-645.52421410365332</v>
      </c>
      <c r="CK10" s="16">
        <f t="shared" si="36"/>
        <v>-744.52421410365332</v>
      </c>
      <c r="CL10" s="12">
        <f t="shared" si="37"/>
        <v>-1.5334615561115781</v>
      </c>
      <c r="CM10" s="16">
        <f t="shared" si="38"/>
        <v>0</v>
      </c>
      <c r="CN10" s="16">
        <f t="shared" si="39"/>
        <v>-460.72509200000002</v>
      </c>
      <c r="CO10" s="16">
        <f t="shared" si="23"/>
        <v>364</v>
      </c>
      <c r="CP10" s="12">
        <f t="shared" si="40"/>
        <v>-1.9366861228141445</v>
      </c>
      <c r="CQ10" s="12">
        <f t="shared" si="41"/>
        <v>-1.8037418172698176</v>
      </c>
      <c r="CR10">
        <v>466</v>
      </c>
      <c r="CS10">
        <f t="shared" si="42"/>
        <v>-281</v>
      </c>
      <c r="CT10">
        <v>-248</v>
      </c>
      <c r="CU10" s="12">
        <v>-1.2210000000000001</v>
      </c>
      <c r="CV10" s="12">
        <v>-1.1599999999999999</v>
      </c>
      <c r="CW10" s="16">
        <v>54022</v>
      </c>
      <c r="CX10" s="16">
        <v>54021.57</v>
      </c>
      <c r="CY10">
        <v>275407</v>
      </c>
      <c r="CZ10" s="12">
        <f t="shared" si="43"/>
        <v>-0.68446768222018828</v>
      </c>
      <c r="DA10" s="16">
        <v>129561</v>
      </c>
      <c r="DB10" s="16">
        <v>158151</v>
      </c>
      <c r="DC10" s="16">
        <v>177271</v>
      </c>
      <c r="DD10" s="16">
        <f t="shared" si="24"/>
        <v>306832</v>
      </c>
      <c r="DE10" s="16">
        <f t="shared" si="44"/>
        <v>219867.14188615122</v>
      </c>
      <c r="DF10" s="16">
        <f t="shared" si="45"/>
        <v>339384.32000000001</v>
      </c>
      <c r="DG10" s="16">
        <f t="shared" si="8"/>
        <v>-90306.141886151221</v>
      </c>
      <c r="DH10" s="16">
        <f t="shared" si="9"/>
        <v>-181233.32</v>
      </c>
      <c r="DI10" s="12">
        <f t="shared" si="46"/>
        <v>-0.4433603753984609</v>
      </c>
      <c r="DJ10" s="16">
        <f t="shared" si="47"/>
        <v>0</v>
      </c>
      <c r="DK10" s="16">
        <f t="shared" si="25"/>
        <v>306832</v>
      </c>
      <c r="DL10" s="17">
        <f t="shared" si="48"/>
        <v>-0.36809862964686568</v>
      </c>
      <c r="DM10" s="17">
        <f t="shared" si="10"/>
        <v>-1.2294845422206369</v>
      </c>
      <c r="DN10" s="16">
        <v>262458.08</v>
      </c>
      <c r="DO10">
        <f t="shared" si="11"/>
        <v>-221385</v>
      </c>
      <c r="DP10" s="16">
        <f t="shared" si="12"/>
        <v>-208436.51</v>
      </c>
      <c r="DQ10" s="12">
        <v>-0.50600000000000001</v>
      </c>
      <c r="DR10" s="12">
        <f t="shared" si="49"/>
        <v>-0.60187148130148316</v>
      </c>
      <c r="DS10" s="12">
        <f t="shared" si="13"/>
        <v>-0.89839999999999998</v>
      </c>
      <c r="DT10" s="12">
        <f t="shared" si="14"/>
        <v>-1.0974210838263312</v>
      </c>
      <c r="DU10" s="12">
        <f t="shared" si="50"/>
        <v>9.4573921558944979E-2</v>
      </c>
      <c r="DV10" s="12">
        <f t="shared" si="15"/>
        <v>-1.309251125547233</v>
      </c>
      <c r="DW10" s="16">
        <v>104321</v>
      </c>
      <c r="DX10" s="16">
        <v>306416</v>
      </c>
      <c r="DY10" s="16">
        <f t="shared" si="26"/>
        <v>588008</v>
      </c>
      <c r="DZ10" s="16">
        <f t="shared" si="16"/>
        <v>508378.48618784529</v>
      </c>
      <c r="EA10" s="16">
        <f t="shared" si="27"/>
        <v>79629.513812154706</v>
      </c>
      <c r="EB10" s="109">
        <f t="shared" si="17"/>
        <v>0.19387353892396925</v>
      </c>
      <c r="EC10" s="12">
        <f t="shared" si="18"/>
        <v>-1.1744173367719886</v>
      </c>
      <c r="ED10" s="12">
        <f t="shared" si="28"/>
        <v>-0.37285104070853498</v>
      </c>
    </row>
    <row r="11" spans="1:134" x14ac:dyDescent="0.35">
      <c r="A11" s="8" t="s">
        <v>180</v>
      </c>
      <c r="B11" s="8" t="s">
        <v>34</v>
      </c>
      <c r="C11" s="1">
        <f t="shared" si="0"/>
        <v>172</v>
      </c>
      <c r="D11">
        <v>0</v>
      </c>
      <c r="E11">
        <v>0</v>
      </c>
      <c r="F11">
        <v>0</v>
      </c>
      <c r="G11">
        <v>0</v>
      </c>
      <c r="H11">
        <v>73</v>
      </c>
      <c r="I11">
        <v>80</v>
      </c>
      <c r="J11">
        <v>19</v>
      </c>
      <c r="K11">
        <v>0</v>
      </c>
      <c r="L11" s="44">
        <v>404</v>
      </c>
      <c r="M11">
        <v>391</v>
      </c>
      <c r="N11" s="12">
        <f t="shared" si="1"/>
        <v>2.3488372093023258</v>
      </c>
      <c r="O11" s="12">
        <v>2.2732558139534884</v>
      </c>
      <c r="P11" s="20">
        <f>O11/O43</f>
        <v>2.1246449996162275E-2</v>
      </c>
      <c r="Q11" s="48">
        <f t="shared" si="29"/>
        <v>1.3486407962104175E-2</v>
      </c>
      <c r="R11" s="16">
        <v>2958741</v>
      </c>
      <c r="S11" s="16">
        <v>2346863</v>
      </c>
      <c r="T11" s="16">
        <f t="shared" si="2"/>
        <v>17201.982558139534</v>
      </c>
      <c r="U11" s="16">
        <f t="shared" si="3"/>
        <v>13644.552325581395</v>
      </c>
      <c r="V11" s="20">
        <f>U11/U43</f>
        <v>0.11417546630476012</v>
      </c>
      <c r="W11" s="20">
        <f t="shared" si="30"/>
        <v>0.1586014050906108</v>
      </c>
      <c r="X11" s="20">
        <f t="shared" si="19"/>
        <v>5.8418056519601413E-2</v>
      </c>
      <c r="Y11" s="20">
        <f t="shared" si="20"/>
        <v>7.1532406813506824E-2</v>
      </c>
      <c r="Z11" s="54">
        <v>167</v>
      </c>
      <c r="AA11" s="14">
        <v>1.1724786406233441</v>
      </c>
      <c r="AB11" s="14">
        <f t="shared" si="4"/>
        <v>1.5019333223089477</v>
      </c>
      <c r="AC11" s="12">
        <v>1.6919999999999999</v>
      </c>
      <c r="AD11" s="37">
        <v>2.0009999999999999</v>
      </c>
      <c r="AE11" s="54">
        <v>144</v>
      </c>
      <c r="AF11" s="125">
        <v>1566999.160682356</v>
      </c>
      <c r="AG11" s="119">
        <v>1.830490538806679</v>
      </c>
      <c r="AH11" s="124">
        <v>1870506.07</v>
      </c>
      <c r="AI11" s="115" t="e">
        <f>AR11*#REF!</f>
        <v>#REF!</v>
      </c>
      <c r="AJ11" s="34" t="e">
        <f>AM11*#REF!</f>
        <v>#DIV/0!</v>
      </c>
      <c r="AK11" s="34" t="e">
        <f>C11*AN11</f>
        <v>#REF!</v>
      </c>
      <c r="AL11" s="30" t="e">
        <f>AJ11-AF11</f>
        <v>#DIV/0!</v>
      </c>
      <c r="AM11" s="34" t="e">
        <f>C11*AS11</f>
        <v>#DIV/0!</v>
      </c>
      <c r="AN11" s="12" t="e">
        <f>AD11/#REF!</f>
        <v>#REF!</v>
      </c>
      <c r="AO11" s="34" t="e">
        <f>SUM(AP11:AQ11)</f>
        <v>#DIV/0!</v>
      </c>
      <c r="AP11" s="30"/>
      <c r="AQ11" s="34" t="e">
        <f>BF11*BI$14</f>
        <v>#DIV/0!</v>
      </c>
      <c r="AR11" s="12">
        <f>Z11*AZ11</f>
        <v>46.723404670126804</v>
      </c>
      <c r="AS11" s="12" t="e">
        <f>AB11/BI$2</f>
        <v>#DIV/0!</v>
      </c>
      <c r="AT11" s="18">
        <v>1984998.47</v>
      </c>
      <c r="AU11" s="35">
        <f>AVERAGE(AF11,AH11)</f>
        <v>1718752.6153411781</v>
      </c>
      <c r="AV11" s="35">
        <f>AVERAGE(AF11,AW11,AT11)</f>
        <v>1755832.4635607852</v>
      </c>
      <c r="AW11" s="34">
        <v>1715499.76</v>
      </c>
      <c r="AX11" s="293">
        <f>AV10-(BG10*AV$45)</f>
        <v>0</v>
      </c>
      <c r="AY11" s="12">
        <f>Z11*BB11</f>
        <v>28.3325258147886</v>
      </c>
      <c r="AZ11" s="12">
        <f>AG11/BI$6</f>
        <v>0.27978086628818444</v>
      </c>
      <c r="BA11" s="12">
        <f>Z11*BG11</f>
        <v>73.862822392549418</v>
      </c>
      <c r="BB11" s="12">
        <f>DV11/BI$9</f>
        <v>0.16965584320232693</v>
      </c>
      <c r="BC11" s="12"/>
      <c r="BD11" s="12" t="e">
        <f>DI11/BI$13</f>
        <v>#DIV/0!</v>
      </c>
      <c r="BE11" s="12"/>
      <c r="BF11" s="12" t="e">
        <f>Z11*BD11</f>
        <v>#DIV/0!</v>
      </c>
      <c r="BG11" s="12">
        <f>ED11/BI$6</f>
        <v>0.44229234965598452</v>
      </c>
      <c r="BJ11">
        <v>808</v>
      </c>
      <c r="BK11">
        <v>806</v>
      </c>
      <c r="BL11">
        <f t="shared" si="5"/>
        <v>2</v>
      </c>
      <c r="BM11">
        <v>923</v>
      </c>
      <c r="BN11">
        <v>1366</v>
      </c>
      <c r="BO11" s="16">
        <v>1759</v>
      </c>
      <c r="BP11" s="16">
        <v>1123</v>
      </c>
      <c r="BQ11" s="16">
        <f t="shared" si="31"/>
        <v>2571.1320000000001</v>
      </c>
      <c r="BR11" s="16">
        <f t="shared" si="32"/>
        <v>1923.266779949023</v>
      </c>
      <c r="BS11" s="267">
        <v>834278</v>
      </c>
      <c r="BT11" s="285">
        <f>BW11*BZ$4</f>
        <v>1487133.9718563729</v>
      </c>
      <c r="BU11" s="16">
        <f>AVERAGE(AX11,BS11,BT11)</f>
        <v>773803.99061879097</v>
      </c>
      <c r="BV11" s="296">
        <f>BU11-(BX11*BU$42)</f>
        <v>914617.70140796422</v>
      </c>
      <c r="BW11" s="12">
        <f>AE11*BX11</f>
        <v>18.110518928565075</v>
      </c>
      <c r="BX11" s="12">
        <f>EC11/BZ3</f>
        <v>0.12576749255947969</v>
      </c>
      <c r="BY11" s="16"/>
      <c r="BZ11" s="16"/>
      <c r="CA11" s="16">
        <v>697</v>
      </c>
      <c r="CB11" s="16">
        <v>625</v>
      </c>
      <c r="CC11" s="16">
        <v>587.6</v>
      </c>
      <c r="CD11" s="16">
        <f t="shared" si="21"/>
        <v>1909.6</v>
      </c>
      <c r="CE11" s="16">
        <f t="shared" si="6"/>
        <v>2068.9624309392266</v>
      </c>
      <c r="CF11" s="16">
        <f t="shared" si="22"/>
        <v>-159.36243093922667</v>
      </c>
      <c r="CG11" s="17">
        <f t="shared" si="7"/>
        <v>-0.48049460514653863</v>
      </c>
      <c r="CH11" s="16">
        <f t="shared" si="33"/>
        <v>1820</v>
      </c>
      <c r="CI11" s="16">
        <f t="shared" si="34"/>
        <v>1255.6314170000001</v>
      </c>
      <c r="CJ11" s="16">
        <f t="shared" si="35"/>
        <v>-164.26677994902298</v>
      </c>
      <c r="CK11" s="16">
        <f t="shared" si="36"/>
        <v>-557.26677994902298</v>
      </c>
      <c r="CL11" s="12">
        <f t="shared" si="37"/>
        <v>-0.71195315067086484</v>
      </c>
      <c r="CM11" s="16">
        <f t="shared" si="38"/>
        <v>0</v>
      </c>
      <c r="CN11" s="16">
        <f t="shared" si="39"/>
        <v>-132.63141700000006</v>
      </c>
      <c r="CO11" s="16">
        <f t="shared" si="23"/>
        <v>1820</v>
      </c>
      <c r="CP11" s="12">
        <f t="shared" si="40"/>
        <v>-0.58144301798234987</v>
      </c>
      <c r="CQ11" s="12">
        <f t="shared" si="41"/>
        <v>-1.3500775063165511</v>
      </c>
      <c r="CR11">
        <v>862</v>
      </c>
      <c r="CS11">
        <f t="shared" si="42"/>
        <v>-115</v>
      </c>
      <c r="CT11">
        <v>-56</v>
      </c>
      <c r="CU11" s="12">
        <v>-0.78500000000000003</v>
      </c>
      <c r="CV11" s="12">
        <v>-0.68899999999999995</v>
      </c>
      <c r="CW11" s="16">
        <v>2958741</v>
      </c>
      <c r="CX11" s="16">
        <v>2183454.36</v>
      </c>
      <c r="CY11">
        <v>540903</v>
      </c>
      <c r="CZ11" s="12">
        <f t="shared" si="43"/>
        <v>1.7010950386548835</v>
      </c>
      <c r="DA11" s="16">
        <v>1575696</v>
      </c>
      <c r="DB11" s="16">
        <v>3070773</v>
      </c>
      <c r="DC11" s="16">
        <v>903635</v>
      </c>
      <c r="DD11" s="16">
        <f t="shared" si="24"/>
        <v>2479331</v>
      </c>
      <c r="DE11" s="16">
        <f t="shared" si="44"/>
        <v>399106.65972812235</v>
      </c>
      <c r="DF11" s="16">
        <f t="shared" si="45"/>
        <v>616056.31999999995</v>
      </c>
      <c r="DG11" s="16">
        <f t="shared" si="8"/>
        <v>1176589.3402718776</v>
      </c>
      <c r="DH11" s="16">
        <f t="shared" si="9"/>
        <v>2454716.6800000002</v>
      </c>
      <c r="DI11" s="14">
        <f t="shared" si="46"/>
        <v>5.375153819504618</v>
      </c>
      <c r="DJ11" s="16">
        <f t="shared" si="47"/>
        <v>0</v>
      </c>
      <c r="DK11" s="16">
        <f t="shared" si="25"/>
        <v>2479331</v>
      </c>
      <c r="DL11" s="109">
        <f t="shared" si="48"/>
        <v>4.7959188020367138</v>
      </c>
      <c r="DM11" s="109">
        <f t="shared" si="10"/>
        <v>1.1083210170247551</v>
      </c>
      <c r="DN11" s="16">
        <v>487658.05</v>
      </c>
      <c r="DO11">
        <f t="shared" si="11"/>
        <v>2417838</v>
      </c>
      <c r="DP11" s="16">
        <f t="shared" si="12"/>
        <v>1695796.3099999998</v>
      </c>
      <c r="DQ11" s="12">
        <v>5.4080000000000004</v>
      </c>
      <c r="DR11" s="12">
        <f t="shared" si="49"/>
        <v>4.7883333057723689</v>
      </c>
      <c r="DS11" s="12">
        <f t="shared" si="13"/>
        <v>1.7498000000000002</v>
      </c>
      <c r="DT11" s="14">
        <f t="shared" si="14"/>
        <v>1.7228896373993283</v>
      </c>
      <c r="DU11" s="12">
        <f t="shared" si="50"/>
        <v>4.6826974111234021</v>
      </c>
      <c r="DV11" s="14">
        <f t="shared" si="15"/>
        <v>1.5695017100252757</v>
      </c>
      <c r="DW11" s="16">
        <v>575986</v>
      </c>
      <c r="DX11" s="16">
        <v>1010594</v>
      </c>
      <c r="DY11" s="16">
        <f t="shared" si="26"/>
        <v>2490215</v>
      </c>
      <c r="DZ11" s="16">
        <f t="shared" si="16"/>
        <v>963243.44751381222</v>
      </c>
      <c r="EA11" s="16">
        <f t="shared" si="27"/>
        <v>1526971.5524861878</v>
      </c>
      <c r="EB11" s="109">
        <f t="shared" si="17"/>
        <v>3.7177092329745824</v>
      </c>
      <c r="EC11" s="14">
        <f t="shared" si="18"/>
        <v>1.1987869301019098</v>
      </c>
      <c r="ED11" s="12">
        <f t="shared" si="28"/>
        <v>2.893735987642291</v>
      </c>
    </row>
    <row r="12" spans="1:134" x14ac:dyDescent="0.35">
      <c r="A12" s="8" t="s">
        <v>180</v>
      </c>
      <c r="B12" s="8" t="s">
        <v>13</v>
      </c>
      <c r="C12" s="1">
        <f t="shared" si="0"/>
        <v>23</v>
      </c>
      <c r="D12">
        <v>0</v>
      </c>
      <c r="E12">
        <v>0</v>
      </c>
      <c r="F12">
        <v>0</v>
      </c>
      <c r="G12">
        <v>0</v>
      </c>
      <c r="H12">
        <v>0</v>
      </c>
      <c r="I12">
        <v>23</v>
      </c>
      <c r="J12">
        <v>0</v>
      </c>
      <c r="K12">
        <v>0</v>
      </c>
      <c r="L12" s="44">
        <v>367</v>
      </c>
      <c r="M12">
        <v>199.5</v>
      </c>
      <c r="N12" s="12">
        <f t="shared" si="1"/>
        <v>15.956521739130435</v>
      </c>
      <c r="O12" s="12">
        <v>8.6739130434782616</v>
      </c>
      <c r="P12" s="20">
        <f>O12/O43</f>
        <v>8.1068685107118024E-2</v>
      </c>
      <c r="Q12" s="48">
        <f t="shared" si="29"/>
        <v>9.1618167907863091E-2</v>
      </c>
      <c r="R12" s="16">
        <v>117508</v>
      </c>
      <c r="S12" s="16">
        <v>250597</v>
      </c>
      <c r="T12" s="16">
        <f t="shared" si="2"/>
        <v>5109.04347826087</v>
      </c>
      <c r="U12" s="16">
        <f t="shared" si="3"/>
        <v>10895.521739130434</v>
      </c>
      <c r="V12" s="20">
        <f>U12/U43</f>
        <v>9.1172011035243791E-2</v>
      </c>
      <c r="W12" s="20">
        <f t="shared" si="30"/>
        <v>4.7105121260443417E-2</v>
      </c>
      <c r="X12" s="20">
        <f t="shared" si="19"/>
        <v>8.5110015478368328E-2</v>
      </c>
      <c r="Y12" s="20">
        <f t="shared" si="20"/>
        <v>7.3812949248895227E-2</v>
      </c>
      <c r="Z12" s="54">
        <v>129</v>
      </c>
      <c r="AA12" s="12">
        <v>-0.39421046869640225</v>
      </c>
      <c r="AB12" s="14">
        <f t="shared" si="4"/>
        <v>0.66553297116806731</v>
      </c>
      <c r="AC12" s="12">
        <v>0.72</v>
      </c>
      <c r="AD12" s="37">
        <v>0.58599999999999997</v>
      </c>
      <c r="AE12" s="54">
        <v>112</v>
      </c>
      <c r="AF12" s="125">
        <v>88867.337183832278</v>
      </c>
      <c r="AG12" s="117">
        <v>-0.16564781612038404</v>
      </c>
      <c r="AH12" s="122">
        <v>0</v>
      </c>
      <c r="AI12" s="103"/>
      <c r="AJ12" s="34" t="e">
        <f>AM12*#REF!</f>
        <v>#DIV/0!</v>
      </c>
      <c r="AK12" s="34" t="e">
        <f>C12*AN12</f>
        <v>#REF!</v>
      </c>
      <c r="AL12" s="30" t="e">
        <f>AJ12-AF12</f>
        <v>#DIV/0!</v>
      </c>
      <c r="AM12" s="34" t="e">
        <f>C12*AS12</f>
        <v>#DIV/0!</v>
      </c>
      <c r="AN12" s="12" t="e">
        <f>AD12/#REF!</f>
        <v>#REF!</v>
      </c>
      <c r="AO12" s="18"/>
      <c r="AP12" s="30"/>
      <c r="AQ12" s="30"/>
      <c r="AR12" s="12"/>
      <c r="AS12" s="12" t="e">
        <f>AB12/BI$2</f>
        <v>#DIV/0!</v>
      </c>
      <c r="AT12" s="18">
        <v>0</v>
      </c>
      <c r="AU12" s="35">
        <f>AVERAGE(AF12,AH12)</f>
        <v>44433.668591916139</v>
      </c>
      <c r="AV12" s="35">
        <f>AVERAGE(AF12,AW12,AT12)</f>
        <v>44433.669061277433</v>
      </c>
      <c r="AW12" s="34">
        <v>44433.67</v>
      </c>
      <c r="AX12" s="293">
        <f>AV11-(BG11*AV$45)</f>
        <v>1755832.4635607852</v>
      </c>
      <c r="AY12" s="12"/>
      <c r="AZ12" s="12"/>
      <c r="BA12" s="12"/>
      <c r="BB12" s="12"/>
      <c r="BC12" s="12"/>
      <c r="BD12" s="12"/>
      <c r="BE12" s="12"/>
      <c r="BF12" s="12"/>
      <c r="BG12" s="12"/>
      <c r="BH12" s="144" t="s">
        <v>400</v>
      </c>
      <c r="BI12" s="12"/>
      <c r="BJ12">
        <v>734</v>
      </c>
      <c r="BK12">
        <v>734</v>
      </c>
      <c r="BL12">
        <f t="shared" si="5"/>
        <v>0</v>
      </c>
      <c r="BM12">
        <v>123</v>
      </c>
      <c r="BN12">
        <v>1237</v>
      </c>
      <c r="BO12" s="16">
        <v>1592</v>
      </c>
      <c r="BP12" s="16">
        <v>835</v>
      </c>
      <c r="BQ12" s="16">
        <f t="shared" si="31"/>
        <v>1986.0840000000001</v>
      </c>
      <c r="BR12" s="16">
        <f t="shared" si="32"/>
        <v>1485.6372132540357</v>
      </c>
      <c r="BS12" s="267">
        <v>805138</v>
      </c>
      <c r="BT12" s="285">
        <f>BW12*BZ$4</f>
        <v>704144.23505270027</v>
      </c>
      <c r="BU12" s="16">
        <f>AVERAGE(AX12,BS12,BT12)</f>
        <v>1088371.566204495</v>
      </c>
      <c r="BV12" s="296">
        <f>BU12-(BX12*BU$42)</f>
        <v>1174095.2737717452</v>
      </c>
      <c r="BW12" s="12">
        <f>AE12*BX12</f>
        <v>8.5751638646538364</v>
      </c>
      <c r="BX12" s="12">
        <f>EC12/BZ3</f>
        <v>7.65639630772664E-2</v>
      </c>
      <c r="BY12" s="16"/>
      <c r="BZ12" s="16"/>
      <c r="CA12" s="16">
        <v>639</v>
      </c>
      <c r="CB12" s="16">
        <v>502</v>
      </c>
      <c r="CC12" s="16">
        <v>611.4</v>
      </c>
      <c r="CD12" s="16">
        <f t="shared" si="21"/>
        <v>1752.4</v>
      </c>
      <c r="CE12" s="16">
        <f t="shared" si="6"/>
        <v>1609.1930018416208</v>
      </c>
      <c r="CF12" s="16">
        <f t="shared" si="22"/>
        <v>143.20699815837929</v>
      </c>
      <c r="CG12" s="109">
        <f t="shared" si="7"/>
        <v>0.43178426451446772</v>
      </c>
      <c r="CH12" s="16">
        <f t="shared" si="33"/>
        <v>1474</v>
      </c>
      <c r="CI12" s="16">
        <f t="shared" si="34"/>
        <v>969.91887899999995</v>
      </c>
      <c r="CJ12" s="16">
        <f t="shared" si="35"/>
        <v>106.36278674596429</v>
      </c>
      <c r="CK12" s="16">
        <f t="shared" si="36"/>
        <v>-248.63721325403571</v>
      </c>
      <c r="CL12" s="12">
        <f t="shared" si="37"/>
        <v>-0.24998737513694089</v>
      </c>
      <c r="CM12" s="16">
        <f t="shared" si="38"/>
        <v>0</v>
      </c>
      <c r="CN12" s="16">
        <f t="shared" si="39"/>
        <v>-134.91887899999995</v>
      </c>
      <c r="CO12" s="16">
        <f t="shared" si="23"/>
        <v>1474</v>
      </c>
      <c r="CP12" s="12">
        <f t="shared" si="40"/>
        <v>-0.5908917435728831</v>
      </c>
      <c r="CQ12" s="12">
        <f t="shared" si="41"/>
        <v>-0.60236770057998423</v>
      </c>
      <c r="CR12">
        <v>115</v>
      </c>
      <c r="CS12">
        <f t="shared" si="42"/>
        <v>611</v>
      </c>
      <c r="CT12">
        <v>619</v>
      </c>
      <c r="CU12" s="14">
        <v>1.119</v>
      </c>
      <c r="CV12" s="12">
        <v>0.96799999999999997</v>
      </c>
      <c r="CW12" s="16">
        <v>117508</v>
      </c>
      <c r="CX12" s="16">
        <v>143256</v>
      </c>
      <c r="CY12">
        <v>59418</v>
      </c>
      <c r="CZ12" s="12">
        <f t="shared" si="43"/>
        <v>1.1341962052601204</v>
      </c>
      <c r="DA12" s="16">
        <v>287996</v>
      </c>
      <c r="DB12" s="16">
        <v>449485</v>
      </c>
      <c r="DC12" s="16">
        <v>786659</v>
      </c>
      <c r="DD12" s="16">
        <f t="shared" si="24"/>
        <v>1074655</v>
      </c>
      <c r="DE12" s="16">
        <f t="shared" si="44"/>
        <v>308291.97068819031</v>
      </c>
      <c r="DF12" s="16">
        <f t="shared" si="45"/>
        <v>475875.84000000003</v>
      </c>
      <c r="DG12" s="16">
        <f t="shared" si="8"/>
        <v>-20295.970688190311</v>
      </c>
      <c r="DH12" s="16">
        <f t="shared" si="9"/>
        <v>-26390.840000000026</v>
      </c>
      <c r="DI12" s="12">
        <f t="shared" si="46"/>
        <v>-0.10156589225045126</v>
      </c>
      <c r="DJ12" s="16">
        <f t="shared" si="47"/>
        <v>0</v>
      </c>
      <c r="DK12" s="16">
        <f t="shared" si="25"/>
        <v>1074655</v>
      </c>
      <c r="DL12" s="17">
        <f t="shared" si="48"/>
        <v>-8.272880273297889E-2</v>
      </c>
      <c r="DM12" s="17">
        <f t="shared" si="10"/>
        <v>-0.39451214144118213</v>
      </c>
      <c r="DN12" s="16">
        <v>64230.02</v>
      </c>
      <c r="DO12">
        <f t="shared" si="11"/>
        <v>58090</v>
      </c>
      <c r="DP12" s="16">
        <f t="shared" si="12"/>
        <v>79025.98000000001</v>
      </c>
      <c r="DQ12" s="12">
        <v>0.12</v>
      </c>
      <c r="DR12" s="12">
        <f t="shared" si="49"/>
        <v>0.21183242792016843</v>
      </c>
      <c r="DS12" s="12">
        <f t="shared" si="13"/>
        <v>0.62880000000000003</v>
      </c>
      <c r="DT12" s="12">
        <f t="shared" si="14"/>
        <v>-0.19061878198234505</v>
      </c>
      <c r="DU12" s="12">
        <f t="shared" si="50"/>
        <v>1.7161473916170902</v>
      </c>
      <c r="DV12" s="12">
        <f t="shared" si="15"/>
        <v>-0.3876265672369214</v>
      </c>
      <c r="DW12" s="16">
        <v>191136</v>
      </c>
      <c r="DX12" s="16">
        <v>254740</v>
      </c>
      <c r="DY12" s="16">
        <f t="shared" si="26"/>
        <v>1232535</v>
      </c>
      <c r="DZ12" s="16">
        <f t="shared" si="16"/>
        <v>749189.34806629829</v>
      </c>
      <c r="EA12" s="16">
        <f t="shared" si="27"/>
        <v>483345.65193370171</v>
      </c>
      <c r="EB12" s="109">
        <f t="shared" si="17"/>
        <v>1.1767989979815265</v>
      </c>
      <c r="EC12" s="14">
        <f t="shared" si="18"/>
        <v>0.72979015790129131</v>
      </c>
      <c r="ED12" s="12">
        <f t="shared" si="28"/>
        <v>1.3669766798029084</v>
      </c>
    </row>
    <row r="13" spans="1:134" x14ac:dyDescent="0.35">
      <c r="A13" s="8" t="s">
        <v>180</v>
      </c>
      <c r="B13" s="8" t="s">
        <v>185</v>
      </c>
      <c r="C13" s="1">
        <f t="shared" si="0"/>
        <v>44</v>
      </c>
      <c r="D13">
        <v>0</v>
      </c>
      <c r="E13">
        <v>0</v>
      </c>
      <c r="F13">
        <v>0</v>
      </c>
      <c r="G13">
        <v>0</v>
      </c>
      <c r="H13">
        <v>0</v>
      </c>
      <c r="I13">
        <v>44</v>
      </c>
      <c r="J13">
        <v>0</v>
      </c>
      <c r="K13">
        <v>0</v>
      </c>
      <c r="L13" s="44">
        <v>77.5</v>
      </c>
      <c r="M13">
        <v>70.5</v>
      </c>
      <c r="N13" s="12">
        <f t="shared" si="1"/>
        <v>1.7613636363636365</v>
      </c>
      <c r="O13" s="12">
        <v>1.6022727272727273</v>
      </c>
      <c r="P13" s="20">
        <f>O13/O43</f>
        <v>1.4975264627613564E-2</v>
      </c>
      <c r="Q13" s="48">
        <f t="shared" si="29"/>
        <v>1.0113288598945129E-2</v>
      </c>
      <c r="R13" s="16">
        <v>0</v>
      </c>
      <c r="S13" s="16">
        <v>15127</v>
      </c>
      <c r="T13" s="16">
        <f t="shared" si="2"/>
        <v>0</v>
      </c>
      <c r="U13" s="16">
        <f t="shared" si="3"/>
        <v>343.79545454545456</v>
      </c>
      <c r="V13" s="20">
        <f>U13/U43</f>
        <v>2.8768262526716252E-3</v>
      </c>
      <c r="W13" s="20">
        <f t="shared" si="30"/>
        <v>0</v>
      </c>
      <c r="X13" s="20">
        <f t="shared" si="19"/>
        <v>1.0135889277636787E-2</v>
      </c>
      <c r="Y13" s="20">
        <f t="shared" si="20"/>
        <v>6.0679731593670776E-3</v>
      </c>
      <c r="Z13" s="54">
        <v>41</v>
      </c>
      <c r="AA13" s="12">
        <v>-0.55119438764392137</v>
      </c>
      <c r="AB13" s="12">
        <f t="shared" si="4"/>
        <v>-0.5621516546332963</v>
      </c>
      <c r="AC13" s="12">
        <v>-0.53</v>
      </c>
      <c r="AD13">
        <v>-0.44500000000000001</v>
      </c>
      <c r="AE13" s="54">
        <v>39</v>
      </c>
      <c r="AF13" s="123"/>
      <c r="AG13" s="118">
        <v>-0.57089336971191451</v>
      </c>
      <c r="AH13" s="123"/>
      <c r="AI13" s="123"/>
      <c r="AJ13" s="18"/>
      <c r="AK13" s="18"/>
      <c r="AL13" s="18"/>
      <c r="AM13" s="18"/>
      <c r="AN13" s="12"/>
      <c r="AO13" s="18"/>
      <c r="AP13" s="30"/>
      <c r="AQ13" s="30"/>
      <c r="AR13" s="12"/>
      <c r="AS13" s="12"/>
      <c r="AT13" s="18"/>
      <c r="AU13" s="18"/>
      <c r="AV13" s="18"/>
      <c r="AW13" s="30"/>
      <c r="AX13" s="24"/>
      <c r="AY13" s="12"/>
      <c r="AZ13" s="12"/>
      <c r="BA13" s="12"/>
      <c r="BB13" s="12"/>
      <c r="BC13" s="12"/>
      <c r="BD13" s="12"/>
      <c r="BE13" s="12"/>
      <c r="BF13" s="12"/>
      <c r="BG13" s="12"/>
      <c r="BH13" s="61">
        <v>5113803.9074802604</v>
      </c>
      <c r="BI13" s="12"/>
      <c r="BJ13">
        <v>155</v>
      </c>
      <c r="BK13">
        <v>162</v>
      </c>
      <c r="BL13">
        <f t="shared" si="5"/>
        <v>-7</v>
      </c>
      <c r="BM13">
        <v>236</v>
      </c>
      <c r="BN13">
        <v>111</v>
      </c>
      <c r="BO13" s="16">
        <v>228</v>
      </c>
      <c r="BP13" s="16">
        <v>107</v>
      </c>
      <c r="BQ13" s="16">
        <f t="shared" si="31"/>
        <v>631.23599999999999</v>
      </c>
      <c r="BR13" s="16">
        <f t="shared" si="32"/>
        <v>472.17926932880209</v>
      </c>
      <c r="BS13" s="268"/>
      <c r="BT13" s="16"/>
      <c r="BU13" s="16"/>
      <c r="BV13" s="16"/>
      <c r="BW13" s="12"/>
      <c r="BX13" s="12"/>
      <c r="BY13" s="16"/>
      <c r="BZ13" s="16"/>
      <c r="CA13" s="16">
        <v>139</v>
      </c>
      <c r="CB13" s="16">
        <v>117</v>
      </c>
      <c r="CC13" s="16">
        <v>217.3</v>
      </c>
      <c r="CD13" s="16">
        <f t="shared" si="21"/>
        <v>473.3</v>
      </c>
      <c r="CE13" s="16">
        <f t="shared" si="6"/>
        <v>560.34399171270729</v>
      </c>
      <c r="CF13" s="16">
        <f t="shared" si="22"/>
        <v>-87.043991712707282</v>
      </c>
      <c r="CG13" s="17">
        <f t="shared" si="7"/>
        <v>-0.26244685263571066</v>
      </c>
      <c r="CH13" s="16">
        <f t="shared" si="33"/>
        <v>246</v>
      </c>
      <c r="CI13" s="16">
        <f t="shared" si="34"/>
        <v>308.26879100000002</v>
      </c>
      <c r="CJ13" s="16">
        <f t="shared" si="35"/>
        <v>-244.17926932880209</v>
      </c>
      <c r="CK13" s="16">
        <f t="shared" si="36"/>
        <v>-361.17926932880209</v>
      </c>
      <c r="CL13" s="12">
        <f t="shared" si="37"/>
        <v>-0.84836409638539279</v>
      </c>
      <c r="CM13" s="16">
        <f t="shared" si="38"/>
        <v>0</v>
      </c>
      <c r="CN13" s="16">
        <f t="shared" si="39"/>
        <v>-201.26879100000002</v>
      </c>
      <c r="CO13" s="16">
        <f t="shared" si="23"/>
        <v>246</v>
      </c>
      <c r="CP13" s="12">
        <f t="shared" si="40"/>
        <v>-0.86496060742463665</v>
      </c>
      <c r="CQ13" s="12">
        <f t="shared" si="41"/>
        <v>-0.87502077068593431</v>
      </c>
      <c r="CR13">
        <v>221</v>
      </c>
      <c r="CS13">
        <f t="shared" si="42"/>
        <v>-81</v>
      </c>
      <c r="CT13">
        <v>-59</v>
      </c>
      <c r="CU13" s="12">
        <v>-0.69599999999999995</v>
      </c>
      <c r="CV13" s="12">
        <v>-0.69599999999999995</v>
      </c>
      <c r="CW13" s="16">
        <v>0</v>
      </c>
      <c r="CX13" s="16">
        <v>0</v>
      </c>
      <c r="CY13">
        <v>121109</v>
      </c>
      <c r="CZ13" s="12">
        <f t="shared" si="43"/>
        <v>-0.87780312251088777</v>
      </c>
      <c r="DA13" s="16">
        <v>92226</v>
      </c>
      <c r="DB13" s="16">
        <v>92226</v>
      </c>
      <c r="DC13" s="16">
        <v>74221</v>
      </c>
      <c r="DD13" s="16">
        <f t="shared" si="24"/>
        <v>166447</v>
      </c>
      <c r="DE13" s="16">
        <f t="shared" si="44"/>
        <v>97984.269753610875</v>
      </c>
      <c r="DF13" s="16">
        <f t="shared" si="45"/>
        <v>151247.36000000002</v>
      </c>
      <c r="DG13" s="16">
        <f t="shared" si="8"/>
        <v>-5758.2697536108753</v>
      </c>
      <c r="DH13" s="16">
        <f t="shared" si="9"/>
        <v>-59021.360000000015</v>
      </c>
      <c r="DI13" s="12">
        <f t="shared" si="46"/>
        <v>-0.17359348905883865</v>
      </c>
      <c r="DJ13" s="16">
        <f t="shared" si="47"/>
        <v>0</v>
      </c>
      <c r="DK13" s="16">
        <f t="shared" si="25"/>
        <v>166447</v>
      </c>
      <c r="DL13" s="17">
        <f t="shared" si="48"/>
        <v>-2.347139586710888E-2</v>
      </c>
      <c r="DM13" s="17">
        <f t="shared" si="10"/>
        <v>-0.53440102075840412</v>
      </c>
      <c r="DN13" s="16">
        <v>123476.21</v>
      </c>
      <c r="DO13">
        <f t="shared" si="11"/>
        <v>-121109</v>
      </c>
      <c r="DP13" s="16">
        <f t="shared" si="12"/>
        <v>-123476.21</v>
      </c>
      <c r="DQ13" s="12">
        <v>-0.28100000000000003</v>
      </c>
      <c r="DR13" s="12">
        <f t="shared" si="49"/>
        <v>-0.36137913658324089</v>
      </c>
      <c r="DS13" s="12">
        <f t="shared" si="13"/>
        <v>-0.53</v>
      </c>
      <c r="DT13" s="12">
        <f t="shared" si="14"/>
        <v>-0.57845585345477113</v>
      </c>
      <c r="DU13" s="12">
        <f t="shared" si="50"/>
        <v>-0.20190663658285685</v>
      </c>
      <c r="DV13" s="12">
        <f t="shared" si="15"/>
        <v>-0.52836492280162561</v>
      </c>
      <c r="DW13" s="16">
        <v>65760</v>
      </c>
      <c r="DX13" s="16">
        <v>116947</v>
      </c>
      <c r="DY13" s="16">
        <f t="shared" si="26"/>
        <v>256928</v>
      </c>
      <c r="DZ13" s="16">
        <f t="shared" si="16"/>
        <v>260878.43370165746</v>
      </c>
      <c r="EA13" s="16">
        <f t="shared" si="27"/>
        <v>-3950.4337016574573</v>
      </c>
      <c r="EB13" s="17">
        <f t="shared" si="17"/>
        <v>-9.6180991865850059E-3</v>
      </c>
      <c r="EC13" s="12">
        <f t="shared" si="18"/>
        <v>-0.16131535125606039</v>
      </c>
      <c r="ED13" s="12">
        <f t="shared" si="28"/>
        <v>-0.60744452813967542</v>
      </c>
    </row>
    <row r="14" spans="1:134" x14ac:dyDescent="0.35">
      <c r="A14" s="8" t="s">
        <v>191</v>
      </c>
      <c r="B14" s="8" t="s">
        <v>192</v>
      </c>
      <c r="C14" s="1">
        <f t="shared" si="0"/>
        <v>72</v>
      </c>
      <c r="D14">
        <v>0</v>
      </c>
      <c r="E14">
        <v>0</v>
      </c>
      <c r="F14">
        <v>0</v>
      </c>
      <c r="G14">
        <v>72</v>
      </c>
      <c r="H14">
        <v>0</v>
      </c>
      <c r="I14">
        <v>0</v>
      </c>
      <c r="J14">
        <v>0</v>
      </c>
      <c r="K14">
        <v>0</v>
      </c>
      <c r="L14" s="44">
        <v>71.5</v>
      </c>
      <c r="M14">
        <v>71.5</v>
      </c>
      <c r="N14" s="12">
        <f t="shared" si="1"/>
        <v>0.99305555555555558</v>
      </c>
      <c r="O14" s="12">
        <v>0.99305555555555558</v>
      </c>
      <c r="P14" s="20">
        <f>O14/O43</f>
        <v>9.2813598342143967E-3</v>
      </c>
      <c r="Q14" s="48">
        <f t="shared" si="29"/>
        <v>5.701864862416018E-3</v>
      </c>
      <c r="R14" s="16">
        <v>183762</v>
      </c>
      <c r="S14" s="16">
        <v>156335</v>
      </c>
      <c r="T14" s="16">
        <f t="shared" si="2"/>
        <v>2552.25</v>
      </c>
      <c r="U14" s="16">
        <f t="shared" si="3"/>
        <v>2171.3194444444443</v>
      </c>
      <c r="V14" s="20">
        <f>U14/U43</f>
        <v>1.8169259360839719E-2</v>
      </c>
      <c r="W14" s="20">
        <f t="shared" si="30"/>
        <v>2.3531615310874443E-2</v>
      </c>
      <c r="X14" s="20">
        <f t="shared" si="19"/>
        <v>1.2836519644864527E-2</v>
      </c>
      <c r="Y14" s="20">
        <f t="shared" si="20"/>
        <v>1.2833765041799387E-2</v>
      </c>
      <c r="Z14" s="54">
        <v>46</v>
      </c>
      <c r="AA14" s="12">
        <v>-0.55069859340771843</v>
      </c>
      <c r="AB14" s="12">
        <f t="shared" si="4"/>
        <v>-0.52179872658017412</v>
      </c>
      <c r="AC14" s="12">
        <v>-0.69799999999999995</v>
      </c>
      <c r="AD14">
        <v>-0.59899999999999998</v>
      </c>
      <c r="AE14" s="54">
        <v>59</v>
      </c>
      <c r="AF14" s="123"/>
      <c r="AG14" s="118">
        <v>-0.5117673854464756</v>
      </c>
      <c r="AH14" s="123"/>
      <c r="AI14" s="123"/>
      <c r="AJ14" s="18"/>
      <c r="AK14" s="18"/>
      <c r="AL14" s="18"/>
      <c r="AM14" s="18"/>
      <c r="AN14" s="12"/>
      <c r="AO14" s="18"/>
      <c r="AP14" s="30"/>
      <c r="AQ14" s="30"/>
      <c r="AR14" s="12"/>
      <c r="AS14" s="12"/>
      <c r="AT14" s="18"/>
      <c r="AU14" s="18"/>
      <c r="AV14" s="18"/>
      <c r="AW14" s="30"/>
      <c r="AX14" s="24"/>
      <c r="AY14" s="12"/>
      <c r="AZ14" s="12"/>
      <c r="BA14" s="12"/>
      <c r="BB14" s="12"/>
      <c r="BC14" s="12"/>
      <c r="BD14" s="12"/>
      <c r="BE14" s="12"/>
      <c r="BF14" s="12"/>
      <c r="BG14" s="12"/>
      <c r="BI14" s="18"/>
      <c r="BJ14">
        <v>143</v>
      </c>
      <c r="BK14">
        <v>147</v>
      </c>
      <c r="BL14">
        <f t="shared" si="5"/>
        <v>-4</v>
      </c>
      <c r="BM14">
        <v>386</v>
      </c>
      <c r="BN14">
        <v>272</v>
      </c>
      <c r="BO14" s="16">
        <v>353</v>
      </c>
      <c r="BP14" s="16">
        <v>129</v>
      </c>
      <c r="BQ14" s="16">
        <f t="shared" si="31"/>
        <v>708.21600000000001</v>
      </c>
      <c r="BR14" s="16">
        <f t="shared" si="32"/>
        <v>529.76210705182666</v>
      </c>
      <c r="BS14" s="268"/>
      <c r="BT14" s="16"/>
      <c r="BU14" s="16"/>
      <c r="BV14" s="16"/>
      <c r="BW14" s="12"/>
      <c r="BX14" s="12"/>
      <c r="BY14" s="16"/>
      <c r="BZ14" s="16"/>
      <c r="CA14" s="16">
        <v>221</v>
      </c>
      <c r="CB14" s="16">
        <v>138</v>
      </c>
      <c r="CC14" s="16">
        <v>103.7</v>
      </c>
      <c r="CD14" s="16">
        <f t="shared" si="21"/>
        <v>462.7</v>
      </c>
      <c r="CE14" s="16">
        <f t="shared" si="6"/>
        <v>847.69988489871093</v>
      </c>
      <c r="CF14" s="16">
        <f t="shared" si="22"/>
        <v>-384.99988489871095</v>
      </c>
      <c r="CG14" s="17">
        <f t="shared" si="7"/>
        <v>-1.1608154229676355</v>
      </c>
      <c r="CH14" s="16">
        <f t="shared" si="33"/>
        <v>350</v>
      </c>
      <c r="CI14" s="16">
        <f t="shared" si="34"/>
        <v>345.86254600000001</v>
      </c>
      <c r="CJ14" s="16">
        <f t="shared" si="35"/>
        <v>-176.76210705182666</v>
      </c>
      <c r="CK14" s="16">
        <f t="shared" si="36"/>
        <v>-257.76210705182666</v>
      </c>
      <c r="CL14" s="12">
        <f t="shared" si="37"/>
        <v>-0.7332827250632391</v>
      </c>
      <c r="CM14" s="16">
        <f t="shared" si="38"/>
        <v>0</v>
      </c>
      <c r="CN14" s="16">
        <f t="shared" si="39"/>
        <v>-216.86254600000001</v>
      </c>
      <c r="CO14" s="16">
        <f t="shared" si="23"/>
        <v>350</v>
      </c>
      <c r="CP14" s="12">
        <f t="shared" si="40"/>
        <v>-0.92937309249368372</v>
      </c>
      <c r="CQ14" s="12">
        <f t="shared" si="41"/>
        <v>-0.62447437247787108</v>
      </c>
      <c r="CR14">
        <v>361</v>
      </c>
      <c r="CS14">
        <f t="shared" si="42"/>
        <v>-243</v>
      </c>
      <c r="CT14">
        <v>-214</v>
      </c>
      <c r="CU14" s="12">
        <v>-1.121</v>
      </c>
      <c r="CV14" s="12">
        <v>-1.077</v>
      </c>
      <c r="CW14" s="16">
        <v>183762</v>
      </c>
      <c r="CX14" s="16">
        <v>316863</v>
      </c>
      <c r="CY14">
        <v>207951</v>
      </c>
      <c r="CZ14" s="12">
        <f t="shared" si="43"/>
        <v>-0.70740578530552556</v>
      </c>
      <c r="DA14" s="16">
        <v>11750</v>
      </c>
      <c r="DB14" s="16">
        <v>97288</v>
      </c>
      <c r="DC14" s="16">
        <v>47000</v>
      </c>
      <c r="DD14" s="16">
        <f t="shared" si="24"/>
        <v>58750</v>
      </c>
      <c r="DE14" s="16">
        <f t="shared" si="44"/>
        <v>109933.57094307561</v>
      </c>
      <c r="DF14" s="16">
        <f t="shared" si="45"/>
        <v>169692.16</v>
      </c>
      <c r="DG14" s="16">
        <f t="shared" si="8"/>
        <v>-98183.570943075611</v>
      </c>
      <c r="DH14" s="16">
        <f t="shared" si="9"/>
        <v>-72404.160000000003</v>
      </c>
      <c r="DI14" s="12">
        <f t="shared" si="46"/>
        <v>-0.20313426629951045</v>
      </c>
      <c r="DJ14" s="16">
        <f t="shared" si="47"/>
        <v>0</v>
      </c>
      <c r="DK14" s="16">
        <f t="shared" si="25"/>
        <v>58750</v>
      </c>
      <c r="DL14" s="17">
        <f t="shared" si="48"/>
        <v>-0.40020797216146314</v>
      </c>
      <c r="DM14" s="17">
        <f t="shared" si="10"/>
        <v>-0.53476781235130799</v>
      </c>
      <c r="DN14" s="16">
        <v>202802.32</v>
      </c>
      <c r="DO14">
        <f t="shared" si="11"/>
        <v>-24189</v>
      </c>
      <c r="DP14" s="16">
        <f t="shared" si="12"/>
        <v>114060.68</v>
      </c>
      <c r="DQ14" s="12">
        <v>-6.4000000000000001E-2</v>
      </c>
      <c r="DR14" s="12">
        <f t="shared" si="49"/>
        <v>0.31100318354956474</v>
      </c>
      <c r="DS14" s="12">
        <f t="shared" si="13"/>
        <v>-0.67179999999999995</v>
      </c>
      <c r="DT14" s="12">
        <f t="shared" si="14"/>
        <v>-0.52122334155774763</v>
      </c>
      <c r="DU14" s="12">
        <f t="shared" si="50"/>
        <v>-0.42935306369542325</v>
      </c>
      <c r="DV14" s="12">
        <f t="shared" si="15"/>
        <v>-0.71770704436079547</v>
      </c>
      <c r="DW14" s="16">
        <v>103051</v>
      </c>
      <c r="DX14" s="16">
        <v>525292</v>
      </c>
      <c r="DY14" s="16">
        <f t="shared" si="26"/>
        <v>675343</v>
      </c>
      <c r="DZ14" s="16">
        <f t="shared" si="16"/>
        <v>394662.24585635361</v>
      </c>
      <c r="EA14" s="16">
        <f t="shared" si="27"/>
        <v>280680.75414364639</v>
      </c>
      <c r="EB14" s="109">
        <f t="shared" si="17"/>
        <v>0.68337188698709694</v>
      </c>
      <c r="EC14" s="12">
        <f t="shared" si="18"/>
        <v>-0.42314049898574246</v>
      </c>
      <c r="ED14" s="12">
        <f t="shared" si="28"/>
        <v>-0.59618469666148466</v>
      </c>
    </row>
    <row r="15" spans="1:134" x14ac:dyDescent="0.35">
      <c r="A15" s="8" t="s">
        <v>195</v>
      </c>
      <c r="B15" s="8" t="s">
        <v>38</v>
      </c>
      <c r="C15" s="1">
        <f t="shared" si="0"/>
        <v>50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50</v>
      </c>
      <c r="K15">
        <v>0</v>
      </c>
      <c r="L15" s="44">
        <v>560.5</v>
      </c>
      <c r="M15">
        <v>444.5</v>
      </c>
      <c r="N15" s="12">
        <f t="shared" si="1"/>
        <v>11.21</v>
      </c>
      <c r="O15" s="12">
        <v>8.89</v>
      </c>
      <c r="P15" s="20">
        <f>O15/O43</f>
        <v>8.3088290946628687E-2</v>
      </c>
      <c r="Q15" s="48">
        <f t="shared" ref="Q15:Q24" si="51">N15/N$43</f>
        <v>6.4364883465079945E-2</v>
      </c>
      <c r="R15" s="16">
        <v>0</v>
      </c>
      <c r="S15" s="16">
        <v>0</v>
      </c>
      <c r="T15" s="16">
        <f t="shared" si="2"/>
        <v>0</v>
      </c>
      <c r="U15" s="16">
        <f t="shared" si="3"/>
        <v>0</v>
      </c>
      <c r="V15" s="20">
        <f>U15/U43</f>
        <v>0</v>
      </c>
      <c r="W15" s="20">
        <f t="shared" ref="W15:W24" si="52">T15/T$43</f>
        <v>0</v>
      </c>
      <c r="X15" s="20">
        <f t="shared" si="19"/>
        <v>4.9852974567977208E-2</v>
      </c>
      <c r="Y15" s="20">
        <f t="shared" si="20"/>
        <v>3.8618930079047965E-2</v>
      </c>
      <c r="Z15" s="54">
        <v>48</v>
      </c>
      <c r="AA15" s="14">
        <v>1.4376325658928102</v>
      </c>
      <c r="AB15" s="14">
        <f t="shared" ref="AB15:AB24" si="53">(0.6*CV15)+(0.4*DR15)</f>
        <v>0.79443083300437389</v>
      </c>
      <c r="AC15" s="12">
        <v>0.92400000000000004</v>
      </c>
      <c r="AD15" s="37">
        <v>1.05</v>
      </c>
      <c r="AE15" s="54">
        <v>48</v>
      </c>
      <c r="AF15" s="125">
        <v>227271.4977243891</v>
      </c>
      <c r="AG15" s="119">
        <v>1.2863830890170991</v>
      </c>
      <c r="AH15" s="124">
        <v>391494.59</v>
      </c>
      <c r="AI15" s="115" t="e">
        <f>AR15*#REF!</f>
        <v>#REF!</v>
      </c>
      <c r="AJ15" s="34" t="e">
        <f>AM15*#REF!</f>
        <v>#DIV/0!</v>
      </c>
      <c r="AK15" s="34" t="e">
        <f>C15*AN15</f>
        <v>#REF!</v>
      </c>
      <c r="AL15" s="30" t="e">
        <f>AJ15-AF15</f>
        <v>#DIV/0!</v>
      </c>
      <c r="AM15" s="34" t="e">
        <f>C15*AS15</f>
        <v>#DIV/0!</v>
      </c>
      <c r="AN15" s="12" t="e">
        <f>AD15/#REF!</f>
        <v>#REF!</v>
      </c>
      <c r="AO15" s="34" t="e">
        <f>SUM(AP15:AQ15)</f>
        <v>#DIV/0!</v>
      </c>
      <c r="AP15" s="34" t="e">
        <f>BE15*#REF!</f>
        <v>#DIV/0!</v>
      </c>
      <c r="AQ15" s="30"/>
      <c r="AR15" s="12">
        <f>Z15*AZ15</f>
        <v>9.4376111948650028</v>
      </c>
      <c r="AS15" s="12" t="e">
        <f>AB15/BI$2</f>
        <v>#DIV/0!</v>
      </c>
      <c r="AT15" s="18">
        <v>501166.1</v>
      </c>
      <c r="AU15" s="35">
        <f>AVERAGE(AF15,AH15)</f>
        <v>309383.04386219458</v>
      </c>
      <c r="AV15" s="35">
        <f>AVERAGE(AF15,AW15,AT15)</f>
        <v>345150.6559081297</v>
      </c>
      <c r="AW15" s="34">
        <v>307014.37</v>
      </c>
      <c r="AX15" s="293">
        <f>AV17-(BG17*AV$45)</f>
        <v>33049.03</v>
      </c>
      <c r="AY15" s="12">
        <f>Z15*BB15</f>
        <v>5.934624210301978</v>
      </c>
      <c r="AZ15" s="12">
        <f>AG15/BI$6</f>
        <v>0.19661689989302089</v>
      </c>
      <c r="BA15" s="12">
        <f>Z15*BG15</f>
        <v>3.3180650956909989</v>
      </c>
      <c r="BB15" s="12">
        <f>DV15/BI$9</f>
        <v>0.12363800438129122</v>
      </c>
      <c r="BC15" s="12" t="e">
        <f>CL15/BI$12</f>
        <v>#DIV/0!</v>
      </c>
      <c r="BD15" s="12"/>
      <c r="BE15" s="12" t="e">
        <f>Z15*BC15</f>
        <v>#DIV/0!</v>
      </c>
      <c r="BF15" s="12"/>
      <c r="BG15" s="12">
        <f>ED15/BI$6</f>
        <v>6.9126356160229149E-2</v>
      </c>
      <c r="BJ15">
        <v>1121</v>
      </c>
      <c r="BK15">
        <v>1126</v>
      </c>
      <c r="BL15">
        <f t="shared" ref="BL15:BL27" si="54">BJ15-BK15</f>
        <v>-5</v>
      </c>
      <c r="BM15">
        <v>268</v>
      </c>
      <c r="BN15">
        <v>1627</v>
      </c>
      <c r="BO15" s="16">
        <v>2172</v>
      </c>
      <c r="BP15" s="16">
        <v>906</v>
      </c>
      <c r="BQ15" s="16">
        <f t="shared" si="31"/>
        <v>739.00800000000004</v>
      </c>
      <c r="BR15" s="16">
        <f t="shared" si="32"/>
        <v>552.79524214103662</v>
      </c>
      <c r="BS15" s="267">
        <v>331793</v>
      </c>
      <c r="BT15" s="285">
        <f>BW15*BZ$4</f>
        <v>542107.40273493982</v>
      </c>
      <c r="BU15" s="16">
        <f>AVERAGE(AX15,BS15,BT15)</f>
        <v>302316.47757831326</v>
      </c>
      <c r="BV15" s="296">
        <f>BU15-(BX15*BU$42)</f>
        <v>456309.64121392998</v>
      </c>
      <c r="BW15" s="12">
        <f>AE15*BX15</f>
        <v>6.6018573742154976</v>
      </c>
      <c r="BX15" s="12">
        <f>EC15/BZ3</f>
        <v>0.1375386952961562</v>
      </c>
      <c r="BY15" s="16"/>
      <c r="BZ15" s="16"/>
      <c r="CA15" s="16">
        <v>561</v>
      </c>
      <c r="CB15" s="16">
        <v>470</v>
      </c>
      <c r="CC15" s="16">
        <v>381.8</v>
      </c>
      <c r="CD15" s="16">
        <f t="shared" si="21"/>
        <v>1412.8</v>
      </c>
      <c r="CE15" s="16">
        <f t="shared" si="6"/>
        <v>689.6541436464089</v>
      </c>
      <c r="CF15" s="16">
        <f t="shared" si="22"/>
        <v>723.14585635359106</v>
      </c>
      <c r="CG15" s="109">
        <f t="shared" si="7"/>
        <v>2.1803613352539934</v>
      </c>
      <c r="CH15" s="16">
        <f t="shared" si="33"/>
        <v>1467</v>
      </c>
      <c r="CI15" s="16">
        <f t="shared" si="34"/>
        <v>360.90004799999997</v>
      </c>
      <c r="CJ15" s="16">
        <f t="shared" si="35"/>
        <v>1619.2047578589634</v>
      </c>
      <c r="CK15" s="16">
        <f t="shared" si="36"/>
        <v>1074.2047578589634</v>
      </c>
      <c r="CL15" s="14">
        <f t="shared" si="37"/>
        <v>2.3324400476330189</v>
      </c>
      <c r="CM15" s="16">
        <f t="shared" si="38"/>
        <v>0</v>
      </c>
      <c r="CN15" s="16">
        <f t="shared" si="39"/>
        <v>545.09995200000003</v>
      </c>
      <c r="CO15" s="16">
        <f t="shared" si="23"/>
        <v>1467</v>
      </c>
      <c r="CP15" s="14">
        <f t="shared" si="40"/>
        <v>2.2180341885363766</v>
      </c>
      <c r="CQ15" s="14">
        <f t="shared" si="41"/>
        <v>2.6024513445719286</v>
      </c>
      <c r="CR15">
        <v>251</v>
      </c>
      <c r="CS15">
        <f t="shared" si="42"/>
        <v>853</v>
      </c>
      <c r="CT15">
        <v>875</v>
      </c>
      <c r="CU15" s="14">
        <v>1.754</v>
      </c>
      <c r="CV15" s="12">
        <v>1.597</v>
      </c>
      <c r="CW15" s="16">
        <v>0</v>
      </c>
      <c r="CX15" s="16">
        <v>0</v>
      </c>
      <c r="CY15">
        <v>139354</v>
      </c>
      <c r="CZ15" s="14">
        <f t="shared" si="43"/>
        <v>1.1227271537174519</v>
      </c>
      <c r="DA15" s="16">
        <v>0</v>
      </c>
      <c r="DB15" s="16">
        <v>0</v>
      </c>
      <c r="DC15" s="16">
        <v>0</v>
      </c>
      <c r="DD15" s="16">
        <f t="shared" si="24"/>
        <v>0</v>
      </c>
      <c r="DE15" s="16">
        <f t="shared" si="44"/>
        <v>114713.29141886151</v>
      </c>
      <c r="DF15" s="16">
        <f t="shared" si="45"/>
        <v>177070.08000000002</v>
      </c>
      <c r="DG15" s="16">
        <f t="shared" si="8"/>
        <v>-114713.29141886151</v>
      </c>
      <c r="DH15" s="16">
        <f t="shared" si="9"/>
        <v>-177070.08000000002</v>
      </c>
      <c r="DI15" s="12">
        <f t="shared" si="46"/>
        <v>-0.43417056867345161</v>
      </c>
      <c r="DJ15" s="16">
        <f t="shared" si="47"/>
        <v>0</v>
      </c>
      <c r="DK15" s="16">
        <f t="shared" si="25"/>
        <v>0</v>
      </c>
      <c r="DL15" s="17">
        <f t="shared" si="48"/>
        <v>-0.46758508880601352</v>
      </c>
      <c r="DM15" s="109">
        <f t="shared" si="10"/>
        <v>1.3744367712207517</v>
      </c>
      <c r="DN15" s="16">
        <v>140448.95000000001</v>
      </c>
      <c r="DO15" t="e">
        <f>#REF!-CY15</f>
        <v>#REF!</v>
      </c>
      <c r="DP15" s="16">
        <f t="shared" ref="DP15:DP24" si="55">CX15-DN15</f>
        <v>-140448.95000000001</v>
      </c>
      <c r="DQ15" s="12">
        <v>-0.32200000000000001</v>
      </c>
      <c r="DR15" s="12">
        <f t="shared" ref="DR15:DR24" si="56">(DP15-DP$42)/DP$43</f>
        <v>-0.40942291748906512</v>
      </c>
      <c r="DS15" s="12">
        <f t="shared" ref="DS15:DS24" si="57">(0.6*CV15)+(0.4*DQ15)</f>
        <v>0.82939999999999992</v>
      </c>
      <c r="DT15" s="14">
        <f t="shared" si="14"/>
        <v>1.2257958011104306</v>
      </c>
      <c r="DU15" s="12">
        <f t="shared" si="50"/>
        <v>-0.55342780665821023</v>
      </c>
      <c r="DV15" s="14">
        <f t="shared" si="15"/>
        <v>1.1437864775994204</v>
      </c>
      <c r="DW15" s="16">
        <v>0</v>
      </c>
      <c r="DX15" s="16">
        <v>323926</v>
      </c>
      <c r="DY15" s="16">
        <f t="shared" si="26"/>
        <v>323926</v>
      </c>
      <c r="DZ15" s="16">
        <f t="shared" si="16"/>
        <v>321081.14917127072</v>
      </c>
      <c r="EA15" s="16">
        <f t="shared" si="27"/>
        <v>2844.8508287292789</v>
      </c>
      <c r="EB15" s="17">
        <f t="shared" si="17"/>
        <v>6.926342652017377E-3</v>
      </c>
      <c r="EC15" s="14">
        <f t="shared" si="18"/>
        <v>1.3109873382132029</v>
      </c>
      <c r="ED15" s="12">
        <f t="shared" si="28"/>
        <v>0.4522651695671871</v>
      </c>
    </row>
    <row r="16" spans="1:134" x14ac:dyDescent="0.35">
      <c r="A16" s="7" t="s">
        <v>195</v>
      </c>
      <c r="B16" s="7" t="s">
        <v>197</v>
      </c>
      <c r="C16" s="1">
        <f t="shared" si="0"/>
        <v>24</v>
      </c>
      <c r="D16">
        <v>0</v>
      </c>
      <c r="E16">
        <v>0</v>
      </c>
      <c r="F16">
        <v>0</v>
      </c>
      <c r="G16">
        <v>20</v>
      </c>
      <c r="H16">
        <v>0</v>
      </c>
      <c r="I16">
        <v>0</v>
      </c>
      <c r="J16">
        <v>4</v>
      </c>
      <c r="K16">
        <v>0</v>
      </c>
      <c r="L16" s="44">
        <v>87.5</v>
      </c>
      <c r="M16">
        <v>63.5</v>
      </c>
      <c r="N16" s="12">
        <f t="shared" si="1"/>
        <v>3.6458333333333335</v>
      </c>
      <c r="O16" s="12">
        <v>2.6458333333333335</v>
      </c>
      <c r="P16" s="20">
        <f>O16/O43</f>
        <v>2.4728658019829965E-2</v>
      </c>
      <c r="Q16" s="48">
        <f t="shared" si="51"/>
        <v>2.0933419949429436E-2</v>
      </c>
      <c r="R16" s="16">
        <v>0</v>
      </c>
      <c r="S16" s="16">
        <v>0</v>
      </c>
      <c r="T16" s="16">
        <f t="shared" si="2"/>
        <v>0</v>
      </c>
      <c r="U16" s="16">
        <f t="shared" si="3"/>
        <v>0</v>
      </c>
      <c r="V16" s="20">
        <f>U16/U43</f>
        <v>0</v>
      </c>
      <c r="W16" s="20">
        <f t="shared" si="52"/>
        <v>0</v>
      </c>
      <c r="X16" s="20">
        <f t="shared" si="19"/>
        <v>1.4837194811897977E-2</v>
      </c>
      <c r="Y16" s="20">
        <f t="shared" si="20"/>
        <v>1.2560051969657661E-2</v>
      </c>
      <c r="Z16" s="54">
        <v>19</v>
      </c>
      <c r="AA16" s="12">
        <v>7.1049306923203215E-2</v>
      </c>
      <c r="AB16" s="12">
        <f t="shared" si="53"/>
        <v>-0.32425597417408064</v>
      </c>
      <c r="AC16" s="12">
        <v>-0.27800000000000002</v>
      </c>
      <c r="AD16">
        <v>-0.26900000000000002</v>
      </c>
      <c r="AE16" s="54">
        <v>22</v>
      </c>
      <c r="AF16" s="123"/>
      <c r="AG16" s="118">
        <v>-0.15070290630558886</v>
      </c>
      <c r="AH16" s="123"/>
      <c r="AI16" s="123"/>
      <c r="AJ16" s="18"/>
      <c r="AK16" s="18"/>
      <c r="AL16" s="18"/>
      <c r="AM16" s="18"/>
      <c r="AN16" s="12"/>
      <c r="AO16" s="18"/>
      <c r="AP16" s="30"/>
      <c r="AQ16" s="30"/>
      <c r="AR16" s="12"/>
      <c r="AS16" s="12"/>
      <c r="AT16" s="18"/>
      <c r="AU16" s="18"/>
      <c r="AV16" s="18"/>
      <c r="AW16" s="30"/>
      <c r="AX16" s="24"/>
      <c r="AY16" s="12"/>
      <c r="AZ16" s="12"/>
      <c r="BA16" s="12"/>
      <c r="BB16" s="12"/>
      <c r="BC16" s="12"/>
      <c r="BD16" s="12"/>
      <c r="BE16" s="12"/>
      <c r="BF16" s="12"/>
      <c r="BG16" s="12"/>
      <c r="BJ16">
        <v>175</v>
      </c>
      <c r="BK16">
        <v>179</v>
      </c>
      <c r="BL16">
        <f t="shared" si="54"/>
        <v>-4</v>
      </c>
      <c r="BM16">
        <v>129</v>
      </c>
      <c r="BN16">
        <v>315</v>
      </c>
      <c r="BO16" s="16">
        <v>384</v>
      </c>
      <c r="BP16" s="16">
        <v>222</v>
      </c>
      <c r="BQ16" s="16">
        <f t="shared" si="31"/>
        <v>292.524</v>
      </c>
      <c r="BR16" s="16">
        <f t="shared" si="32"/>
        <v>218.81478334749363</v>
      </c>
      <c r="BS16" s="268"/>
      <c r="BT16" s="16"/>
      <c r="BU16" s="16"/>
      <c r="BV16" s="16"/>
      <c r="BW16" s="12"/>
      <c r="BX16" s="12"/>
      <c r="BY16" s="16"/>
      <c r="BZ16" s="16"/>
      <c r="CA16" s="16">
        <v>140</v>
      </c>
      <c r="CB16" s="16">
        <v>154</v>
      </c>
      <c r="CC16" s="16">
        <v>113.7</v>
      </c>
      <c r="CD16" s="16">
        <f t="shared" si="21"/>
        <v>407.7</v>
      </c>
      <c r="CE16" s="16">
        <f t="shared" si="6"/>
        <v>316.09148250460407</v>
      </c>
      <c r="CF16" s="16">
        <f t="shared" si="22"/>
        <v>91.608517495395915</v>
      </c>
      <c r="CG16" s="17">
        <f t="shared" si="7"/>
        <v>0.27620938123613514</v>
      </c>
      <c r="CH16" s="16">
        <f t="shared" si="33"/>
        <v>362</v>
      </c>
      <c r="CI16" s="16">
        <f t="shared" si="34"/>
        <v>142.856269</v>
      </c>
      <c r="CJ16" s="16">
        <f t="shared" si="35"/>
        <v>165.18521665250637</v>
      </c>
      <c r="CK16" s="16">
        <f t="shared" si="36"/>
        <v>96.185216652506369</v>
      </c>
      <c r="CL16" s="12">
        <f t="shared" si="37"/>
        <v>-0.14957724706992165</v>
      </c>
      <c r="CM16" s="16">
        <f t="shared" si="38"/>
        <v>0</v>
      </c>
      <c r="CN16" s="16">
        <f t="shared" si="39"/>
        <v>79.143731000000002</v>
      </c>
      <c r="CO16" s="16">
        <f t="shared" si="23"/>
        <v>362</v>
      </c>
      <c r="CP16" s="12">
        <f t="shared" si="40"/>
        <v>0.29332791169720873</v>
      </c>
      <c r="CQ16" s="12">
        <f t="shared" si="41"/>
        <v>0.23302572863685148</v>
      </c>
      <c r="CR16">
        <v>120</v>
      </c>
      <c r="CS16">
        <f t="shared" si="42"/>
        <v>46</v>
      </c>
      <c r="CT16">
        <v>59</v>
      </c>
      <c r="CU16" s="12">
        <v>-0.36299999999999999</v>
      </c>
      <c r="CV16" s="12">
        <v>-0.40600000000000003</v>
      </c>
      <c r="CW16" s="16">
        <v>0</v>
      </c>
      <c r="CX16" s="16">
        <v>0</v>
      </c>
      <c r="CY16">
        <v>62260</v>
      </c>
      <c r="CZ16" s="12">
        <f t="shared" si="43"/>
        <v>-0.68774455408952218</v>
      </c>
      <c r="DA16" s="16">
        <v>0</v>
      </c>
      <c r="DB16" s="16">
        <v>0</v>
      </c>
      <c r="DC16" s="16">
        <v>0</v>
      </c>
      <c r="DD16" s="16">
        <f t="shared" si="24"/>
        <v>0</v>
      </c>
      <c r="DE16" s="16">
        <f t="shared" si="44"/>
        <v>45407.344519966013</v>
      </c>
      <c r="DF16" s="16">
        <f t="shared" si="45"/>
        <v>70090.240000000005</v>
      </c>
      <c r="DG16" s="16">
        <f t="shared" si="8"/>
        <v>-45407.344519966013</v>
      </c>
      <c r="DH16" s="16">
        <f t="shared" si="9"/>
        <v>-70090.240000000005</v>
      </c>
      <c r="DI16" s="12">
        <f t="shared" si="46"/>
        <v>-0.19802659112893814</v>
      </c>
      <c r="DJ16" s="16">
        <f t="shared" si="47"/>
        <v>0</v>
      </c>
      <c r="DK16" s="16">
        <f t="shared" si="25"/>
        <v>0</v>
      </c>
      <c r="DL16" s="17">
        <f t="shared" si="48"/>
        <v>-0.18508576431904702</v>
      </c>
      <c r="DM16" s="17">
        <f t="shared" si="10"/>
        <v>6.5781131454492062E-2</v>
      </c>
      <c r="DN16" s="16">
        <v>67044.100000000006</v>
      </c>
      <c r="DO16">
        <f t="shared" ref="DO16:DO24" si="58">CW15-CY16</f>
        <v>-62260</v>
      </c>
      <c r="DP16" s="16">
        <f t="shared" si="55"/>
        <v>-67044.100000000006</v>
      </c>
      <c r="DQ16" s="12">
        <v>-0.15</v>
      </c>
      <c r="DR16" s="12">
        <f t="shared" si="56"/>
        <v>-0.20163993543520153</v>
      </c>
      <c r="DS16" s="12">
        <f t="shared" si="57"/>
        <v>-0.30359999999999998</v>
      </c>
      <c r="DT16" s="12">
        <f t="shared" si="14"/>
        <v>-0.16895698469352827</v>
      </c>
      <c r="DU16" s="12">
        <f t="shared" si="50"/>
        <v>-0.55342780665821023</v>
      </c>
      <c r="DV16" s="12">
        <f t="shared" si="15"/>
        <v>0.10196244129070643</v>
      </c>
      <c r="DW16" s="16">
        <v>0</v>
      </c>
      <c r="DX16" s="16">
        <v>0</v>
      </c>
      <c r="DY16" s="16">
        <f t="shared" si="26"/>
        <v>0</v>
      </c>
      <c r="DZ16" s="16">
        <f t="shared" si="16"/>
        <v>147162.19337016574</v>
      </c>
      <c r="EA16" s="16">
        <f t="shared" si="27"/>
        <v>-147162.19337016574</v>
      </c>
      <c r="EB16" s="17">
        <f t="shared" si="17"/>
        <v>-0.35829498208153748</v>
      </c>
      <c r="EC16" s="12">
        <f t="shared" si="18"/>
        <v>2.2407635909066081E-2</v>
      </c>
      <c r="ED16" s="12">
        <f t="shared" si="28"/>
        <v>-0.63401785511699738</v>
      </c>
    </row>
    <row r="17" spans="1:134" x14ac:dyDescent="0.35">
      <c r="A17" s="8" t="s">
        <v>195</v>
      </c>
      <c r="B17" s="8" t="s">
        <v>40</v>
      </c>
      <c r="C17" s="1">
        <f t="shared" si="0"/>
        <v>38</v>
      </c>
      <c r="D17">
        <v>0</v>
      </c>
      <c r="E17">
        <v>38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 s="44">
        <v>213.5</v>
      </c>
      <c r="M17">
        <v>144.5</v>
      </c>
      <c r="N17" s="12">
        <f t="shared" si="1"/>
        <v>5.6184210526315788</v>
      </c>
      <c r="O17" s="12">
        <v>3.8026315789473686</v>
      </c>
      <c r="P17" s="20">
        <f>O17/O43</f>
        <v>3.5540400336829807E-2</v>
      </c>
      <c r="Q17" s="48">
        <f t="shared" si="51"/>
        <v>3.2259501901015467E-2</v>
      </c>
      <c r="R17" s="16">
        <v>342370</v>
      </c>
      <c r="S17" s="16">
        <v>37350</v>
      </c>
      <c r="T17" s="16">
        <f t="shared" si="2"/>
        <v>9009.7368421052633</v>
      </c>
      <c r="U17" s="16">
        <f t="shared" si="3"/>
        <v>982.89473684210532</v>
      </c>
      <c r="V17" s="20">
        <f>U17/U43</f>
        <v>8.2247084572384492E-3</v>
      </c>
      <c r="W17" s="20">
        <f t="shared" si="52"/>
        <v>8.3069315866640722E-2</v>
      </c>
      <c r="X17" s="20">
        <f t="shared" si="19"/>
        <v>2.4614123584993264E-2</v>
      </c>
      <c r="Y17" s="20">
        <f t="shared" si="20"/>
        <v>5.2583427487265577E-2</v>
      </c>
      <c r="Z17" s="54">
        <v>35</v>
      </c>
      <c r="AA17" s="14">
        <v>0.81228214484606631</v>
      </c>
      <c r="AB17" s="12">
        <f t="shared" si="53"/>
        <v>0.28929744385795575</v>
      </c>
      <c r="AC17" s="12">
        <v>0.27100000000000002</v>
      </c>
      <c r="AD17">
        <v>-4.2999999999999997E-2</v>
      </c>
      <c r="AE17" s="54">
        <v>30</v>
      </c>
      <c r="AF17" s="123">
        <v>0</v>
      </c>
      <c r="AG17" s="118">
        <v>0.38874867157798454</v>
      </c>
      <c r="AH17" s="124">
        <v>201640.45</v>
      </c>
      <c r="AI17" s="103"/>
      <c r="AJ17" s="18"/>
      <c r="AK17" s="18"/>
      <c r="AL17" s="18"/>
      <c r="AM17" s="18"/>
      <c r="AN17" s="12"/>
      <c r="AO17" s="34" t="e">
        <f t="shared" ref="AO17:AO22" si="59">SUM(AP17:AQ17)</f>
        <v>#DIV/0!</v>
      </c>
      <c r="AP17" s="30"/>
      <c r="AQ17" s="34" t="e">
        <f>BF17*BI$14</f>
        <v>#DIV/0!</v>
      </c>
      <c r="AR17" s="12"/>
      <c r="AS17" s="12"/>
      <c r="AT17" s="18">
        <v>0</v>
      </c>
      <c r="AU17" s="35">
        <f>AVERAGE(AF17,AH17)</f>
        <v>100820.22500000001</v>
      </c>
      <c r="AV17" s="35">
        <f>AVERAGE(AF17,AW17,AT17)</f>
        <v>33049.03</v>
      </c>
      <c r="AW17" s="34">
        <v>99147.09</v>
      </c>
      <c r="AX17" s="293">
        <f>AV19-(BG19*AV$45)</f>
        <v>321627.84208415583</v>
      </c>
      <c r="AY17" s="12">
        <f>Z17*BB17</f>
        <v>3.0466301958925293</v>
      </c>
      <c r="AZ17" s="12"/>
      <c r="BA17" s="12"/>
      <c r="BB17" s="12">
        <f>DV17/BI$9</f>
        <v>8.7046577025500838E-2</v>
      </c>
      <c r="BC17" s="12"/>
      <c r="BD17" s="12" t="e">
        <f>DI17/BI$13</f>
        <v>#DIV/0!</v>
      </c>
      <c r="BE17" s="12"/>
      <c r="BF17" s="12" t="e">
        <f>Z17*BD17</f>
        <v>#DIV/0!</v>
      </c>
      <c r="BG17" s="12"/>
      <c r="BJ17">
        <v>427</v>
      </c>
      <c r="BK17">
        <v>434</v>
      </c>
      <c r="BL17">
        <f t="shared" si="54"/>
        <v>-7</v>
      </c>
      <c r="BM17">
        <v>204</v>
      </c>
      <c r="BN17">
        <v>647</v>
      </c>
      <c r="BO17" s="16">
        <v>832</v>
      </c>
      <c r="BP17" s="16">
        <v>426</v>
      </c>
      <c r="BQ17" s="16">
        <f t="shared" si="31"/>
        <v>538.86</v>
      </c>
      <c r="BR17" s="16">
        <f t="shared" si="32"/>
        <v>403.07986406117249</v>
      </c>
      <c r="BS17" s="267">
        <v>140258</v>
      </c>
      <c r="BT17" s="285">
        <v>0</v>
      </c>
      <c r="BU17" s="16">
        <f>AVERAGE(AX17,BS17,BT17)</f>
        <v>153961.94736138528</v>
      </c>
      <c r="BV17" s="296">
        <f>BU17-(BX17*BU$42)</f>
        <v>153961.94736138528</v>
      </c>
      <c r="BW17" s="12"/>
      <c r="BX17" s="12"/>
      <c r="BY17" s="16"/>
      <c r="BZ17" s="16"/>
      <c r="CA17" s="16">
        <v>150</v>
      </c>
      <c r="CB17" s="16">
        <v>221</v>
      </c>
      <c r="CC17" s="16">
        <v>184</v>
      </c>
      <c r="CD17" s="16">
        <f t="shared" si="21"/>
        <v>555</v>
      </c>
      <c r="CE17" s="16">
        <f t="shared" si="6"/>
        <v>431.03383977900558</v>
      </c>
      <c r="CF17" s="16">
        <f t="shared" si="22"/>
        <v>123.96616022099442</v>
      </c>
      <c r="CG17" s="109">
        <f t="shared" si="7"/>
        <v>0.37377110060296875</v>
      </c>
      <c r="CH17" s="16">
        <f t="shared" si="33"/>
        <v>576</v>
      </c>
      <c r="CI17" s="16">
        <f t="shared" si="34"/>
        <v>263.15628500000003</v>
      </c>
      <c r="CJ17" s="16">
        <f t="shared" si="35"/>
        <v>428.92013593882751</v>
      </c>
      <c r="CK17" s="16">
        <f t="shared" si="36"/>
        <v>243.92013593882751</v>
      </c>
      <c r="CL17" s="12">
        <f t="shared" si="37"/>
        <v>0.30061933718133971</v>
      </c>
      <c r="CM17" s="16">
        <f t="shared" si="38"/>
        <v>0</v>
      </c>
      <c r="CN17" s="16">
        <f t="shared" si="39"/>
        <v>162.84371499999997</v>
      </c>
      <c r="CO17" s="16">
        <f t="shared" si="23"/>
        <v>576</v>
      </c>
      <c r="CP17" s="14">
        <f t="shared" si="40"/>
        <v>0.63906400731237567</v>
      </c>
      <c r="CQ17" s="14">
        <f t="shared" si="41"/>
        <v>0.59093974505139324</v>
      </c>
      <c r="CR17">
        <v>191</v>
      </c>
      <c r="CS17">
        <f t="shared" si="42"/>
        <v>223</v>
      </c>
      <c r="CT17">
        <v>243</v>
      </c>
      <c r="CU17" s="12">
        <v>0.10100000000000001</v>
      </c>
      <c r="CV17" s="12">
        <v>4.4999999999999998E-2</v>
      </c>
      <c r="CW17" s="16">
        <v>342370</v>
      </c>
      <c r="CX17" s="16">
        <v>342370.32</v>
      </c>
      <c r="CY17">
        <v>103106</v>
      </c>
      <c r="CZ17" s="12">
        <f t="shared" si="43"/>
        <v>-0.33711926407079601</v>
      </c>
      <c r="DA17" s="16">
        <v>342370</v>
      </c>
      <c r="DB17" s="16">
        <v>342370</v>
      </c>
      <c r="DC17" s="16">
        <v>0</v>
      </c>
      <c r="DD17" s="16">
        <f t="shared" si="24"/>
        <v>342370</v>
      </c>
      <c r="DE17" s="16">
        <f t="shared" si="44"/>
        <v>83645.10832625319</v>
      </c>
      <c r="DF17" s="16">
        <f t="shared" si="45"/>
        <v>129113.60000000001</v>
      </c>
      <c r="DG17" s="16">
        <f t="shared" si="8"/>
        <v>258724.89167374681</v>
      </c>
      <c r="DH17" s="16">
        <f t="shared" si="9"/>
        <v>213256.4</v>
      </c>
      <c r="DI17" s="14">
        <f t="shared" si="46"/>
        <v>0.42742398529250092</v>
      </c>
      <c r="DJ17" s="16">
        <f t="shared" si="47"/>
        <v>0</v>
      </c>
      <c r="DK17" s="16">
        <f t="shared" si="25"/>
        <v>342370</v>
      </c>
      <c r="DL17" s="109">
        <f t="shared" si="48"/>
        <v>1.0545935867873102</v>
      </c>
      <c r="DM17" s="109">
        <f t="shared" si="10"/>
        <v>0.77640128174575995</v>
      </c>
      <c r="DN17" s="16">
        <v>106520.94</v>
      </c>
      <c r="DO17">
        <f t="shared" si="58"/>
        <v>-103106</v>
      </c>
      <c r="DP17" s="16">
        <f t="shared" si="55"/>
        <v>235849.38</v>
      </c>
      <c r="DQ17" s="12">
        <v>0.52600000000000002</v>
      </c>
      <c r="DR17" s="12">
        <f t="shared" si="56"/>
        <v>0.65574360964488931</v>
      </c>
      <c r="DS17" s="12">
        <f t="shared" si="57"/>
        <v>0.23740000000000003</v>
      </c>
      <c r="DT17" s="12">
        <f t="shared" si="14"/>
        <v>0.35134119642580419</v>
      </c>
      <c r="DU17" s="12">
        <f t="shared" si="50"/>
        <v>0.16962699756594968</v>
      </c>
      <c r="DV17" s="14">
        <f t="shared" si="15"/>
        <v>0.80527583910234946</v>
      </c>
      <c r="DW17" s="16">
        <v>0</v>
      </c>
      <c r="DX17" s="16">
        <v>0</v>
      </c>
      <c r="DY17" s="16">
        <f t="shared" si="26"/>
        <v>0</v>
      </c>
      <c r="DZ17" s="16">
        <f t="shared" si="16"/>
        <v>200675.71823204419</v>
      </c>
      <c r="EA17" s="16">
        <f t="shared" si="27"/>
        <v>-200675.71823204419</v>
      </c>
      <c r="EB17" s="17">
        <f t="shared" si="17"/>
        <v>-0.48858406647482383</v>
      </c>
      <c r="EC17" s="12">
        <f t="shared" si="18"/>
        <v>2.8829033771851698E-2</v>
      </c>
      <c r="ED17" s="12">
        <f t="shared" si="28"/>
        <v>-0.13442075941609771</v>
      </c>
    </row>
    <row r="18" spans="1:134" x14ac:dyDescent="0.35">
      <c r="A18" s="8" t="s">
        <v>207</v>
      </c>
      <c r="B18" s="8" t="s">
        <v>30</v>
      </c>
      <c r="C18" s="1">
        <f t="shared" si="0"/>
        <v>126</v>
      </c>
      <c r="D18">
        <v>0</v>
      </c>
      <c r="E18">
        <v>0</v>
      </c>
      <c r="F18">
        <v>0</v>
      </c>
      <c r="G18">
        <v>115</v>
      </c>
      <c r="H18">
        <v>11</v>
      </c>
      <c r="I18">
        <v>0</v>
      </c>
      <c r="J18">
        <v>0</v>
      </c>
      <c r="K18">
        <v>0</v>
      </c>
      <c r="L18" s="44">
        <v>454.5</v>
      </c>
      <c r="M18">
        <v>591.5</v>
      </c>
      <c r="N18" s="12">
        <f t="shared" si="1"/>
        <v>3.6071428571428572</v>
      </c>
      <c r="O18" s="12">
        <v>4.6944444444444446</v>
      </c>
      <c r="P18" s="20">
        <f>O18/O43</f>
        <v>4.3875519216286234E-2</v>
      </c>
      <c r="Q18" s="48">
        <f t="shared" si="51"/>
        <v>2.0711269370374267E-2</v>
      </c>
      <c r="R18" s="16">
        <v>140274</v>
      </c>
      <c r="S18" s="16">
        <v>114111</v>
      </c>
      <c r="T18" s="16">
        <f t="shared" si="2"/>
        <v>1113.2857142857142</v>
      </c>
      <c r="U18" s="16">
        <f t="shared" si="3"/>
        <v>905.64285714285711</v>
      </c>
      <c r="V18" s="20">
        <f>U18/U43</f>
        <v>7.5782768868127735E-3</v>
      </c>
      <c r="W18" s="20">
        <f t="shared" si="52"/>
        <v>1.026443771560917E-2</v>
      </c>
      <c r="X18" s="20">
        <f t="shared" si="19"/>
        <v>2.9356622284496849E-2</v>
      </c>
      <c r="Y18" s="20">
        <f t="shared" si="20"/>
        <v>1.6532536708468229E-2</v>
      </c>
      <c r="Z18" s="54">
        <v>118</v>
      </c>
      <c r="AA18" s="14">
        <v>0.818354770356296</v>
      </c>
      <c r="AB18" s="14">
        <f t="shared" si="53"/>
        <v>0.86594235443976353</v>
      </c>
      <c r="AC18" s="12">
        <v>-0.14599999999999999</v>
      </c>
      <c r="AD18" s="37">
        <v>0.95</v>
      </c>
      <c r="AE18" s="54">
        <v>107</v>
      </c>
      <c r="AF18" s="125">
        <v>621945.62006330281</v>
      </c>
      <c r="AG18" s="119">
        <v>1.0742437387344856</v>
      </c>
      <c r="AH18" s="122">
        <v>0</v>
      </c>
      <c r="AI18" s="115" t="e">
        <f>AR18*#REF!</f>
        <v>#REF!</v>
      </c>
      <c r="AJ18" s="34" t="e">
        <f>AM18*#REF!</f>
        <v>#DIV/0!</v>
      </c>
      <c r="AK18" s="34" t="e">
        <f>C18*AN18</f>
        <v>#REF!</v>
      </c>
      <c r="AL18" s="30" t="e">
        <f>AJ18-AF18</f>
        <v>#DIV/0!</v>
      </c>
      <c r="AM18" s="34" t="e">
        <f>C18*AS18</f>
        <v>#DIV/0!</v>
      </c>
      <c r="AN18" s="12" t="e">
        <f>AD18/#REF!</f>
        <v>#REF!</v>
      </c>
      <c r="AO18" s="34" t="e">
        <f t="shared" si="59"/>
        <v>#DIV/0!</v>
      </c>
      <c r="AP18" s="34" t="e">
        <f>BE18*#REF!</f>
        <v>#DIV/0!</v>
      </c>
      <c r="AQ18" s="30"/>
      <c r="AR18" s="12">
        <f>Z18*AZ18</f>
        <v>19.3747166782953</v>
      </c>
      <c r="AS18" s="12" t="e">
        <f>AB18/BI$2</f>
        <v>#DIV/0!</v>
      </c>
      <c r="AT18" s="18">
        <v>0</v>
      </c>
      <c r="AU18" s="35">
        <f>AVERAGE(AF18,AH18)</f>
        <v>310972.8100316514</v>
      </c>
      <c r="AV18" s="35">
        <f>AVERAGE(AF18,AW18,AT18)</f>
        <v>310972.81002110097</v>
      </c>
      <c r="AW18" s="34">
        <v>310972.81</v>
      </c>
      <c r="AX18" s="293">
        <f>AV20-(BG20*AV$45)</f>
        <v>838805.32697018387</v>
      </c>
      <c r="AY18" s="12"/>
      <c r="AZ18" s="12">
        <f>AG18/BI$6</f>
        <v>0.16419251422284153</v>
      </c>
      <c r="BA18" s="12"/>
      <c r="BB18" s="12"/>
      <c r="BC18" s="12" t="e">
        <f>CL18/BI$12</f>
        <v>#DIV/0!</v>
      </c>
      <c r="BD18" s="12"/>
      <c r="BE18" s="12" t="e">
        <f>Z18*BC18</f>
        <v>#DIV/0!</v>
      </c>
      <c r="BF18" s="12"/>
      <c r="BG18" s="12"/>
      <c r="BJ18">
        <v>909</v>
      </c>
      <c r="BK18">
        <v>1614</v>
      </c>
      <c r="BL18">
        <f t="shared" si="54"/>
        <v>-705</v>
      </c>
      <c r="BM18">
        <v>676</v>
      </c>
      <c r="BN18">
        <v>2142</v>
      </c>
      <c r="BO18" s="16">
        <v>2849</v>
      </c>
      <c r="BP18" s="16">
        <v>1179</v>
      </c>
      <c r="BQ18" s="16">
        <f t="shared" si="31"/>
        <v>1816.7280000000001</v>
      </c>
      <c r="BR18" s="16">
        <f t="shared" si="32"/>
        <v>1358.9549702633815</v>
      </c>
      <c r="BS18" s="267">
        <v>383259</v>
      </c>
      <c r="BT18" s="285">
        <v>0</v>
      </c>
      <c r="BU18" s="16">
        <f>AVERAGE(AX18,BS18,BT18)</f>
        <v>407354.7756567279</v>
      </c>
      <c r="BV18" s="296">
        <f>BU18-(BX18*BU$42)</f>
        <v>407354.7756567279</v>
      </c>
      <c r="BW18" s="12"/>
      <c r="BX18" s="12"/>
      <c r="BY18" s="16"/>
      <c r="BZ18" s="16"/>
      <c r="CA18" s="16">
        <v>592</v>
      </c>
      <c r="CB18" s="16">
        <v>485</v>
      </c>
      <c r="CC18" s="16">
        <v>529.37</v>
      </c>
      <c r="CD18" s="16">
        <f t="shared" si="21"/>
        <v>1606.37</v>
      </c>
      <c r="CE18" s="16">
        <f t="shared" si="6"/>
        <v>1537.3540285451199</v>
      </c>
      <c r="CF18" s="16">
        <f t="shared" si="22"/>
        <v>69.015971454879946</v>
      </c>
      <c r="CG18" s="17">
        <f t="shared" si="7"/>
        <v>0.20809046246077753</v>
      </c>
      <c r="CH18" s="16">
        <f t="shared" si="33"/>
        <v>1771</v>
      </c>
      <c r="CI18" s="16">
        <f t="shared" si="34"/>
        <v>887.21261800000002</v>
      </c>
      <c r="CJ18" s="16">
        <f t="shared" si="35"/>
        <v>1490.0450297366185</v>
      </c>
      <c r="CK18" s="16">
        <f t="shared" si="36"/>
        <v>783.04502973661852</v>
      </c>
      <c r="CL18" s="14">
        <f t="shared" si="37"/>
        <v>2.1119638642711398</v>
      </c>
      <c r="CM18" s="16">
        <f t="shared" si="38"/>
        <v>0</v>
      </c>
      <c r="CN18" s="16">
        <f t="shared" si="39"/>
        <v>291.78738199999998</v>
      </c>
      <c r="CO18" s="16">
        <f t="shared" si="23"/>
        <v>1771</v>
      </c>
      <c r="CP18" s="14">
        <f t="shared" si="40"/>
        <v>1.171686331145583</v>
      </c>
      <c r="CQ18" s="14">
        <f t="shared" si="41"/>
        <v>1.8970653179381882</v>
      </c>
      <c r="CR18">
        <v>632</v>
      </c>
      <c r="CS18">
        <f t="shared" si="42"/>
        <v>233</v>
      </c>
      <c r="CT18">
        <v>982</v>
      </c>
      <c r="CU18" s="12">
        <v>0.128</v>
      </c>
      <c r="CV18" s="12">
        <v>1.859</v>
      </c>
      <c r="CW18" s="16">
        <v>140274</v>
      </c>
      <c r="CX18" s="16">
        <v>140273.79</v>
      </c>
      <c r="CY18">
        <v>384372</v>
      </c>
      <c r="CZ18" s="14">
        <f t="shared" si="43"/>
        <v>1.6208116778562032</v>
      </c>
      <c r="DA18" s="16">
        <v>56657</v>
      </c>
      <c r="DB18" s="16">
        <v>170768</v>
      </c>
      <c r="DC18" s="16">
        <v>61464</v>
      </c>
      <c r="DD18" s="16">
        <f t="shared" si="24"/>
        <v>118121</v>
      </c>
      <c r="DE18" s="16">
        <f t="shared" si="44"/>
        <v>282003.50807136786</v>
      </c>
      <c r="DF18" s="16">
        <f t="shared" si="45"/>
        <v>435297.28000000003</v>
      </c>
      <c r="DG18" s="16">
        <f t="shared" si="8"/>
        <v>-225346.50807136786</v>
      </c>
      <c r="DH18" s="16">
        <f t="shared" si="9"/>
        <v>-264529.28000000003</v>
      </c>
      <c r="DI18" s="12">
        <f t="shared" si="46"/>
        <v>-0.62722529151526096</v>
      </c>
      <c r="DJ18" s="16">
        <f t="shared" si="47"/>
        <v>0</v>
      </c>
      <c r="DK18" s="16">
        <f t="shared" si="25"/>
        <v>118121</v>
      </c>
      <c r="DL18" s="17">
        <f t="shared" si="48"/>
        <v>-0.91853930512668169</v>
      </c>
      <c r="DM18" s="109">
        <f t="shared" si="10"/>
        <v>0.77082346871224017</v>
      </c>
      <c r="DN18" s="16">
        <v>356402.06</v>
      </c>
      <c r="DO18">
        <f t="shared" si="58"/>
        <v>-42002</v>
      </c>
      <c r="DP18" s="16">
        <f t="shared" si="55"/>
        <v>-216128.27</v>
      </c>
      <c r="DQ18" s="12">
        <v>-0.55700000000000005</v>
      </c>
      <c r="DR18" s="12">
        <f t="shared" si="56"/>
        <v>-0.62364411390059105</v>
      </c>
      <c r="DS18" s="12">
        <f t="shared" si="57"/>
        <v>0.89259999999999995</v>
      </c>
      <c r="DT18" s="14">
        <f t="shared" si="14"/>
        <v>1.0162882019565795</v>
      </c>
      <c r="DU18" s="12">
        <f t="shared" si="50"/>
        <v>-0.30396682430063809</v>
      </c>
      <c r="DV18" s="12">
        <f t="shared" si="15"/>
        <v>0.33559607663667707</v>
      </c>
      <c r="DW18" s="16">
        <v>21625</v>
      </c>
      <c r="DX18" s="16">
        <v>413099</v>
      </c>
      <c r="DY18" s="16">
        <f t="shared" si="26"/>
        <v>496188</v>
      </c>
      <c r="DZ18" s="16">
        <f t="shared" si="16"/>
        <v>715743.39502762433</v>
      </c>
      <c r="EA18" s="16">
        <f t="shared" si="27"/>
        <v>-219555.39502762433</v>
      </c>
      <c r="EB18" s="17">
        <f t="shared" si="17"/>
        <v>-0.53455031163782207</v>
      </c>
      <c r="EC18" s="12">
        <f t="shared" si="18"/>
        <v>-8.8965847178662322E-2</v>
      </c>
      <c r="ED18" s="12">
        <f t="shared" si="28"/>
        <v>0.8509002769934666</v>
      </c>
    </row>
    <row r="19" spans="1:134" x14ac:dyDescent="0.35">
      <c r="A19" s="7" t="s">
        <v>207</v>
      </c>
      <c r="B19" s="7" t="s">
        <v>42</v>
      </c>
      <c r="C19" s="1">
        <f t="shared" si="0"/>
        <v>68</v>
      </c>
      <c r="D19">
        <v>0</v>
      </c>
      <c r="E19">
        <v>0</v>
      </c>
      <c r="F19">
        <v>0</v>
      </c>
      <c r="G19">
        <v>68</v>
      </c>
      <c r="H19">
        <v>0</v>
      </c>
      <c r="I19">
        <v>0</v>
      </c>
      <c r="J19">
        <v>0</v>
      </c>
      <c r="K19">
        <v>0</v>
      </c>
      <c r="L19" s="44">
        <v>563.5</v>
      </c>
      <c r="M19">
        <v>514.5</v>
      </c>
      <c r="N19" s="12">
        <f t="shared" si="1"/>
        <v>8.2867647058823533</v>
      </c>
      <c r="O19" s="12">
        <v>7.5661764705882355</v>
      </c>
      <c r="P19" s="20">
        <f>O19/O43</f>
        <v>7.0715486157679572E-2</v>
      </c>
      <c r="Q19" s="48">
        <f t="shared" si="51"/>
        <v>4.7580432167409023E-2</v>
      </c>
      <c r="R19" s="16">
        <v>115346</v>
      </c>
      <c r="S19" s="16">
        <v>115346</v>
      </c>
      <c r="T19" s="16">
        <f t="shared" si="2"/>
        <v>1696.2647058823529</v>
      </c>
      <c r="U19" s="16">
        <f t="shared" si="3"/>
        <v>1696.2647058823529</v>
      </c>
      <c r="V19" s="20">
        <f>U19/U43</f>
        <v>1.4194076078796674E-2</v>
      </c>
      <c r="W19" s="20">
        <f t="shared" si="52"/>
        <v>1.5639474394842635E-2</v>
      </c>
      <c r="X19" s="20">
        <f t="shared" si="19"/>
        <v>4.8106922126126411E-2</v>
      </c>
      <c r="Y19" s="20">
        <f t="shared" si="20"/>
        <v>3.4804049058382469E-2</v>
      </c>
      <c r="Z19" s="54">
        <v>65</v>
      </c>
      <c r="AA19" s="14">
        <v>0.63362175549836441</v>
      </c>
      <c r="AB19" s="14">
        <f t="shared" si="53"/>
        <v>0.74788233070537369</v>
      </c>
      <c r="AC19" s="12">
        <v>0.83399999999999996</v>
      </c>
      <c r="AD19" s="37">
        <v>1.2689999999999999</v>
      </c>
      <c r="AE19" s="54">
        <v>60</v>
      </c>
      <c r="AF19" s="125">
        <v>292075.89625246736</v>
      </c>
      <c r="AG19" s="119">
        <v>0.91458832678167457</v>
      </c>
      <c r="AH19" s="124">
        <v>252625.73</v>
      </c>
      <c r="AI19" s="115" t="e">
        <f>AR19*#REF!</f>
        <v>#REF!</v>
      </c>
      <c r="AJ19" s="34" t="e">
        <f>AM19*#REF!</f>
        <v>#DIV/0!</v>
      </c>
      <c r="AK19" s="34" t="e">
        <f>C19*AN19</f>
        <v>#REF!</v>
      </c>
      <c r="AL19" s="30" t="e">
        <f>AJ19-AF19</f>
        <v>#DIV/0!</v>
      </c>
      <c r="AM19" s="34" t="e">
        <f>C19*AS19</f>
        <v>#DIV/0!</v>
      </c>
      <c r="AN19" s="12" t="e">
        <f>AD19/#REF!</f>
        <v>#REF!</v>
      </c>
      <c r="AO19" s="34" t="e">
        <f t="shared" si="59"/>
        <v>#DIV/0!</v>
      </c>
      <c r="AP19" s="34" t="e">
        <f>BE19*#REF!</f>
        <v>#DIV/0!</v>
      </c>
      <c r="AQ19" s="30"/>
      <c r="AR19" s="12">
        <f>Z19*AZ19</f>
        <v>9.0863514894239259</v>
      </c>
      <c r="AS19" s="12" t="e">
        <f>AB19/BI$2</f>
        <v>#DIV/0!</v>
      </c>
      <c r="AT19" s="18">
        <v>401585.53</v>
      </c>
      <c r="AU19" s="35">
        <f>AVERAGE(AF19,AH19)</f>
        <v>272350.8131262337</v>
      </c>
      <c r="AV19" s="35">
        <f>AVERAGE(AF19,AW19,AT19)</f>
        <v>321627.84208415583</v>
      </c>
      <c r="AW19" s="34">
        <v>271222.09999999998</v>
      </c>
      <c r="AX19" s="293">
        <f>AV21-(BG21*AV$45)</f>
        <v>146440.86666666667</v>
      </c>
      <c r="AY19" s="12">
        <f>Z19*BB19</f>
        <v>3.7886638247213589</v>
      </c>
      <c r="AZ19" s="12">
        <f>AG19/BI$6</f>
        <v>0.13979002291421425</v>
      </c>
      <c r="BA19" s="12">
        <f>Z19*BG19</f>
        <v>3.8943107891808326</v>
      </c>
      <c r="BB19" s="12">
        <f>DV19/BI$9</f>
        <v>5.828713576494398E-2</v>
      </c>
      <c r="BC19" s="12" t="e">
        <f>CL19/BI$12</f>
        <v>#DIV/0!</v>
      </c>
      <c r="BD19" s="12"/>
      <c r="BE19" s="12" t="e">
        <f>Z19*BC19</f>
        <v>#DIV/0!</v>
      </c>
      <c r="BF19" s="12"/>
      <c r="BG19" s="12">
        <f>ED19/BI$6</f>
        <v>5.9912473679705119E-2</v>
      </c>
      <c r="BJ19">
        <v>1127</v>
      </c>
      <c r="BK19">
        <v>1135</v>
      </c>
      <c r="BL19">
        <f t="shared" si="54"/>
        <v>-8</v>
      </c>
      <c r="BM19">
        <v>365</v>
      </c>
      <c r="BN19">
        <v>1321</v>
      </c>
      <c r="BO19" s="16">
        <v>1957</v>
      </c>
      <c r="BP19" s="16">
        <v>808</v>
      </c>
      <c r="BQ19" s="16">
        <f t="shared" si="31"/>
        <v>1000.74</v>
      </c>
      <c r="BR19" s="16">
        <f t="shared" si="32"/>
        <v>748.5768903993204</v>
      </c>
      <c r="BS19" s="267">
        <v>340446</v>
      </c>
      <c r="BT19" s="285">
        <f>BW19*BZ$4</f>
        <v>620759.82414491824</v>
      </c>
      <c r="BU19" s="16">
        <f>AVERAGE(AX19,BS19,BT19)</f>
        <v>369215.56360386166</v>
      </c>
      <c r="BV19" s="296">
        <f>BU19-(BX19*BU$42)</f>
        <v>510283.94775902817</v>
      </c>
      <c r="BW19" s="12">
        <f>AE19*BX19</f>
        <v>7.5596972149292325</v>
      </c>
      <c r="BX19" s="12">
        <f>EC19/BZ3</f>
        <v>0.12599495358215387</v>
      </c>
      <c r="BY19" s="16"/>
      <c r="BZ19" s="16"/>
      <c r="CA19" s="16">
        <v>570</v>
      </c>
      <c r="CB19" s="16">
        <v>487</v>
      </c>
      <c r="CC19" s="16">
        <v>585.1</v>
      </c>
      <c r="CD19" s="16">
        <f t="shared" si="21"/>
        <v>1642.1</v>
      </c>
      <c r="CE19" s="16">
        <f t="shared" si="6"/>
        <v>862.06767955801115</v>
      </c>
      <c r="CF19" s="16">
        <f t="shared" si="22"/>
        <v>780.03232044198876</v>
      </c>
      <c r="CG19" s="109">
        <f t="shared" si="7"/>
        <v>2.3518800485369327</v>
      </c>
      <c r="CH19" s="16">
        <f t="shared" si="33"/>
        <v>1378</v>
      </c>
      <c r="CI19" s="16">
        <f t="shared" si="34"/>
        <v>488.71881500000001</v>
      </c>
      <c r="CJ19" s="16">
        <f t="shared" si="35"/>
        <v>1208.4231096006797</v>
      </c>
      <c r="CK19" s="16">
        <f t="shared" si="36"/>
        <v>572.4231096006796</v>
      </c>
      <c r="CL19" s="14">
        <f t="shared" si="37"/>
        <v>1.6312340965234033</v>
      </c>
      <c r="CM19" s="16">
        <f t="shared" si="38"/>
        <v>0</v>
      </c>
      <c r="CN19" s="16">
        <f t="shared" si="39"/>
        <v>319.28118499999999</v>
      </c>
      <c r="CO19" s="16">
        <f t="shared" si="23"/>
        <v>1378</v>
      </c>
      <c r="CP19" s="14">
        <f t="shared" si="40"/>
        <v>1.2852538570704692</v>
      </c>
      <c r="CQ19" s="14">
        <f t="shared" si="41"/>
        <v>1.3867964001700337</v>
      </c>
      <c r="CR19">
        <v>341</v>
      </c>
      <c r="CS19">
        <f t="shared" si="42"/>
        <v>762</v>
      </c>
      <c r="CT19">
        <v>794</v>
      </c>
      <c r="CU19" s="14">
        <v>1.5149999999999999</v>
      </c>
      <c r="CV19" s="12">
        <v>1.3979999999999999</v>
      </c>
      <c r="CW19" s="16">
        <v>115346</v>
      </c>
      <c r="CX19" s="16">
        <v>115346</v>
      </c>
      <c r="CY19">
        <v>195304</v>
      </c>
      <c r="CZ19" s="14">
        <f t="shared" si="43"/>
        <v>0.97690635553209382</v>
      </c>
      <c r="DA19" s="16">
        <v>13090</v>
      </c>
      <c r="DB19" s="16">
        <v>128436</v>
      </c>
      <c r="DC19" s="16">
        <v>19120</v>
      </c>
      <c r="DD19" s="16">
        <f t="shared" si="24"/>
        <v>32210</v>
      </c>
      <c r="DE19" s="16">
        <f t="shared" si="44"/>
        <v>155340.91546304163</v>
      </c>
      <c r="DF19" s="16">
        <f t="shared" si="45"/>
        <v>239782.39999999999</v>
      </c>
      <c r="DG19" s="16">
        <f t="shared" si="8"/>
        <v>-142250.91546304163</v>
      </c>
      <c r="DH19" s="16">
        <f t="shared" si="9"/>
        <v>-111346.4</v>
      </c>
      <c r="DI19" s="12">
        <f t="shared" si="46"/>
        <v>-0.28909415788369164</v>
      </c>
      <c r="DJ19" s="16">
        <f t="shared" si="47"/>
        <v>0</v>
      </c>
      <c r="DK19" s="16">
        <f t="shared" si="25"/>
        <v>32210</v>
      </c>
      <c r="DL19" s="17">
        <f t="shared" si="48"/>
        <v>-0.57983173629508933</v>
      </c>
      <c r="DM19" s="109">
        <f t="shared" si="10"/>
        <v>0.60014514558398446</v>
      </c>
      <c r="DN19" s="16">
        <v>191453.14</v>
      </c>
      <c r="DO19">
        <f t="shared" si="58"/>
        <v>-55030</v>
      </c>
      <c r="DP19" s="16">
        <f t="shared" si="55"/>
        <v>-76107.140000000014</v>
      </c>
      <c r="DQ19" s="12">
        <v>-0.189</v>
      </c>
      <c r="DR19" s="12">
        <f t="shared" si="56"/>
        <v>-0.22729417323656548</v>
      </c>
      <c r="DS19" s="12">
        <f t="shared" si="57"/>
        <v>0.76319999999999988</v>
      </c>
      <c r="DT19" s="14">
        <f t="shared" si="14"/>
        <v>0.86310279476056528</v>
      </c>
      <c r="DU19" s="12">
        <f t="shared" si="50"/>
        <v>-0.48540316885682527</v>
      </c>
      <c r="DV19" s="14">
        <f t="shared" si="15"/>
        <v>0.5392196197242457</v>
      </c>
      <c r="DW19" s="16">
        <v>124510</v>
      </c>
      <c r="DX19" s="16">
        <v>41911</v>
      </c>
      <c r="DY19" s="16">
        <f t="shared" si="26"/>
        <v>185541</v>
      </c>
      <c r="DZ19" s="16">
        <f t="shared" si="16"/>
        <v>401351.43646408839</v>
      </c>
      <c r="EA19" s="16">
        <f t="shared" si="27"/>
        <v>-215810.43646408839</v>
      </c>
      <c r="EB19" s="17">
        <f t="shared" si="17"/>
        <v>-0.52543248163889633</v>
      </c>
      <c r="EC19" s="14">
        <f t="shared" si="18"/>
        <v>1.2009550364666008</v>
      </c>
      <c r="ED19" s="12">
        <f t="shared" si="28"/>
        <v>0.39198254577652614</v>
      </c>
    </row>
    <row r="20" spans="1:134" x14ac:dyDescent="0.35">
      <c r="A20" s="7" t="s">
        <v>207</v>
      </c>
      <c r="B20" s="7" t="s">
        <v>44</v>
      </c>
      <c r="C20" s="1">
        <f t="shared" si="0"/>
        <v>116</v>
      </c>
      <c r="D20">
        <v>0</v>
      </c>
      <c r="E20">
        <v>10</v>
      </c>
      <c r="F20">
        <v>58</v>
      </c>
      <c r="G20">
        <v>0</v>
      </c>
      <c r="H20">
        <v>0</v>
      </c>
      <c r="I20">
        <v>17</v>
      </c>
      <c r="J20">
        <v>24</v>
      </c>
      <c r="K20">
        <v>7</v>
      </c>
      <c r="L20" s="44">
        <v>785</v>
      </c>
      <c r="M20">
        <v>565</v>
      </c>
      <c r="N20" s="12">
        <f t="shared" si="1"/>
        <v>6.7672413793103452</v>
      </c>
      <c r="O20" s="12">
        <v>4.8706896551724137</v>
      </c>
      <c r="P20" s="20">
        <f>O20/O43</f>
        <v>4.5522753563520812E-2</v>
      </c>
      <c r="Q20" s="48">
        <f t="shared" si="51"/>
        <v>3.8855727275591188E-2</v>
      </c>
      <c r="R20" s="16">
        <v>498786</v>
      </c>
      <c r="S20" s="16">
        <v>238025</v>
      </c>
      <c r="T20" s="16">
        <f t="shared" si="2"/>
        <v>4299.8793103448279</v>
      </c>
      <c r="U20" s="16">
        <f t="shared" si="3"/>
        <v>2051.9396551724139</v>
      </c>
      <c r="V20" s="20">
        <f>U20/U43</f>
        <v>1.7170308073743E-2</v>
      </c>
      <c r="W20" s="20">
        <f t="shared" si="52"/>
        <v>3.9644668748838319E-2</v>
      </c>
      <c r="X20" s="20">
        <f t="shared" si="19"/>
        <v>3.418177536760969E-2</v>
      </c>
      <c r="Y20" s="20">
        <f t="shared" si="20"/>
        <v>3.9171303864890039E-2</v>
      </c>
      <c r="Z20" s="54">
        <v>103</v>
      </c>
      <c r="AA20" s="14">
        <v>1.3185469858521652</v>
      </c>
      <c r="AB20" s="14">
        <f t="shared" si="53"/>
        <v>1.3497285477974232</v>
      </c>
      <c r="AC20" s="12">
        <v>1.329</v>
      </c>
      <c r="AD20" s="37">
        <v>1.0820000000000001</v>
      </c>
      <c r="AE20" s="54">
        <v>73</v>
      </c>
      <c r="AF20" s="125">
        <v>907392.75091055152</v>
      </c>
      <c r="AG20" s="119">
        <v>1.4462939268621613</v>
      </c>
      <c r="AH20" s="124">
        <v>823338.18</v>
      </c>
      <c r="AI20" s="115" t="e">
        <f>AR20*#REF!</f>
        <v>#REF!</v>
      </c>
      <c r="AJ20" s="34" t="e">
        <f>AM20*#REF!</f>
        <v>#DIV/0!</v>
      </c>
      <c r="AK20" s="34" t="e">
        <f>C20*AN20</f>
        <v>#REF!</v>
      </c>
      <c r="AL20" s="30" t="e">
        <f>AJ20-AF20</f>
        <v>#DIV/0!</v>
      </c>
      <c r="AM20" s="34" t="e">
        <f>C20*AS20</f>
        <v>#DIV/0!</v>
      </c>
      <c r="AN20" s="12" t="e">
        <f>AD20/#REF!</f>
        <v>#REF!</v>
      </c>
      <c r="AO20" s="34" t="e">
        <f t="shared" si="59"/>
        <v>#DIV/0!</v>
      </c>
      <c r="AP20" s="34" t="e">
        <f>BE20*#REF!</f>
        <v>#DIV/0!</v>
      </c>
      <c r="AQ20" s="34" t="e">
        <f>BF20*BI$14</f>
        <v>#DIV/0!</v>
      </c>
      <c r="AR20" s="12">
        <f>Z20*AZ20</f>
        <v>22.769018465918329</v>
      </c>
      <c r="AS20" s="12" t="e">
        <f>AB20/BI$2</f>
        <v>#DIV/0!</v>
      </c>
      <c r="AT20" s="18">
        <v>745979.23</v>
      </c>
      <c r="AU20" s="35">
        <f>AVERAGE(AF20,AH20)</f>
        <v>865365.46545527573</v>
      </c>
      <c r="AV20" s="35">
        <f>AVERAGE(AF20,AW20,AT20)</f>
        <v>838805.32697018387</v>
      </c>
      <c r="AW20" s="34">
        <v>863044</v>
      </c>
      <c r="AX20" s="293">
        <f>AV22-(BG22*AV$45)</f>
        <v>0</v>
      </c>
      <c r="AY20" s="12">
        <f>Z20*BB20</f>
        <v>12.453809006616607</v>
      </c>
      <c r="AZ20" s="12">
        <f>AG20/BI$6</f>
        <v>0.22105843170794492</v>
      </c>
      <c r="BA20" s="12">
        <f>Z20*BG20</f>
        <v>18.805255129387426</v>
      </c>
      <c r="BB20" s="12">
        <f>DV20/BI$9</f>
        <v>0.12091076705453017</v>
      </c>
      <c r="BC20" s="12" t="e">
        <f>CL20/BI$12</f>
        <v>#DIV/0!</v>
      </c>
      <c r="BD20" s="12" t="e">
        <f>DI20/BI$13</f>
        <v>#DIV/0!</v>
      </c>
      <c r="BE20" s="12" t="e">
        <f>Z20*BC20</f>
        <v>#DIV/0!</v>
      </c>
      <c r="BF20" s="12" t="e">
        <f>Z20*BD20</f>
        <v>#DIV/0!</v>
      </c>
      <c r="BG20" s="12">
        <f>ED20/BI$6</f>
        <v>0.18257529251832452</v>
      </c>
      <c r="BJ20">
        <v>1570</v>
      </c>
      <c r="BK20">
        <v>1595</v>
      </c>
      <c r="BL20">
        <f t="shared" si="54"/>
        <v>-25</v>
      </c>
      <c r="BM20">
        <v>623</v>
      </c>
      <c r="BN20">
        <v>1630</v>
      </c>
      <c r="BO20" s="16">
        <v>2440</v>
      </c>
      <c r="BP20" s="16">
        <v>988</v>
      </c>
      <c r="BQ20" s="16">
        <f t="shared" si="31"/>
        <v>1585.788</v>
      </c>
      <c r="BR20" s="16">
        <f t="shared" si="32"/>
        <v>1186.2064570943076</v>
      </c>
      <c r="BS20" s="267">
        <v>561020</v>
      </c>
      <c r="BT20" s="285">
        <f>BW20*BZ$4</f>
        <v>906546.00461162091</v>
      </c>
      <c r="BU20" s="16">
        <f>AVERAGE(AX20,BS20,BT20)</f>
        <v>489188.66820387362</v>
      </c>
      <c r="BV20" s="296">
        <f>BU20-(BX20*BU$42)</f>
        <v>658514.93321718811</v>
      </c>
      <c r="BW20" s="12">
        <f>AE20*BX20</f>
        <v>11.040040027892962</v>
      </c>
      <c r="BX20" s="12">
        <f>EC20/BZ3</f>
        <v>0.15123342503962961</v>
      </c>
      <c r="BY20" s="16"/>
      <c r="BZ20" s="16"/>
      <c r="CA20" s="16">
        <v>590</v>
      </c>
      <c r="CB20" s="16">
        <v>563</v>
      </c>
      <c r="CC20" s="16">
        <v>466.2</v>
      </c>
      <c r="CD20" s="16">
        <f t="shared" si="21"/>
        <v>1619.2</v>
      </c>
      <c r="CE20" s="16">
        <f t="shared" si="6"/>
        <v>1048.8490101289135</v>
      </c>
      <c r="CF20" s="16">
        <f t="shared" si="22"/>
        <v>570.35098987108654</v>
      </c>
      <c r="CG20" s="109">
        <f t="shared" si="7"/>
        <v>1.7196686324241339</v>
      </c>
      <c r="CH20" s="16">
        <f t="shared" si="33"/>
        <v>1578</v>
      </c>
      <c r="CI20" s="16">
        <f t="shared" si="34"/>
        <v>774.43135299999994</v>
      </c>
      <c r="CJ20" s="16">
        <f t="shared" si="35"/>
        <v>1253.7935429056924</v>
      </c>
      <c r="CK20" s="16">
        <f t="shared" si="36"/>
        <v>443.79354290569245</v>
      </c>
      <c r="CL20" s="14">
        <f t="shared" si="37"/>
        <v>1.7086816114569172</v>
      </c>
      <c r="CM20" s="16">
        <f t="shared" si="38"/>
        <v>0</v>
      </c>
      <c r="CN20" s="16">
        <f t="shared" si="39"/>
        <v>213.56864700000006</v>
      </c>
      <c r="CO20" s="16">
        <f t="shared" si="23"/>
        <v>1578</v>
      </c>
      <c r="CP20" s="14">
        <f t="shared" si="40"/>
        <v>0.84859140626653651</v>
      </c>
      <c r="CQ20" s="14">
        <f t="shared" si="41"/>
        <v>1.0751684853353605</v>
      </c>
      <c r="CR20">
        <v>582</v>
      </c>
      <c r="CS20">
        <f t="shared" si="42"/>
        <v>947</v>
      </c>
      <c r="CT20">
        <v>1013</v>
      </c>
      <c r="CU20" s="14">
        <v>2.0009999999999999</v>
      </c>
      <c r="CV20" s="12">
        <v>1.9350000000000001</v>
      </c>
      <c r="CW20" s="16">
        <v>498786</v>
      </c>
      <c r="CX20" s="16">
        <v>498786</v>
      </c>
      <c r="CY20">
        <v>351018</v>
      </c>
      <c r="CZ20" s="14">
        <f t="shared" si="43"/>
        <v>1.3045935424654826</v>
      </c>
      <c r="DA20" s="16">
        <v>619919</v>
      </c>
      <c r="DB20" s="16">
        <v>792728</v>
      </c>
      <c r="DC20" s="16">
        <v>129556</v>
      </c>
      <c r="DD20" s="16">
        <f t="shared" si="24"/>
        <v>749475</v>
      </c>
      <c r="DE20" s="16">
        <f t="shared" si="44"/>
        <v>246155.60450297367</v>
      </c>
      <c r="DF20" s="16">
        <f t="shared" si="45"/>
        <v>379962.88</v>
      </c>
      <c r="DG20" s="16">
        <f t="shared" si="8"/>
        <v>373763.39549702633</v>
      </c>
      <c r="DH20" s="16">
        <f t="shared" si="9"/>
        <v>412765.12</v>
      </c>
      <c r="DI20" s="14">
        <f t="shared" si="46"/>
        <v>0.86781333991870546</v>
      </c>
      <c r="DJ20" s="16">
        <f t="shared" si="47"/>
        <v>0</v>
      </c>
      <c r="DK20" s="16">
        <f t="shared" si="25"/>
        <v>749475</v>
      </c>
      <c r="DL20" s="109">
        <f t="shared" si="48"/>
        <v>1.5235042802300642</v>
      </c>
      <c r="DM20" s="109">
        <f t="shared" si="10"/>
        <v>1.2545028032932422</v>
      </c>
      <c r="DN20" s="16">
        <v>327912.03000000003</v>
      </c>
      <c r="DO20">
        <f t="shared" si="58"/>
        <v>-235672</v>
      </c>
      <c r="DP20" s="16">
        <f t="shared" si="55"/>
        <v>170873.96999999997</v>
      </c>
      <c r="DQ20" s="12">
        <v>0.32100000000000001</v>
      </c>
      <c r="DR20" s="12">
        <f t="shared" si="56"/>
        <v>0.47182136949355818</v>
      </c>
      <c r="DS20" s="12">
        <f t="shared" si="57"/>
        <v>1.2894000000000001</v>
      </c>
      <c r="DT20" s="14">
        <f t="shared" si="14"/>
        <v>1.3723343028416324</v>
      </c>
      <c r="DU20" s="12">
        <f t="shared" si="50"/>
        <v>1.029396329206212</v>
      </c>
      <c r="DV20" s="14">
        <f t="shared" si="15"/>
        <v>1.1185565558519477</v>
      </c>
      <c r="DW20" s="16">
        <v>349143</v>
      </c>
      <c r="DX20" s="16">
        <v>430323</v>
      </c>
      <c r="DY20" s="16">
        <f t="shared" si="26"/>
        <v>909022</v>
      </c>
      <c r="DZ20" s="16">
        <f t="shared" si="16"/>
        <v>488310.91436464089</v>
      </c>
      <c r="EA20" s="16">
        <f t="shared" si="27"/>
        <v>420711.08563535911</v>
      </c>
      <c r="EB20" s="109">
        <f t="shared" si="17"/>
        <v>1.024302964213528</v>
      </c>
      <c r="EC20" s="14">
        <f t="shared" si="18"/>
        <v>1.4415223651398916</v>
      </c>
      <c r="ED20" s="12">
        <f t="shared" si="28"/>
        <v>1.1945146571617744</v>
      </c>
    </row>
    <row r="21" spans="1:134" x14ac:dyDescent="0.35">
      <c r="A21" s="7" t="s">
        <v>207</v>
      </c>
      <c r="B21" s="7" t="s">
        <v>14</v>
      </c>
      <c r="C21" s="1">
        <f t="shared" si="0"/>
        <v>78</v>
      </c>
      <c r="D21">
        <v>72</v>
      </c>
      <c r="E21">
        <v>6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 s="44">
        <v>354.5</v>
      </c>
      <c r="M21">
        <v>307.5</v>
      </c>
      <c r="N21" s="12">
        <f t="shared" si="1"/>
        <v>4.5448717948717947</v>
      </c>
      <c r="O21" s="12">
        <v>3.9423076923076925</v>
      </c>
      <c r="P21" s="20">
        <f>O21/O43</f>
        <v>3.6845850229425631E-2</v>
      </c>
      <c r="Q21" s="48">
        <f t="shared" si="51"/>
        <v>2.6095463286409614E-2</v>
      </c>
      <c r="R21" s="16">
        <v>44627</v>
      </c>
      <c r="S21" s="16">
        <v>58996</v>
      </c>
      <c r="T21" s="16">
        <f t="shared" si="2"/>
        <v>572.14102564102564</v>
      </c>
      <c r="U21" s="16">
        <f t="shared" si="3"/>
        <v>756.35897435897436</v>
      </c>
      <c r="V21" s="20">
        <f>U21/U43</f>
        <v>6.3290928519009722E-3</v>
      </c>
      <c r="W21" s="20">
        <f t="shared" si="52"/>
        <v>5.2751111838392657E-3</v>
      </c>
      <c r="X21" s="20">
        <f t="shared" si="19"/>
        <v>2.4639147278415766E-2</v>
      </c>
      <c r="Y21" s="20">
        <f t="shared" si="20"/>
        <v>1.7767322445381473E-2</v>
      </c>
      <c r="Z21" s="54">
        <v>61</v>
      </c>
      <c r="AA21" s="14">
        <v>0.63767644853839611</v>
      </c>
      <c r="AB21" s="12">
        <f t="shared" si="53"/>
        <v>-4.1581216830495982E-2</v>
      </c>
      <c r="AC21" s="12">
        <v>-1E-3</v>
      </c>
      <c r="AD21">
        <v>0.22500000000000001</v>
      </c>
      <c r="AE21" s="54">
        <v>56</v>
      </c>
      <c r="AF21" s="123">
        <v>0</v>
      </c>
      <c r="AG21" s="120">
        <v>0.49011518659292069</v>
      </c>
      <c r="AH21" s="124">
        <v>312158.11</v>
      </c>
      <c r="AI21" s="115" t="e">
        <f>AR21*#REF!</f>
        <v>#REF!</v>
      </c>
      <c r="AJ21" s="18"/>
      <c r="AK21" s="18"/>
      <c r="AL21" s="18"/>
      <c r="AM21" s="18"/>
      <c r="AN21" s="12"/>
      <c r="AO21" s="34" t="e">
        <f t="shared" si="59"/>
        <v>#DIV/0!</v>
      </c>
      <c r="AP21" s="34" t="e">
        <f>BE21*#REF!</f>
        <v>#DIV/0!</v>
      </c>
      <c r="AQ21" s="30"/>
      <c r="AR21" s="12">
        <f>Z21*AZ21</f>
        <v>4.5696034824068077</v>
      </c>
      <c r="AS21" s="12"/>
      <c r="AT21" s="18">
        <v>284729.71000000002</v>
      </c>
      <c r="AU21" s="35">
        <f>AVERAGE(AF21,AH21)</f>
        <v>156079.05499999999</v>
      </c>
      <c r="AV21" s="35">
        <f>AVERAGE(AF21,AW21,AT21)</f>
        <v>146440.86666666667</v>
      </c>
      <c r="AW21" s="34">
        <v>154592.89000000001</v>
      </c>
      <c r="AX21" s="293">
        <f>AV23-(BG23*AV$45)</f>
        <v>0</v>
      </c>
      <c r="AY21" s="12">
        <f>Z21*BB21</f>
        <v>4.7040699258071257</v>
      </c>
      <c r="AZ21" s="12">
        <f>AG21/BI$6</f>
        <v>7.4911532498472252E-2</v>
      </c>
      <c r="BA21" s="12">
        <f>Z21*BG21</f>
        <v>2.4307054065509135</v>
      </c>
      <c r="BB21" s="12">
        <f>DV21/BI$9</f>
        <v>7.7115900423067638E-2</v>
      </c>
      <c r="BC21" s="12" t="e">
        <f>CL21/BI$12</f>
        <v>#DIV/0!</v>
      </c>
      <c r="BD21" s="12"/>
      <c r="BE21" s="12" t="e">
        <f>Z21*BC21</f>
        <v>#DIV/0!</v>
      </c>
      <c r="BF21" s="12"/>
      <c r="BG21" s="12">
        <f>ED21/BI$6</f>
        <v>3.9847629615588742E-2</v>
      </c>
      <c r="BJ21">
        <v>709</v>
      </c>
      <c r="BK21">
        <v>719</v>
      </c>
      <c r="BL21">
        <f t="shared" si="54"/>
        <v>-10</v>
      </c>
      <c r="BM21">
        <v>419</v>
      </c>
      <c r="BN21">
        <v>1138</v>
      </c>
      <c r="BO21" s="16">
        <v>1463</v>
      </c>
      <c r="BP21" s="16">
        <v>766</v>
      </c>
      <c r="BQ21" s="16">
        <f t="shared" si="31"/>
        <v>939.15600000000006</v>
      </c>
      <c r="BR21" s="16">
        <f t="shared" si="32"/>
        <v>702.51062022090059</v>
      </c>
      <c r="BS21" s="267">
        <v>143856</v>
      </c>
      <c r="BT21" s="285">
        <f>BW21*BZ$4</f>
        <v>222301.30159108236</v>
      </c>
      <c r="BU21" s="16">
        <f>AVERAGE(AX21,BS21,BT21)</f>
        <v>122052.43386369412</v>
      </c>
      <c r="BV21" s="296">
        <f>BU21-(BX21*BU$42)</f>
        <v>176179.10513577165</v>
      </c>
      <c r="BW21" s="12">
        <f>AE21*BX21</f>
        <v>2.707215359544473</v>
      </c>
      <c r="BX21" s="12">
        <f>EC21/BZ3</f>
        <v>4.8343131420437016E-2</v>
      </c>
      <c r="BY21" s="16"/>
      <c r="BZ21" s="16"/>
      <c r="CA21" s="16">
        <v>375</v>
      </c>
      <c r="CB21" s="16">
        <v>419</v>
      </c>
      <c r="CC21" s="16">
        <v>397.1</v>
      </c>
      <c r="CD21" s="16">
        <f t="shared" si="21"/>
        <v>1191.0999999999999</v>
      </c>
      <c r="CE21" s="16">
        <f t="shared" si="6"/>
        <v>804.5965009208104</v>
      </c>
      <c r="CF21" s="16">
        <f t="shared" si="22"/>
        <v>386.50349907918951</v>
      </c>
      <c r="CG21" s="109">
        <f t="shared" si="7"/>
        <v>1.1653489789487024</v>
      </c>
      <c r="CH21" s="16">
        <f t="shared" si="33"/>
        <v>1141</v>
      </c>
      <c r="CI21" s="16">
        <f t="shared" si="34"/>
        <v>458.64381099999997</v>
      </c>
      <c r="CJ21" s="16">
        <f t="shared" si="35"/>
        <v>760.48937977909941</v>
      </c>
      <c r="CK21" s="16">
        <f t="shared" si="36"/>
        <v>435.48937977909941</v>
      </c>
      <c r="CL21" s="14">
        <f t="shared" si="37"/>
        <v>0.86660939046514118</v>
      </c>
      <c r="CM21" s="16">
        <f t="shared" si="38"/>
        <v>0</v>
      </c>
      <c r="CN21" s="16">
        <f t="shared" si="39"/>
        <v>307.35618900000003</v>
      </c>
      <c r="CO21" s="16">
        <f t="shared" si="23"/>
        <v>1141</v>
      </c>
      <c r="CP21" s="14">
        <f t="shared" si="40"/>
        <v>1.2359957645328832</v>
      </c>
      <c r="CQ21" s="14">
        <f t="shared" si="41"/>
        <v>1.0550501788986801</v>
      </c>
      <c r="CR21">
        <v>391</v>
      </c>
      <c r="CS21">
        <f t="shared" si="42"/>
        <v>290</v>
      </c>
      <c r="CT21">
        <v>328</v>
      </c>
      <c r="CU21" s="12">
        <v>0.27700000000000002</v>
      </c>
      <c r="CV21" s="12">
        <v>0.254</v>
      </c>
      <c r="CW21" s="16">
        <v>44627</v>
      </c>
      <c r="CX21" s="16">
        <v>52702.94</v>
      </c>
      <c r="CY21">
        <v>227049</v>
      </c>
      <c r="CZ21" s="14">
        <f t="shared" si="43"/>
        <v>0.58859703901602789</v>
      </c>
      <c r="DA21" s="16">
        <v>128491</v>
      </c>
      <c r="DB21" s="16">
        <v>166158</v>
      </c>
      <c r="DC21" s="16">
        <v>24119</v>
      </c>
      <c r="DD21" s="16">
        <f t="shared" si="24"/>
        <v>152610</v>
      </c>
      <c r="DE21" s="16">
        <f t="shared" si="44"/>
        <v>145781.47451146983</v>
      </c>
      <c r="DF21" s="16">
        <f t="shared" si="45"/>
        <v>225026.56</v>
      </c>
      <c r="DG21" s="16">
        <f t="shared" si="8"/>
        <v>-17290.474511469831</v>
      </c>
      <c r="DH21" s="16">
        <f t="shared" si="9"/>
        <v>-58868.56</v>
      </c>
      <c r="DI21" s="12">
        <f t="shared" si="46"/>
        <v>-0.17325620308263223</v>
      </c>
      <c r="DJ21" s="16">
        <f t="shared" si="47"/>
        <v>0</v>
      </c>
      <c r="DK21" s="16">
        <f t="shared" si="25"/>
        <v>152610</v>
      </c>
      <c r="DL21" s="17">
        <f t="shared" si="48"/>
        <v>-7.0478041035569233E-2</v>
      </c>
      <c r="DM21" s="109">
        <f t="shared" si="10"/>
        <v>0.60483889092498033</v>
      </c>
      <c r="DN21" s="16">
        <v>219834.91</v>
      </c>
      <c r="DO21">
        <f t="shared" si="58"/>
        <v>271737</v>
      </c>
      <c r="DP21" s="16">
        <f t="shared" si="55"/>
        <v>-167131.97</v>
      </c>
      <c r="DQ21" s="12">
        <v>-0.41899999999999998</v>
      </c>
      <c r="DR21" s="12">
        <f t="shared" si="56"/>
        <v>-0.48495304207623996</v>
      </c>
      <c r="DS21" s="12">
        <f t="shared" si="57"/>
        <v>-1.5199999999999991E-2</v>
      </c>
      <c r="DT21" s="14">
        <f t="shared" si="14"/>
        <v>0.45066315304603183</v>
      </c>
      <c r="DU21" s="12">
        <f t="shared" si="50"/>
        <v>-0.23112914242755617</v>
      </c>
      <c r="DV21" s="14">
        <f t="shared" si="15"/>
        <v>0.7134062423055022</v>
      </c>
      <c r="DW21" s="16">
        <v>84687</v>
      </c>
      <c r="DX21" s="16">
        <v>20980</v>
      </c>
      <c r="DY21" s="16">
        <f t="shared" si="26"/>
        <v>129786</v>
      </c>
      <c r="DZ21" s="16">
        <f t="shared" si="16"/>
        <v>374594.67403314915</v>
      </c>
      <c r="EA21" s="16">
        <f t="shared" si="27"/>
        <v>-244808.67403314915</v>
      </c>
      <c r="EB21" s="17">
        <f t="shared" si="17"/>
        <v>-0.596034331015172</v>
      </c>
      <c r="EC21" s="14">
        <f t="shared" si="18"/>
        <v>0.46079565496315267</v>
      </c>
      <c r="ED21" s="12">
        <f t="shared" si="28"/>
        <v>0.26070656643859424</v>
      </c>
    </row>
    <row r="22" spans="1:134" x14ac:dyDescent="0.35">
      <c r="A22" s="7" t="s">
        <v>207</v>
      </c>
      <c r="B22" s="7" t="s">
        <v>208</v>
      </c>
      <c r="C22" s="1">
        <f t="shared" si="0"/>
        <v>59</v>
      </c>
      <c r="D22">
        <v>33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26</v>
      </c>
      <c r="L22" s="44">
        <v>223.5</v>
      </c>
      <c r="M22">
        <v>120</v>
      </c>
      <c r="N22" s="12">
        <f t="shared" si="1"/>
        <v>3.7881355932203391</v>
      </c>
      <c r="O22" s="12">
        <v>2.0338983050847457</v>
      </c>
      <c r="P22" s="20">
        <f>O22/O43</f>
        <v>1.9009351420555261E-2</v>
      </c>
      <c r="Q22" s="48">
        <f t="shared" si="51"/>
        <v>2.1750482248666245E-2</v>
      </c>
      <c r="R22" s="16">
        <v>269200</v>
      </c>
      <c r="S22" s="16">
        <v>630858</v>
      </c>
      <c r="T22" s="16">
        <f t="shared" si="2"/>
        <v>4562.7118644067796</v>
      </c>
      <c r="U22" s="16">
        <f t="shared" si="3"/>
        <v>10692.508474576271</v>
      </c>
      <c r="V22" s="20">
        <f>U22/U43</f>
        <v>8.9473227990301663E-2</v>
      </c>
      <c r="W22" s="20">
        <f t="shared" si="52"/>
        <v>4.2067971541809406E-2</v>
      </c>
      <c r="X22" s="20">
        <f t="shared" si="19"/>
        <v>4.7194902048453828E-2</v>
      </c>
      <c r="Y22" s="20">
        <f t="shared" si="20"/>
        <v>2.9877477965923507E-2</v>
      </c>
      <c r="Z22" s="54">
        <v>49</v>
      </c>
      <c r="AA22" s="12">
        <v>-0.18513567780259307</v>
      </c>
      <c r="AB22" s="12">
        <f t="shared" si="53"/>
        <v>1.9776255096240883E-2</v>
      </c>
      <c r="AC22" s="12">
        <v>2E-3</v>
      </c>
      <c r="AD22">
        <v>0.26</v>
      </c>
      <c r="AE22" s="54">
        <v>42</v>
      </c>
      <c r="AF22" s="122"/>
      <c r="AG22" s="117">
        <v>3.8483920043474958E-2</v>
      </c>
      <c r="AH22" s="122"/>
      <c r="AI22" s="103"/>
      <c r="AJ22" s="30"/>
      <c r="AK22" s="30"/>
      <c r="AL22" s="30"/>
      <c r="AM22" s="30"/>
      <c r="AN22" s="12"/>
      <c r="AO22" s="34" t="e">
        <f t="shared" si="59"/>
        <v>#DIV/0!</v>
      </c>
      <c r="AP22" s="30"/>
      <c r="AQ22" s="34" t="e">
        <f>BF22*BI$14</f>
        <v>#DIV/0!</v>
      </c>
      <c r="AR22" s="12"/>
      <c r="AS22" s="12"/>
      <c r="AT22" s="18"/>
      <c r="AU22" s="18"/>
      <c r="AV22" s="18"/>
      <c r="AW22" s="30"/>
      <c r="AX22" s="24"/>
      <c r="AY22" s="12"/>
      <c r="AZ22" s="12"/>
      <c r="BA22" s="12"/>
      <c r="BB22" s="12"/>
      <c r="BC22" s="12"/>
      <c r="BD22" s="12" t="e">
        <f>DI22/BI$13</f>
        <v>#DIV/0!</v>
      </c>
      <c r="BE22" s="12"/>
      <c r="BF22" s="12" t="e">
        <f>Z22*BD22</f>
        <v>#DIV/0!</v>
      </c>
      <c r="BG22" s="12"/>
      <c r="BJ22">
        <v>447</v>
      </c>
      <c r="BK22">
        <v>458</v>
      </c>
      <c r="BL22">
        <f t="shared" si="54"/>
        <v>-11</v>
      </c>
      <c r="BM22">
        <v>317</v>
      </c>
      <c r="BN22">
        <v>569</v>
      </c>
      <c r="BO22" s="16">
        <v>769</v>
      </c>
      <c r="BP22" s="16">
        <v>285</v>
      </c>
      <c r="BQ22" s="16">
        <f t="shared" si="31"/>
        <v>754.404</v>
      </c>
      <c r="BR22" s="16">
        <f t="shared" si="32"/>
        <v>564.31180968564149</v>
      </c>
      <c r="BS22" s="268"/>
      <c r="BT22" s="16"/>
      <c r="BU22" s="16"/>
      <c r="BV22" s="16"/>
      <c r="BW22" s="12"/>
      <c r="BX22" s="12"/>
      <c r="BY22" s="16"/>
      <c r="BZ22" s="16"/>
      <c r="CA22" s="16">
        <v>193</v>
      </c>
      <c r="CB22" s="16">
        <v>180</v>
      </c>
      <c r="CC22" s="16">
        <v>180.33</v>
      </c>
      <c r="CD22" s="16">
        <f t="shared" si="21"/>
        <v>553.33000000000004</v>
      </c>
      <c r="CE22" s="16">
        <f t="shared" si="6"/>
        <v>603.44737569060783</v>
      </c>
      <c r="CF22" s="16">
        <f t="shared" si="22"/>
        <v>-50.117375690607787</v>
      </c>
      <c r="CG22" s="17">
        <f t="shared" si="7"/>
        <v>-0.15110919494333452</v>
      </c>
      <c r="CH22" s="16">
        <f t="shared" si="33"/>
        <v>478</v>
      </c>
      <c r="CI22" s="16">
        <f t="shared" si="34"/>
        <v>368.41879899999998</v>
      </c>
      <c r="CJ22" s="16">
        <f t="shared" si="35"/>
        <v>204.68819031435851</v>
      </c>
      <c r="CK22" s="16">
        <f t="shared" si="36"/>
        <v>4.6881903143585077</v>
      </c>
      <c r="CL22" s="12">
        <f t="shared" si="37"/>
        <v>-8.2145509708566614E-2</v>
      </c>
      <c r="CM22" s="16">
        <f t="shared" si="38"/>
        <v>0</v>
      </c>
      <c r="CN22" s="16">
        <f t="shared" si="39"/>
        <v>-83.418798999999979</v>
      </c>
      <c r="CO22" s="16">
        <f t="shared" si="23"/>
        <v>478</v>
      </c>
      <c r="CP22" s="12">
        <f t="shared" si="40"/>
        <v>-0.37816247252465041</v>
      </c>
      <c r="CQ22" s="12">
        <f t="shared" si="41"/>
        <v>1.1357971651074515E-2</v>
      </c>
      <c r="CR22">
        <v>296</v>
      </c>
      <c r="CS22">
        <f t="shared" si="42"/>
        <v>130</v>
      </c>
      <c r="CT22">
        <v>162</v>
      </c>
      <c r="CU22" s="12">
        <v>-0.14299999999999999</v>
      </c>
      <c r="CV22" s="12">
        <v>-0.154</v>
      </c>
      <c r="CW22" s="16">
        <v>269200</v>
      </c>
      <c r="CX22" s="16">
        <v>269200</v>
      </c>
      <c r="CY22">
        <v>167120</v>
      </c>
      <c r="CZ22" s="12">
        <f t="shared" si="43"/>
        <v>-0.49768598566815658</v>
      </c>
      <c r="DA22" s="16">
        <v>0</v>
      </c>
      <c r="DB22" s="16">
        <v>269200</v>
      </c>
      <c r="DC22" s="16">
        <v>0</v>
      </c>
      <c r="DD22" s="16">
        <f t="shared" si="24"/>
        <v>0</v>
      </c>
      <c r="DE22" s="16">
        <f t="shared" si="44"/>
        <v>117103.15165675446</v>
      </c>
      <c r="DF22" s="16">
        <f t="shared" si="45"/>
        <v>180759.04000000001</v>
      </c>
      <c r="DG22" s="16">
        <f t="shared" si="8"/>
        <v>-117103.15165675446</v>
      </c>
      <c r="DH22" s="16">
        <f t="shared" si="9"/>
        <v>88440.959999999992</v>
      </c>
      <c r="DI22" s="14">
        <f t="shared" si="46"/>
        <v>0.15191025802791949</v>
      </c>
      <c r="DJ22" s="16">
        <f t="shared" si="47"/>
        <v>0</v>
      </c>
      <c r="DK22" s="16">
        <f t="shared" si="25"/>
        <v>0</v>
      </c>
      <c r="DL22" s="17">
        <f t="shared" si="48"/>
        <v>-0.47732644482280551</v>
      </c>
      <c r="DM22" s="17">
        <f t="shared" si="10"/>
        <v>-0.18411579493847752</v>
      </c>
      <c r="DN22" s="16">
        <v>165936.35</v>
      </c>
      <c r="DO22">
        <f t="shared" si="58"/>
        <v>-122493</v>
      </c>
      <c r="DP22" s="16">
        <f t="shared" si="55"/>
        <v>103263.65</v>
      </c>
      <c r="DQ22" s="12">
        <v>0.219</v>
      </c>
      <c r="DR22" s="12">
        <f t="shared" si="56"/>
        <v>0.28044063774060218</v>
      </c>
      <c r="DS22" s="12">
        <f t="shared" si="57"/>
        <v>-4.7999999999999848E-3</v>
      </c>
      <c r="DT22" s="12">
        <f t="shared" si="14"/>
        <v>1.1476797386027832E-2</v>
      </c>
      <c r="DU22" s="12">
        <f t="shared" si="50"/>
        <v>-0.55342780665821023</v>
      </c>
      <c r="DV22" s="12">
        <f t="shared" si="15"/>
        <v>-0.41782806144391244</v>
      </c>
      <c r="DW22" s="16">
        <v>500</v>
      </c>
      <c r="DX22" s="16">
        <v>11214</v>
      </c>
      <c r="DY22" s="16">
        <f t="shared" si="26"/>
        <v>11714</v>
      </c>
      <c r="DZ22" s="16">
        <f t="shared" si="16"/>
        <v>280946.00552486186</v>
      </c>
      <c r="EA22" s="16">
        <f t="shared" si="27"/>
        <v>-269232.00552486186</v>
      </c>
      <c r="EB22" s="17">
        <f t="shared" si="17"/>
        <v>-0.65549768174944223</v>
      </c>
      <c r="EC22" s="12">
        <f t="shared" si="18"/>
        <v>-0.35286458966577761</v>
      </c>
      <c r="ED22" s="12">
        <f t="shared" si="28"/>
        <v>-0.51998271406417806</v>
      </c>
    </row>
    <row r="23" spans="1:134" x14ac:dyDescent="0.35">
      <c r="A23" s="8" t="s">
        <v>207</v>
      </c>
      <c r="B23" s="8" t="s">
        <v>209</v>
      </c>
      <c r="C23" s="1">
        <f t="shared" si="0"/>
        <v>48</v>
      </c>
      <c r="D23">
        <v>0</v>
      </c>
      <c r="E23">
        <v>8</v>
      </c>
      <c r="F23">
        <v>21</v>
      </c>
      <c r="G23">
        <v>0</v>
      </c>
      <c r="H23">
        <v>0</v>
      </c>
      <c r="I23">
        <v>0</v>
      </c>
      <c r="J23">
        <v>19</v>
      </c>
      <c r="K23">
        <v>0</v>
      </c>
      <c r="L23" s="44">
        <v>375.5</v>
      </c>
      <c r="M23">
        <v>249.5</v>
      </c>
      <c r="N23" s="12">
        <f t="shared" si="1"/>
        <v>7.822916666666667</v>
      </c>
      <c r="O23" s="12">
        <v>5.197916666666667</v>
      </c>
      <c r="P23" s="20">
        <f>O23/O43</f>
        <v>4.858110374761871E-2</v>
      </c>
      <c r="Q23" s="48">
        <f t="shared" si="51"/>
        <v>4.4917138234347162E-2</v>
      </c>
      <c r="R23" s="16">
        <v>10000</v>
      </c>
      <c r="S23" s="16">
        <v>146028</v>
      </c>
      <c r="T23" s="16">
        <f t="shared" si="2"/>
        <v>208.33333333333334</v>
      </c>
      <c r="U23" s="16">
        <f t="shared" si="3"/>
        <v>3042.25</v>
      </c>
      <c r="V23" s="20">
        <f>U23/U43</f>
        <v>2.5457069171439882E-2</v>
      </c>
      <c r="W23" s="20">
        <f t="shared" si="52"/>
        <v>1.9208227471572831E-3</v>
      </c>
      <c r="X23" s="20">
        <f t="shared" si="19"/>
        <v>3.9331489917147175E-2</v>
      </c>
      <c r="Y23" s="20">
        <f t="shared" si="20"/>
        <v>2.7718612039471208E-2</v>
      </c>
      <c r="Z23" s="54">
        <v>56</v>
      </c>
      <c r="AA23" s="12">
        <v>8.894609507075929E-2</v>
      </c>
      <c r="AB23" s="12">
        <f t="shared" si="53"/>
        <v>0.25536128364088984</v>
      </c>
      <c r="AC23" s="12">
        <v>0.371</v>
      </c>
      <c r="AD23" s="37">
        <v>0.40600000000000003</v>
      </c>
      <c r="AE23" s="54">
        <v>51</v>
      </c>
      <c r="AF23" s="122"/>
      <c r="AG23" s="117">
        <v>0.10448322335693246</v>
      </c>
      <c r="AH23" s="122"/>
      <c r="AI23" s="103"/>
      <c r="AJ23" s="30"/>
      <c r="AK23" s="34" t="e">
        <f>C23*AN23</f>
        <v>#REF!</v>
      </c>
      <c r="AL23" s="30"/>
      <c r="AM23" s="30"/>
      <c r="AN23" s="12" t="e">
        <f>AD23/#REF!</f>
        <v>#REF!</v>
      </c>
      <c r="AO23" s="18"/>
      <c r="AP23" s="30"/>
      <c r="AQ23" s="30"/>
      <c r="AR23" s="12"/>
      <c r="AS23" s="12"/>
      <c r="AT23" s="18"/>
      <c r="AU23" s="18"/>
      <c r="AV23" s="18"/>
      <c r="AW23" s="30"/>
      <c r="AX23" s="24"/>
      <c r="AY23" s="12"/>
      <c r="AZ23" s="12"/>
      <c r="BA23" s="12"/>
      <c r="BB23" s="12"/>
      <c r="BC23" s="12"/>
      <c r="BD23" s="12"/>
      <c r="BE23" s="12"/>
      <c r="BF23" s="12"/>
      <c r="BG23" s="12"/>
      <c r="BJ23">
        <v>751</v>
      </c>
      <c r="BK23">
        <v>738</v>
      </c>
      <c r="BL23">
        <f t="shared" si="54"/>
        <v>13</v>
      </c>
      <c r="BM23">
        <v>258</v>
      </c>
      <c r="BN23">
        <v>795</v>
      </c>
      <c r="BO23" s="16">
        <v>1085</v>
      </c>
      <c r="BP23" s="16">
        <v>570</v>
      </c>
      <c r="BQ23" s="16">
        <f t="shared" si="31"/>
        <v>862.17600000000004</v>
      </c>
      <c r="BR23" s="16">
        <f t="shared" si="32"/>
        <v>644.92778249787602</v>
      </c>
      <c r="BS23" s="268"/>
      <c r="BT23" s="16"/>
      <c r="BU23" s="16"/>
      <c r="BV23" s="16"/>
      <c r="BW23" s="12"/>
      <c r="BX23" s="12"/>
      <c r="BY23" s="16"/>
      <c r="BZ23" s="16"/>
      <c r="CA23" s="16">
        <v>182</v>
      </c>
      <c r="CB23" s="16">
        <v>380</v>
      </c>
      <c r="CC23" s="16">
        <v>313.45999999999998</v>
      </c>
      <c r="CD23" s="16">
        <f t="shared" si="21"/>
        <v>875.46</v>
      </c>
      <c r="CE23" s="16">
        <f t="shared" si="6"/>
        <v>732.75752762430943</v>
      </c>
      <c r="CF23" s="16">
        <f t="shared" si="22"/>
        <v>142.7024723756906</v>
      </c>
      <c r="CG23" s="109">
        <f t="shared" si="7"/>
        <v>0.43026306585233326</v>
      </c>
      <c r="CH23" s="16">
        <f t="shared" si="33"/>
        <v>752</v>
      </c>
      <c r="CI23" s="16">
        <f t="shared" si="34"/>
        <v>421.05005599999998</v>
      </c>
      <c r="CJ23" s="16">
        <f t="shared" si="35"/>
        <v>440.07221750212398</v>
      </c>
      <c r="CK23" s="16">
        <f t="shared" si="36"/>
        <v>150.07221750212398</v>
      </c>
      <c r="CL23" s="12">
        <f t="shared" si="37"/>
        <v>0.31965598595228589</v>
      </c>
      <c r="CM23" s="16">
        <f t="shared" si="38"/>
        <v>0</v>
      </c>
      <c r="CN23" s="16">
        <f t="shared" si="39"/>
        <v>148.94994400000002</v>
      </c>
      <c r="CO23" s="16">
        <f t="shared" si="23"/>
        <v>752</v>
      </c>
      <c r="CP23" s="12">
        <f t="shared" si="40"/>
        <v>0.58167357652195617</v>
      </c>
      <c r="CQ23" s="12">
        <f t="shared" si="41"/>
        <v>0.36357653544536911</v>
      </c>
      <c r="CR23">
        <v>241</v>
      </c>
      <c r="CS23">
        <f t="shared" si="42"/>
        <v>493</v>
      </c>
      <c r="CT23">
        <v>497</v>
      </c>
      <c r="CU23" s="14">
        <v>0.81</v>
      </c>
      <c r="CV23" s="12">
        <v>0.66900000000000004</v>
      </c>
      <c r="CW23" s="16">
        <v>10000</v>
      </c>
      <c r="CX23" s="16">
        <v>10000</v>
      </c>
      <c r="CY23">
        <v>133247</v>
      </c>
      <c r="CZ23" s="12">
        <f t="shared" si="43"/>
        <v>-4.875453956941371E-2</v>
      </c>
      <c r="DA23" s="16">
        <v>48069</v>
      </c>
      <c r="DB23" s="16">
        <v>96137</v>
      </c>
      <c r="DC23" s="16">
        <v>0</v>
      </c>
      <c r="DD23" s="16">
        <f t="shared" si="24"/>
        <v>48069</v>
      </c>
      <c r="DE23" s="16">
        <f t="shared" si="44"/>
        <v>133832.17332200508</v>
      </c>
      <c r="DF23" s="16">
        <f t="shared" si="45"/>
        <v>206581.76000000001</v>
      </c>
      <c r="DG23" s="16">
        <f t="shared" si="8"/>
        <v>-85763.173322005081</v>
      </c>
      <c r="DH23" s="16">
        <f t="shared" si="9"/>
        <v>-110444.76000000001</v>
      </c>
      <c r="DI23" s="12">
        <f t="shared" si="46"/>
        <v>-0.28710390573979955</v>
      </c>
      <c r="DJ23" s="16">
        <f t="shared" si="47"/>
        <v>0</v>
      </c>
      <c r="DK23" s="16">
        <f t="shared" si="25"/>
        <v>48069</v>
      </c>
      <c r="DL23" s="17">
        <f t="shared" si="48"/>
        <v>-0.34958094670677065</v>
      </c>
      <c r="DM23" s="17">
        <f t="shared" si="10"/>
        <v>7.8313542584513202E-2</v>
      </c>
      <c r="DN23" s="16">
        <v>134789.57</v>
      </c>
      <c r="DO23">
        <f t="shared" si="58"/>
        <v>135953</v>
      </c>
      <c r="DP23" s="16">
        <f t="shared" si="55"/>
        <v>-124789.57</v>
      </c>
      <c r="DQ23" s="12">
        <v>-0.28599999999999998</v>
      </c>
      <c r="DR23" s="12">
        <f t="shared" si="56"/>
        <v>-0.36509679089777547</v>
      </c>
      <c r="DS23" s="12">
        <f t="shared" si="57"/>
        <v>0.28700000000000003</v>
      </c>
      <c r="DT23" s="12">
        <f t="shared" si="14"/>
        <v>7.6952029275451694E-2</v>
      </c>
      <c r="DU23" s="12">
        <f t="shared" si="50"/>
        <v>-0.45191037994368755</v>
      </c>
      <c r="DV23" s="12">
        <f t="shared" si="15"/>
        <v>0.20917176723046543</v>
      </c>
      <c r="DW23" s="16">
        <v>0</v>
      </c>
      <c r="DX23" s="16">
        <v>6250</v>
      </c>
      <c r="DY23" s="16">
        <f t="shared" si="26"/>
        <v>6250</v>
      </c>
      <c r="DZ23" s="16">
        <f t="shared" si="16"/>
        <v>341148.72099447512</v>
      </c>
      <c r="EA23" s="16">
        <f t="shared" si="27"/>
        <v>-334898.72099447512</v>
      </c>
      <c r="EB23" s="17">
        <f t="shared" si="17"/>
        <v>-0.81537607241298038</v>
      </c>
      <c r="EC23" s="12">
        <f t="shared" si="18"/>
        <v>-6.7992589453792274E-2</v>
      </c>
      <c r="ED23" s="12">
        <f t="shared" si="28"/>
        <v>-0.21001687571912325</v>
      </c>
    </row>
    <row r="24" spans="1:134" x14ac:dyDescent="0.35">
      <c r="A24" s="7" t="s">
        <v>207</v>
      </c>
      <c r="B24" s="7" t="s">
        <v>34</v>
      </c>
      <c r="C24" s="1">
        <f t="shared" si="0"/>
        <v>133</v>
      </c>
      <c r="D24">
        <v>0</v>
      </c>
      <c r="E24">
        <v>0</v>
      </c>
      <c r="F24">
        <v>0</v>
      </c>
      <c r="G24">
        <v>0</v>
      </c>
      <c r="H24">
        <v>68</v>
      </c>
      <c r="I24">
        <v>65</v>
      </c>
      <c r="J24">
        <v>0</v>
      </c>
      <c r="K24">
        <v>0</v>
      </c>
      <c r="L24" s="44">
        <v>1029</v>
      </c>
      <c r="M24">
        <v>636.5</v>
      </c>
      <c r="N24" s="12">
        <f t="shared" si="1"/>
        <v>7.7368421052631575</v>
      </c>
      <c r="O24" s="12">
        <v>4.7857142857142856</v>
      </c>
      <c r="P24" s="20">
        <f>O24/O43</f>
        <v>4.4728551288961284E-2</v>
      </c>
      <c r="Q24" s="48">
        <f t="shared" si="51"/>
        <v>4.4422920650578672E-2</v>
      </c>
      <c r="R24" s="16">
        <v>48373</v>
      </c>
      <c r="S24" s="16">
        <v>69085</v>
      </c>
      <c r="T24" s="16">
        <f t="shared" si="2"/>
        <v>363.70676691729324</v>
      </c>
      <c r="U24" s="16">
        <f t="shared" si="3"/>
        <v>519.43609022556393</v>
      </c>
      <c r="V24" s="20">
        <f>U24/U43</f>
        <v>4.3465594474531907E-3</v>
      </c>
      <c r="W24" s="20">
        <f t="shared" si="52"/>
        <v>3.3533579097108903E-3</v>
      </c>
      <c r="X24" s="20">
        <f t="shared" si="19"/>
        <v>2.8575754552358047E-2</v>
      </c>
      <c r="Y24" s="20">
        <f t="shared" si="20"/>
        <v>2.7995095554231558E-2</v>
      </c>
      <c r="Z24" s="54">
        <v>131</v>
      </c>
      <c r="AA24" s="12">
        <v>0.33800142983496839</v>
      </c>
      <c r="AB24" s="14">
        <f t="shared" si="53"/>
        <v>1.3783301127919296</v>
      </c>
      <c r="AC24" s="12">
        <v>1.4990000000000001</v>
      </c>
      <c r="AD24" s="37">
        <v>1.0129999999999999</v>
      </c>
      <c r="AE24" s="54">
        <v>130</v>
      </c>
      <c r="AF24" s="125">
        <v>1045438.2765348408</v>
      </c>
      <c r="AG24" s="119">
        <v>0.90679557879908135</v>
      </c>
      <c r="AH24" s="124">
        <v>725069.82</v>
      </c>
      <c r="AI24" s="115" t="e">
        <f>AR24*#REF!</f>
        <v>#REF!</v>
      </c>
      <c r="AJ24" s="34" t="e">
        <f>AM24*#REF!</f>
        <v>#DIV/0!</v>
      </c>
      <c r="AK24" s="34" t="e">
        <f>C24*AN24</f>
        <v>#REF!</v>
      </c>
      <c r="AL24" s="30" t="e">
        <f>AJ24-AF24</f>
        <v>#DIV/0!</v>
      </c>
      <c r="AM24" s="34" t="e">
        <f>C24*AS24</f>
        <v>#DIV/0!</v>
      </c>
      <c r="AN24" s="12" t="e">
        <f>AD24/#REF!</f>
        <v>#REF!</v>
      </c>
      <c r="AO24" s="34" t="e">
        <f>SUM(AP24:AQ24)</f>
        <v>#DIV/0!</v>
      </c>
      <c r="AP24" s="34" t="e">
        <f>BE24*#REF!</f>
        <v>#DIV/0!</v>
      </c>
      <c r="AQ24" s="30"/>
      <c r="AR24" s="12">
        <f>Z24*AZ24</f>
        <v>18.156461442297608</v>
      </c>
      <c r="AS24" s="12" t="e">
        <f>AB24/BI$2</f>
        <v>#DIV/0!</v>
      </c>
      <c r="AT24" s="18">
        <v>461445.79</v>
      </c>
      <c r="AU24" s="35">
        <f>AVERAGE(AF24,AH24)</f>
        <v>885254.04826742038</v>
      </c>
      <c r="AV24" s="35">
        <f>AVERAGE(AF24,AW24,AT24)</f>
        <v>796843.56551161362</v>
      </c>
      <c r="AW24" s="34">
        <v>883646.63</v>
      </c>
      <c r="AX24" s="293">
        <f>AV26-(BG26*AV$45)</f>
        <v>0</v>
      </c>
      <c r="AY24" s="12">
        <f>Z24*BB24</f>
        <v>10.904331870731331</v>
      </c>
      <c r="AZ24" s="12">
        <f>AG24/BI$6</f>
        <v>0.13859894230761532</v>
      </c>
      <c r="BA24" s="12">
        <f>Z24*BG24</f>
        <v>23.066436280042513</v>
      </c>
      <c r="BB24" s="12">
        <f>DV24/BI$9</f>
        <v>8.3239174585735348E-2</v>
      </c>
      <c r="BC24" s="12" t="e">
        <f>CL24/BI$12</f>
        <v>#DIV/0!</v>
      </c>
      <c r="BD24" s="12"/>
      <c r="BE24" s="12" t="e">
        <f>Z24*BC24</f>
        <v>#DIV/0!</v>
      </c>
      <c r="BF24" s="12"/>
      <c r="BG24" s="12">
        <f>ED24/BI$6</f>
        <v>0.17607966625986651</v>
      </c>
      <c r="BJ24">
        <v>2058</v>
      </c>
      <c r="BK24">
        <v>2058</v>
      </c>
      <c r="BL24">
        <f t="shared" si="54"/>
        <v>0</v>
      </c>
      <c r="BM24">
        <v>714</v>
      </c>
      <c r="BN24">
        <v>1980</v>
      </c>
      <c r="BO24" s="16">
        <v>2919</v>
      </c>
      <c r="BP24" s="16">
        <v>1456</v>
      </c>
      <c r="BQ24" s="16">
        <f t="shared" si="31"/>
        <v>2016.8760000000002</v>
      </c>
      <c r="BR24" s="16">
        <f t="shared" si="32"/>
        <v>1508.6703483432457</v>
      </c>
      <c r="BS24" s="267">
        <v>294549</v>
      </c>
      <c r="BT24" s="16">
        <v>0</v>
      </c>
      <c r="BU24" s="16">
        <v>0</v>
      </c>
      <c r="BV24" s="142">
        <f>BU24-(BX24*BU$42)</f>
        <v>0</v>
      </c>
      <c r="BW24" s="12"/>
      <c r="BX24" s="12"/>
      <c r="BY24" s="16"/>
      <c r="BZ24" s="16"/>
      <c r="CA24" s="16">
        <v>599</v>
      </c>
      <c r="CB24" s="16">
        <v>580</v>
      </c>
      <c r="CC24" s="16">
        <v>545.29999999999995</v>
      </c>
      <c r="CD24" s="16">
        <f t="shared" si="21"/>
        <v>1724.3</v>
      </c>
      <c r="CE24" s="16">
        <f t="shared" si="6"/>
        <v>1867.8133057090242</v>
      </c>
      <c r="CF24" s="16">
        <f t="shared" si="22"/>
        <v>-143.51330570902428</v>
      </c>
      <c r="CG24" s="17">
        <f t="shared" si="7"/>
        <v>-0.432707814216446</v>
      </c>
      <c r="CH24" s="16">
        <f t="shared" si="33"/>
        <v>2055</v>
      </c>
      <c r="CI24" s="16">
        <f t="shared" si="34"/>
        <v>984.95638099999996</v>
      </c>
      <c r="CJ24" s="16">
        <f t="shared" si="35"/>
        <v>1410.3296516567543</v>
      </c>
      <c r="CK24" s="16">
        <f t="shared" si="36"/>
        <v>471.32965165675432</v>
      </c>
      <c r="CL24" s="14">
        <f t="shared" si="37"/>
        <v>1.9758893883505213</v>
      </c>
      <c r="CM24" s="16">
        <f t="shared" si="38"/>
        <v>0</v>
      </c>
      <c r="CN24" s="16">
        <f t="shared" si="39"/>
        <v>471.04361900000004</v>
      </c>
      <c r="CO24" s="16">
        <f t="shared" si="23"/>
        <v>2055</v>
      </c>
      <c r="CP24" s="14">
        <f t="shared" si="40"/>
        <v>1.912132727109614</v>
      </c>
      <c r="CQ24" s="14">
        <f t="shared" si="41"/>
        <v>1.1418795874033785</v>
      </c>
      <c r="CR24">
        <v>667</v>
      </c>
      <c r="CS24">
        <f t="shared" si="42"/>
        <v>1344</v>
      </c>
      <c r="CT24">
        <v>1391</v>
      </c>
      <c r="CU24" s="14">
        <v>3.0419999999999998</v>
      </c>
      <c r="CV24" s="12">
        <v>2.863</v>
      </c>
      <c r="CW24" s="16">
        <v>48373</v>
      </c>
      <c r="CX24" s="16">
        <v>80729</v>
      </c>
      <c r="CY24">
        <v>407876</v>
      </c>
      <c r="CZ24" s="14">
        <f t="shared" si="43"/>
        <v>2.0861274833016155</v>
      </c>
      <c r="DA24" s="16">
        <v>81708</v>
      </c>
      <c r="DB24" s="16">
        <v>127069</v>
      </c>
      <c r="DC24" s="16">
        <v>62369</v>
      </c>
      <c r="DD24" s="16">
        <f t="shared" si="24"/>
        <v>144077</v>
      </c>
      <c r="DE24" s="16">
        <f t="shared" si="44"/>
        <v>313071.69116397621</v>
      </c>
      <c r="DF24" s="16">
        <f t="shared" si="45"/>
        <v>483253.76000000001</v>
      </c>
      <c r="DG24" s="16">
        <f t="shared" si="8"/>
        <v>-231363.69116397621</v>
      </c>
      <c r="DH24" s="16">
        <f t="shared" si="9"/>
        <v>-356184.76</v>
      </c>
      <c r="DI24" s="12">
        <f t="shared" si="46"/>
        <v>-0.82954275255232734</v>
      </c>
      <c r="DJ24" s="16">
        <f t="shared" si="47"/>
        <v>0</v>
      </c>
      <c r="DK24" s="16">
        <f t="shared" si="25"/>
        <v>144077</v>
      </c>
      <c r="DL24" s="17">
        <f t="shared" si="48"/>
        <v>-0.94306606271439664</v>
      </c>
      <c r="DM24" s="17">
        <f t="shared" si="10"/>
        <v>0.30790132735626841</v>
      </c>
      <c r="DN24" s="16">
        <v>376355.3</v>
      </c>
      <c r="DO24">
        <f t="shared" si="58"/>
        <v>-397876</v>
      </c>
      <c r="DP24" s="16">
        <f t="shared" si="55"/>
        <v>-295626.3</v>
      </c>
      <c r="DQ24" s="12">
        <v>-0.81599999999999995</v>
      </c>
      <c r="DR24" s="12">
        <f t="shared" si="56"/>
        <v>-0.84867471802017602</v>
      </c>
      <c r="DS24" s="12">
        <f t="shared" si="57"/>
        <v>1.3914</v>
      </c>
      <c r="DT24" s="14">
        <f t="shared" si="14"/>
        <v>0.8537165319893818</v>
      </c>
      <c r="DU24" s="12">
        <f t="shared" si="50"/>
        <v>-0.24915007488204913</v>
      </c>
      <c r="DV24" s="14">
        <f t="shared" si="15"/>
        <v>0.7700532111800098</v>
      </c>
      <c r="DW24" s="16">
        <v>24490</v>
      </c>
      <c r="DX24" s="16">
        <v>178110</v>
      </c>
      <c r="DY24" s="16">
        <f t="shared" si="26"/>
        <v>264969</v>
      </c>
      <c r="DZ24" s="16">
        <f t="shared" si="16"/>
        <v>869594.77900552482</v>
      </c>
      <c r="EA24" s="16">
        <f t="shared" si="27"/>
        <v>-604625.77900552482</v>
      </c>
      <c r="EB24" s="17">
        <f t="shared" si="17"/>
        <v>-1.4720790557253174</v>
      </c>
      <c r="EC24" s="12">
        <f t="shared" si="18"/>
        <v>-0.84845631081999451</v>
      </c>
      <c r="ED24" s="12">
        <f t="shared" si="28"/>
        <v>1.1520164600281495</v>
      </c>
    </row>
    <row r="25" spans="1:134" x14ac:dyDescent="0.35">
      <c r="A25" s="7" t="s">
        <v>207</v>
      </c>
      <c r="B25" s="143" t="s">
        <v>210</v>
      </c>
      <c r="C25" s="1">
        <v>0</v>
      </c>
      <c r="L25" s="44"/>
      <c r="N25" s="12"/>
      <c r="O25" s="12"/>
      <c r="P25" s="20"/>
      <c r="Q25" s="48"/>
      <c r="R25" s="16"/>
      <c r="S25" s="16"/>
      <c r="T25" s="16"/>
      <c r="U25" s="16"/>
      <c r="V25" s="20"/>
      <c r="W25" s="20"/>
      <c r="X25" s="20"/>
      <c r="Y25" s="20"/>
      <c r="Z25" s="54">
        <v>12</v>
      </c>
      <c r="AA25" s="12">
        <v>-0.24414913028234059</v>
      </c>
      <c r="AB25" s="12"/>
      <c r="AC25" s="12"/>
      <c r="AD25" s="37"/>
      <c r="AE25" s="54">
        <v>13</v>
      </c>
      <c r="AF25" s="122"/>
      <c r="AG25" s="117">
        <v>-0.43896005096722041</v>
      </c>
      <c r="AH25" s="122"/>
      <c r="AI25" s="103"/>
      <c r="AJ25" s="34"/>
      <c r="AK25" s="34"/>
      <c r="AL25" s="30"/>
      <c r="AM25" s="34"/>
      <c r="AN25" s="12"/>
      <c r="AO25" s="18"/>
      <c r="AP25" s="30"/>
      <c r="AQ25" s="30"/>
      <c r="AR25" s="12"/>
      <c r="AS25" s="12"/>
      <c r="AT25" s="18"/>
      <c r="AU25" s="18"/>
      <c r="AV25" s="18"/>
      <c r="AW25" s="30"/>
      <c r="AY25" s="12"/>
      <c r="AZ25" s="12"/>
      <c r="BA25" s="12"/>
      <c r="BB25" s="12"/>
      <c r="BC25" s="12"/>
      <c r="BD25" s="12"/>
      <c r="BE25" s="12"/>
      <c r="BF25" s="12"/>
      <c r="BG25" s="12"/>
      <c r="BN25">
        <v>8</v>
      </c>
      <c r="BO25" s="16">
        <v>8</v>
      </c>
      <c r="BP25" s="16">
        <v>2</v>
      </c>
      <c r="BQ25" s="16">
        <f t="shared" si="31"/>
        <v>184.75200000000001</v>
      </c>
      <c r="BR25" s="16">
        <f t="shared" si="32"/>
        <v>138.19881053525916</v>
      </c>
      <c r="BS25" s="268"/>
      <c r="BT25" s="16"/>
      <c r="BU25" s="16"/>
      <c r="BV25" s="16"/>
      <c r="BW25" s="12"/>
      <c r="BX25" s="12"/>
      <c r="BY25" s="16"/>
      <c r="BZ25" s="16"/>
      <c r="CA25" s="16">
        <v>8</v>
      </c>
      <c r="CB25" s="16">
        <v>1</v>
      </c>
      <c r="CC25" s="16">
        <v>0.5</v>
      </c>
      <c r="CD25" s="16">
        <f t="shared" si="21"/>
        <v>9.5</v>
      </c>
      <c r="CE25" s="16">
        <f t="shared" si="6"/>
        <v>186.78133057090241</v>
      </c>
      <c r="CF25" s="16">
        <f t="shared" si="22"/>
        <v>-177.28133057090241</v>
      </c>
      <c r="CG25" s="17">
        <f t="shared" si="7"/>
        <v>-0.53452198507817328</v>
      </c>
      <c r="CH25" s="16">
        <f t="shared" si="33"/>
        <v>10</v>
      </c>
      <c r="CI25" s="16">
        <f t="shared" si="34"/>
        <v>90.225011999999992</v>
      </c>
      <c r="CJ25" s="16">
        <f t="shared" si="35"/>
        <v>-130.19881053525916</v>
      </c>
      <c r="CK25" s="16">
        <f t="shared" si="36"/>
        <v>-130.19881053525916</v>
      </c>
      <c r="CL25" s="12">
        <f t="shared" si="37"/>
        <v>-0.65379898775623713</v>
      </c>
      <c r="CM25" s="16">
        <f t="shared" si="38"/>
        <v>0</v>
      </c>
      <c r="CN25" s="16">
        <f t="shared" si="39"/>
        <v>-88.225011999999992</v>
      </c>
      <c r="CO25" s="16">
        <f t="shared" si="23"/>
        <v>10</v>
      </c>
      <c r="CP25" s="12">
        <f t="shared" si="40"/>
        <v>-0.39801529970457988</v>
      </c>
      <c r="CQ25" s="12">
        <f t="shared" si="41"/>
        <v>-0.31542968606329524</v>
      </c>
      <c r="CU25" s="14"/>
      <c r="CV25" s="12"/>
      <c r="CW25" s="16"/>
      <c r="CX25" s="16"/>
      <c r="CZ25" s="12">
        <f t="shared" si="43"/>
        <v>-1.2644740030922867</v>
      </c>
      <c r="DA25" s="16">
        <v>0</v>
      </c>
      <c r="DB25" s="16">
        <v>0</v>
      </c>
      <c r="DC25" s="16">
        <v>12922</v>
      </c>
      <c r="DD25" s="16">
        <f t="shared" si="24"/>
        <v>12922</v>
      </c>
      <c r="DE25" s="16">
        <f t="shared" si="44"/>
        <v>28678.322854715378</v>
      </c>
      <c r="DF25" s="16">
        <f t="shared" si="45"/>
        <v>44267.520000000004</v>
      </c>
      <c r="DG25" s="16">
        <f t="shared" si="8"/>
        <v>-28678.322854715378</v>
      </c>
      <c r="DH25" s="16">
        <f t="shared" si="9"/>
        <v>-44267.520000000004</v>
      </c>
      <c r="DI25" s="12">
        <f t="shared" si="46"/>
        <v>-0.14102632068715903</v>
      </c>
      <c r="DJ25" s="16">
        <f t="shared" si="47"/>
        <v>0</v>
      </c>
      <c r="DK25" s="16">
        <f t="shared" si="25"/>
        <v>12922</v>
      </c>
      <c r="DL25" s="17">
        <f t="shared" si="48"/>
        <v>-0.11689627220150338</v>
      </c>
      <c r="DM25" s="17">
        <f t="shared" si="10"/>
        <v>-0.23601632051857849</v>
      </c>
      <c r="DN25" s="16"/>
      <c r="DP25" s="16"/>
      <c r="DQ25" s="12"/>
      <c r="DR25" s="12"/>
      <c r="DS25" s="12"/>
      <c r="DT25" s="12">
        <f t="shared" si="14"/>
        <v>-0.44868992092860593</v>
      </c>
      <c r="DU25" s="12">
        <f t="shared" si="50"/>
        <v>-0.5261376989379527</v>
      </c>
      <c r="DV25" s="12">
        <f t="shared" si="15"/>
        <v>-0.28556768870334925</v>
      </c>
      <c r="DW25" s="16">
        <v>14033</v>
      </c>
      <c r="DX25" s="16">
        <v>0</v>
      </c>
      <c r="DY25" s="16">
        <f t="shared" si="26"/>
        <v>26955</v>
      </c>
      <c r="DZ25" s="16">
        <f t="shared" si="16"/>
        <v>86959.477900552491</v>
      </c>
      <c r="EA25" s="16">
        <f t="shared" si="27"/>
        <v>-60004.477900552491</v>
      </c>
      <c r="EB25" s="17">
        <f t="shared" si="17"/>
        <v>-0.14609257202433779</v>
      </c>
      <c r="EC25" s="12">
        <f t="shared" si="18"/>
        <v>-0.37915021985663905</v>
      </c>
      <c r="ED25" s="12">
        <f t="shared" si="28"/>
        <v>-0.96913948143055306</v>
      </c>
    </row>
    <row r="26" spans="1:134" x14ac:dyDescent="0.35">
      <c r="A26" s="8" t="s">
        <v>212</v>
      </c>
      <c r="B26" s="8" t="s">
        <v>68</v>
      </c>
      <c r="C26" s="1">
        <f t="shared" si="0"/>
        <v>62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62</v>
      </c>
      <c r="J26" s="9">
        <v>0</v>
      </c>
      <c r="K26">
        <v>0</v>
      </c>
      <c r="L26" s="49">
        <v>90</v>
      </c>
      <c r="M26" s="9">
        <v>45.5</v>
      </c>
      <c r="N26" s="12">
        <f t="shared" si="1"/>
        <v>1.4516129032258065</v>
      </c>
      <c r="O26" s="12">
        <v>0.7338709677419355</v>
      </c>
      <c r="P26" s="20">
        <f>O26/O43</f>
        <v>6.8589521355484689E-3</v>
      </c>
      <c r="Q26" s="48">
        <f t="shared" ref="Q26:Q40" si="60">N26/N$43</f>
        <v>8.3347810305562358E-3</v>
      </c>
      <c r="R26" s="16">
        <v>45066</v>
      </c>
      <c r="S26" s="16">
        <v>0</v>
      </c>
      <c r="T26" s="16">
        <f t="shared" si="2"/>
        <v>726.87096774193549</v>
      </c>
      <c r="U26" s="16">
        <f t="shared" si="3"/>
        <v>0</v>
      </c>
      <c r="V26" s="20">
        <f>U26/U43</f>
        <v>0</v>
      </c>
      <c r="W26" s="20">
        <f t="shared" ref="W26:W40" si="61">T26/T$43</f>
        <v>6.7017133876172991E-3</v>
      </c>
      <c r="X26" s="20">
        <f t="shared" si="19"/>
        <v>4.1153712813290812E-3</v>
      </c>
      <c r="Y26" s="20">
        <f t="shared" si="20"/>
        <v>7.6815539733806615E-3</v>
      </c>
      <c r="Z26" s="54">
        <v>60</v>
      </c>
      <c r="AA26" s="12">
        <v>-0.34365075855830474</v>
      </c>
      <c r="AB26" s="12">
        <f t="shared" ref="AB26:AB40" si="62">(0.6*CV26)+(0.4*DR26)</f>
        <v>-0.67502821485849873</v>
      </c>
      <c r="AC26" s="12">
        <v>-0.65300000000000002</v>
      </c>
      <c r="AD26">
        <v>-0.76600000000000001</v>
      </c>
      <c r="AE26" s="54">
        <v>61</v>
      </c>
      <c r="AF26" s="123"/>
      <c r="AG26" s="118">
        <v>-0.53624911312192391</v>
      </c>
      <c r="AH26" s="123"/>
      <c r="AI26" s="123"/>
      <c r="AJ26" s="18"/>
      <c r="AK26" s="18"/>
      <c r="AL26" s="18"/>
      <c r="AM26" s="18"/>
      <c r="AN26" s="12"/>
      <c r="AO26" s="18"/>
      <c r="AP26" s="30"/>
      <c r="AQ26" s="30"/>
      <c r="AR26" s="12"/>
      <c r="AS26" s="12"/>
      <c r="AT26" s="18"/>
      <c r="AU26" s="18"/>
      <c r="AV26" s="18"/>
      <c r="AW26" s="30"/>
      <c r="AY26" s="12"/>
      <c r="AZ26" s="12"/>
      <c r="BA26" s="12"/>
      <c r="BB26" s="12"/>
      <c r="BC26" s="12"/>
      <c r="BD26" s="12"/>
      <c r="BE26" s="12"/>
      <c r="BF26" s="12"/>
      <c r="BG26" s="12"/>
      <c r="BJ26">
        <v>180</v>
      </c>
      <c r="BK26">
        <v>180</v>
      </c>
      <c r="BL26">
        <f t="shared" si="54"/>
        <v>0</v>
      </c>
      <c r="BM26">
        <v>333</v>
      </c>
      <c r="BN26">
        <v>401</v>
      </c>
      <c r="BO26" s="16">
        <v>450</v>
      </c>
      <c r="BP26" s="16">
        <v>283</v>
      </c>
      <c r="BQ26" s="16">
        <f t="shared" si="31"/>
        <v>923.76</v>
      </c>
      <c r="BR26" s="16">
        <f t="shared" si="32"/>
        <v>690.99405267629572</v>
      </c>
      <c r="BS26" s="268"/>
      <c r="BT26" s="16"/>
      <c r="BU26" s="16"/>
      <c r="BV26" s="16"/>
      <c r="BW26" s="12"/>
      <c r="BX26" s="12"/>
      <c r="BY26" s="16"/>
      <c r="BZ26" s="16"/>
      <c r="CA26" s="16">
        <v>198</v>
      </c>
      <c r="CB26" s="16">
        <v>250</v>
      </c>
      <c r="CC26" s="16">
        <v>213</v>
      </c>
      <c r="CD26" s="16">
        <f t="shared" si="21"/>
        <v>661</v>
      </c>
      <c r="CE26" s="16">
        <f t="shared" si="6"/>
        <v>876.43547421731137</v>
      </c>
      <c r="CF26" s="16">
        <f t="shared" si="22"/>
        <v>-215.43547421731137</v>
      </c>
      <c r="CG26" s="17">
        <f t="shared" si="7"/>
        <v>-0.64956076854826794</v>
      </c>
      <c r="CH26" s="16">
        <f t="shared" si="33"/>
        <v>481</v>
      </c>
      <c r="CI26" s="16">
        <f t="shared" si="34"/>
        <v>451.12506000000002</v>
      </c>
      <c r="CJ26" s="16">
        <f t="shared" si="35"/>
        <v>-240.99405267629572</v>
      </c>
      <c r="CK26" s="16">
        <f t="shared" si="36"/>
        <v>-289.99405267629572</v>
      </c>
      <c r="CL26" s="12">
        <f t="shared" si="37"/>
        <v>-0.84292691855191126</v>
      </c>
      <c r="CM26" s="16">
        <f t="shared" si="38"/>
        <v>0</v>
      </c>
      <c r="CN26" s="16">
        <f t="shared" si="39"/>
        <v>-168.12506000000002</v>
      </c>
      <c r="CO26" s="16">
        <f t="shared" si="23"/>
        <v>481</v>
      </c>
      <c r="CP26" s="12">
        <f t="shared" si="40"/>
        <v>-0.72805515532730558</v>
      </c>
      <c r="CQ26" s="12">
        <f t="shared" si="41"/>
        <v>-0.70256197134101261</v>
      </c>
      <c r="CR26">
        <v>311</v>
      </c>
      <c r="CS26">
        <f t="shared" ref="CS26:CS40" si="63">BJ26-BM26</f>
        <v>-153</v>
      </c>
      <c r="CT26">
        <v>-131</v>
      </c>
      <c r="CU26" s="12">
        <v>-0.88500000000000001</v>
      </c>
      <c r="CV26" s="12">
        <v>-0.873</v>
      </c>
      <c r="CW26" s="16">
        <v>45066</v>
      </c>
      <c r="CX26" s="16">
        <v>45066</v>
      </c>
      <c r="CY26">
        <v>176471</v>
      </c>
      <c r="CZ26" s="12">
        <f t="shared" si="43"/>
        <v>-0.49277067786415579</v>
      </c>
      <c r="DA26" s="16">
        <v>195066</v>
      </c>
      <c r="DB26" s="16">
        <v>195066</v>
      </c>
      <c r="DC26" s="16">
        <v>37625</v>
      </c>
      <c r="DD26" s="16">
        <f t="shared" si="24"/>
        <v>232691</v>
      </c>
      <c r="DE26" s="16">
        <f t="shared" si="44"/>
        <v>143391.61427357688</v>
      </c>
      <c r="DF26" s="16">
        <f t="shared" si="45"/>
        <v>221337.60000000001</v>
      </c>
      <c r="DG26" s="16">
        <f t="shared" si="8"/>
        <v>51674.385726423119</v>
      </c>
      <c r="DH26" s="16">
        <f t="shared" si="9"/>
        <v>-26271.600000000006</v>
      </c>
      <c r="DI26" s="12">
        <f t="shared" si="46"/>
        <v>-0.10130268557634882</v>
      </c>
      <c r="DJ26" s="16">
        <f t="shared" si="47"/>
        <v>0</v>
      </c>
      <c r="DK26" s="16">
        <f t="shared" si="25"/>
        <v>232691</v>
      </c>
      <c r="DL26" s="109">
        <f t="shared" si="48"/>
        <v>0.21063097344718795</v>
      </c>
      <c r="DM26" s="17">
        <f t="shared" si="10"/>
        <v>-0.33728479342573237</v>
      </c>
      <c r="DN26" s="16">
        <v>174438.89</v>
      </c>
      <c r="DO26">
        <f>CW24-CY26</f>
        <v>-128098</v>
      </c>
      <c r="DP26" s="16">
        <f t="shared" ref="DP26:DP40" si="64">CX26-DN26</f>
        <v>-129372.89000000001</v>
      </c>
      <c r="DQ26" s="12">
        <v>-0.30399999999999999</v>
      </c>
      <c r="DR26" s="12">
        <f t="shared" ref="DR26:DR40" si="65">(DP26-DP$42)/DP$43</f>
        <v>-0.37807053714624694</v>
      </c>
      <c r="DS26" s="12">
        <f t="shared" ref="DS26:DS40" si="66">(0.6*CV26)+(0.4*DQ26)</f>
        <v>-0.64539999999999997</v>
      </c>
      <c r="DT26" s="12">
        <f t="shared" si="14"/>
        <v>-0.54627722536168621</v>
      </c>
      <c r="DU26" s="12">
        <f t="shared" si="50"/>
        <v>-6.2005236194314486E-2</v>
      </c>
      <c r="DV26" s="12">
        <f t="shared" si="15"/>
        <v>-0.35258070381750817</v>
      </c>
      <c r="DW26" s="16">
        <v>25266</v>
      </c>
      <c r="DX26" s="16">
        <v>129809</v>
      </c>
      <c r="DY26" s="16">
        <f t="shared" si="26"/>
        <v>192700</v>
      </c>
      <c r="DZ26" s="16">
        <f t="shared" si="16"/>
        <v>408040.62707182323</v>
      </c>
      <c r="EA26" s="16">
        <f t="shared" si="27"/>
        <v>-215340.62707182323</v>
      </c>
      <c r="EB26" s="17">
        <f t="shared" si="17"/>
        <v>-0.52428863929781377</v>
      </c>
      <c r="EC26" s="12">
        <f t="shared" si="18"/>
        <v>-0.5994519168480863</v>
      </c>
      <c r="ED26" s="12">
        <f t="shared" si="28"/>
        <v>-0.32046450119621928</v>
      </c>
    </row>
    <row r="27" spans="1:134" x14ac:dyDescent="0.35">
      <c r="A27" s="7" t="s">
        <v>212</v>
      </c>
      <c r="B27" s="7" t="s">
        <v>30</v>
      </c>
      <c r="C27" s="1">
        <f t="shared" si="0"/>
        <v>124</v>
      </c>
      <c r="D27" s="9">
        <v>0</v>
      </c>
      <c r="E27" s="9">
        <v>0</v>
      </c>
      <c r="F27" s="9">
        <v>0</v>
      </c>
      <c r="G27" s="9">
        <v>124</v>
      </c>
      <c r="H27" s="9">
        <v>0</v>
      </c>
      <c r="I27" s="9">
        <v>0</v>
      </c>
      <c r="J27" s="9">
        <v>0</v>
      </c>
      <c r="K27">
        <v>0</v>
      </c>
      <c r="L27" s="49">
        <v>410</v>
      </c>
      <c r="M27" s="9">
        <v>278</v>
      </c>
      <c r="N27" s="12">
        <f t="shared" si="1"/>
        <v>3.306451612903226</v>
      </c>
      <c r="O27" s="12">
        <v>2.2419354838709675</v>
      </c>
      <c r="P27" s="20">
        <f>O27/O43</f>
        <v>2.0953721908598615E-2</v>
      </c>
      <c r="Q27" s="48">
        <f t="shared" si="60"/>
        <v>1.8984779014044762E-2</v>
      </c>
      <c r="R27" s="16">
        <v>0</v>
      </c>
      <c r="S27" s="16">
        <v>0</v>
      </c>
      <c r="T27" s="16">
        <f t="shared" si="2"/>
        <v>0</v>
      </c>
      <c r="U27" s="16">
        <f t="shared" si="3"/>
        <v>0</v>
      </c>
      <c r="V27" s="20">
        <f>U27/U43</f>
        <v>0</v>
      </c>
      <c r="W27" s="20">
        <f t="shared" si="61"/>
        <v>0</v>
      </c>
      <c r="X27" s="20">
        <f t="shared" si="19"/>
        <v>1.2572233145159168E-2</v>
      </c>
      <c r="Y27" s="20">
        <f t="shared" si="20"/>
        <v>1.1390867408426857E-2</v>
      </c>
      <c r="Z27" s="54">
        <v>120</v>
      </c>
      <c r="AA27" s="12">
        <v>-0.452590349627711</v>
      </c>
      <c r="AB27" s="12">
        <f t="shared" si="62"/>
        <v>-0.41143049822296834</v>
      </c>
      <c r="AC27" s="12">
        <v>-0.39</v>
      </c>
      <c r="AD27">
        <v>-0.47199999999999998</v>
      </c>
      <c r="AE27" s="54">
        <v>122</v>
      </c>
      <c r="AF27" s="123"/>
      <c r="AG27" s="118">
        <v>-0.25367818774027628</v>
      </c>
      <c r="AH27" s="123"/>
      <c r="AI27" s="123"/>
      <c r="AJ27" s="18"/>
      <c r="AK27" s="18"/>
      <c r="AL27" s="18"/>
      <c r="AM27" s="18"/>
      <c r="AN27" s="12"/>
      <c r="AO27" s="18"/>
      <c r="AP27" s="30"/>
      <c r="AQ27" s="30"/>
      <c r="AR27" s="12"/>
      <c r="AS27" s="12"/>
      <c r="AT27" s="18"/>
      <c r="AU27" s="18"/>
      <c r="AV27" s="18"/>
      <c r="AW27" s="30"/>
      <c r="AX27" s="24"/>
      <c r="AY27" s="12"/>
      <c r="AZ27" s="12"/>
      <c r="BA27" s="12"/>
      <c r="BB27" s="12"/>
      <c r="BC27" s="12"/>
      <c r="BD27" s="12"/>
      <c r="BE27" s="12"/>
      <c r="BF27" s="12"/>
      <c r="BG27" s="12"/>
      <c r="BJ27">
        <v>820</v>
      </c>
      <c r="BK27">
        <v>840</v>
      </c>
      <c r="BL27">
        <f t="shared" si="54"/>
        <v>-20</v>
      </c>
      <c r="BM27">
        <v>666</v>
      </c>
      <c r="BN27">
        <v>1394</v>
      </c>
      <c r="BO27" s="16">
        <v>1768</v>
      </c>
      <c r="BP27" s="16">
        <v>914</v>
      </c>
      <c r="BQ27" s="16">
        <f t="shared" si="31"/>
        <v>1847.52</v>
      </c>
      <c r="BR27" s="16">
        <f t="shared" si="32"/>
        <v>1381.9881053525914</v>
      </c>
      <c r="BS27" s="268"/>
      <c r="BT27" s="16"/>
      <c r="BU27" s="16"/>
      <c r="BV27" s="16"/>
      <c r="BW27" s="12"/>
      <c r="BX27" s="12"/>
      <c r="BY27" s="16"/>
      <c r="BZ27" s="16"/>
      <c r="CA27" s="16">
        <v>563</v>
      </c>
      <c r="CB27" s="16">
        <v>538</v>
      </c>
      <c r="CC27" s="16">
        <v>512.70000000000005</v>
      </c>
      <c r="CD27" s="16">
        <f t="shared" si="21"/>
        <v>1613.7</v>
      </c>
      <c r="CE27" s="16">
        <f t="shared" si="6"/>
        <v>1752.8709484346227</v>
      </c>
      <c r="CF27" s="16">
        <f t="shared" si="22"/>
        <v>-139.17094843462269</v>
      </c>
      <c r="CG27" s="17">
        <f t="shared" si="7"/>
        <v>-0.41961514719529297</v>
      </c>
      <c r="CH27" s="16">
        <f t="shared" si="33"/>
        <v>1477</v>
      </c>
      <c r="CI27" s="16">
        <f t="shared" si="34"/>
        <v>902.25012000000004</v>
      </c>
      <c r="CJ27" s="16">
        <f t="shared" si="35"/>
        <v>386.01189464740855</v>
      </c>
      <c r="CK27" s="16">
        <f t="shared" si="36"/>
        <v>12.011894647408553</v>
      </c>
      <c r="CL27" s="12">
        <f t="shared" si="37"/>
        <v>0.22737479407002617</v>
      </c>
      <c r="CM27" s="16">
        <f t="shared" si="38"/>
        <v>0</v>
      </c>
      <c r="CN27" s="16">
        <f t="shared" si="39"/>
        <v>11.749879999999962</v>
      </c>
      <c r="CO27" s="16">
        <f t="shared" si="23"/>
        <v>1477</v>
      </c>
      <c r="CP27" s="12">
        <f t="shared" si="40"/>
        <v>1.4946891777176985E-2</v>
      </c>
      <c r="CQ27" s="12">
        <f t="shared" si="41"/>
        <v>2.9100942950868142E-2</v>
      </c>
      <c r="CR27">
        <v>622</v>
      </c>
      <c r="CS27">
        <f t="shared" si="63"/>
        <v>154</v>
      </c>
      <c r="CT27">
        <v>218</v>
      </c>
      <c r="CU27" s="12">
        <v>-0.08</v>
      </c>
      <c r="CV27" s="12">
        <v>-1.6E-2</v>
      </c>
      <c r="CW27" s="16">
        <v>0</v>
      </c>
      <c r="CX27" s="16">
        <v>0</v>
      </c>
      <c r="CY27">
        <v>377680</v>
      </c>
      <c r="CZ27" s="12">
        <f t="shared" si="43"/>
        <v>1.1391115130641214</v>
      </c>
      <c r="DA27" s="16">
        <v>0</v>
      </c>
      <c r="DB27" s="16">
        <v>0</v>
      </c>
      <c r="DC27" s="16">
        <v>265476</v>
      </c>
      <c r="DD27" s="16">
        <f t="shared" si="24"/>
        <v>265476</v>
      </c>
      <c r="DE27" s="16">
        <f t="shared" si="44"/>
        <v>286783.22854715376</v>
      </c>
      <c r="DF27" s="16">
        <f t="shared" si="45"/>
        <v>442675.20000000001</v>
      </c>
      <c r="DG27" s="16">
        <f t="shared" si="8"/>
        <v>-286783.22854715376</v>
      </c>
      <c r="DH27" s="16">
        <f t="shared" si="9"/>
        <v>-442675.20000000001</v>
      </c>
      <c r="DI27" s="12">
        <f t="shared" si="46"/>
        <v>-1.0204590646460368</v>
      </c>
      <c r="DJ27" s="16">
        <f t="shared" si="47"/>
        <v>0</v>
      </c>
      <c r="DK27" s="16">
        <f t="shared" si="25"/>
        <v>265476</v>
      </c>
      <c r="DL27" s="17">
        <f t="shared" si="48"/>
        <v>-1.1689627220150338</v>
      </c>
      <c r="DM27" s="17">
        <f t="shared" si="10"/>
        <v>-0.45012452303549266</v>
      </c>
      <c r="DN27" s="16">
        <v>350702.65</v>
      </c>
      <c r="DO27">
        <f>CW26-CY27</f>
        <v>-332614</v>
      </c>
      <c r="DP27" s="16">
        <f t="shared" si="64"/>
        <v>-350702.65</v>
      </c>
      <c r="DQ27" s="12">
        <v>-0.85599999999999998</v>
      </c>
      <c r="DR27" s="12">
        <f t="shared" si="65"/>
        <v>-1.0045762455574208</v>
      </c>
      <c r="DS27" s="12">
        <f t="shared" si="66"/>
        <v>-0.35200000000000004</v>
      </c>
      <c r="DT27" s="12">
        <f t="shared" si="14"/>
        <v>-0.27175874941639899</v>
      </c>
      <c r="DU27" s="12">
        <f t="shared" si="50"/>
        <v>7.233750155216964E-3</v>
      </c>
      <c r="DV27" s="12">
        <f t="shared" si="15"/>
        <v>-0.4586169537397074</v>
      </c>
      <c r="DW27" s="16">
        <v>29902</v>
      </c>
      <c r="DX27" s="16">
        <v>34015</v>
      </c>
      <c r="DY27" s="16">
        <f t="shared" si="26"/>
        <v>329393</v>
      </c>
      <c r="DZ27" s="16">
        <f t="shared" si="16"/>
        <v>816081.25414364645</v>
      </c>
      <c r="EA27" s="16">
        <f t="shared" si="27"/>
        <v>-486688.25414364645</v>
      </c>
      <c r="EB27" s="17">
        <f t="shared" si="17"/>
        <v>-1.1849372131813054</v>
      </c>
      <c r="EC27" s="12">
        <f t="shared" si="18"/>
        <v>-0.725743973589698</v>
      </c>
      <c r="ED27" s="12">
        <f t="shared" si="28"/>
        <v>0.68636040790055963</v>
      </c>
    </row>
    <row r="28" spans="1:134" x14ac:dyDescent="0.35">
      <c r="A28" s="7" t="s">
        <v>212</v>
      </c>
      <c r="B28" s="7" t="s">
        <v>14</v>
      </c>
      <c r="C28" s="1">
        <f t="shared" si="0"/>
        <v>56</v>
      </c>
      <c r="D28" s="9">
        <v>41</v>
      </c>
      <c r="E28" s="9">
        <v>5</v>
      </c>
      <c r="F28" s="9">
        <v>0</v>
      </c>
      <c r="G28" s="9">
        <v>0</v>
      </c>
      <c r="H28" s="9">
        <v>0</v>
      </c>
      <c r="I28" s="9">
        <v>0</v>
      </c>
      <c r="J28" s="9">
        <v>10</v>
      </c>
      <c r="K28">
        <v>0</v>
      </c>
      <c r="L28" s="49">
        <v>150</v>
      </c>
      <c r="M28" s="9">
        <v>89.5</v>
      </c>
      <c r="N28" s="12">
        <f t="shared" si="1"/>
        <v>2.6785714285714284</v>
      </c>
      <c r="O28" s="12">
        <v>1.5982142857142858</v>
      </c>
      <c r="P28" s="20">
        <f>O28/O43</f>
        <v>1.4937333359559832E-2</v>
      </c>
      <c r="Q28" s="48">
        <f t="shared" si="60"/>
        <v>1.5379655473050195E-2</v>
      </c>
      <c r="R28" s="16">
        <v>142297</v>
      </c>
      <c r="S28" s="16">
        <v>169696</v>
      </c>
      <c r="T28" s="16">
        <f t="shared" si="2"/>
        <v>2541.0178571428573</v>
      </c>
      <c r="U28" s="16">
        <f t="shared" si="3"/>
        <v>3030.2857142857142</v>
      </c>
      <c r="V28" s="20">
        <f>U28/U43</f>
        <v>2.5356953911676403E-2</v>
      </c>
      <c r="W28" s="20">
        <f t="shared" si="61"/>
        <v>2.3428055524477708E-2</v>
      </c>
      <c r="X28" s="20">
        <f t="shared" si="19"/>
        <v>1.9105181580406461E-2</v>
      </c>
      <c r="Y28" s="20">
        <f t="shared" si="20"/>
        <v>1.8599015493621203E-2</v>
      </c>
      <c r="Z28" s="54">
        <v>67</v>
      </c>
      <c r="AA28" s="12">
        <v>-0.53106815983637856</v>
      </c>
      <c r="AB28" s="12">
        <f t="shared" si="62"/>
        <v>-0.2685942746120788</v>
      </c>
      <c r="AC28" s="12">
        <v>-0.31</v>
      </c>
      <c r="AD28">
        <v>-0.33</v>
      </c>
      <c r="AE28" s="54">
        <v>67</v>
      </c>
      <c r="AF28" s="123"/>
      <c r="AG28" s="118">
        <v>-0.44790454428474968</v>
      </c>
      <c r="AH28" s="123"/>
      <c r="AI28" s="123"/>
      <c r="AJ28" s="18"/>
      <c r="AK28" s="18"/>
      <c r="AL28" s="18"/>
      <c r="AM28" s="18"/>
      <c r="AN28" s="12"/>
      <c r="AO28" s="18"/>
      <c r="AP28" s="30"/>
      <c r="AQ28" s="30"/>
      <c r="AR28" s="12"/>
      <c r="AS28" s="12"/>
      <c r="AT28" s="18"/>
      <c r="AU28" s="18"/>
      <c r="AV28" s="18"/>
      <c r="AW28" s="30"/>
      <c r="AX28" s="24"/>
      <c r="AY28" s="12"/>
      <c r="AZ28" s="12"/>
      <c r="BA28" s="12"/>
      <c r="BB28" s="12"/>
      <c r="BC28" s="12"/>
      <c r="BD28" s="12"/>
      <c r="BE28" s="12"/>
      <c r="BF28" s="12"/>
      <c r="BG28" s="12"/>
      <c r="BJ28">
        <v>300</v>
      </c>
      <c r="BK28">
        <v>312</v>
      </c>
      <c r="BL28">
        <f t="shared" ref="BL28:BL40" si="67">BJ28-BK28</f>
        <v>-12</v>
      </c>
      <c r="BM28">
        <v>301</v>
      </c>
      <c r="BN28">
        <v>470</v>
      </c>
      <c r="BO28" s="16">
        <v>620</v>
      </c>
      <c r="BP28" s="16">
        <v>318</v>
      </c>
      <c r="BQ28" s="16">
        <f t="shared" si="31"/>
        <v>1031.5320000000002</v>
      </c>
      <c r="BR28" s="16">
        <f t="shared" si="32"/>
        <v>771.61002548853025</v>
      </c>
      <c r="BS28" s="268"/>
      <c r="BT28" s="16"/>
      <c r="BU28" s="16"/>
      <c r="BV28" s="16"/>
      <c r="BW28" s="12"/>
      <c r="BX28" s="12"/>
      <c r="BY28" s="16"/>
      <c r="BZ28" s="16"/>
      <c r="CA28" s="16">
        <v>266</v>
      </c>
      <c r="CB28" s="16">
        <v>348</v>
      </c>
      <c r="CC28" s="16">
        <v>238.2</v>
      </c>
      <c r="CD28" s="16">
        <f t="shared" si="21"/>
        <v>852.2</v>
      </c>
      <c r="CE28" s="16">
        <f t="shared" si="6"/>
        <v>962.64224217311244</v>
      </c>
      <c r="CF28" s="16">
        <f t="shared" si="22"/>
        <v>-110.44224217311239</v>
      </c>
      <c r="CG28" s="17">
        <f t="shared" si="7"/>
        <v>-0.3329950555580144</v>
      </c>
      <c r="CH28" s="16">
        <f t="shared" si="33"/>
        <v>584</v>
      </c>
      <c r="CI28" s="16">
        <f t="shared" si="34"/>
        <v>503.75631700000002</v>
      </c>
      <c r="CJ28" s="16">
        <f t="shared" si="35"/>
        <v>-151.61002548853025</v>
      </c>
      <c r="CK28" s="16">
        <f t="shared" si="36"/>
        <v>-301.61002548853025</v>
      </c>
      <c r="CL28" s="12">
        <f t="shared" si="37"/>
        <v>-0.69034801911968513</v>
      </c>
      <c r="CM28" s="16">
        <f t="shared" si="38"/>
        <v>0</v>
      </c>
      <c r="CN28" s="16">
        <f t="shared" si="39"/>
        <v>-185.75631700000002</v>
      </c>
      <c r="CO28" s="16">
        <f t="shared" si="23"/>
        <v>584</v>
      </c>
      <c r="CP28" s="12">
        <f t="shared" si="40"/>
        <v>-0.80088386645307574</v>
      </c>
      <c r="CQ28" s="12">
        <f t="shared" si="41"/>
        <v>-0.73070372350003598</v>
      </c>
      <c r="CR28">
        <v>281</v>
      </c>
      <c r="CS28">
        <f t="shared" si="63"/>
        <v>-1</v>
      </c>
      <c r="CT28">
        <v>31</v>
      </c>
      <c r="CU28" s="12">
        <v>-0.48599999999999999</v>
      </c>
      <c r="CV28" s="12">
        <v>-0.47499999999999998</v>
      </c>
      <c r="CW28" s="16">
        <v>142297</v>
      </c>
      <c r="CX28" s="16">
        <v>176117</v>
      </c>
      <c r="CY28">
        <v>157815</v>
      </c>
      <c r="CZ28" s="12">
        <f t="shared" si="43"/>
        <v>-0.32401177659346042</v>
      </c>
      <c r="DA28" s="16">
        <v>111080</v>
      </c>
      <c r="DB28" s="16">
        <v>213955</v>
      </c>
      <c r="DC28" s="16">
        <v>48743</v>
      </c>
      <c r="DD28" s="16">
        <f t="shared" si="24"/>
        <v>159823</v>
      </c>
      <c r="DE28" s="16">
        <f t="shared" si="44"/>
        <v>160120.63593882753</v>
      </c>
      <c r="DF28" s="16">
        <f t="shared" si="45"/>
        <v>247160.32000000001</v>
      </c>
      <c r="DG28" s="16">
        <f t="shared" si="8"/>
        <v>-49040.63593882753</v>
      </c>
      <c r="DH28" s="16">
        <f t="shared" si="9"/>
        <v>-33205.320000000007</v>
      </c>
      <c r="DI28" s="12">
        <f t="shared" si="46"/>
        <v>-0.1166079638416738</v>
      </c>
      <c r="DJ28" s="16">
        <f t="shared" si="47"/>
        <v>0</v>
      </c>
      <c r="DK28" s="16">
        <f t="shared" si="25"/>
        <v>159823</v>
      </c>
      <c r="DL28" s="17">
        <f t="shared" si="48"/>
        <v>-0.19989549447091987</v>
      </c>
      <c r="DM28" s="17">
        <f t="shared" si="10"/>
        <v>-0.51838043188838956</v>
      </c>
      <c r="DN28" s="16">
        <v>157437.04999999999</v>
      </c>
      <c r="DO28">
        <f>CW27-CY28</f>
        <v>-157815</v>
      </c>
      <c r="DP28" s="16">
        <f t="shared" si="64"/>
        <v>18679.950000000012</v>
      </c>
      <c r="DQ28" s="12">
        <v>-4.4999999999999998E-2</v>
      </c>
      <c r="DR28" s="12">
        <f t="shared" si="65"/>
        <v>4.1014313469802881E-2</v>
      </c>
      <c r="DS28" s="12">
        <f t="shared" si="66"/>
        <v>-0.30299999999999999</v>
      </c>
      <c r="DT28" s="12">
        <f t="shared" si="14"/>
        <v>-0.46085199700848056</v>
      </c>
      <c r="DU28" s="12">
        <f t="shared" si="50"/>
        <v>-0.21589593185750369</v>
      </c>
      <c r="DV28" s="12">
        <f t="shared" si="15"/>
        <v>-0.56048851766021335</v>
      </c>
      <c r="DW28" s="16">
        <v>254105</v>
      </c>
      <c r="DX28" s="16">
        <v>520761</v>
      </c>
      <c r="DY28" s="16">
        <f t="shared" si="26"/>
        <v>823609</v>
      </c>
      <c r="DZ28" s="16">
        <f t="shared" si="16"/>
        <v>448175.77071823203</v>
      </c>
      <c r="EA28" s="16">
        <f t="shared" si="27"/>
        <v>375433.22928176797</v>
      </c>
      <c r="EB28" s="109">
        <f t="shared" si="17"/>
        <v>0.91406521660063311</v>
      </c>
      <c r="EC28" s="12">
        <f t="shared" si="18"/>
        <v>0.16582905330544462</v>
      </c>
      <c r="ED28" s="12">
        <f t="shared" si="28"/>
        <v>-0.28076543869907772</v>
      </c>
    </row>
    <row r="29" spans="1:134" x14ac:dyDescent="0.35">
      <c r="A29" s="8" t="s">
        <v>212</v>
      </c>
      <c r="B29" s="8" t="s">
        <v>213</v>
      </c>
      <c r="C29" s="1">
        <f t="shared" si="0"/>
        <v>89</v>
      </c>
      <c r="D29" s="9">
        <v>0</v>
      </c>
      <c r="E29" s="9">
        <v>0</v>
      </c>
      <c r="F29" s="9">
        <v>0</v>
      </c>
      <c r="G29" s="9">
        <v>0</v>
      </c>
      <c r="H29" s="9">
        <v>51</v>
      </c>
      <c r="I29" s="9">
        <v>38</v>
      </c>
      <c r="J29" s="9">
        <v>0</v>
      </c>
      <c r="K29">
        <v>0</v>
      </c>
      <c r="L29" s="49">
        <v>183.5</v>
      </c>
      <c r="M29" s="9">
        <v>131</v>
      </c>
      <c r="N29" s="12">
        <f t="shared" si="1"/>
        <v>2.0617977528089888</v>
      </c>
      <c r="O29" s="12">
        <v>1.4719101123595506</v>
      </c>
      <c r="P29" s="20">
        <f>O29/O43</f>
        <v>1.375686115444491E-2</v>
      </c>
      <c r="Q29" s="48">
        <f t="shared" si="60"/>
        <v>1.1838302594836241E-2</v>
      </c>
      <c r="R29" s="16">
        <v>120238</v>
      </c>
      <c r="S29" s="16">
        <v>793658</v>
      </c>
      <c r="T29" s="16">
        <f t="shared" si="2"/>
        <v>1350.9887640449438</v>
      </c>
      <c r="U29" s="16">
        <f t="shared" si="3"/>
        <v>8917.5056179775274</v>
      </c>
      <c r="V29" s="20">
        <f>U29/U43</f>
        <v>7.4620283459136377E-2</v>
      </c>
      <c r="W29" s="20">
        <f t="shared" si="61"/>
        <v>1.245604775583087E-2</v>
      </c>
      <c r="X29" s="20">
        <f t="shared" si="19"/>
        <v>3.8102230076321499E-2</v>
      </c>
      <c r="Y29" s="20">
        <f t="shared" si="20"/>
        <v>1.2085400659234094E-2</v>
      </c>
      <c r="Z29" s="54">
        <v>84</v>
      </c>
      <c r="AA29" s="12">
        <v>-0.85072740198923968</v>
      </c>
      <c r="AB29" s="12">
        <f t="shared" si="62"/>
        <v>-0.59989894007531608</v>
      </c>
      <c r="AC29" s="12">
        <v>-0.59599999999999997</v>
      </c>
      <c r="AD29">
        <v>0.15</v>
      </c>
      <c r="AE29" s="54">
        <v>94</v>
      </c>
      <c r="AF29" s="123"/>
      <c r="AG29" s="118">
        <v>-0.65422289161225378</v>
      </c>
      <c r="AH29" s="123"/>
      <c r="AI29" s="123"/>
      <c r="AJ29" s="18"/>
      <c r="AK29" s="18"/>
      <c r="AL29" s="18"/>
      <c r="AM29" s="18"/>
      <c r="AN29" s="12"/>
      <c r="AO29" s="18"/>
      <c r="AP29" s="30"/>
      <c r="AQ29" s="30"/>
      <c r="AR29" s="12"/>
      <c r="AS29" s="12"/>
      <c r="AT29" s="18"/>
      <c r="AU29" s="18"/>
      <c r="AV29" s="18"/>
      <c r="AW29" s="30"/>
      <c r="AX29" s="24"/>
      <c r="AY29" s="12"/>
      <c r="AZ29" s="12"/>
      <c r="BA29" s="12"/>
      <c r="BB29" s="12"/>
      <c r="BC29" s="12"/>
      <c r="BD29" s="12"/>
      <c r="BE29" s="12"/>
      <c r="BF29" s="12"/>
      <c r="BG29" s="12"/>
      <c r="BJ29">
        <v>367</v>
      </c>
      <c r="BK29">
        <v>367</v>
      </c>
      <c r="BL29">
        <f t="shared" si="67"/>
        <v>0</v>
      </c>
      <c r="BM29">
        <v>478</v>
      </c>
      <c r="BN29">
        <v>620</v>
      </c>
      <c r="BO29" s="16">
        <v>740</v>
      </c>
      <c r="BP29" s="16">
        <v>514</v>
      </c>
      <c r="BQ29" s="16">
        <f t="shared" si="31"/>
        <v>1293.2640000000001</v>
      </c>
      <c r="BR29" s="16">
        <f t="shared" si="32"/>
        <v>967.39167374681404</v>
      </c>
      <c r="BS29" s="268"/>
      <c r="BT29" s="16"/>
      <c r="BU29" s="16"/>
      <c r="BV29" s="16"/>
      <c r="BW29" s="12"/>
      <c r="BX29" s="12"/>
      <c r="BY29" s="16"/>
      <c r="BZ29" s="16"/>
      <c r="CA29" s="16">
        <v>648</v>
      </c>
      <c r="CB29" s="16">
        <v>439</v>
      </c>
      <c r="CC29" s="16">
        <v>344.7</v>
      </c>
      <c r="CD29" s="16">
        <f t="shared" si="21"/>
        <v>1431.7</v>
      </c>
      <c r="CE29" s="16">
        <f t="shared" si="6"/>
        <v>1350.5726979742176</v>
      </c>
      <c r="CF29" s="16">
        <f t="shared" si="22"/>
        <v>81.127302025782456</v>
      </c>
      <c r="CG29" s="17">
        <f t="shared" si="7"/>
        <v>0.24460740667509026</v>
      </c>
      <c r="CH29" s="16">
        <f t="shared" si="33"/>
        <v>1162</v>
      </c>
      <c r="CI29" s="16">
        <f t="shared" si="34"/>
        <v>631.57508399999995</v>
      </c>
      <c r="CJ29" s="16">
        <f t="shared" si="35"/>
        <v>-227.39167374681404</v>
      </c>
      <c r="CK29" s="16">
        <f t="shared" si="36"/>
        <v>-347.39167374681404</v>
      </c>
      <c r="CL29" s="12">
        <f t="shared" si="37"/>
        <v>-0.81970760217046612</v>
      </c>
      <c r="CM29" s="16">
        <f t="shared" si="38"/>
        <v>0</v>
      </c>
      <c r="CN29" s="16">
        <f t="shared" si="39"/>
        <v>-117.57508399999995</v>
      </c>
      <c r="CO29" s="16">
        <f t="shared" si="23"/>
        <v>1162</v>
      </c>
      <c r="CP29" s="12">
        <f t="shared" si="40"/>
        <v>-0.51925043995626763</v>
      </c>
      <c r="CQ29" s="12">
        <f t="shared" si="41"/>
        <v>-0.84161787761713469</v>
      </c>
      <c r="CR29">
        <v>446</v>
      </c>
      <c r="CS29">
        <f t="shared" si="63"/>
        <v>-111</v>
      </c>
      <c r="CT29">
        <v>-79</v>
      </c>
      <c r="CU29" s="12">
        <v>-0.77500000000000002</v>
      </c>
      <c r="CV29" s="12">
        <v>-0.745</v>
      </c>
      <c r="CW29" s="16">
        <v>120238</v>
      </c>
      <c r="CX29" s="16">
        <v>120238</v>
      </c>
      <c r="CY29">
        <v>262431</v>
      </c>
      <c r="CZ29" s="12">
        <f t="shared" si="43"/>
        <v>0.6230041936440337</v>
      </c>
      <c r="DA29" s="16">
        <v>2733</v>
      </c>
      <c r="DB29" s="16">
        <v>137906</v>
      </c>
      <c r="DC29" s="16">
        <v>20983</v>
      </c>
      <c r="DD29" s="16">
        <f t="shared" si="24"/>
        <v>23716</v>
      </c>
      <c r="DE29" s="16">
        <f t="shared" si="44"/>
        <v>200748.25998300765</v>
      </c>
      <c r="DF29" s="16">
        <f t="shared" si="45"/>
        <v>309872.64000000001</v>
      </c>
      <c r="DG29" s="16">
        <f t="shared" si="8"/>
        <v>-198015.25998300765</v>
      </c>
      <c r="DH29" s="16">
        <f t="shared" si="9"/>
        <v>-171966.64</v>
      </c>
      <c r="DI29" s="12">
        <f t="shared" si="46"/>
        <v>-0.42290539365767504</v>
      </c>
      <c r="DJ29" s="16">
        <f t="shared" si="47"/>
        <v>0</v>
      </c>
      <c r="DK29" s="16">
        <f t="shared" si="25"/>
        <v>23716</v>
      </c>
      <c r="DL29" s="17">
        <f t="shared" si="48"/>
        <v>-0.80713387070399001</v>
      </c>
      <c r="DM29" s="17">
        <f t="shared" si="10"/>
        <v>-0.82782427485187671</v>
      </c>
      <c r="DN29" s="16">
        <v>251086.46</v>
      </c>
      <c r="DO29" t="e">
        <f>#REF!-CY29</f>
        <v>#REF!</v>
      </c>
      <c r="DP29" s="16">
        <f t="shared" si="64"/>
        <v>-130848.45999999999</v>
      </c>
      <c r="DQ29" s="12">
        <v>-0.32900000000000001</v>
      </c>
      <c r="DR29" s="12">
        <f t="shared" si="65"/>
        <v>-0.38224735018829004</v>
      </c>
      <c r="DS29" s="12">
        <f t="shared" si="66"/>
        <v>-0.5786</v>
      </c>
      <c r="DT29" s="12">
        <f t="shared" si="14"/>
        <v>-0.66098671876534965</v>
      </c>
      <c r="DU29" s="12">
        <f t="shared" si="50"/>
        <v>-0.50334173680109606</v>
      </c>
      <c r="DV29" s="12">
        <f t="shared" si="15"/>
        <v>-0.63440381225535658</v>
      </c>
      <c r="DW29" s="16">
        <v>335132</v>
      </c>
      <c r="DX29" s="16">
        <v>137785</v>
      </c>
      <c r="DY29" s="16">
        <f t="shared" si="26"/>
        <v>493900</v>
      </c>
      <c r="DZ29" s="16">
        <f t="shared" si="16"/>
        <v>628783.91712707188</v>
      </c>
      <c r="EA29" s="16">
        <f t="shared" si="27"/>
        <v>-134883.91712707188</v>
      </c>
      <c r="EB29" s="17">
        <f t="shared" si="17"/>
        <v>-0.32840113050346398</v>
      </c>
      <c r="EC29" s="12">
        <f t="shared" si="18"/>
        <v>1.5403991803668554E-2</v>
      </c>
      <c r="ED29" s="12">
        <f t="shared" si="28"/>
        <v>0.17246582146598174</v>
      </c>
    </row>
    <row r="30" spans="1:134" x14ac:dyDescent="0.35">
      <c r="A30" s="8" t="s">
        <v>212</v>
      </c>
      <c r="B30" s="141" t="s">
        <v>94</v>
      </c>
      <c r="C30" s="1">
        <f t="shared" si="0"/>
        <v>77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>
        <v>77</v>
      </c>
      <c r="L30" s="49">
        <v>146.5</v>
      </c>
      <c r="M30" s="9">
        <v>206</v>
      </c>
      <c r="N30" s="12">
        <f t="shared" si="1"/>
        <v>1.9025974025974026</v>
      </c>
      <c r="O30" s="12">
        <v>2.6753246753246751</v>
      </c>
      <c r="P30" s="20">
        <f>O30/O43</f>
        <v>2.5004291901020416E-2</v>
      </c>
      <c r="Q30" s="48">
        <f t="shared" si="60"/>
        <v>1.092421588752414E-2</v>
      </c>
      <c r="R30" s="16">
        <v>36623</v>
      </c>
      <c r="S30" s="16">
        <v>133816</v>
      </c>
      <c r="T30" s="16">
        <f t="shared" si="2"/>
        <v>475.6233766233766</v>
      </c>
      <c r="U30" s="16">
        <f t="shared" si="3"/>
        <v>1737.8701298701299</v>
      </c>
      <c r="V30" s="20">
        <f>U30/U43</f>
        <v>1.4542223718327916E-2</v>
      </c>
      <c r="W30" s="20">
        <f t="shared" si="61"/>
        <v>4.3852233643100992E-3</v>
      </c>
      <c r="X30" s="20">
        <f t="shared" si="19"/>
        <v>2.0819464627943415E-2</v>
      </c>
      <c r="Y30" s="20">
        <f t="shared" si="20"/>
        <v>8.3086188782385238E-3</v>
      </c>
      <c r="Z30" s="54">
        <v>74</v>
      </c>
      <c r="AA30" s="12">
        <v>-0.33969831419182905</v>
      </c>
      <c r="AB30" s="12">
        <f t="shared" si="62"/>
        <v>-0.55383446462477415</v>
      </c>
      <c r="AC30" s="12">
        <v>-0.65100000000000002</v>
      </c>
      <c r="AD30">
        <v>-0.111</v>
      </c>
      <c r="AE30" s="54">
        <v>68</v>
      </c>
      <c r="AF30" s="123"/>
      <c r="AG30" s="118">
        <v>-0.41866204064223611</v>
      </c>
      <c r="AH30" s="123"/>
      <c r="AI30" s="123"/>
      <c r="AJ30" s="18"/>
      <c r="AK30" s="18"/>
      <c r="AL30" s="18"/>
      <c r="AM30" s="18"/>
      <c r="AN30" s="12"/>
      <c r="AO30" s="18"/>
      <c r="AP30" s="30"/>
      <c r="AQ30" s="30"/>
      <c r="AR30" s="12"/>
      <c r="AS30" s="12"/>
      <c r="AT30" s="18"/>
      <c r="AU30" s="18"/>
      <c r="AV30" s="18"/>
      <c r="AW30" s="30"/>
      <c r="AX30" s="24">
        <v>0</v>
      </c>
      <c r="AY30" s="12"/>
      <c r="AZ30" s="12"/>
      <c r="BA30" s="12"/>
      <c r="BB30" s="12"/>
      <c r="BC30" s="12"/>
      <c r="BD30" s="12"/>
      <c r="BE30" s="12"/>
      <c r="BF30" s="12"/>
      <c r="BG30" s="12"/>
      <c r="BJ30">
        <v>293</v>
      </c>
      <c r="BK30">
        <v>385</v>
      </c>
      <c r="BL30">
        <f t="shared" si="67"/>
        <v>-92</v>
      </c>
      <c r="BM30">
        <v>413</v>
      </c>
      <c r="BN30">
        <v>702</v>
      </c>
      <c r="BO30" s="16">
        <v>823</v>
      </c>
      <c r="BP30" s="16">
        <v>561</v>
      </c>
      <c r="BQ30" s="16">
        <f t="shared" si="31"/>
        <v>1139.3040000000001</v>
      </c>
      <c r="BR30" s="16">
        <f t="shared" si="32"/>
        <v>852.22599830076467</v>
      </c>
      <c r="BS30" s="268">
        <v>0</v>
      </c>
      <c r="BT30" s="285">
        <f>BW30*BZ$4</f>
        <v>287701.26431752305</v>
      </c>
      <c r="BU30" s="16">
        <f>AVERAGE(AX30,BS30,BT30)</f>
        <v>95900.421439174344</v>
      </c>
      <c r="BV30" s="296">
        <f>BU30-(BX30*BU$42)</f>
        <v>153589.04786790872</v>
      </c>
      <c r="BW30" s="12">
        <f>AE30*BX30</f>
        <v>3.5036649634803894</v>
      </c>
      <c r="BX30" s="12">
        <f>EC30/BZ3</f>
        <v>5.1524484757064552E-2</v>
      </c>
      <c r="BY30" s="16"/>
      <c r="BZ30" s="16"/>
      <c r="CA30" s="16">
        <v>462</v>
      </c>
      <c r="CB30" s="16">
        <v>372</v>
      </c>
      <c r="CC30" s="16">
        <v>495.2</v>
      </c>
      <c r="CD30" s="16">
        <f t="shared" si="21"/>
        <v>1329.2</v>
      </c>
      <c r="CE30" s="16">
        <f t="shared" si="6"/>
        <v>977.01003683241265</v>
      </c>
      <c r="CF30" s="16">
        <f t="shared" si="22"/>
        <v>352.18996316758739</v>
      </c>
      <c r="CG30" s="109">
        <f t="shared" si="7"/>
        <v>1.0618900345045481</v>
      </c>
      <c r="CH30" s="16">
        <f t="shared" si="33"/>
        <v>1023</v>
      </c>
      <c r="CI30" s="16">
        <f t="shared" si="34"/>
        <v>556.38757399999997</v>
      </c>
      <c r="CJ30" s="16">
        <f t="shared" si="35"/>
        <v>-29.225998300764672</v>
      </c>
      <c r="CK30" s="16">
        <f t="shared" si="36"/>
        <v>-150.22599830076467</v>
      </c>
      <c r="CL30" s="12">
        <f t="shared" si="37"/>
        <v>-0.48143798492345413</v>
      </c>
      <c r="CM30" s="16">
        <f t="shared" si="38"/>
        <v>0</v>
      </c>
      <c r="CN30" s="16">
        <f t="shared" si="39"/>
        <v>4.6124260000000277</v>
      </c>
      <c r="CO30" s="16">
        <f t="shared" si="23"/>
        <v>1023</v>
      </c>
      <c r="CP30" s="12">
        <f t="shared" si="40"/>
        <v>-1.4535497115428227E-2</v>
      </c>
      <c r="CQ30" s="12">
        <f t="shared" si="41"/>
        <v>-0.3639490966756781</v>
      </c>
      <c r="CR30">
        <v>386</v>
      </c>
      <c r="CS30">
        <f t="shared" si="63"/>
        <v>-120</v>
      </c>
      <c r="CT30">
        <v>-1</v>
      </c>
      <c r="CU30" s="12">
        <v>-0.79900000000000004</v>
      </c>
      <c r="CV30" s="12">
        <v>-0.55400000000000005</v>
      </c>
      <c r="CW30" s="16">
        <v>36623</v>
      </c>
      <c r="CX30" s="16">
        <v>25617</v>
      </c>
      <c r="CY30">
        <v>223856</v>
      </c>
      <c r="CZ30" s="12">
        <f t="shared" si="43"/>
        <v>0.39526159872532834</v>
      </c>
      <c r="DA30" s="16">
        <v>105000</v>
      </c>
      <c r="DB30" s="16">
        <v>130617</v>
      </c>
      <c r="DC30" s="16">
        <v>48743</v>
      </c>
      <c r="DD30" s="16">
        <f t="shared" si="24"/>
        <v>153743</v>
      </c>
      <c r="DE30" s="16">
        <f t="shared" si="44"/>
        <v>176849.65760407815</v>
      </c>
      <c r="DF30" s="16">
        <f t="shared" si="45"/>
        <v>272983.03999999998</v>
      </c>
      <c r="DG30" s="16">
        <f t="shared" si="8"/>
        <v>-71849.657604078151</v>
      </c>
      <c r="DH30" s="16">
        <f t="shared" si="9"/>
        <v>-142366.03999999998</v>
      </c>
      <c r="DI30" s="12">
        <f t="shared" si="46"/>
        <v>-0.35756594819108872</v>
      </c>
      <c r="DJ30" s="16">
        <f t="shared" si="47"/>
        <v>0</v>
      </c>
      <c r="DK30" s="16">
        <f t="shared" si="25"/>
        <v>153743</v>
      </c>
      <c r="DL30" s="17">
        <f t="shared" si="48"/>
        <v>-0.29286779339992519</v>
      </c>
      <c r="DM30" s="17">
        <f t="shared" si="10"/>
        <v>-0.33551657536537693</v>
      </c>
      <c r="DN30" s="16">
        <v>216995.44</v>
      </c>
      <c r="DO30">
        <f t="shared" ref="DO30:DO35" si="68">CW28-CY30</f>
        <v>-81559</v>
      </c>
      <c r="DP30" s="16">
        <f t="shared" si="64"/>
        <v>-191378.44</v>
      </c>
      <c r="DQ30" s="12">
        <v>-0.43</v>
      </c>
      <c r="DR30" s="12">
        <f t="shared" si="65"/>
        <v>-0.5535861615619353</v>
      </c>
      <c r="DS30" s="12">
        <f t="shared" si="66"/>
        <v>-0.50440000000000007</v>
      </c>
      <c r="DT30" s="12">
        <f t="shared" si="14"/>
        <v>-0.43188917023050799</v>
      </c>
      <c r="DU30" s="12">
        <f t="shared" si="50"/>
        <v>-0.22873634781007807</v>
      </c>
      <c r="DV30" s="12">
        <f t="shared" si="15"/>
        <v>-0.12586841562922702</v>
      </c>
      <c r="DW30" s="16">
        <v>75600</v>
      </c>
      <c r="DX30" s="16">
        <v>180591</v>
      </c>
      <c r="DY30" s="16">
        <f t="shared" si="26"/>
        <v>304934</v>
      </c>
      <c r="DZ30" s="16">
        <f t="shared" si="16"/>
        <v>454864.96132596687</v>
      </c>
      <c r="EA30" s="16">
        <f t="shared" si="27"/>
        <v>-149930.96132596687</v>
      </c>
      <c r="EB30" s="17">
        <f t="shared" si="17"/>
        <v>-0.36503608618166716</v>
      </c>
      <c r="EC30" s="14">
        <f t="shared" si="18"/>
        <v>0.49111958623006197</v>
      </c>
      <c r="ED30" s="12">
        <f t="shared" si="28"/>
        <v>0.14566242011116576</v>
      </c>
    </row>
    <row r="31" spans="1:134" x14ac:dyDescent="0.35">
      <c r="A31" s="7" t="s">
        <v>212</v>
      </c>
      <c r="B31" s="143" t="s">
        <v>47</v>
      </c>
      <c r="C31" s="1">
        <f t="shared" si="0"/>
        <v>55</v>
      </c>
      <c r="D31" s="9">
        <v>2</v>
      </c>
      <c r="E31" s="9">
        <v>8</v>
      </c>
      <c r="F31" s="9">
        <v>13</v>
      </c>
      <c r="G31" s="9">
        <v>13</v>
      </c>
      <c r="H31" s="9">
        <v>2</v>
      </c>
      <c r="I31" s="9">
        <v>7</v>
      </c>
      <c r="J31" s="9">
        <v>8</v>
      </c>
      <c r="K31" s="9">
        <v>2</v>
      </c>
      <c r="L31" s="49">
        <v>174</v>
      </c>
      <c r="M31" s="9">
        <v>87.5</v>
      </c>
      <c r="N31" s="12">
        <f t="shared" si="1"/>
        <v>3.1636363636363636</v>
      </c>
      <c r="O31" s="12">
        <v>1.5909090909090908</v>
      </c>
      <c r="P31" s="20">
        <f>O31/O43</f>
        <v>1.4869057077063113E-2</v>
      </c>
      <c r="Q31" s="48">
        <f t="shared" si="60"/>
        <v>1.8164771264169832E-2</v>
      </c>
      <c r="R31" s="16">
        <v>874663</v>
      </c>
      <c r="S31" s="16">
        <v>562411</v>
      </c>
      <c r="T31" s="16">
        <f t="shared" si="2"/>
        <v>15902.963636363636</v>
      </c>
      <c r="U31" s="16">
        <f t="shared" si="3"/>
        <v>10225.654545454545</v>
      </c>
      <c r="V31" s="20">
        <f>U31/U43</f>
        <v>8.5566667790906395E-2</v>
      </c>
      <c r="W31" s="20">
        <f t="shared" si="61"/>
        <v>0.1466245166397234</v>
      </c>
      <c r="X31" s="20">
        <f t="shared" si="19"/>
        <v>4.314810136260043E-2</v>
      </c>
      <c r="Y31" s="20">
        <f t="shared" si="20"/>
        <v>6.9548669414391265E-2</v>
      </c>
      <c r="Z31" s="54">
        <v>70</v>
      </c>
      <c r="AA31" s="12">
        <v>0.40100340763301084</v>
      </c>
      <c r="AB31" s="14">
        <f t="shared" si="62"/>
        <v>0.59754661952877797</v>
      </c>
      <c r="AC31" s="12">
        <v>0.434</v>
      </c>
      <c r="AD31">
        <v>9.4E-2</v>
      </c>
      <c r="AE31" s="54">
        <v>52</v>
      </c>
      <c r="AF31" s="125">
        <v>200560.04871614298</v>
      </c>
      <c r="AG31" s="117">
        <v>9.1229645785537439E-2</v>
      </c>
      <c r="AH31" s="122">
        <v>0</v>
      </c>
      <c r="AI31" s="103"/>
      <c r="AJ31" s="34" t="e">
        <f>AM31*#REF!</f>
        <v>#DIV/0!</v>
      </c>
      <c r="AK31" s="30"/>
      <c r="AL31" s="30" t="e">
        <f>AJ31-AF31</f>
        <v>#DIV/0!</v>
      </c>
      <c r="AM31" s="34" t="e">
        <f>C31*AS31</f>
        <v>#DIV/0!</v>
      </c>
      <c r="AN31" s="12"/>
      <c r="AO31" s="34" t="e">
        <f>SUM(AP31:AQ31)</f>
        <v>#DIV/0!</v>
      </c>
      <c r="AP31" s="30"/>
      <c r="AQ31" s="34" t="e">
        <f>BF31*BI$14</f>
        <v>#DIV/0!</v>
      </c>
      <c r="AR31" s="12"/>
      <c r="AS31" s="12" t="e">
        <f>AB31/BI$2</f>
        <v>#DIV/0!</v>
      </c>
      <c r="AT31" s="18">
        <v>311375.43</v>
      </c>
      <c r="AU31" s="35">
        <f>AVERAGE(AF31,AH31)</f>
        <v>100280.02435807149</v>
      </c>
      <c r="AV31" s="35">
        <f>AVERAGE(AF31,AW31,AT31)</f>
        <v>204071.83290538099</v>
      </c>
      <c r="AW31" s="34">
        <v>100280.02</v>
      </c>
      <c r="AX31" s="293">
        <f>AV33-(BG33*AV$45)</f>
        <v>0</v>
      </c>
      <c r="AY31" s="12"/>
      <c r="AZ31" s="12"/>
      <c r="BA31" s="12">
        <f>Z31*BG31</f>
        <v>7.1527675825741399</v>
      </c>
      <c r="BB31" s="12"/>
      <c r="BC31" s="12"/>
      <c r="BD31" s="12" t="e">
        <f>DI31/BI$13</f>
        <v>#DIV/0!</v>
      </c>
      <c r="BE31" s="12"/>
      <c r="BF31" s="12" t="e">
        <f>Z31*BD31</f>
        <v>#DIV/0!</v>
      </c>
      <c r="BG31" s="12">
        <f>ED31/BI$6</f>
        <v>0.10218239403677343</v>
      </c>
      <c r="BJ31">
        <v>348</v>
      </c>
      <c r="BK31">
        <v>356</v>
      </c>
      <c r="BL31">
        <f t="shared" si="67"/>
        <v>-8</v>
      </c>
      <c r="BM31">
        <v>295</v>
      </c>
      <c r="BN31">
        <v>585</v>
      </c>
      <c r="BO31" s="16">
        <v>733</v>
      </c>
      <c r="BP31" s="16">
        <v>332</v>
      </c>
      <c r="BQ31" s="16">
        <f t="shared" si="31"/>
        <v>1077.72</v>
      </c>
      <c r="BR31" s="16">
        <f t="shared" si="32"/>
        <v>806.15972812234497</v>
      </c>
      <c r="BS31" s="267">
        <v>399355</v>
      </c>
      <c r="BT31" s="285">
        <f>BW31*BZ$4</f>
        <v>479846.10633213149</v>
      </c>
      <c r="BU31" s="16">
        <f>AVERAGE(AX31,BS31,BT31)</f>
        <v>293067.03544404381</v>
      </c>
      <c r="BV31" s="296">
        <f>BU31-(BX31*BU$42)</f>
        <v>418888.85814706044</v>
      </c>
      <c r="BW31" s="12">
        <f>AE31*BX31</f>
        <v>5.8436308738736962</v>
      </c>
      <c r="BX31" s="12">
        <f>EC31/BZ3</f>
        <v>0.11237751680526339</v>
      </c>
      <c r="BY31" s="16"/>
      <c r="BZ31" s="16"/>
      <c r="CA31" s="16">
        <v>288</v>
      </c>
      <c r="CB31" s="16">
        <v>241</v>
      </c>
      <c r="CC31" s="16">
        <v>172</v>
      </c>
      <c r="CD31" s="16">
        <f t="shared" si="21"/>
        <v>701</v>
      </c>
      <c r="CE31" s="16">
        <f t="shared" si="6"/>
        <v>747.12532228360965</v>
      </c>
      <c r="CF31" s="16">
        <f t="shared" si="22"/>
        <v>-46.125322283609648</v>
      </c>
      <c r="CG31" s="17">
        <f t="shared" si="7"/>
        <v>-0.13907273117822691</v>
      </c>
      <c r="CH31" s="16">
        <f t="shared" si="33"/>
        <v>620</v>
      </c>
      <c r="CI31" s="16">
        <f t="shared" si="34"/>
        <v>526.31257000000005</v>
      </c>
      <c r="CJ31" s="16">
        <f t="shared" si="35"/>
        <v>-73.159728122344973</v>
      </c>
      <c r="CK31" s="16">
        <f t="shared" si="36"/>
        <v>-221.15972812234497</v>
      </c>
      <c r="CL31" s="12">
        <f t="shared" si="37"/>
        <v>-0.5564330411435997</v>
      </c>
      <c r="CM31" s="16">
        <f t="shared" si="38"/>
        <v>0</v>
      </c>
      <c r="CN31" s="16">
        <f t="shared" si="39"/>
        <v>-194.31257000000005</v>
      </c>
      <c r="CO31" s="16">
        <f t="shared" si="23"/>
        <v>620</v>
      </c>
      <c r="CP31" s="12">
        <f t="shared" si="40"/>
        <v>-0.83622683026195255</v>
      </c>
      <c r="CQ31" s="12">
        <f t="shared" si="41"/>
        <v>-0.53579862461633787</v>
      </c>
      <c r="CR31">
        <v>276</v>
      </c>
      <c r="CS31">
        <f t="shared" si="63"/>
        <v>53</v>
      </c>
      <c r="CT31">
        <v>80</v>
      </c>
      <c r="CU31" s="12">
        <v>-0.34499999999999997</v>
      </c>
      <c r="CV31" s="12">
        <v>-0.35499999999999998</v>
      </c>
      <c r="CW31" s="16">
        <v>874663</v>
      </c>
      <c r="CX31" s="16">
        <v>874663</v>
      </c>
      <c r="CY31">
        <v>154724</v>
      </c>
      <c r="CZ31" s="12">
        <f t="shared" si="43"/>
        <v>-0.26502808294545044</v>
      </c>
      <c r="DA31" s="16">
        <v>596018</v>
      </c>
      <c r="DB31" s="16">
        <v>721648</v>
      </c>
      <c r="DC31" s="16">
        <v>645660</v>
      </c>
      <c r="DD31" s="16">
        <f t="shared" si="24"/>
        <v>1241678</v>
      </c>
      <c r="DE31" s="16">
        <f t="shared" si="44"/>
        <v>167290.21665250638</v>
      </c>
      <c r="DF31" s="16">
        <f t="shared" si="45"/>
        <v>258227.20000000001</v>
      </c>
      <c r="DG31" s="16">
        <f t="shared" si="8"/>
        <v>428727.78334749362</v>
      </c>
      <c r="DH31" s="16">
        <f t="shared" si="9"/>
        <v>463420.8</v>
      </c>
      <c r="DI31" s="14">
        <f t="shared" si="46"/>
        <v>0.97962911530612473</v>
      </c>
      <c r="DJ31" s="16">
        <f t="shared" si="47"/>
        <v>0</v>
      </c>
      <c r="DK31" s="16">
        <f t="shared" si="25"/>
        <v>1241678</v>
      </c>
      <c r="DL31" s="109">
        <f t="shared" si="48"/>
        <v>1.7475456956261808</v>
      </c>
      <c r="DM31" s="17">
        <f t="shared" si="10"/>
        <v>0.37753910348066966</v>
      </c>
      <c r="DN31" s="16">
        <v>154604.71</v>
      </c>
      <c r="DO31">
        <f t="shared" si="68"/>
        <v>-34486</v>
      </c>
      <c r="DP31" s="16">
        <f t="shared" si="64"/>
        <v>720058.29</v>
      </c>
      <c r="DQ31" s="12">
        <v>1.603</v>
      </c>
      <c r="DR31" s="12">
        <f t="shared" si="65"/>
        <v>2.0263665488219447</v>
      </c>
      <c r="DS31" s="12">
        <f t="shared" si="66"/>
        <v>0.42820000000000003</v>
      </c>
      <c r="DT31" s="12">
        <f t="shared" si="14"/>
        <v>5.7991821436290114E-2</v>
      </c>
      <c r="DU31" s="12">
        <f t="shared" si="50"/>
        <v>2.0688850221511084</v>
      </c>
      <c r="DV31" s="12">
        <f t="shared" si="15"/>
        <v>0.1972821800933009</v>
      </c>
      <c r="DW31" s="16">
        <v>582025</v>
      </c>
      <c r="DX31" s="16">
        <v>305723</v>
      </c>
      <c r="DY31" s="16">
        <f t="shared" si="26"/>
        <v>1533408</v>
      </c>
      <c r="DZ31" s="16">
        <f t="shared" si="16"/>
        <v>347837.91160220996</v>
      </c>
      <c r="EA31" s="16">
        <f t="shared" si="27"/>
        <v>1185570.08839779</v>
      </c>
      <c r="EB31" s="109">
        <f t="shared" si="17"/>
        <v>2.8865009677479403</v>
      </c>
      <c r="EC31" s="14">
        <f t="shared" si="18"/>
        <v>1.07115674839224</v>
      </c>
      <c r="ED31" s="12">
        <f t="shared" si="28"/>
        <v>0.66853715909317313</v>
      </c>
    </row>
    <row r="32" spans="1:134" x14ac:dyDescent="0.35">
      <c r="A32" s="8" t="s">
        <v>214</v>
      </c>
      <c r="B32" s="141" t="s">
        <v>51</v>
      </c>
      <c r="C32" s="1">
        <f t="shared" si="0"/>
        <v>24</v>
      </c>
      <c r="D32">
        <v>0</v>
      </c>
      <c r="E32">
        <v>8</v>
      </c>
      <c r="F32">
        <v>0</v>
      </c>
      <c r="G32">
        <v>0</v>
      </c>
      <c r="H32">
        <v>0</v>
      </c>
      <c r="I32">
        <v>16</v>
      </c>
      <c r="J32">
        <v>0</v>
      </c>
      <c r="K32">
        <v>0</v>
      </c>
      <c r="L32" s="49">
        <v>485</v>
      </c>
      <c r="M32" s="9">
        <v>230.5</v>
      </c>
      <c r="N32" s="12">
        <f t="shared" si="1"/>
        <v>20.208333333333332</v>
      </c>
      <c r="O32" s="12">
        <v>9.6041666666666661</v>
      </c>
      <c r="P32" s="20">
        <f>O32/O43</f>
        <v>8.9763081473556008E-2</v>
      </c>
      <c r="Q32" s="48">
        <f t="shared" si="60"/>
        <v>0.11603095629112314</v>
      </c>
      <c r="R32" s="16">
        <v>42900</v>
      </c>
      <c r="S32" s="16">
        <v>91221</v>
      </c>
      <c r="T32" s="16">
        <f t="shared" si="2"/>
        <v>1787.5</v>
      </c>
      <c r="U32" s="16">
        <f t="shared" si="3"/>
        <v>3800.875</v>
      </c>
      <c r="V32" s="20">
        <f>U32/U43</f>
        <v>3.18051237692486E-2</v>
      </c>
      <c r="W32" s="20">
        <f t="shared" si="61"/>
        <v>1.648065917060949E-2</v>
      </c>
      <c r="X32" s="20">
        <f t="shared" si="19"/>
        <v>6.6579898391833051E-2</v>
      </c>
      <c r="Y32" s="20">
        <f t="shared" si="20"/>
        <v>7.6210837442917678E-2</v>
      </c>
      <c r="Z32" s="54">
        <v>25</v>
      </c>
      <c r="AA32" s="14">
        <v>0.63623008548516347</v>
      </c>
      <c r="AB32" s="14">
        <f t="shared" si="62"/>
        <v>0.87751787308593421</v>
      </c>
      <c r="AC32" s="12">
        <v>1.012</v>
      </c>
      <c r="AD32" s="37">
        <v>0.53300000000000003</v>
      </c>
      <c r="AE32" s="54">
        <v>37</v>
      </c>
      <c r="AF32" s="125">
        <v>121311.06384615818</v>
      </c>
      <c r="AG32" s="119">
        <v>0.64911092776794499</v>
      </c>
      <c r="AH32" s="124">
        <v>102723.15</v>
      </c>
      <c r="AI32" s="115" t="e">
        <f>AR32*#REF!</f>
        <v>#REF!</v>
      </c>
      <c r="AJ32" s="34" t="e">
        <f>AM32*#REF!</f>
        <v>#DIV/0!</v>
      </c>
      <c r="AK32" s="34" t="e">
        <f>C32*AN32</f>
        <v>#REF!</v>
      </c>
      <c r="AL32" s="30" t="e">
        <f>AJ32-AF32</f>
        <v>#DIV/0!</v>
      </c>
      <c r="AM32" s="34" t="e">
        <f>C32*AS32</f>
        <v>#DIV/0!</v>
      </c>
      <c r="AN32" s="12" t="e">
        <f>AD32/#REF!</f>
        <v>#REF!</v>
      </c>
      <c r="AO32" s="34" t="e">
        <f>SUM(AP32:AQ32)</f>
        <v>#DIV/0!</v>
      </c>
      <c r="AP32" s="34" t="e">
        <f>BE32*#REF!</f>
        <v>#DIV/0!</v>
      </c>
      <c r="AQ32" s="30"/>
      <c r="AR32" s="12">
        <f>Z32*AZ32</f>
        <v>2.4803299148221214</v>
      </c>
      <c r="AS32" s="12" t="e">
        <f>AB32/BI$2</f>
        <v>#DIV/0!</v>
      </c>
      <c r="AT32" s="18">
        <v>90271.75</v>
      </c>
      <c r="AU32" s="35">
        <f>AVERAGE(AF32,AH32)</f>
        <v>112017.10692307909</v>
      </c>
      <c r="AV32" s="35">
        <f>AVERAGE(AF32,AW32,AT32)</f>
        <v>107468.87461538606</v>
      </c>
      <c r="AW32" s="34">
        <v>110823.81</v>
      </c>
      <c r="AX32" s="293">
        <f>AV34-(BG34*AV$45)</f>
        <v>93316.346666666679</v>
      </c>
      <c r="AY32" s="12">
        <f>Z32*BB32</f>
        <v>1.545915388216266</v>
      </c>
      <c r="AZ32" s="12">
        <f>AG32/BI$6</f>
        <v>9.9213196592884856E-2</v>
      </c>
      <c r="BA32" s="12">
        <f>Z32*BG32</f>
        <v>-1.3262979740860825</v>
      </c>
      <c r="BB32" s="12">
        <f>DV32/BI$9</f>
        <v>6.1836615528650635E-2</v>
      </c>
      <c r="BC32" s="12" t="e">
        <f>CL32/BI$12</f>
        <v>#DIV/0!</v>
      </c>
      <c r="BD32" s="12"/>
      <c r="BE32" s="12" t="e">
        <f>Z32*BC32</f>
        <v>#DIV/0!</v>
      </c>
      <c r="BF32" s="12"/>
      <c r="BG32" s="12">
        <f>ED32/BI$6</f>
        <v>-5.3051918963443301E-2</v>
      </c>
      <c r="BJ32">
        <v>970</v>
      </c>
      <c r="BK32">
        <v>962</v>
      </c>
      <c r="BL32">
        <f t="shared" si="67"/>
        <v>8</v>
      </c>
      <c r="BM32">
        <v>129</v>
      </c>
      <c r="BN32">
        <v>725</v>
      </c>
      <c r="BO32" s="16">
        <v>1193</v>
      </c>
      <c r="BP32" s="16">
        <v>438</v>
      </c>
      <c r="BQ32" s="16">
        <f t="shared" si="31"/>
        <v>384.90000000000003</v>
      </c>
      <c r="BR32" s="16">
        <f t="shared" si="32"/>
        <v>287.91418861512324</v>
      </c>
      <c r="BS32" s="267">
        <v>68047</v>
      </c>
      <c r="BT32" s="285">
        <v>0</v>
      </c>
      <c r="BU32" s="16">
        <f>AVERAGE(AX32,BS32,BT32)</f>
        <v>53787.782222222224</v>
      </c>
      <c r="BV32" s="296">
        <f>BU32-(BX32*BU$42)</f>
        <v>53787.782222222224</v>
      </c>
      <c r="BW32" s="12"/>
      <c r="BX32" s="12"/>
      <c r="BY32" s="16"/>
      <c r="BZ32" s="16"/>
      <c r="CA32" s="16">
        <v>179</v>
      </c>
      <c r="CB32" s="16">
        <v>161</v>
      </c>
      <c r="CC32" s="16">
        <v>124.5</v>
      </c>
      <c r="CD32" s="16">
        <f t="shared" si="21"/>
        <v>464.5</v>
      </c>
      <c r="CE32" s="16">
        <f t="shared" si="6"/>
        <v>531.60840239410686</v>
      </c>
      <c r="CF32" s="16">
        <f t="shared" si="22"/>
        <v>-67.108402394106861</v>
      </c>
      <c r="CG32" s="17">
        <f t="shared" si="7"/>
        <v>-0.20233893973836395</v>
      </c>
      <c r="CH32" s="16">
        <f t="shared" si="33"/>
        <v>617</v>
      </c>
      <c r="CI32" s="16">
        <f t="shared" si="34"/>
        <v>187.96877499999999</v>
      </c>
      <c r="CJ32" s="16">
        <f t="shared" si="35"/>
        <v>905.08581138487671</v>
      </c>
      <c r="CK32" s="16">
        <f t="shared" si="36"/>
        <v>437.08581138487676</v>
      </c>
      <c r="CL32" s="14">
        <f t="shared" si="37"/>
        <v>1.113436089712996</v>
      </c>
      <c r="CM32" s="16">
        <f t="shared" si="38"/>
        <v>0</v>
      </c>
      <c r="CN32" s="16">
        <f t="shared" si="39"/>
        <v>250.03122500000001</v>
      </c>
      <c r="CO32" s="16">
        <f t="shared" si="23"/>
        <v>617</v>
      </c>
      <c r="CP32" s="14">
        <f t="shared" si="40"/>
        <v>0.99920588372908259</v>
      </c>
      <c r="CQ32" s="14">
        <f t="shared" si="41"/>
        <v>1.0589178173061409</v>
      </c>
      <c r="CR32">
        <v>120</v>
      </c>
      <c r="CS32">
        <f t="shared" si="63"/>
        <v>841</v>
      </c>
      <c r="CT32">
        <v>842</v>
      </c>
      <c r="CU32" s="14">
        <v>1.7230000000000001</v>
      </c>
      <c r="CV32" s="12">
        <v>1.516</v>
      </c>
      <c r="CW32" s="16">
        <v>42900</v>
      </c>
      <c r="CX32" s="16">
        <v>42900</v>
      </c>
      <c r="CY32">
        <v>62260</v>
      </c>
      <c r="CZ32" s="14">
        <f t="shared" si="43"/>
        <v>-0.26994339074945128</v>
      </c>
      <c r="DA32" s="16">
        <v>42900</v>
      </c>
      <c r="DB32" s="16">
        <v>42900</v>
      </c>
      <c r="DC32" s="16">
        <v>0</v>
      </c>
      <c r="DD32" s="16">
        <f t="shared" si="24"/>
        <v>42900</v>
      </c>
      <c r="DE32" s="16">
        <f t="shared" si="44"/>
        <v>59746.505947323705</v>
      </c>
      <c r="DF32" s="16">
        <f t="shared" si="45"/>
        <v>92224</v>
      </c>
      <c r="DG32" s="16">
        <f t="shared" si="8"/>
        <v>-16846.505947323705</v>
      </c>
      <c r="DH32" s="16">
        <f t="shared" si="9"/>
        <v>-49324</v>
      </c>
      <c r="DI32" s="12">
        <f t="shared" si="46"/>
        <v>-0.1521878376568449</v>
      </c>
      <c r="DJ32" s="16">
        <f t="shared" si="47"/>
        <v>0</v>
      </c>
      <c r="DK32" s="16">
        <f t="shared" si="25"/>
        <v>42900</v>
      </c>
      <c r="DL32" s="17">
        <f t="shared" si="48"/>
        <v>-6.8668372095504193E-2</v>
      </c>
      <c r="DM32" s="109">
        <f t="shared" si="10"/>
        <v>0.60788334154548285</v>
      </c>
      <c r="DN32" s="16">
        <v>67044.100000000006</v>
      </c>
      <c r="DO32">
        <f t="shared" si="68"/>
        <v>-25637</v>
      </c>
      <c r="DP32" s="16">
        <f t="shared" si="64"/>
        <v>-24144.100000000006</v>
      </c>
      <c r="DQ32" s="12">
        <v>-5.2999999999999999E-2</v>
      </c>
      <c r="DR32" s="12">
        <f t="shared" si="65"/>
        <v>-8.0205317285164432E-2</v>
      </c>
      <c r="DS32" s="12">
        <f t="shared" si="66"/>
        <v>0.88839999999999997</v>
      </c>
      <c r="DT32" s="14">
        <f t="shared" si="14"/>
        <v>0.60718651876505958</v>
      </c>
      <c r="DU32" s="12">
        <f t="shared" si="50"/>
        <v>-0.46282684541389429</v>
      </c>
      <c r="DV32" s="14">
        <f t="shared" si="15"/>
        <v>0.57205618139924785</v>
      </c>
      <c r="DW32" s="16">
        <v>145600</v>
      </c>
      <c r="DX32" s="16">
        <v>0</v>
      </c>
      <c r="DY32" s="16">
        <f t="shared" si="26"/>
        <v>145600</v>
      </c>
      <c r="DZ32" s="16">
        <f t="shared" si="16"/>
        <v>247500.05248618784</v>
      </c>
      <c r="EA32" s="16">
        <f t="shared" si="27"/>
        <v>-101900.05248618784</v>
      </c>
      <c r="EB32" s="17">
        <f t="shared" si="17"/>
        <v>-0.24809549683599741</v>
      </c>
      <c r="EC32" s="12">
        <f t="shared" si="18"/>
        <v>-0.22064156257741735</v>
      </c>
      <c r="ED32" s="12">
        <f t="shared" si="28"/>
        <v>-0.34709677261522848</v>
      </c>
    </row>
    <row r="33" spans="1:134" x14ac:dyDescent="0.35">
      <c r="A33" s="8" t="s">
        <v>219</v>
      </c>
      <c r="B33" s="141" t="s">
        <v>440</v>
      </c>
      <c r="C33" s="1">
        <f t="shared" si="0"/>
        <v>32</v>
      </c>
      <c r="D33">
        <v>0</v>
      </c>
      <c r="E33" s="9">
        <v>21</v>
      </c>
      <c r="F33">
        <v>0</v>
      </c>
      <c r="G33">
        <v>0</v>
      </c>
      <c r="H33">
        <v>0</v>
      </c>
      <c r="I33">
        <v>11</v>
      </c>
      <c r="J33">
        <v>0</v>
      </c>
      <c r="K33">
        <v>0</v>
      </c>
      <c r="L33" s="49">
        <v>109.5</v>
      </c>
      <c r="M33" s="9">
        <v>23</v>
      </c>
      <c r="N33" s="12">
        <f t="shared" si="1"/>
        <v>3.421875</v>
      </c>
      <c r="O33" s="12">
        <v>0.71875</v>
      </c>
      <c r="P33" s="20">
        <f>O33/O43</f>
        <v>6.7176275723160135E-3</v>
      </c>
      <c r="Q33" s="48">
        <f t="shared" si="60"/>
        <v>1.9647509866821625E-2</v>
      </c>
      <c r="R33" s="16">
        <v>0</v>
      </c>
      <c r="S33" s="16">
        <v>0</v>
      </c>
      <c r="T33" s="16">
        <f t="shared" si="2"/>
        <v>0</v>
      </c>
      <c r="U33" s="16">
        <f t="shared" si="3"/>
        <v>0</v>
      </c>
      <c r="V33" s="20">
        <f>U33/U43</f>
        <v>0</v>
      </c>
      <c r="W33" s="20">
        <f t="shared" si="61"/>
        <v>0</v>
      </c>
      <c r="X33" s="20">
        <f t="shared" si="19"/>
        <v>4.0305765433896077E-3</v>
      </c>
      <c r="Y33" s="20">
        <f t="shared" si="20"/>
        <v>1.1788505920092975E-2</v>
      </c>
      <c r="Z33" s="54">
        <v>34</v>
      </c>
      <c r="AA33" s="12">
        <v>-0.24624609194613473</v>
      </c>
      <c r="AB33" s="12">
        <f t="shared" si="62"/>
        <v>-0.34257909655556784</v>
      </c>
      <c r="AC33" s="12">
        <v>-0.29699999999999999</v>
      </c>
      <c r="AD33">
        <v>-0.52900000000000003</v>
      </c>
      <c r="AE33" s="54">
        <v>34</v>
      </c>
      <c r="AF33" s="123"/>
      <c r="AG33" s="118">
        <v>-0.33742881734524532</v>
      </c>
      <c r="AH33" s="123"/>
      <c r="AI33" s="123"/>
      <c r="AJ33" s="18"/>
      <c r="AK33" s="18"/>
      <c r="AL33" s="18"/>
      <c r="AM33" s="18"/>
      <c r="AN33" s="12"/>
      <c r="AO33" s="18"/>
      <c r="AP33" s="30"/>
      <c r="AQ33" s="30"/>
      <c r="AR33" s="12"/>
      <c r="AS33" s="12"/>
      <c r="AT33" s="18"/>
      <c r="AU33" s="18"/>
      <c r="AV33" s="18"/>
      <c r="AW33" s="30"/>
      <c r="AX33" s="24"/>
      <c r="AY33" s="12"/>
      <c r="AZ33" s="12"/>
      <c r="BA33" s="12"/>
      <c r="BB33" s="12"/>
      <c r="BC33" s="12"/>
      <c r="BD33" s="12"/>
      <c r="BE33" s="12"/>
      <c r="BF33" s="12"/>
      <c r="BG33" s="12"/>
      <c r="BJ33">
        <v>219</v>
      </c>
      <c r="BK33">
        <v>224</v>
      </c>
      <c r="BL33">
        <f t="shared" si="67"/>
        <v>-5</v>
      </c>
      <c r="BM33">
        <v>172</v>
      </c>
      <c r="BN33">
        <v>317</v>
      </c>
      <c r="BO33" s="16">
        <v>427</v>
      </c>
      <c r="BP33" s="16">
        <v>198</v>
      </c>
      <c r="BQ33" s="16">
        <f t="shared" si="31"/>
        <v>523.46400000000006</v>
      </c>
      <c r="BR33" s="16">
        <f t="shared" si="32"/>
        <v>391.56329651656756</v>
      </c>
      <c r="BS33" s="268"/>
      <c r="BT33" s="16"/>
      <c r="BU33" s="16"/>
      <c r="BV33" s="16"/>
      <c r="BW33" s="12"/>
      <c r="BX33" s="12"/>
      <c r="BY33" s="16"/>
      <c r="BZ33" s="16"/>
      <c r="CA33" s="16">
        <v>137</v>
      </c>
      <c r="CB33" s="16">
        <v>108</v>
      </c>
      <c r="CC33" s="16">
        <v>109.4</v>
      </c>
      <c r="CD33" s="16">
        <f t="shared" si="21"/>
        <v>354.4</v>
      </c>
      <c r="CE33" s="16">
        <f t="shared" si="6"/>
        <v>488.50501841620633</v>
      </c>
      <c r="CF33" s="16">
        <f t="shared" si="22"/>
        <v>-134.10501841620635</v>
      </c>
      <c r="CG33" s="17">
        <f t="shared" si="7"/>
        <v>-0.40434083172738178</v>
      </c>
      <c r="CH33" s="16">
        <f t="shared" si="33"/>
        <v>335</v>
      </c>
      <c r="CI33" s="16">
        <f t="shared" si="34"/>
        <v>255.63753399999999</v>
      </c>
      <c r="CJ33" s="16">
        <f t="shared" si="35"/>
        <v>35.436703483432439</v>
      </c>
      <c r="CK33" s="16">
        <f t="shared" si="36"/>
        <v>-74.563296516567561</v>
      </c>
      <c r="CL33" s="12">
        <f t="shared" si="37"/>
        <v>-0.37105848891102239</v>
      </c>
      <c r="CM33" s="16">
        <f t="shared" si="38"/>
        <v>0</v>
      </c>
      <c r="CN33" s="16">
        <f t="shared" si="39"/>
        <v>-57.637533999999988</v>
      </c>
      <c r="CO33" s="16">
        <f t="shared" si="23"/>
        <v>335</v>
      </c>
      <c r="CP33" s="12">
        <f t="shared" si="40"/>
        <v>-0.27166885717198846</v>
      </c>
      <c r="CQ33" s="12">
        <f t="shared" si="41"/>
        <v>-0.18064279631568514</v>
      </c>
      <c r="CR33">
        <v>160</v>
      </c>
      <c r="CS33">
        <f t="shared" si="63"/>
        <v>47</v>
      </c>
      <c r="CT33">
        <v>64</v>
      </c>
      <c r="CU33" s="12">
        <v>-0.36</v>
      </c>
      <c r="CV33" s="12">
        <v>-0.39400000000000002</v>
      </c>
      <c r="CW33" s="16">
        <v>0</v>
      </c>
      <c r="CX33" s="16">
        <v>0</v>
      </c>
      <c r="CY33">
        <v>85380</v>
      </c>
      <c r="CZ33" s="12">
        <f t="shared" si="43"/>
        <v>-0.73198232432552968</v>
      </c>
      <c r="DA33" s="16">
        <v>0</v>
      </c>
      <c r="DB33" s="16">
        <v>0</v>
      </c>
      <c r="DC33" s="16">
        <v>0</v>
      </c>
      <c r="DD33" s="16">
        <f t="shared" si="24"/>
        <v>0</v>
      </c>
      <c r="DE33" s="16">
        <f t="shared" si="44"/>
        <v>81255.24808836024</v>
      </c>
      <c r="DF33" s="16">
        <f t="shared" si="45"/>
        <v>125424.64</v>
      </c>
      <c r="DG33" s="16">
        <f t="shared" si="8"/>
        <v>-81255.24808836024</v>
      </c>
      <c r="DH33" s="16">
        <f t="shared" si="9"/>
        <v>-125424.64</v>
      </c>
      <c r="DI33" s="12">
        <f t="shared" si="46"/>
        <v>-0.32017002778989334</v>
      </c>
      <c r="DJ33" s="16">
        <f t="shared" si="47"/>
        <v>0</v>
      </c>
      <c r="DK33" s="16">
        <f t="shared" si="25"/>
        <v>0</v>
      </c>
      <c r="DL33" s="17">
        <f t="shared" si="48"/>
        <v>-0.33120610457092625</v>
      </c>
      <c r="DM33" s="17">
        <f t="shared" si="10"/>
        <v>-0.2408681196177816</v>
      </c>
      <c r="DN33" s="16">
        <v>89585.9</v>
      </c>
      <c r="DO33">
        <f t="shared" si="68"/>
        <v>789283</v>
      </c>
      <c r="DP33" s="16">
        <f t="shared" si="64"/>
        <v>-89585.9</v>
      </c>
      <c r="DQ33" s="12">
        <v>-0.20100000000000001</v>
      </c>
      <c r="DR33" s="12">
        <f t="shared" si="65"/>
        <v>-0.26544774138891958</v>
      </c>
      <c r="DS33" s="12">
        <f t="shared" si="66"/>
        <v>-0.31680000000000003</v>
      </c>
      <c r="DT33" s="12">
        <f t="shared" si="14"/>
        <v>-0.3507031044625708</v>
      </c>
      <c r="DU33" s="12">
        <f t="shared" si="50"/>
        <v>-0.55342780665821023</v>
      </c>
      <c r="DV33" s="12">
        <f t="shared" si="15"/>
        <v>-0.29548375613156358</v>
      </c>
      <c r="DW33" s="16">
        <v>0</v>
      </c>
      <c r="DX33" s="16">
        <v>0</v>
      </c>
      <c r="DY33" s="16">
        <f t="shared" si="26"/>
        <v>0</v>
      </c>
      <c r="DZ33" s="16">
        <f t="shared" si="16"/>
        <v>227432.48066298343</v>
      </c>
      <c r="EA33" s="16">
        <f t="shared" si="27"/>
        <v>-227432.48066298343</v>
      </c>
      <c r="EB33" s="17">
        <f t="shared" si="17"/>
        <v>-0.553728608671467</v>
      </c>
      <c r="EC33" s="12">
        <f t="shared" si="18"/>
        <v>-0.46409594250501585</v>
      </c>
      <c r="ED33" s="12">
        <f t="shared" si="28"/>
        <v>-0.66056051725860188</v>
      </c>
    </row>
    <row r="34" spans="1:134" x14ac:dyDescent="0.35">
      <c r="A34" s="8" t="s">
        <v>221</v>
      </c>
      <c r="B34" s="141" t="s">
        <v>441</v>
      </c>
      <c r="C34" s="1">
        <f t="shared" si="0"/>
        <v>33</v>
      </c>
      <c r="D34">
        <v>0</v>
      </c>
      <c r="E34">
        <v>16</v>
      </c>
      <c r="F34">
        <v>0</v>
      </c>
      <c r="G34">
        <v>0</v>
      </c>
      <c r="H34">
        <v>0</v>
      </c>
      <c r="I34" s="10">
        <v>17</v>
      </c>
      <c r="J34">
        <v>0</v>
      </c>
      <c r="K34">
        <v>0</v>
      </c>
      <c r="L34" s="49">
        <v>208.5</v>
      </c>
      <c r="M34" s="9">
        <v>38.5</v>
      </c>
      <c r="N34" s="12">
        <f t="shared" si="1"/>
        <v>6.3181818181818183</v>
      </c>
      <c r="O34" s="12">
        <v>1.1666666666666667</v>
      </c>
      <c r="P34" s="20">
        <f>O34/O43</f>
        <v>1.0903975189846284E-2</v>
      </c>
      <c r="Q34" s="48">
        <f t="shared" si="60"/>
        <v>3.6277344909764468E-2</v>
      </c>
      <c r="R34" s="16">
        <v>121617</v>
      </c>
      <c r="S34" s="16">
        <v>119784</v>
      </c>
      <c r="T34" s="16">
        <f t="shared" si="2"/>
        <v>3685.3636363636365</v>
      </c>
      <c r="U34" s="16">
        <f t="shared" si="3"/>
        <v>3629.818181818182</v>
      </c>
      <c r="V34" s="20">
        <f>U34/U43</f>
        <v>3.0373747237832396E-2</v>
      </c>
      <c r="W34" s="20">
        <f t="shared" si="61"/>
        <v>3.3978865460513062E-2</v>
      </c>
      <c r="X34" s="20">
        <f t="shared" si="19"/>
        <v>1.8691884009040729E-2</v>
      </c>
      <c r="Y34" s="20">
        <f t="shared" si="20"/>
        <v>3.5357953130063909E-2</v>
      </c>
      <c r="Z34" s="54">
        <v>27</v>
      </c>
      <c r="AA34" s="14">
        <v>0.95884335161792</v>
      </c>
      <c r="AB34" s="12">
        <f t="shared" si="62"/>
        <v>0.10692861211703386</v>
      </c>
      <c r="AC34" s="12">
        <v>0.113</v>
      </c>
      <c r="AD34">
        <v>-0.34399999999999997</v>
      </c>
      <c r="AE34" s="54">
        <v>31</v>
      </c>
      <c r="AF34" s="123">
        <v>0</v>
      </c>
      <c r="AG34" s="120">
        <v>0.53173462378398495</v>
      </c>
      <c r="AH34" s="124">
        <v>214514.85</v>
      </c>
      <c r="AI34" s="115" t="e">
        <f>AR34*#REF!</f>
        <v>#REF!</v>
      </c>
      <c r="AJ34" s="18"/>
      <c r="AK34" s="18"/>
      <c r="AL34" s="18"/>
      <c r="AM34" s="18"/>
      <c r="AN34" s="12"/>
      <c r="AO34" s="34" t="e">
        <f>SUM(AP34:AQ34)</f>
        <v>#DIV/0!</v>
      </c>
      <c r="AP34" s="34" t="e">
        <f>BE34*#REF!</f>
        <v>#DIV/0!</v>
      </c>
      <c r="AQ34" s="30"/>
      <c r="AR34" s="12">
        <f>Z34*AZ34</f>
        <v>2.194366812688703</v>
      </c>
      <c r="AS34" s="12"/>
      <c r="AT34" s="18">
        <v>174998.97</v>
      </c>
      <c r="AU34" s="35">
        <f>AVERAGE(AF34,AH34)</f>
        <v>107257.425</v>
      </c>
      <c r="AV34" s="35">
        <f>AVERAGE(AF34,AW34,AT34)</f>
        <v>93316.346666666679</v>
      </c>
      <c r="AW34" s="34">
        <v>104950.07</v>
      </c>
      <c r="AX34" s="293">
        <f>AV36-(BG36*AV$45)</f>
        <v>0</v>
      </c>
      <c r="AY34" s="12">
        <f>Z34*BB34</f>
        <v>3.2530304656061038</v>
      </c>
      <c r="AZ34" s="12">
        <f>AG34/BI$6</f>
        <v>8.1272844914396417E-2</v>
      </c>
      <c r="BA34" s="12">
        <f>Z34*BG34</f>
        <v>-0.39267921210601248</v>
      </c>
      <c r="BB34" s="12">
        <f>DV34/BI$9</f>
        <v>0.1204826098372631</v>
      </c>
      <c r="BC34" s="12" t="e">
        <f>CL34/BI$12</f>
        <v>#DIV/0!</v>
      </c>
      <c r="BD34" s="12"/>
      <c r="BE34" s="12" t="e">
        <f>Z34*BC34</f>
        <v>#DIV/0!</v>
      </c>
      <c r="BF34" s="12"/>
      <c r="BG34" s="12">
        <f>ED34/BI$6</f>
        <v>-1.4543674522444906E-2</v>
      </c>
      <c r="BJ34">
        <v>417</v>
      </c>
      <c r="BK34">
        <v>443</v>
      </c>
      <c r="BL34">
        <f t="shared" si="67"/>
        <v>-26</v>
      </c>
      <c r="BM34">
        <v>177</v>
      </c>
      <c r="BN34">
        <v>893</v>
      </c>
      <c r="BO34" s="16">
        <v>1054</v>
      </c>
      <c r="BP34" s="16">
        <v>632</v>
      </c>
      <c r="BQ34" s="16">
        <f t="shared" si="31"/>
        <v>415.69200000000001</v>
      </c>
      <c r="BR34" s="16">
        <f t="shared" si="32"/>
        <v>310.94732370433309</v>
      </c>
      <c r="BS34" s="267">
        <v>114543</v>
      </c>
      <c r="BT34" s="16">
        <f>BW34*BZ$4</f>
        <v>0</v>
      </c>
      <c r="BU34" s="16">
        <v>0</v>
      </c>
      <c r="BV34" s="142">
        <f>BU34-(BX34*BU$42)</f>
        <v>0</v>
      </c>
      <c r="BW34" s="12"/>
      <c r="BX34" s="12"/>
      <c r="BY34" s="16"/>
      <c r="BZ34" s="16"/>
      <c r="CA34" s="16">
        <v>185</v>
      </c>
      <c r="CB34" s="16">
        <v>182</v>
      </c>
      <c r="CC34" s="16">
        <v>169</v>
      </c>
      <c r="CD34" s="16">
        <f t="shared" si="21"/>
        <v>536</v>
      </c>
      <c r="CE34" s="16">
        <f t="shared" si="6"/>
        <v>445.40163443830579</v>
      </c>
      <c r="CF34" s="16">
        <f t="shared" si="22"/>
        <v>90.598365561694209</v>
      </c>
      <c r="CG34" s="17">
        <f t="shared" si="7"/>
        <v>0.27316366618484361</v>
      </c>
      <c r="CH34" s="16">
        <f t="shared" si="33"/>
        <v>817</v>
      </c>
      <c r="CI34" s="16">
        <f t="shared" si="34"/>
        <v>203.00627700000001</v>
      </c>
      <c r="CJ34" s="16">
        <f t="shared" si="35"/>
        <v>743.05267629566697</v>
      </c>
      <c r="CK34" s="16">
        <f t="shared" si="36"/>
        <v>582.05267629566697</v>
      </c>
      <c r="CL34" s="14">
        <f t="shared" si="37"/>
        <v>0.83684486641164968</v>
      </c>
      <c r="CM34" s="16">
        <f t="shared" si="38"/>
        <v>0</v>
      </c>
      <c r="CN34" s="16">
        <f t="shared" si="39"/>
        <v>428.99372299999999</v>
      </c>
      <c r="CO34" s="16">
        <f t="shared" si="23"/>
        <v>817</v>
      </c>
      <c r="CP34" s="14">
        <f t="shared" si="40"/>
        <v>1.7384389440371604</v>
      </c>
      <c r="CQ34" s="14">
        <f t="shared" si="41"/>
        <v>1.4101257315751226</v>
      </c>
      <c r="CR34">
        <v>165</v>
      </c>
      <c r="CS34">
        <f t="shared" si="63"/>
        <v>240</v>
      </c>
      <c r="CT34">
        <v>278</v>
      </c>
      <c r="CU34" s="12">
        <v>0.14599999999999999</v>
      </c>
      <c r="CV34" s="12">
        <v>0.13100000000000001</v>
      </c>
      <c r="CW34" s="16">
        <v>121617</v>
      </c>
      <c r="CX34" s="16">
        <v>121617</v>
      </c>
      <c r="CY34">
        <v>88314</v>
      </c>
      <c r="CZ34" s="14">
        <f t="shared" si="43"/>
        <v>5.7743796183937705E-2</v>
      </c>
      <c r="DA34" s="16">
        <v>108399</v>
      </c>
      <c r="DB34" s="16">
        <v>108399</v>
      </c>
      <c r="DC34" s="16">
        <v>0</v>
      </c>
      <c r="DD34" s="16">
        <f t="shared" si="24"/>
        <v>108399</v>
      </c>
      <c r="DE34" s="16">
        <f t="shared" si="44"/>
        <v>64526.226423109598</v>
      </c>
      <c r="DF34" s="16">
        <f t="shared" si="45"/>
        <v>99601.919999999998</v>
      </c>
      <c r="DG34" s="16">
        <f t="shared" si="8"/>
        <v>43872.773576890402</v>
      </c>
      <c r="DH34" s="16">
        <f t="shared" si="9"/>
        <v>8797.0800000000017</v>
      </c>
      <c r="DI34" s="12">
        <f t="shared" si="46"/>
        <v>-2.3893170078515505E-2</v>
      </c>
      <c r="DJ34" s="16">
        <f t="shared" si="47"/>
        <v>0</v>
      </c>
      <c r="DK34" s="16">
        <f t="shared" si="25"/>
        <v>108399</v>
      </c>
      <c r="DL34" s="109">
        <f t="shared" si="48"/>
        <v>0.17883066971037503</v>
      </c>
      <c r="DM34" s="109">
        <f t="shared" si="10"/>
        <v>0.91760770682922355</v>
      </c>
      <c r="DN34" s="16">
        <v>92406.86</v>
      </c>
      <c r="DO34">
        <f t="shared" si="68"/>
        <v>-45414</v>
      </c>
      <c r="DP34" s="16">
        <f t="shared" si="64"/>
        <v>29210.14</v>
      </c>
      <c r="DQ34" s="12">
        <v>6.5000000000000002E-2</v>
      </c>
      <c r="DR34" s="12">
        <f t="shared" si="65"/>
        <v>7.0821530292584645E-2</v>
      </c>
      <c r="DS34" s="12">
        <f t="shared" si="66"/>
        <v>0.1046</v>
      </c>
      <c r="DT34" s="14">
        <f t="shared" si="14"/>
        <v>0.49254965181558352</v>
      </c>
      <c r="DU34" s="12">
        <f t="shared" si="50"/>
        <v>-0.32449881836164601</v>
      </c>
      <c r="DV34" s="14">
        <f t="shared" si="15"/>
        <v>1.114595634306446</v>
      </c>
      <c r="DW34" s="16">
        <v>215881</v>
      </c>
      <c r="DX34" s="16">
        <v>165808</v>
      </c>
      <c r="DY34" s="16">
        <f t="shared" si="26"/>
        <v>381689</v>
      </c>
      <c r="DZ34" s="16">
        <f t="shared" si="16"/>
        <v>207364.908839779</v>
      </c>
      <c r="EA34" s="16">
        <f t="shared" si="27"/>
        <v>174324.091160221</v>
      </c>
      <c r="EB34" s="109">
        <f t="shared" si="17"/>
        <v>0.42442590510678074</v>
      </c>
      <c r="EC34" s="12">
        <f t="shared" si="18"/>
        <v>0.33366856175361848</v>
      </c>
      <c r="ED34" s="12">
        <f t="shared" si="28"/>
        <v>-9.5153249634295792E-2</v>
      </c>
    </row>
    <row r="35" spans="1:134" x14ac:dyDescent="0.35">
      <c r="A35" s="8" t="s">
        <v>223</v>
      </c>
      <c r="B35" s="8" t="s">
        <v>49</v>
      </c>
      <c r="C35" s="1">
        <f t="shared" si="0"/>
        <v>17</v>
      </c>
      <c r="D35">
        <v>0</v>
      </c>
      <c r="E35">
        <v>17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 s="49">
        <v>149.5</v>
      </c>
      <c r="M35" s="9">
        <v>8</v>
      </c>
      <c r="N35" s="12">
        <f t="shared" si="1"/>
        <v>8.7941176470588243</v>
      </c>
      <c r="O35" s="12">
        <v>0.47058823529411764</v>
      </c>
      <c r="P35" s="20">
        <f>O35/O43</f>
        <v>4.3982420933833749E-3</v>
      </c>
      <c r="Q35" s="48">
        <f t="shared" si="60"/>
        <v>5.0493519851127946E-2</v>
      </c>
      <c r="R35" s="16">
        <v>0</v>
      </c>
      <c r="S35" s="16">
        <v>720</v>
      </c>
      <c r="T35" s="16">
        <f t="shared" si="2"/>
        <v>0</v>
      </c>
      <c r="U35" s="16">
        <f t="shared" si="3"/>
        <v>42.352941176470587</v>
      </c>
      <c r="V35" s="20">
        <f>U35/U43</f>
        <v>3.5440274571233007E-4</v>
      </c>
      <c r="W35" s="20">
        <f t="shared" si="61"/>
        <v>0</v>
      </c>
      <c r="X35" s="20">
        <f t="shared" si="19"/>
        <v>2.7807063543149571E-3</v>
      </c>
      <c r="Y35" s="20">
        <f t="shared" si="20"/>
        <v>3.0296111910676767E-2</v>
      </c>
      <c r="Z35" s="54">
        <v>16</v>
      </c>
      <c r="AA35" s="12">
        <v>0.17598166380328245</v>
      </c>
      <c r="AB35" s="12">
        <f t="shared" si="62"/>
        <v>-7.2775829790418939E-2</v>
      </c>
      <c r="AC35" s="12">
        <v>-5.0000000000000001E-3</v>
      </c>
      <c r="AD35">
        <v>-0.42499999999999999</v>
      </c>
      <c r="AE35" s="54">
        <v>16</v>
      </c>
      <c r="AF35" s="123"/>
      <c r="AG35" s="118">
        <v>2.2352455171292251E-3</v>
      </c>
      <c r="AH35" s="123"/>
      <c r="AI35" s="123"/>
      <c r="AJ35" s="18"/>
      <c r="AK35" s="18"/>
      <c r="AL35" s="18"/>
      <c r="AM35" s="18"/>
      <c r="AN35" s="12"/>
      <c r="AO35" s="18"/>
      <c r="AP35" s="30"/>
      <c r="AQ35" s="30"/>
      <c r="AR35" s="12"/>
      <c r="AS35" s="12"/>
      <c r="AT35" s="18"/>
      <c r="AU35" s="18"/>
      <c r="AV35" s="18"/>
      <c r="AW35" s="30">
        <v>0</v>
      </c>
      <c r="AX35" s="16">
        <v>0</v>
      </c>
      <c r="AY35" s="12"/>
      <c r="AZ35" s="12"/>
      <c r="BA35" s="12"/>
      <c r="BB35" s="12"/>
      <c r="BC35" s="12"/>
      <c r="BD35" s="12"/>
      <c r="BE35" s="12"/>
      <c r="BF35" s="12"/>
      <c r="BG35" s="12"/>
      <c r="BJ35">
        <v>299</v>
      </c>
      <c r="BK35">
        <v>300</v>
      </c>
      <c r="BL35">
        <f t="shared" si="67"/>
        <v>-1</v>
      </c>
      <c r="BM35">
        <v>91</v>
      </c>
      <c r="BN35">
        <v>342</v>
      </c>
      <c r="BO35" s="16">
        <v>485</v>
      </c>
      <c r="BP35" s="16">
        <v>271</v>
      </c>
      <c r="BQ35" s="16">
        <f t="shared" si="31"/>
        <v>246.33600000000001</v>
      </c>
      <c r="BR35" s="16">
        <f t="shared" si="32"/>
        <v>184.26508071367886</v>
      </c>
      <c r="BS35" s="267">
        <v>99767</v>
      </c>
      <c r="BT35" s="285">
        <f>BW35*BZ$4</f>
        <v>75055.869643665283</v>
      </c>
      <c r="BU35" s="16">
        <f>AVERAGE(AX35,BS35,BT35)</f>
        <v>58274.289881221754</v>
      </c>
      <c r="BV35" s="296">
        <f>BU35-(BX35*BU$42)</f>
        <v>122236.28758245066</v>
      </c>
      <c r="BW35" s="12">
        <f>AE35*BX35</f>
        <v>0.91404054618207187</v>
      </c>
      <c r="BX35" s="12">
        <f>EC35/BZ3</f>
        <v>5.7127534136379492E-2</v>
      </c>
      <c r="BY35" s="16"/>
      <c r="BZ35" s="16"/>
      <c r="CA35" s="16">
        <v>171</v>
      </c>
      <c r="CB35" s="16">
        <v>165</v>
      </c>
      <c r="CC35" s="16">
        <v>252.5</v>
      </c>
      <c r="CD35" s="16">
        <f t="shared" si="21"/>
        <v>588.5</v>
      </c>
      <c r="CE35" s="16">
        <f t="shared" si="6"/>
        <v>229.88471454880298</v>
      </c>
      <c r="CF35" s="16">
        <f t="shared" si="22"/>
        <v>358.615285451197</v>
      </c>
      <c r="CG35" s="109">
        <f t="shared" si="7"/>
        <v>1.0812630616063974</v>
      </c>
      <c r="CH35" s="16">
        <f t="shared" si="33"/>
        <v>442</v>
      </c>
      <c r="CI35" s="16">
        <f t="shared" si="34"/>
        <v>120.300016</v>
      </c>
      <c r="CJ35" s="16">
        <f t="shared" si="35"/>
        <v>300.73491928632114</v>
      </c>
      <c r="CK35" s="16">
        <f t="shared" si="36"/>
        <v>157.73491928632114</v>
      </c>
      <c r="CL35" s="12">
        <f t="shared" si="37"/>
        <v>8.180664887814397E-2</v>
      </c>
      <c r="CM35" s="16">
        <f t="shared" si="38"/>
        <v>0</v>
      </c>
      <c r="CN35" s="16">
        <f t="shared" si="39"/>
        <v>150.699984</v>
      </c>
      <c r="CO35" s="16">
        <f t="shared" si="23"/>
        <v>442</v>
      </c>
      <c r="CP35" s="12">
        <f t="shared" si="40"/>
        <v>0.58890239506952435</v>
      </c>
      <c r="CQ35" s="12">
        <f t="shared" si="41"/>
        <v>0.38214078813131364</v>
      </c>
      <c r="CR35">
        <v>85</v>
      </c>
      <c r="CS35">
        <f t="shared" si="63"/>
        <v>208</v>
      </c>
      <c r="CT35">
        <v>215</v>
      </c>
      <c r="CU35" s="12">
        <v>6.2E-2</v>
      </c>
      <c r="CV35" s="12">
        <v>-2.4E-2</v>
      </c>
      <c r="CW35" s="16">
        <v>0</v>
      </c>
      <c r="CX35" s="16">
        <v>0</v>
      </c>
      <c r="CY35">
        <v>42639</v>
      </c>
      <c r="CZ35" s="14">
        <f t="shared" si="43"/>
        <v>-0.55666967931616662</v>
      </c>
      <c r="DA35" s="16">
        <v>0</v>
      </c>
      <c r="DB35" s="16">
        <v>0</v>
      </c>
      <c r="DC35" s="16">
        <v>0</v>
      </c>
      <c r="DD35" s="16">
        <f t="shared" si="24"/>
        <v>0</v>
      </c>
      <c r="DE35" s="16">
        <f t="shared" si="44"/>
        <v>38237.76380628717</v>
      </c>
      <c r="DF35" s="16">
        <f t="shared" si="45"/>
        <v>59023.360000000001</v>
      </c>
      <c r="DG35" s="16">
        <f t="shared" si="8"/>
        <v>-38237.76380628717</v>
      </c>
      <c r="DH35" s="16">
        <f t="shared" si="9"/>
        <v>-59023.360000000001</v>
      </c>
      <c r="DI35" s="12">
        <f t="shared" si="46"/>
        <v>-0.17359790379674708</v>
      </c>
      <c r="DJ35" s="16">
        <f t="shared" si="47"/>
        <v>0</v>
      </c>
      <c r="DK35" s="16">
        <f t="shared" si="25"/>
        <v>0</v>
      </c>
      <c r="DL35" s="17">
        <f t="shared" si="48"/>
        <v>-0.15586169626867116</v>
      </c>
      <c r="DM35" s="17">
        <f t="shared" si="10"/>
        <v>0.1669397943713197</v>
      </c>
      <c r="DN35" s="16">
        <v>47366.47</v>
      </c>
      <c r="DO35">
        <f t="shared" si="68"/>
        <v>-42639</v>
      </c>
      <c r="DP35" s="16">
        <f t="shared" si="64"/>
        <v>-47366.47</v>
      </c>
      <c r="DQ35" s="12">
        <v>-0.106</v>
      </c>
      <c r="DR35" s="12">
        <f t="shared" si="65"/>
        <v>-0.14593957447604733</v>
      </c>
      <c r="DS35" s="12">
        <f t="shared" si="66"/>
        <v>-5.6800000000000003E-2</v>
      </c>
      <c r="DT35" s="12">
        <f t="shared" si="14"/>
        <v>-2.0355172191812453E-2</v>
      </c>
      <c r="DU35" s="12">
        <f t="shared" si="50"/>
        <v>-0.55342780665821023</v>
      </c>
      <c r="DV35" s="12">
        <f t="shared" si="15"/>
        <v>0.29099675853424611</v>
      </c>
      <c r="DW35" s="16">
        <v>0</v>
      </c>
      <c r="DX35" s="16">
        <v>0</v>
      </c>
      <c r="DY35" s="16">
        <f t="shared" si="26"/>
        <v>0</v>
      </c>
      <c r="DZ35" s="16">
        <f t="shared" si="16"/>
        <v>107027.04972375691</v>
      </c>
      <c r="EA35" s="16">
        <f t="shared" si="27"/>
        <v>-107027.04972375691</v>
      </c>
      <c r="EB35" s="17">
        <f t="shared" si="17"/>
        <v>-0.26057816878657269</v>
      </c>
      <c r="EC35" s="14">
        <f t="shared" si="18"/>
        <v>0.5445265694492093</v>
      </c>
      <c r="ED35" s="12">
        <f t="shared" si="28"/>
        <v>-0.55537293025298407</v>
      </c>
    </row>
    <row r="36" spans="1:134" x14ac:dyDescent="0.35">
      <c r="A36" s="8" t="s">
        <v>231</v>
      </c>
      <c r="B36" s="8" t="s">
        <v>233</v>
      </c>
      <c r="C36" s="1">
        <f t="shared" si="0"/>
        <v>17</v>
      </c>
      <c r="D36">
        <v>0</v>
      </c>
      <c r="E36">
        <v>0</v>
      </c>
      <c r="F36">
        <v>0</v>
      </c>
      <c r="G36">
        <v>17</v>
      </c>
      <c r="H36">
        <v>0</v>
      </c>
      <c r="I36">
        <v>0</v>
      </c>
      <c r="J36">
        <v>0</v>
      </c>
      <c r="K36">
        <v>0</v>
      </c>
      <c r="L36" s="49">
        <v>82</v>
      </c>
      <c r="M36" s="9">
        <v>49</v>
      </c>
      <c r="N36" s="12">
        <f t="shared" si="1"/>
        <v>4.8235294117647056</v>
      </c>
      <c r="O36" s="12">
        <v>2.8823529411764706</v>
      </c>
      <c r="P36" s="20">
        <f>O36/O43</f>
        <v>2.6939232821973171E-2</v>
      </c>
      <c r="Q36" s="48">
        <f t="shared" si="60"/>
        <v>2.7695442326371177E-2</v>
      </c>
      <c r="R36" s="16">
        <v>0</v>
      </c>
      <c r="S36" s="16">
        <v>0</v>
      </c>
      <c r="T36" s="16">
        <f t="shared" si="2"/>
        <v>0</v>
      </c>
      <c r="U36" s="16">
        <f t="shared" si="3"/>
        <v>0</v>
      </c>
      <c r="V36" s="20">
        <f>U36/U43</f>
        <v>0</v>
      </c>
      <c r="W36" s="20">
        <f t="shared" si="61"/>
        <v>0</v>
      </c>
      <c r="X36" s="20">
        <f t="shared" si="19"/>
        <v>1.61635396931839E-2</v>
      </c>
      <c r="Y36" s="20">
        <f t="shared" si="20"/>
        <v>1.6617265395822707E-2</v>
      </c>
      <c r="Z36" s="54">
        <v>20</v>
      </c>
      <c r="AA36" s="12">
        <v>-0.14253568911223574</v>
      </c>
      <c r="AB36" s="12">
        <f t="shared" si="62"/>
        <v>-0.27257582979041889</v>
      </c>
      <c r="AC36" s="12">
        <v>-0.218</v>
      </c>
      <c r="AD36">
        <v>-0.253</v>
      </c>
      <c r="AE36" s="54">
        <v>24</v>
      </c>
      <c r="AF36" s="123"/>
      <c r="AG36" s="118">
        <v>-0.30117380606457478</v>
      </c>
      <c r="AH36" s="123"/>
      <c r="AI36" s="123"/>
      <c r="AJ36" s="18"/>
      <c r="AK36" s="18"/>
      <c r="AL36" s="18"/>
      <c r="AM36" s="18"/>
      <c r="AN36" s="12"/>
      <c r="AO36" s="18"/>
      <c r="AP36" s="30"/>
      <c r="AQ36" s="30"/>
      <c r="AR36" s="12"/>
      <c r="AS36" s="12"/>
      <c r="AT36" s="18"/>
      <c r="AU36" s="18"/>
      <c r="AV36" s="18"/>
      <c r="AW36" s="30"/>
      <c r="AY36" s="12"/>
      <c r="AZ36" s="12"/>
      <c r="BA36" s="12"/>
      <c r="BB36" s="12"/>
      <c r="BC36" s="12"/>
      <c r="BD36" s="12"/>
      <c r="BE36" s="12"/>
      <c r="BF36" s="12"/>
      <c r="BG36" s="12"/>
      <c r="BJ36">
        <v>164</v>
      </c>
      <c r="BK36">
        <v>164</v>
      </c>
      <c r="BL36">
        <f t="shared" si="67"/>
        <v>0</v>
      </c>
      <c r="BM36">
        <v>91</v>
      </c>
      <c r="BN36">
        <v>188</v>
      </c>
      <c r="BO36" s="16">
        <v>256</v>
      </c>
      <c r="BP36" s="16">
        <v>103</v>
      </c>
      <c r="BQ36" s="16">
        <f t="shared" si="31"/>
        <v>307.92</v>
      </c>
      <c r="BR36" s="16">
        <f t="shared" si="32"/>
        <v>230.33135089209856</v>
      </c>
      <c r="BS36" s="16"/>
      <c r="BT36" s="16"/>
      <c r="BU36" s="16"/>
      <c r="BV36" s="16"/>
      <c r="BW36" s="12"/>
      <c r="BX36" s="12"/>
      <c r="BY36" s="16"/>
      <c r="BZ36" s="16"/>
      <c r="CA36" s="16">
        <v>65</v>
      </c>
      <c r="CB36" s="16">
        <v>93</v>
      </c>
      <c r="CC36" s="16">
        <v>89.7</v>
      </c>
      <c r="CD36" s="16">
        <f t="shared" si="21"/>
        <v>247.7</v>
      </c>
      <c r="CE36" s="16">
        <f t="shared" si="6"/>
        <v>344.82707182320445</v>
      </c>
      <c r="CF36" s="16">
        <f t="shared" si="22"/>
        <v>-97.12707182320446</v>
      </c>
      <c r="CG36" s="17">
        <f t="shared" si="7"/>
        <v>-0.29284840692802605</v>
      </c>
      <c r="CH36" s="16">
        <f t="shared" si="33"/>
        <v>168</v>
      </c>
      <c r="CI36" s="16">
        <f t="shared" si="34"/>
        <v>150.37502000000001</v>
      </c>
      <c r="CJ36" s="16">
        <f t="shared" si="35"/>
        <v>25.668649107901444</v>
      </c>
      <c r="CK36" s="16">
        <f t="shared" si="36"/>
        <v>-42.331350892098556</v>
      </c>
      <c r="CL36" s="12">
        <f t="shared" si="37"/>
        <v>-0.38773259762042123</v>
      </c>
      <c r="CM36" s="16">
        <f t="shared" si="38"/>
        <v>0</v>
      </c>
      <c r="CN36" s="16">
        <f t="shared" si="39"/>
        <v>-47.375020000000006</v>
      </c>
      <c r="CO36" s="16">
        <f t="shared" si="23"/>
        <v>168</v>
      </c>
      <c r="CP36" s="12">
        <f t="shared" si="40"/>
        <v>-0.2292779109376859</v>
      </c>
      <c r="CQ36" s="12">
        <f t="shared" ref="CQ36:CQ40" si="69">(CK36-CK$41)/CK$42</f>
        <v>-0.10255519745254374</v>
      </c>
      <c r="CR36">
        <v>85</v>
      </c>
      <c r="CS36">
        <f t="shared" si="63"/>
        <v>73</v>
      </c>
      <c r="CT36">
        <v>79</v>
      </c>
      <c r="CU36" s="12">
        <v>-0.29199999999999998</v>
      </c>
      <c r="CV36" s="12">
        <v>-0.35699999999999998</v>
      </c>
      <c r="CW36" s="16">
        <v>0</v>
      </c>
      <c r="CX36" s="16">
        <v>0</v>
      </c>
      <c r="CY36">
        <v>42639</v>
      </c>
      <c r="CZ36" s="12">
        <f t="shared" si="43"/>
        <v>-1.0056011254149095</v>
      </c>
      <c r="DA36" s="16">
        <v>0</v>
      </c>
      <c r="DB36" s="16">
        <v>0</v>
      </c>
      <c r="DC36" s="16">
        <v>0</v>
      </c>
      <c r="DD36" s="16">
        <f t="shared" si="24"/>
        <v>0</v>
      </c>
      <c r="DE36" s="16">
        <f t="shared" si="44"/>
        <v>47797.204757858963</v>
      </c>
      <c r="DF36" s="16">
        <f t="shared" si="45"/>
        <v>73779.199999999997</v>
      </c>
      <c r="DG36" s="16">
        <f t="shared" si="8"/>
        <v>-47797.204757858963</v>
      </c>
      <c r="DH36" s="16">
        <f t="shared" si="9"/>
        <v>-73779.199999999997</v>
      </c>
      <c r="DI36" s="12">
        <f t="shared" si="46"/>
        <v>-0.20616948690633513</v>
      </c>
      <c r="DJ36" s="16">
        <f t="shared" si="47"/>
        <v>0</v>
      </c>
      <c r="DK36" s="16">
        <f t="shared" si="25"/>
        <v>0</v>
      </c>
      <c r="DL36" s="17">
        <f t="shared" ref="DL36:DL40" si="70">(DG36-DG$41)/DG$42</f>
        <v>-0.19482712033583896</v>
      </c>
      <c r="DM36" s="17">
        <f t="shared" si="10"/>
        <v>-0.13946396660586183</v>
      </c>
      <c r="DN36" s="16">
        <v>47366.47</v>
      </c>
      <c r="DO36">
        <f>CW35-CY36</f>
        <v>-42639</v>
      </c>
      <c r="DP36" s="16">
        <f t="shared" si="64"/>
        <v>-47366.47</v>
      </c>
      <c r="DQ36" s="12">
        <v>-0.106</v>
      </c>
      <c r="DR36" s="12">
        <f t="shared" si="65"/>
        <v>-0.14593957447604733</v>
      </c>
      <c r="DS36" s="12">
        <f t="shared" si="66"/>
        <v>-0.25659999999999999</v>
      </c>
      <c r="DT36" s="12">
        <f t="shared" si="14"/>
        <v>-0.31510735333478679</v>
      </c>
      <c r="DU36" s="12">
        <f t="shared" si="50"/>
        <v>-0.55342780665821023</v>
      </c>
      <c r="DV36" s="12">
        <f t="shared" si="15"/>
        <v>-0.21549759469694713</v>
      </c>
      <c r="DW36" s="16">
        <v>0</v>
      </c>
      <c r="DX36" s="16">
        <v>0</v>
      </c>
      <c r="DY36" s="16">
        <f t="shared" si="26"/>
        <v>0</v>
      </c>
      <c r="DZ36" s="16">
        <f t="shared" si="16"/>
        <v>160540.57458563536</v>
      </c>
      <c r="EA36" s="16">
        <f t="shared" si="27"/>
        <v>-160540.57458563536</v>
      </c>
      <c r="EB36" s="17">
        <f t="shared" si="17"/>
        <v>-0.39086725317985904</v>
      </c>
      <c r="EC36" s="12">
        <f t="shared" si="18"/>
        <v>-0.33205594542875927</v>
      </c>
      <c r="ED36" s="12">
        <f t="shared" si="28"/>
        <v>-0.82473179791222972</v>
      </c>
    </row>
    <row r="37" spans="1:134" x14ac:dyDescent="0.35">
      <c r="A37" s="7" t="s">
        <v>231</v>
      </c>
      <c r="B37" s="7" t="s">
        <v>235</v>
      </c>
      <c r="C37" s="1">
        <f t="shared" si="0"/>
        <v>27</v>
      </c>
      <c r="D37">
        <v>0</v>
      </c>
      <c r="E37">
        <v>0</v>
      </c>
      <c r="F37">
        <v>27</v>
      </c>
      <c r="G37">
        <v>0</v>
      </c>
      <c r="H37">
        <v>0</v>
      </c>
      <c r="I37">
        <v>0</v>
      </c>
      <c r="J37">
        <v>0</v>
      </c>
      <c r="K37">
        <v>0</v>
      </c>
      <c r="L37" s="49">
        <v>82.5</v>
      </c>
      <c r="M37" s="9">
        <v>37.5</v>
      </c>
      <c r="N37" s="12">
        <f t="shared" si="1"/>
        <v>3.0555555555555554</v>
      </c>
      <c r="O37" s="12">
        <v>1.3888888888888888</v>
      </c>
      <c r="P37" s="20">
        <f>O37/O43</f>
        <v>1.2980922845055098E-2</v>
      </c>
      <c r="Q37" s="48">
        <f t="shared" si="60"/>
        <v>1.7544199576664667E-2</v>
      </c>
      <c r="R37" s="16">
        <v>0</v>
      </c>
      <c r="S37" s="16">
        <v>0</v>
      </c>
      <c r="T37" s="16">
        <f t="shared" si="2"/>
        <v>0</v>
      </c>
      <c r="U37" s="16">
        <f t="shared" si="3"/>
        <v>0</v>
      </c>
      <c r="V37" s="20">
        <f>U37/U43</f>
        <v>0</v>
      </c>
      <c r="W37" s="20">
        <f t="shared" si="61"/>
        <v>0</v>
      </c>
      <c r="X37" s="20">
        <f t="shared" si="19"/>
        <v>7.7885537070330581E-3</v>
      </c>
      <c r="Y37" s="20">
        <f t="shared" si="20"/>
        <v>1.0526519745998801E-2</v>
      </c>
      <c r="Z37" s="54">
        <v>24</v>
      </c>
      <c r="AA37" s="12">
        <v>-0.28093187503362316</v>
      </c>
      <c r="AB37" s="12">
        <f t="shared" si="62"/>
        <v>-0.37702060628000716</v>
      </c>
      <c r="AC37" s="12">
        <v>-0.32600000000000001</v>
      </c>
      <c r="AD37">
        <v>-0.41199999999999998</v>
      </c>
      <c r="AE37" s="54">
        <v>28</v>
      </c>
      <c r="AF37" s="123"/>
      <c r="AG37" s="118">
        <v>-0.38099061715052329</v>
      </c>
      <c r="AH37" s="123"/>
      <c r="AI37" s="123"/>
      <c r="AJ37" s="18"/>
      <c r="AK37" s="18"/>
      <c r="AL37" s="18"/>
      <c r="AM37" s="18"/>
      <c r="AN37" s="12"/>
      <c r="AO37" s="18"/>
      <c r="AP37" s="30"/>
      <c r="AQ37" s="30"/>
      <c r="AR37" s="12"/>
      <c r="AS37" s="12"/>
      <c r="AT37" s="18"/>
      <c r="AU37" s="18"/>
      <c r="AV37" s="18"/>
      <c r="AW37" s="30"/>
      <c r="AX37" s="24"/>
      <c r="AY37" s="12"/>
      <c r="AZ37" s="12"/>
      <c r="BA37" s="12"/>
      <c r="BB37" s="12"/>
      <c r="BC37" s="12"/>
      <c r="BD37" s="12"/>
      <c r="BE37" s="12"/>
      <c r="BF37" s="12"/>
      <c r="BG37" s="12"/>
      <c r="BJ37">
        <v>165</v>
      </c>
      <c r="BK37">
        <v>165</v>
      </c>
      <c r="BL37">
        <f t="shared" si="67"/>
        <v>0</v>
      </c>
      <c r="BM37">
        <v>145</v>
      </c>
      <c r="BN37">
        <v>153</v>
      </c>
      <c r="BO37" s="16">
        <v>239</v>
      </c>
      <c r="BP37" s="16">
        <v>85</v>
      </c>
      <c r="BQ37" s="16">
        <f t="shared" si="31"/>
        <v>369.50400000000002</v>
      </c>
      <c r="BR37" s="16">
        <f t="shared" si="32"/>
        <v>276.39762107051831</v>
      </c>
      <c r="BS37" s="16"/>
      <c r="BT37" s="16"/>
      <c r="BU37" s="16"/>
      <c r="BV37" s="16"/>
      <c r="BW37" s="12"/>
      <c r="BX37" s="12"/>
      <c r="BY37" s="16"/>
      <c r="BZ37" s="16"/>
      <c r="CA37" s="16">
        <v>113</v>
      </c>
      <c r="CB37" s="16">
        <v>55</v>
      </c>
      <c r="CC37" s="16">
        <v>57.2</v>
      </c>
      <c r="CD37" s="16">
        <f t="shared" si="21"/>
        <v>225.2</v>
      </c>
      <c r="CE37" s="16">
        <f t="shared" si="6"/>
        <v>402.2982504604052</v>
      </c>
      <c r="CF37" s="16">
        <f t="shared" si="22"/>
        <v>-177.09825046040521</v>
      </c>
      <c r="CG37" s="17">
        <f t="shared" si="7"/>
        <v>-0.53396997915754896</v>
      </c>
      <c r="CH37" s="16">
        <f t="shared" si="33"/>
        <v>198</v>
      </c>
      <c r="CI37" s="16">
        <f t="shared" si="34"/>
        <v>180.45002399999998</v>
      </c>
      <c r="CJ37" s="16">
        <f t="shared" si="35"/>
        <v>-37.397621070518312</v>
      </c>
      <c r="CK37" s="16">
        <f t="shared" si="36"/>
        <v>-123.39762107051831</v>
      </c>
      <c r="CL37" s="12">
        <f t="shared" si="37"/>
        <v>-0.49538697836235107</v>
      </c>
      <c r="CM37" s="16">
        <f t="shared" si="38"/>
        <v>0</v>
      </c>
      <c r="CN37" s="16">
        <f t="shared" si="39"/>
        <v>-95.450023999999985</v>
      </c>
      <c r="CO37" s="16">
        <f t="shared" si="23"/>
        <v>198</v>
      </c>
      <c r="CP37" s="12">
        <f t="shared" si="40"/>
        <v>-0.42785936084147003</v>
      </c>
      <c r="CQ37" s="12">
        <f t="shared" si="69"/>
        <v>-0.29895259960681625</v>
      </c>
      <c r="CR37">
        <v>135</v>
      </c>
      <c r="CS37">
        <f t="shared" si="63"/>
        <v>20</v>
      </c>
      <c r="CT37">
        <v>30</v>
      </c>
      <c r="CU37" s="12">
        <v>-0.43099999999999999</v>
      </c>
      <c r="CV37" s="12">
        <v>-0.47799999999999998</v>
      </c>
      <c r="CW37" s="16">
        <v>0</v>
      </c>
      <c r="CX37" s="16">
        <v>0</v>
      </c>
      <c r="CY37">
        <v>70853</v>
      </c>
      <c r="CZ37" s="12">
        <f t="shared" si="43"/>
        <v>-0.95644804737490119</v>
      </c>
      <c r="DA37" s="16">
        <v>0</v>
      </c>
      <c r="DB37" s="16">
        <v>0</v>
      </c>
      <c r="DC37" s="16">
        <v>0</v>
      </c>
      <c r="DD37" s="16">
        <f t="shared" si="24"/>
        <v>0</v>
      </c>
      <c r="DE37" s="16">
        <f t="shared" si="44"/>
        <v>57356.645709430755</v>
      </c>
      <c r="DF37" s="16">
        <f t="shared" si="45"/>
        <v>88535.040000000008</v>
      </c>
      <c r="DG37" s="16">
        <f t="shared" si="8"/>
        <v>-57356.645709430755</v>
      </c>
      <c r="DH37" s="16">
        <f t="shared" si="9"/>
        <v>-88535.040000000008</v>
      </c>
      <c r="DI37" s="12">
        <f t="shared" si="46"/>
        <v>-0.23874107001592321</v>
      </c>
      <c r="DJ37" s="16">
        <f t="shared" si="47"/>
        <v>0</v>
      </c>
      <c r="DK37" s="16">
        <f t="shared" si="25"/>
        <v>0</v>
      </c>
      <c r="DL37" s="17">
        <f t="shared" si="70"/>
        <v>-0.23379254440300676</v>
      </c>
      <c r="DM37" s="17">
        <f t="shared" si="10"/>
        <v>-0.27288857752529244</v>
      </c>
      <c r="DN37" s="16">
        <v>75491.5</v>
      </c>
      <c r="DO37" t="e">
        <f>#REF!-CY37</f>
        <v>#REF!</v>
      </c>
      <c r="DP37" s="16">
        <f t="shared" si="64"/>
        <v>-75491.5</v>
      </c>
      <c r="DQ37" s="12">
        <v>-0.16900000000000001</v>
      </c>
      <c r="DR37" s="12">
        <f t="shared" si="65"/>
        <v>-0.22555151570001791</v>
      </c>
      <c r="DS37" s="12">
        <f t="shared" si="66"/>
        <v>-0.35439999999999999</v>
      </c>
      <c r="DT37" s="12">
        <f t="shared" si="14"/>
        <v>-0.39272861502377987</v>
      </c>
      <c r="DU37" s="12">
        <f t="shared" si="50"/>
        <v>-0.55342780665821023</v>
      </c>
      <c r="DV37" s="12">
        <f t="shared" si="15"/>
        <v>-0.3502326342660847</v>
      </c>
      <c r="DW37" s="16">
        <v>0</v>
      </c>
      <c r="DX37" s="16">
        <v>0</v>
      </c>
      <c r="DY37" s="16">
        <f t="shared" si="26"/>
        <v>0</v>
      </c>
      <c r="DZ37" s="16">
        <f t="shared" si="16"/>
        <v>187297.33701657457</v>
      </c>
      <c r="EA37" s="16">
        <f t="shared" si="27"/>
        <v>-187297.33701657457</v>
      </c>
      <c r="EB37" s="17">
        <f t="shared" si="17"/>
        <v>-0.45601179537650222</v>
      </c>
      <c r="EC37" s="12">
        <f t="shared" si="18"/>
        <v>-0.50278670564513028</v>
      </c>
      <c r="ED37" s="12">
        <f t="shared" si="28"/>
        <v>-0.79523995108822476</v>
      </c>
    </row>
    <row r="38" spans="1:134" x14ac:dyDescent="0.35">
      <c r="A38" s="7" t="s">
        <v>237</v>
      </c>
      <c r="B38" s="143" t="s">
        <v>442</v>
      </c>
      <c r="C38" s="1">
        <f t="shared" si="0"/>
        <v>18</v>
      </c>
      <c r="D38">
        <v>0</v>
      </c>
      <c r="E38">
        <v>6</v>
      </c>
      <c r="F38">
        <v>0</v>
      </c>
      <c r="G38">
        <v>0</v>
      </c>
      <c r="H38">
        <v>0</v>
      </c>
      <c r="I38">
        <v>12</v>
      </c>
      <c r="J38">
        <v>0</v>
      </c>
      <c r="K38">
        <v>0</v>
      </c>
      <c r="L38" s="49">
        <v>24.5</v>
      </c>
      <c r="M38" s="9">
        <v>11</v>
      </c>
      <c r="N38" s="12">
        <f t="shared" si="1"/>
        <v>1.3611111111111112</v>
      </c>
      <c r="O38" s="12">
        <v>0.61111111111111116</v>
      </c>
      <c r="P38" s="20">
        <f>O38/O43</f>
        <v>5.7116060518242438E-3</v>
      </c>
      <c r="Q38" s="48">
        <f t="shared" si="60"/>
        <v>7.8151434477869899E-3</v>
      </c>
      <c r="R38" s="16">
        <v>0</v>
      </c>
      <c r="S38" s="16">
        <v>0</v>
      </c>
      <c r="T38" s="16">
        <f t="shared" si="2"/>
        <v>0</v>
      </c>
      <c r="U38" s="16">
        <f t="shared" si="3"/>
        <v>0</v>
      </c>
      <c r="V38" s="20">
        <f>U38/U43</f>
        <v>0</v>
      </c>
      <c r="W38" s="20">
        <f t="shared" si="61"/>
        <v>0</v>
      </c>
      <c r="X38" s="20">
        <f t="shared" si="19"/>
        <v>3.4269636310945463E-3</v>
      </c>
      <c r="Y38" s="20">
        <f t="shared" si="20"/>
        <v>4.6890860686721941E-3</v>
      </c>
      <c r="Z38" s="54">
        <v>16</v>
      </c>
      <c r="AA38" s="12">
        <v>-0.26750994904781261</v>
      </c>
      <c r="AB38" s="12">
        <f t="shared" si="62"/>
        <v>-0.45095502772259988</v>
      </c>
      <c r="AC38" s="12">
        <v>-0.442</v>
      </c>
      <c r="AD38">
        <v>-0.42499999999999999</v>
      </c>
      <c r="AE38" s="54">
        <v>17</v>
      </c>
      <c r="AF38" s="123"/>
      <c r="AG38" s="118">
        <v>-0.42069158674135165</v>
      </c>
      <c r="AH38" s="123"/>
      <c r="AI38" s="123"/>
      <c r="AJ38" s="18"/>
      <c r="AK38" s="18"/>
      <c r="AL38" s="18"/>
      <c r="AM38" s="18"/>
      <c r="AN38" s="12"/>
      <c r="AO38" s="18"/>
      <c r="AP38" s="30"/>
      <c r="AQ38" s="30"/>
      <c r="AR38" s="12"/>
      <c r="AS38" s="12"/>
      <c r="AT38" s="18"/>
      <c r="AU38" s="18"/>
      <c r="AV38" s="18"/>
      <c r="AW38" s="30"/>
      <c r="AX38" s="24"/>
      <c r="AY38" s="12"/>
      <c r="AZ38" s="12"/>
      <c r="BA38" s="12"/>
      <c r="BB38" s="12"/>
      <c r="BC38" s="12"/>
      <c r="BD38" s="12"/>
      <c r="BE38" s="12"/>
      <c r="BF38" s="12"/>
      <c r="BG38" s="12"/>
      <c r="BJ38">
        <v>29</v>
      </c>
      <c r="BK38">
        <v>50</v>
      </c>
      <c r="BL38">
        <f t="shared" si="67"/>
        <v>-21</v>
      </c>
      <c r="BM38">
        <v>97</v>
      </c>
      <c r="BN38">
        <v>49</v>
      </c>
      <c r="BO38" s="16">
        <v>84</v>
      </c>
      <c r="BP38" s="16">
        <v>27</v>
      </c>
      <c r="BQ38" s="16">
        <f t="shared" si="31"/>
        <v>246.33600000000001</v>
      </c>
      <c r="BR38" s="16">
        <f t="shared" si="32"/>
        <v>184.26508071367886</v>
      </c>
      <c r="BS38" s="16"/>
      <c r="BT38" s="16"/>
      <c r="BU38" s="16"/>
      <c r="BV38" s="16"/>
      <c r="BW38" s="12"/>
      <c r="BX38" s="12"/>
      <c r="BY38" s="16"/>
      <c r="BZ38" s="16"/>
      <c r="CA38" s="16">
        <v>41</v>
      </c>
      <c r="CB38" s="16">
        <v>27</v>
      </c>
      <c r="CC38" s="16">
        <v>28</v>
      </c>
      <c r="CD38" s="16">
        <f t="shared" si="21"/>
        <v>96</v>
      </c>
      <c r="CE38" s="16">
        <f t="shared" si="6"/>
        <v>244.25250920810316</v>
      </c>
      <c r="CF38" s="16">
        <f t="shared" si="22"/>
        <v>-148.25250920810316</v>
      </c>
      <c r="CG38" s="17">
        <f t="shared" si="7"/>
        <v>-0.44699701462948066</v>
      </c>
      <c r="CH38" s="16">
        <f t="shared" si="33"/>
        <v>68</v>
      </c>
      <c r="CI38" s="16">
        <f t="shared" si="34"/>
        <v>120.300016</v>
      </c>
      <c r="CJ38" s="16">
        <f t="shared" si="35"/>
        <v>-100.26508071367886</v>
      </c>
      <c r="CK38" s="16">
        <f t="shared" si="36"/>
        <v>-135.26508071367886</v>
      </c>
      <c r="CL38" s="12">
        <f t="shared" si="37"/>
        <v>-0.6027019887086994</v>
      </c>
      <c r="CM38" s="16">
        <f t="shared" si="38"/>
        <v>0</v>
      </c>
      <c r="CN38" s="16">
        <f t="shared" si="39"/>
        <v>-93.300015999999999</v>
      </c>
      <c r="CO38" s="16">
        <f t="shared" si="23"/>
        <v>68</v>
      </c>
      <c r="CP38" s="12">
        <f t="shared" si="40"/>
        <v>-0.41897841085871529</v>
      </c>
      <c r="CQ38" s="12">
        <f t="shared" si="69"/>
        <v>-0.32770362317010154</v>
      </c>
      <c r="CR38">
        <v>90</v>
      </c>
      <c r="CS38">
        <f t="shared" si="63"/>
        <v>-68</v>
      </c>
      <c r="CT38">
        <v>-40</v>
      </c>
      <c r="CU38" s="12">
        <v>-0.66200000000000003</v>
      </c>
      <c r="CV38" s="12">
        <v>-0.64900000000000002</v>
      </c>
      <c r="CW38" s="16">
        <v>0</v>
      </c>
      <c r="CX38" s="16">
        <v>0</v>
      </c>
      <c r="CY38">
        <v>45400</v>
      </c>
      <c r="CZ38" s="12">
        <f t="shared" si="43"/>
        <v>-1.169444718881604</v>
      </c>
      <c r="DA38" s="16">
        <v>0</v>
      </c>
      <c r="DB38" s="16">
        <v>0</v>
      </c>
      <c r="DC38" s="16">
        <v>0</v>
      </c>
      <c r="DD38" s="16">
        <f t="shared" si="24"/>
        <v>0</v>
      </c>
      <c r="DE38" s="16">
        <f t="shared" si="44"/>
        <v>38237.76380628717</v>
      </c>
      <c r="DF38" s="16">
        <f t="shared" si="45"/>
        <v>59023.360000000001</v>
      </c>
      <c r="DG38" s="16">
        <f t="shared" si="8"/>
        <v>-38237.76380628717</v>
      </c>
      <c r="DH38" s="16">
        <f t="shared" si="9"/>
        <v>-59023.360000000001</v>
      </c>
      <c r="DI38" s="12">
        <f t="shared" si="46"/>
        <v>-0.17359790379674708</v>
      </c>
      <c r="DJ38" s="16">
        <f t="shared" si="47"/>
        <v>0</v>
      </c>
      <c r="DK38" s="16">
        <f t="shared" si="25"/>
        <v>0</v>
      </c>
      <c r="DL38" s="17">
        <f t="shared" si="70"/>
        <v>-0.15586169626867116</v>
      </c>
      <c r="DM38" s="17">
        <f t="shared" si="10"/>
        <v>-0.25896685240952938</v>
      </c>
      <c r="DN38" s="16">
        <v>50174.31</v>
      </c>
      <c r="DO38">
        <f>CW36-CY38</f>
        <v>-45400</v>
      </c>
      <c r="DP38" s="16">
        <f t="shared" si="64"/>
        <v>-50174.31</v>
      </c>
      <c r="DQ38" s="12">
        <v>-0.112</v>
      </c>
      <c r="DR38" s="12">
        <f t="shared" si="65"/>
        <v>-0.15388756930649955</v>
      </c>
      <c r="DS38" s="12">
        <f t="shared" si="66"/>
        <v>-0.43420000000000003</v>
      </c>
      <c r="DT38" s="12">
        <f t="shared" si="14"/>
        <v>-0.43106035474391846</v>
      </c>
      <c r="DU38" s="12">
        <f t="shared" si="50"/>
        <v>-0.55342780665821023</v>
      </c>
      <c r="DV38" s="12">
        <f t="shared" si="15"/>
        <v>-0.31373172502269764</v>
      </c>
      <c r="DW38" s="16">
        <v>46392</v>
      </c>
      <c r="DX38" s="16">
        <v>0</v>
      </c>
      <c r="DY38" s="16">
        <f t="shared" si="26"/>
        <v>46392</v>
      </c>
      <c r="DZ38" s="16">
        <f t="shared" si="16"/>
        <v>113716.24033149172</v>
      </c>
      <c r="EA38" s="16">
        <f t="shared" si="27"/>
        <v>-67324.240331491717</v>
      </c>
      <c r="EB38" s="17">
        <f t="shared" si="17"/>
        <v>-0.16391395732020392</v>
      </c>
      <c r="EC38" s="12">
        <f t="shared" si="18"/>
        <v>-0.33376379170576997</v>
      </c>
      <c r="ED38" s="12">
        <f t="shared" si="28"/>
        <v>-0.92303795399224642</v>
      </c>
    </row>
    <row r="39" spans="1:134" x14ac:dyDescent="0.35">
      <c r="A39" s="8" t="s">
        <v>241</v>
      </c>
      <c r="B39" s="141" t="s">
        <v>443</v>
      </c>
      <c r="C39" s="1">
        <f t="shared" si="0"/>
        <v>9</v>
      </c>
      <c r="D39">
        <v>0</v>
      </c>
      <c r="E39">
        <v>1</v>
      </c>
      <c r="F39">
        <v>0</v>
      </c>
      <c r="G39">
        <v>0</v>
      </c>
      <c r="H39">
        <v>0</v>
      </c>
      <c r="I39">
        <v>8</v>
      </c>
      <c r="J39">
        <v>0</v>
      </c>
      <c r="K39">
        <v>0</v>
      </c>
      <c r="L39" s="49">
        <v>8</v>
      </c>
      <c r="M39" s="9">
        <v>3.5</v>
      </c>
      <c r="N39" s="12">
        <f t="shared" si="1"/>
        <v>0.88888888888888884</v>
      </c>
      <c r="O39" s="12">
        <v>0.3888888888888889</v>
      </c>
      <c r="P39" s="20">
        <f>O39/O43</f>
        <v>3.6346583966154278E-3</v>
      </c>
      <c r="Q39" s="48">
        <f t="shared" si="60"/>
        <v>5.1037671495751764E-3</v>
      </c>
      <c r="R39" s="16">
        <v>0</v>
      </c>
      <c r="S39" s="16">
        <v>0</v>
      </c>
      <c r="T39" s="16">
        <f t="shared" si="2"/>
        <v>0</v>
      </c>
      <c r="U39" s="16">
        <f t="shared" si="3"/>
        <v>0</v>
      </c>
      <c r="V39" s="20">
        <f>U39/U43</f>
        <v>0</v>
      </c>
      <c r="W39" s="20">
        <f t="shared" si="61"/>
        <v>0</v>
      </c>
      <c r="X39" s="20">
        <f t="shared" si="19"/>
        <v>2.1807950379692568E-3</v>
      </c>
      <c r="Y39" s="20">
        <f t="shared" si="20"/>
        <v>3.0622602897451058E-3</v>
      </c>
      <c r="Z39" s="54">
        <v>6</v>
      </c>
      <c r="AA39" s="12">
        <v>-0.10239746286450052</v>
      </c>
      <c r="AB39" s="12">
        <f t="shared" si="62"/>
        <v>-0.40620210878762536</v>
      </c>
      <c r="AC39" s="12">
        <v>-0.36399999999999999</v>
      </c>
      <c r="AD39">
        <v>-0.35499999999999998</v>
      </c>
      <c r="AE39" s="54">
        <v>6</v>
      </c>
      <c r="AF39" s="123"/>
      <c r="AG39" s="118">
        <v>-0.32925429794541883</v>
      </c>
      <c r="AH39" s="123"/>
      <c r="AI39" s="123"/>
      <c r="AJ39" s="18"/>
      <c r="AK39" s="18"/>
      <c r="AL39" s="18"/>
      <c r="AM39" s="18"/>
      <c r="AN39" s="12"/>
      <c r="AO39" s="18"/>
      <c r="AP39" s="30"/>
      <c r="AQ39" s="30"/>
      <c r="AR39" s="12"/>
      <c r="AS39" s="12"/>
      <c r="AT39" s="18"/>
      <c r="AU39" s="18"/>
      <c r="AV39" s="18"/>
      <c r="AW39" s="30"/>
      <c r="AX39" s="24"/>
      <c r="AY39" s="12"/>
      <c r="AZ39" s="12"/>
      <c r="BA39" s="12"/>
      <c r="BB39" s="12"/>
      <c r="BC39" s="12"/>
      <c r="BD39" s="12"/>
      <c r="BE39" s="12"/>
      <c r="BF39" s="12"/>
      <c r="BG39" s="12"/>
      <c r="BJ39">
        <v>16</v>
      </c>
      <c r="BK39">
        <v>16</v>
      </c>
      <c r="BL39">
        <f t="shared" si="67"/>
        <v>0</v>
      </c>
      <c r="BM39">
        <v>48</v>
      </c>
      <c r="BN39">
        <v>17</v>
      </c>
      <c r="BO39" s="16">
        <v>24</v>
      </c>
      <c r="BP39" s="16">
        <v>16</v>
      </c>
      <c r="BQ39" s="16">
        <f t="shared" si="31"/>
        <v>92.376000000000005</v>
      </c>
      <c r="BR39" s="16">
        <f t="shared" si="32"/>
        <v>69.099405267629578</v>
      </c>
      <c r="BS39" s="16"/>
      <c r="BT39" s="16"/>
      <c r="BU39" s="16"/>
      <c r="BV39" s="16"/>
      <c r="BW39" s="12"/>
      <c r="BX39" s="12"/>
      <c r="BY39" s="16"/>
      <c r="BZ39" s="16"/>
      <c r="CA39" s="16">
        <v>9</v>
      </c>
      <c r="CB39" s="16">
        <v>11</v>
      </c>
      <c r="CC39" s="16">
        <v>10.8</v>
      </c>
      <c r="CD39" s="16">
        <f t="shared" si="21"/>
        <v>30.8</v>
      </c>
      <c r="CE39" s="16">
        <f t="shared" si="6"/>
        <v>86.206767955801112</v>
      </c>
      <c r="CF39" s="16">
        <f t="shared" si="22"/>
        <v>-55.406767955801115</v>
      </c>
      <c r="CG39" s="17">
        <f t="shared" si="7"/>
        <v>-0.16705727274906557</v>
      </c>
      <c r="CH39" s="16">
        <f t="shared" si="33"/>
        <v>25</v>
      </c>
      <c r="CI39" s="16">
        <f t="shared" si="34"/>
        <v>45.112505999999996</v>
      </c>
      <c r="CJ39" s="16">
        <f t="shared" si="35"/>
        <v>-45.099405267629578</v>
      </c>
      <c r="CK39" s="16">
        <f t="shared" si="36"/>
        <v>-52.099405267629578</v>
      </c>
      <c r="CL39" s="12">
        <f t="shared" si="37"/>
        <v>-0.50853395543904056</v>
      </c>
      <c r="CM39" s="16">
        <f t="shared" si="38"/>
        <v>0</v>
      </c>
      <c r="CN39" s="16">
        <f t="shared" si="39"/>
        <v>-29.112505999999996</v>
      </c>
      <c r="CO39" s="16">
        <f t="shared" si="23"/>
        <v>25</v>
      </c>
      <c r="CP39" s="12">
        <f t="shared" si="40"/>
        <v>-0.15384169237786718</v>
      </c>
      <c r="CQ39" s="12">
        <f t="shared" si="69"/>
        <v>-0.1262200397998442</v>
      </c>
      <c r="CR39">
        <v>45</v>
      </c>
      <c r="CS39">
        <f t="shared" si="63"/>
        <v>-32</v>
      </c>
      <c r="CT39">
        <v>-29</v>
      </c>
      <c r="CU39" s="12">
        <v>-0.56799999999999995</v>
      </c>
      <c r="CV39" s="12">
        <v>-0.622</v>
      </c>
      <c r="CW39" s="16">
        <v>0</v>
      </c>
      <c r="CX39" s="16">
        <v>0</v>
      </c>
      <c r="CY39">
        <v>21213</v>
      </c>
      <c r="CZ39" s="12">
        <f t="shared" si="43"/>
        <v>-1.2398974640722826</v>
      </c>
      <c r="DA39" s="16">
        <v>0</v>
      </c>
      <c r="DB39" s="16">
        <v>0</v>
      </c>
      <c r="DC39" s="16">
        <v>0</v>
      </c>
      <c r="DD39" s="16">
        <f t="shared" si="24"/>
        <v>0</v>
      </c>
      <c r="DE39" s="16">
        <f t="shared" si="44"/>
        <v>14339.161427357689</v>
      </c>
      <c r="DF39" s="16">
        <f t="shared" si="45"/>
        <v>22133.760000000002</v>
      </c>
      <c r="DG39" s="16">
        <f t="shared" si="8"/>
        <v>-14339.161427357689</v>
      </c>
      <c r="DH39" s="16">
        <f t="shared" si="9"/>
        <v>-22133.760000000002</v>
      </c>
      <c r="DI39" s="12">
        <f t="shared" si="46"/>
        <v>-9.2168946022776962E-2</v>
      </c>
      <c r="DJ39" s="16">
        <f t="shared" si="47"/>
        <v>0</v>
      </c>
      <c r="DK39" s="16">
        <f t="shared" si="25"/>
        <v>0</v>
      </c>
      <c r="DL39" s="17">
        <f t="shared" si="70"/>
        <v>-5.8448136100751689E-2</v>
      </c>
      <c r="DM39" s="17">
        <f t="shared" si="10"/>
        <v>-9.9111278320207191E-2</v>
      </c>
      <c r="DN39" s="16">
        <v>24956.62</v>
      </c>
      <c r="DO39">
        <f>CW37-CY39</f>
        <v>-21213</v>
      </c>
      <c r="DP39" s="16">
        <f t="shared" si="64"/>
        <v>-24956.62</v>
      </c>
      <c r="DQ39">
        <v>-5.8000000000000003E-2</v>
      </c>
      <c r="DR39" s="12">
        <f t="shared" si="65"/>
        <v>-8.2505271969063446E-2</v>
      </c>
      <c r="DS39" s="12">
        <f t="shared" si="66"/>
        <v>-0.39639999999999997</v>
      </c>
      <c r="DT39" s="12">
        <f t="shared" si="14"/>
        <v>-0.34198795167253515</v>
      </c>
      <c r="DU39" s="12">
        <f t="shared" si="50"/>
        <v>-0.55342780665821023</v>
      </c>
      <c r="DV39" s="12">
        <f t="shared" si="15"/>
        <v>-0.11568426986702098</v>
      </c>
      <c r="DW39" s="16">
        <v>0</v>
      </c>
      <c r="DX39" s="16">
        <v>0</v>
      </c>
      <c r="DY39" s="16">
        <f t="shared" si="26"/>
        <v>0</v>
      </c>
      <c r="DZ39" s="16">
        <f t="shared" si="16"/>
        <v>40135.14364640884</v>
      </c>
      <c r="EA39" s="16">
        <f t="shared" si="27"/>
        <v>-40135.14364640884</v>
      </c>
      <c r="EB39" s="17">
        <f t="shared" si="17"/>
        <v>-9.7716813294964747E-2</v>
      </c>
      <c r="EC39" s="12">
        <f t="shared" si="18"/>
        <v>-0.13932108896742523</v>
      </c>
      <c r="ED39" s="12">
        <f t="shared" si="28"/>
        <v>-0.96530960110665365</v>
      </c>
    </row>
    <row r="40" spans="1:134" x14ac:dyDescent="0.35">
      <c r="A40" s="7" t="s">
        <v>242</v>
      </c>
      <c r="B40" s="7" t="s">
        <v>117</v>
      </c>
      <c r="C40" s="1">
        <f t="shared" si="0"/>
        <v>14</v>
      </c>
      <c r="D40">
        <v>0</v>
      </c>
      <c r="E40">
        <v>0</v>
      </c>
      <c r="F40">
        <v>0</v>
      </c>
      <c r="G40">
        <v>0</v>
      </c>
      <c r="H40">
        <v>0</v>
      </c>
      <c r="I40">
        <v>14</v>
      </c>
      <c r="J40">
        <v>0</v>
      </c>
      <c r="K40">
        <v>0</v>
      </c>
      <c r="L40" s="50">
        <v>27</v>
      </c>
      <c r="M40" s="51">
        <v>11</v>
      </c>
      <c r="N40" s="46">
        <f t="shared" si="1"/>
        <v>1.9285714285714286</v>
      </c>
      <c r="O40" s="46">
        <v>0.7857142857142857</v>
      </c>
      <c r="P40" s="52">
        <f>O40/O43</f>
        <v>7.343493495202599E-3</v>
      </c>
      <c r="Q40" s="53">
        <f t="shared" si="60"/>
        <v>1.1073351940596143E-2</v>
      </c>
      <c r="R40" s="16">
        <v>14977</v>
      </c>
      <c r="S40" s="16">
        <v>0</v>
      </c>
      <c r="T40" s="16">
        <f t="shared" si="2"/>
        <v>1069.7857142857142</v>
      </c>
      <c r="U40" s="16">
        <f t="shared" si="3"/>
        <v>0</v>
      </c>
      <c r="V40" s="20">
        <f>U40/U43</f>
        <v>0</v>
      </c>
      <c r="W40" s="20">
        <f t="shared" si="61"/>
        <v>9.8633699260027297E-3</v>
      </c>
      <c r="X40" s="20">
        <f t="shared" si="19"/>
        <v>4.406096097121559E-3</v>
      </c>
      <c r="Y40" s="20">
        <f t="shared" si="20"/>
        <v>1.0589359134758777E-2</v>
      </c>
      <c r="Z40" s="54">
        <v>14</v>
      </c>
      <c r="AA40" s="12">
        <v>-0.10405290973705701</v>
      </c>
      <c r="AB40" s="12">
        <f t="shared" si="62"/>
        <v>-0.38648921287919019</v>
      </c>
      <c r="AC40" s="12">
        <v>-0.34499999999999997</v>
      </c>
      <c r="AD40">
        <v>-0.38</v>
      </c>
      <c r="AE40" s="54">
        <v>14</v>
      </c>
      <c r="AF40" s="123"/>
      <c r="AG40" s="118">
        <v>-0.33802148200655457</v>
      </c>
      <c r="AH40" s="123"/>
      <c r="AI40" s="123"/>
      <c r="AJ40" s="18"/>
      <c r="AK40" s="18"/>
      <c r="AL40" s="18"/>
      <c r="AM40" s="18"/>
      <c r="AN40" s="12"/>
      <c r="AO40" s="18"/>
      <c r="AP40" s="30"/>
      <c r="AQ40" s="30"/>
      <c r="AR40" s="12"/>
      <c r="AS40" s="12"/>
      <c r="AT40" s="18"/>
      <c r="AU40" s="18"/>
      <c r="AV40" s="18"/>
      <c r="AW40" s="30"/>
      <c r="AX40" s="24"/>
      <c r="AY40" s="12"/>
      <c r="AZ40" s="12"/>
      <c r="BA40" s="12"/>
      <c r="BB40" s="12"/>
      <c r="BC40" s="12"/>
      <c r="BD40" s="12"/>
      <c r="BE40" s="12"/>
      <c r="BF40" s="12"/>
      <c r="BG40" s="12"/>
      <c r="BJ40">
        <v>54</v>
      </c>
      <c r="BK40">
        <v>54</v>
      </c>
      <c r="BL40">
        <f t="shared" si="67"/>
        <v>0</v>
      </c>
      <c r="BM40">
        <v>75</v>
      </c>
      <c r="BN40">
        <v>112</v>
      </c>
      <c r="BO40" s="16">
        <v>120</v>
      </c>
      <c r="BP40" s="16">
        <v>102</v>
      </c>
      <c r="BQ40" s="16">
        <f t="shared" si="31"/>
        <v>215.54400000000001</v>
      </c>
      <c r="BR40" s="16">
        <f t="shared" si="32"/>
        <v>161.23194562446901</v>
      </c>
      <c r="BS40" s="16"/>
      <c r="BT40" s="16"/>
      <c r="BU40" s="16"/>
      <c r="BV40" s="16"/>
      <c r="BW40" s="12"/>
      <c r="BX40" s="12"/>
      <c r="BY40" s="16"/>
      <c r="BZ40" s="16"/>
      <c r="CA40" s="16">
        <v>89</v>
      </c>
      <c r="CB40" s="16">
        <v>73</v>
      </c>
      <c r="CC40" s="16">
        <v>90</v>
      </c>
      <c r="CD40" s="16">
        <f t="shared" si="21"/>
        <v>252</v>
      </c>
      <c r="CE40" s="16">
        <f t="shared" si="6"/>
        <v>201.1491252302026</v>
      </c>
      <c r="CF40" s="16">
        <f t="shared" si="22"/>
        <v>50.8508747697974</v>
      </c>
      <c r="CG40" s="17">
        <f t="shared" si="7"/>
        <v>0.15332077234180599</v>
      </c>
      <c r="CH40" s="16">
        <f t="shared" si="33"/>
        <v>191</v>
      </c>
      <c r="CI40" s="16">
        <f t="shared" si="34"/>
        <v>105.262514</v>
      </c>
      <c r="CJ40" s="16">
        <f t="shared" si="35"/>
        <v>-41.231945624469006</v>
      </c>
      <c r="CK40" s="16">
        <f t="shared" si="36"/>
        <v>-49.231945624469006</v>
      </c>
      <c r="CL40" s="12">
        <f t="shared" si="37"/>
        <v>-0.50193218603439738</v>
      </c>
      <c r="CM40" s="16">
        <f t="shared" si="38"/>
        <v>0</v>
      </c>
      <c r="CN40" s="16">
        <f t="shared" si="39"/>
        <v>-3.2625139999999959</v>
      </c>
      <c r="CO40" s="16">
        <f t="shared" si="23"/>
        <v>191</v>
      </c>
      <c r="CP40" s="12">
        <f t="shared" si="40"/>
        <v>-4.706418922131575E-2</v>
      </c>
      <c r="CQ40" s="12">
        <f t="shared" si="69"/>
        <v>-0.11927311078165347</v>
      </c>
      <c r="CR40">
        <v>70</v>
      </c>
      <c r="CS40">
        <f t="shared" si="63"/>
        <v>-21</v>
      </c>
      <c r="CT40">
        <v>-16</v>
      </c>
      <c r="CU40" s="12">
        <v>-0.53900000000000003</v>
      </c>
      <c r="CV40" s="12">
        <v>-0.59099999999999997</v>
      </c>
      <c r="CW40" s="16">
        <v>14977</v>
      </c>
      <c r="CX40" s="16">
        <v>14977</v>
      </c>
      <c r="CY40">
        <v>34455</v>
      </c>
      <c r="CZ40" s="12">
        <f t="shared" si="43"/>
        <v>-0.96791709891756983</v>
      </c>
      <c r="DA40" s="16">
        <v>14977</v>
      </c>
      <c r="DB40" s="16">
        <v>14977</v>
      </c>
      <c r="DC40" s="16">
        <v>0</v>
      </c>
      <c r="DD40" s="16">
        <f t="shared" si="24"/>
        <v>14977</v>
      </c>
      <c r="DE40" s="16">
        <f t="shared" si="44"/>
        <v>33458.04333050127</v>
      </c>
      <c r="DF40" s="16">
        <f t="shared" si="45"/>
        <v>51645.440000000002</v>
      </c>
      <c r="DG40" s="16">
        <f t="shared" si="8"/>
        <v>-18481.04333050127</v>
      </c>
      <c r="DH40" s="16">
        <f t="shared" si="9"/>
        <v>-36668.44</v>
      </c>
      <c r="DI40" s="12">
        <f t="shared" si="46"/>
        <v>-0.12425234741444745</v>
      </c>
      <c r="DJ40" s="16">
        <f t="shared" si="47"/>
        <v>0</v>
      </c>
      <c r="DK40" s="16">
        <f t="shared" si="25"/>
        <v>14977</v>
      </c>
      <c r="DL40" s="17">
        <f t="shared" si="70"/>
        <v>-7.5330941864155815E-2</v>
      </c>
      <c r="DM40" s="17">
        <f t="shared" si="10"/>
        <v>-0.1016962432146544</v>
      </c>
      <c r="DN40" s="16">
        <v>38950.720000000001</v>
      </c>
      <c r="DO40">
        <f>CW38-CY40</f>
        <v>-34455</v>
      </c>
      <c r="DP40" s="16">
        <f t="shared" si="64"/>
        <v>-23973.72</v>
      </c>
      <c r="DQ40">
        <v>-5.3999999999999999E-2</v>
      </c>
      <c r="DR40" s="12">
        <f t="shared" si="65"/>
        <v>-7.9723032197975538E-2</v>
      </c>
      <c r="DS40" s="12">
        <f t="shared" si="66"/>
        <v>-0.37619999999999998</v>
      </c>
      <c r="DT40" s="12">
        <f t="shared" si="14"/>
        <v>-0.3508602505864174</v>
      </c>
      <c r="DU40" s="12">
        <f t="shared" si="50"/>
        <v>-0.52179772282240333</v>
      </c>
      <c r="DV40" s="12">
        <f t="shared" si="15"/>
        <v>-5.837089027845177E-2</v>
      </c>
      <c r="DW40" s="16">
        <v>0</v>
      </c>
      <c r="DX40" s="16">
        <v>0</v>
      </c>
      <c r="DY40" s="16">
        <f t="shared" si="26"/>
        <v>0</v>
      </c>
      <c r="DZ40" s="16">
        <f t="shared" si="16"/>
        <v>93648.668508287286</v>
      </c>
      <c r="EA40" s="16">
        <f t="shared" si="27"/>
        <v>-93648.668508287286</v>
      </c>
      <c r="EB40" s="17">
        <f t="shared" si="17"/>
        <v>-0.22800589768825108</v>
      </c>
      <c r="EC40" s="12">
        <f t="shared" si="18"/>
        <v>7.9010432978314504E-4</v>
      </c>
      <c r="ED40" s="12">
        <f t="shared" si="28"/>
        <v>-0.78946934847950323</v>
      </c>
    </row>
    <row r="41" spans="1:134" x14ac:dyDescent="0.35">
      <c r="C41" s="1">
        <f t="shared" si="0"/>
        <v>2306</v>
      </c>
      <c r="D41" s="1">
        <f t="shared" ref="D41:M41" si="71">SUM(D3:D40)</f>
        <v>394</v>
      </c>
      <c r="E41" s="1">
        <f t="shared" si="71"/>
        <v>174</v>
      </c>
      <c r="F41" s="1">
        <f t="shared" si="71"/>
        <v>176</v>
      </c>
      <c r="G41" s="1">
        <f t="shared" si="71"/>
        <v>591</v>
      </c>
      <c r="H41" s="1">
        <f t="shared" si="71"/>
        <v>205</v>
      </c>
      <c r="I41" s="1">
        <f t="shared" si="71"/>
        <v>507</v>
      </c>
      <c r="J41" s="1">
        <f t="shared" si="71"/>
        <v>147</v>
      </c>
      <c r="K41" s="1">
        <f t="shared" si="71"/>
        <v>112</v>
      </c>
      <c r="L41" s="1">
        <f t="shared" si="71"/>
        <v>9671.5</v>
      </c>
      <c r="M41" s="1">
        <f t="shared" si="71"/>
        <v>6854.5</v>
      </c>
      <c r="N41" s="23">
        <f t="shared" si="1"/>
        <v>4.1940589765828271</v>
      </c>
      <c r="O41" s="23">
        <v>2.9397693293464333</v>
      </c>
      <c r="P41" s="26">
        <f>SUM(P3:P40)</f>
        <v>0.99999999999999967</v>
      </c>
      <c r="Q41" s="26">
        <f>SUM(Q3:Q40)</f>
        <v>0.99999999999999989</v>
      </c>
      <c r="R41" s="24">
        <f>SUM(R3:R40)</f>
        <v>7006819</v>
      </c>
      <c r="S41" s="24">
        <f>SUM(S3:S40)</f>
        <v>6863966</v>
      </c>
      <c r="T41" s="24">
        <f t="shared" si="2"/>
        <v>3038.5164787510839</v>
      </c>
      <c r="U41" s="24">
        <f t="shared" si="3"/>
        <v>2976.5680832610583</v>
      </c>
      <c r="V41" s="26">
        <f>SUM(V3:V40)</f>
        <v>0.99999999999999978</v>
      </c>
      <c r="W41" s="26">
        <f>SUM(W3:W40)</f>
        <v>1</v>
      </c>
      <c r="X41" s="26">
        <f>SUM(X3:X40)</f>
        <v>0.99999999999999978</v>
      </c>
      <c r="Y41" s="26">
        <f>SUM(Y3:Y40)</f>
        <v>1.0000000000000004</v>
      </c>
      <c r="Z41" s="74">
        <f>SUM(Z3:Z40)</f>
        <v>2354</v>
      </c>
      <c r="AA41" s="74"/>
      <c r="AB41" s="26"/>
      <c r="AC41" s="26"/>
      <c r="AD41" s="26"/>
      <c r="AE41" s="24">
        <f>SUM(AE3:AE40)</f>
        <v>2172</v>
      </c>
      <c r="AF41" s="147"/>
      <c r="AG41" s="26"/>
      <c r="AH41" s="30"/>
      <c r="AI41" s="30" t="e">
        <f>SUM(AI3:AI40)</f>
        <v>#REF!</v>
      </c>
      <c r="AJ41" s="30" t="e">
        <f t="shared" ref="AJ41:AN41" si="72">SUM(AJ3:AJ40)</f>
        <v>#DIV/0!</v>
      </c>
      <c r="AK41" s="30" t="e">
        <f t="shared" si="72"/>
        <v>#REF!</v>
      </c>
      <c r="AL41" s="30"/>
      <c r="AM41" s="30" t="e">
        <f>SUM(AM3:AM40)</f>
        <v>#DIV/0!</v>
      </c>
      <c r="AN41" s="29" t="e">
        <f t="shared" si="72"/>
        <v>#REF!</v>
      </c>
      <c r="AO41" s="30" t="e">
        <f>SUM(AO3:AO40)</f>
        <v>#DIV/0!</v>
      </c>
      <c r="AP41" s="30" t="e">
        <f>SUM(AP3:AP40)</f>
        <v>#DIV/0!</v>
      </c>
      <c r="AQ41" s="30" t="e">
        <f>SUM(AQ3:AQ40)</f>
        <v>#DIV/0!</v>
      </c>
      <c r="AR41" s="30">
        <f>SUM(AR3:AR40)</f>
        <v>137.30556048347273</v>
      </c>
      <c r="AS41" s="29" t="e">
        <f>SUM(AS3:AS40)</f>
        <v>#DIV/0!</v>
      </c>
      <c r="AT41" s="30"/>
      <c r="AU41" s="30"/>
      <c r="AV41" s="30"/>
      <c r="AW41" s="30"/>
      <c r="AX41" s="24"/>
      <c r="AY41" s="29">
        <f>SUM(AY3:AY40)</f>
        <v>77.288371357369371</v>
      </c>
      <c r="AZ41" s="29"/>
      <c r="BA41" s="29">
        <f>SUM(BA3:BA40)</f>
        <v>130.66108616280428</v>
      </c>
      <c r="BB41" s="29"/>
      <c r="BC41" s="29"/>
      <c r="BD41" s="29"/>
      <c r="BE41" s="29" t="e">
        <f>SUM(BE3:BE40)</f>
        <v>#DIV/0!</v>
      </c>
      <c r="BF41" s="29" t="e">
        <f>SUM(BF3:BF40)</f>
        <v>#DIV/0!</v>
      </c>
      <c r="BG41" s="29"/>
      <c r="BJ41" s="1">
        <f>SUM(BJ3:BJ40)</f>
        <v>19423</v>
      </c>
      <c r="BK41" s="1">
        <f>SUM(BK3:BK40)</f>
        <v>20161</v>
      </c>
      <c r="BL41" s="1">
        <f>SUM(BL3:BL40)</f>
        <v>-738</v>
      </c>
      <c r="BN41" s="24">
        <f>SUM(BN36:BN40,BN3:BN14,BN15:BN27,BN28:BN35)</f>
        <v>27110</v>
      </c>
      <c r="BO41" s="24">
        <f>SUM(BO3:BO40)</f>
        <v>36464</v>
      </c>
      <c r="BP41" s="24">
        <f>SUM(BP3:BP40)</f>
        <v>18000</v>
      </c>
      <c r="BQ41" s="24"/>
      <c r="BR41" s="1"/>
      <c r="BS41" s="24">
        <f t="shared" ref="BS41:BX41" si="73">SUM(BS3:BS40)</f>
        <v>4855262</v>
      </c>
      <c r="BT41" s="24">
        <f t="shared" si="73"/>
        <v>5567977</v>
      </c>
      <c r="BU41" s="24">
        <f t="shared" si="73"/>
        <v>4448341.8071255162</v>
      </c>
      <c r="BV41" s="24">
        <f t="shared" si="73"/>
        <v>5567976.9999999991</v>
      </c>
      <c r="BW41" s="23">
        <f t="shared" si="73"/>
        <v>67.807578039817642</v>
      </c>
      <c r="BX41" s="23">
        <f t="shared" si="73"/>
        <v>0.99999999999999989</v>
      </c>
      <c r="BY41" s="1"/>
      <c r="BZ41" s="1"/>
      <c r="CA41" s="24">
        <f>SUM(CA3:CA40)</f>
        <v>10930</v>
      </c>
      <c r="CB41" s="24">
        <f>SUM(CB3:CB40)</f>
        <v>10186</v>
      </c>
      <c r="CC41" s="24">
        <f>SUM(CC3:CC40)</f>
        <v>10090.850000000002</v>
      </c>
      <c r="CD41" s="24">
        <f>SUM(CD3:CD40)</f>
        <v>31206.850000000002</v>
      </c>
      <c r="CE41" s="24"/>
      <c r="CF41" s="24"/>
      <c r="CG41" s="24"/>
      <c r="CH41" s="24">
        <f t="shared" si="33"/>
        <v>28930</v>
      </c>
      <c r="CI41" s="1"/>
      <c r="CJ41" s="23">
        <f>AVERAGE(CJ3:CJ40)</f>
        <v>252.81081081081072</v>
      </c>
      <c r="CK41" s="23">
        <f>AVERAGE(CK3:CK14,CK15:CK27,CK28:CK35,CK36:CK40)</f>
        <v>-2.995801804826368E-14</v>
      </c>
      <c r="CL41" s="23"/>
      <c r="CM41" s="23"/>
      <c r="CN41" s="24">
        <f>AVERAGE(CN36:CN40,CN3:CN14,CN15:CN27,CN28:CN35)</f>
        <v>8.1313552972973184</v>
      </c>
      <c r="CO41" s="24">
        <f>AVERAGE(CO36:CO40,CO3:CO14,CO15:CO27,CO28:CO35)</f>
        <v>781.75675675675677</v>
      </c>
      <c r="CP41" s="23"/>
      <c r="CQ41" s="1"/>
      <c r="CW41" s="24">
        <f>SUM(CW3:CW40)</f>
        <v>7006819</v>
      </c>
      <c r="CX41" s="24">
        <f>SUM(CX3:CX40)</f>
        <v>6652560.3599999994</v>
      </c>
      <c r="DA41" s="24">
        <f>SUM(DA36:DA40,DA3:DA14,DA15:DA27,DA28:DA35)</f>
        <v>5625731</v>
      </c>
      <c r="DB41" s="24">
        <f>SUM(DB3:DB40)</f>
        <v>9409802</v>
      </c>
      <c r="DC41" s="24">
        <f>SUM(DC3:DC40)</f>
        <v>4070148</v>
      </c>
      <c r="DD41" s="24">
        <f>SUM(DD3:DD40)</f>
        <v>9695879</v>
      </c>
      <c r="DE41" s="24"/>
      <c r="DF41" s="24"/>
      <c r="DG41" s="24">
        <f>AVERAGE(DG36:DG40,DG3:DG14,DG15:DG27,DG28:DG35)</f>
        <v>0</v>
      </c>
      <c r="DH41" s="24">
        <f>AVERAGE(DH36:DH40,DH3:DH14,DH15:DH27,DH28:DH35)</f>
        <v>19621.355675675662</v>
      </c>
      <c r="DI41" s="23"/>
      <c r="DJ41" s="23"/>
      <c r="DK41" s="24">
        <f>AVERAGE(DK36:DK40,DK3:DK14,DK15:DK27,DK28:DK35)</f>
        <v>262050.78378378379</v>
      </c>
      <c r="DL41" s="24"/>
      <c r="DM41" s="24"/>
      <c r="DW41" s="24">
        <f>SUM(DW3:DW40)</f>
        <v>4536443</v>
      </c>
      <c r="DX41" s="24">
        <f>SUM(DX3:DX40)</f>
        <v>5922331</v>
      </c>
      <c r="DY41" s="24">
        <f>SUM(DY3:DY40)</f>
        <v>14528922</v>
      </c>
      <c r="DZ41" s="16"/>
      <c r="EA41" s="16"/>
      <c r="EB41" s="16"/>
      <c r="EC41" s="16"/>
    </row>
    <row r="42" spans="1:134" x14ac:dyDescent="0.35">
      <c r="C42" s="1">
        <v>797</v>
      </c>
      <c r="N42" s="19" t="s">
        <v>444</v>
      </c>
      <c r="O42" s="19" t="s">
        <v>444</v>
      </c>
      <c r="S42" s="16"/>
      <c r="T42" s="19" t="s">
        <v>444</v>
      </c>
      <c r="U42" s="19" t="s">
        <v>444</v>
      </c>
      <c r="AB42" s="12"/>
      <c r="AF42" s="30">
        <f>SUM(AF3:AF41)</f>
        <v>5152235.8581983009</v>
      </c>
      <c r="AH42" s="30">
        <f>SUM(AH3:AH41)</f>
        <v>5113803.92</v>
      </c>
      <c r="AT42" s="30">
        <f>SUM(AT3:AT41)</f>
        <v>5153419.709999999</v>
      </c>
      <c r="AU42" s="30">
        <f>SUM(AU3:AU41)</f>
        <v>5133019.8890991518</v>
      </c>
      <c r="AV42" s="30">
        <f>SUM(AV3:AV41)</f>
        <v>5139819.8293994339</v>
      </c>
      <c r="AW42" s="30">
        <f>SUM(AW3:AW41)</f>
        <v>5113803.92</v>
      </c>
      <c r="AX42" s="24">
        <f>SUM(AX3:AX41)</f>
        <v>3330878.421376545</v>
      </c>
      <c r="BK42" s="75">
        <f>(BJ41/BK41)*100</f>
        <v>96.339467288328947</v>
      </c>
      <c r="BT42" s="16"/>
      <c r="BU42" s="16">
        <f>BU41-BT41</f>
        <v>-1119635.1928744838</v>
      </c>
      <c r="BV42" s="16"/>
      <c r="BX42" s="12"/>
      <c r="CJ42" s="23">
        <f>STDEV(CJ3:CJ40)</f>
        <v>585.82167993333064</v>
      </c>
      <c r="CK42" s="12">
        <f>STDEV(CK3:CK14,CK15:CK27,CK28:CK35,CK36:CK40)</f>
        <v>412.76650958316259</v>
      </c>
      <c r="CL42" s="12"/>
      <c r="CM42" s="12"/>
      <c r="CN42" s="16">
        <f>STDEV(CN3:CN14,CN15:CN27,CN28:CN35,CN36:CN40)</f>
        <v>242.09211899345627</v>
      </c>
      <c r="CO42" s="16">
        <f>STDEV(CO3:CO14,CO15:CO27,CO28:CO35,CO36:CO40)</f>
        <v>610.33817608698644</v>
      </c>
      <c r="CP42" s="12"/>
      <c r="DG42" s="16">
        <f>STDEV(DG3:DG14,DG15:DG27,DG28:DG35,DG36:DG40)</f>
        <v>245331.37211835358</v>
      </c>
      <c r="DH42" s="16">
        <f>STDEV(DH3:DH14,DH15:DH27,DH28:DH35,DH36:DH40)</f>
        <v>453028.02600516955</v>
      </c>
      <c r="DI42" s="12"/>
      <c r="DJ42" s="12"/>
      <c r="DK42" s="16">
        <f>STDEV(DK3:DK14,DK15:DK27,DK28:DK35,DK36:DK40)</f>
        <v>473504.91000106704</v>
      </c>
      <c r="DL42" s="16"/>
      <c r="DM42" s="16"/>
      <c r="DO42" s="1" t="s">
        <v>406</v>
      </c>
      <c r="DP42" s="16">
        <f>AVERAGE(DP3:DP14,DP15:DP27,DP28:DP40)</f>
        <v>4190.5558333333283</v>
      </c>
    </row>
    <row r="43" spans="1:134" ht="18.5" x14ac:dyDescent="0.45">
      <c r="A43" s="11"/>
      <c r="C43" s="1">
        <f>C42/C41</f>
        <v>0.34562012142237641</v>
      </c>
      <c r="N43" s="23">
        <f>SUM(N3:N40)</f>
        <v>174.16329210137997</v>
      </c>
      <c r="O43" s="23">
        <f>SUM(O3:O40)</f>
        <v>106.99461860047698</v>
      </c>
      <c r="S43" s="16"/>
      <c r="T43" s="25">
        <f>SUM(T3:T40)</f>
        <v>108460.46759996764</v>
      </c>
      <c r="U43" s="25">
        <f>SUM(U3:U40)</f>
        <v>119505.11582900833</v>
      </c>
      <c r="AU43" s="18">
        <f>AU42-AH42</f>
        <v>19215.969099151902</v>
      </c>
      <c r="AV43" s="18">
        <f>AV42-AT42</f>
        <v>-13599.880600565113</v>
      </c>
      <c r="AW43" s="18"/>
      <c r="CC43" s="290" t="s">
        <v>596</v>
      </c>
      <c r="CD43" s="12">
        <f>CD41/AE41</f>
        <v>14.367794659300186</v>
      </c>
      <c r="CE43" s="291" t="s">
        <v>598</v>
      </c>
      <c r="CF43" s="12">
        <f>AVERAGE(CF3:CF40)</f>
        <v>-1.0845125966864687E-13</v>
      </c>
      <c r="CG43" s="12"/>
      <c r="DO43" s="1" t="s">
        <v>409</v>
      </c>
      <c r="DP43">
        <f>STDEV(DP3:DP14,DP15:DP27,DP28:DP40)</f>
        <v>353276.52570204833</v>
      </c>
      <c r="DX43" s="290" t="s">
        <v>596</v>
      </c>
      <c r="DY43" s="16">
        <f>DY41/AE41</f>
        <v>6689.1906077348067</v>
      </c>
      <c r="DZ43" s="291" t="s">
        <v>598</v>
      </c>
      <c r="EA43" s="12">
        <f>AVERAGE(EA3:EA40)</f>
        <v>-1.0722463852480838E-11</v>
      </c>
    </row>
    <row r="44" spans="1:134" ht="18.5" x14ac:dyDescent="0.45">
      <c r="A44" s="11"/>
      <c r="Z44" s="144"/>
      <c r="BI44" s="144" t="s">
        <v>445</v>
      </c>
      <c r="BK44" s="144" t="s">
        <v>408</v>
      </c>
      <c r="BN44" s="28">
        <f>BN41/Z41</f>
        <v>11.516567544604928</v>
      </c>
      <c r="BO44" s="28">
        <f>BO41/Z41</f>
        <v>15.490229396771452</v>
      </c>
      <c r="BP44" s="28">
        <f>BP41/Z41</f>
        <v>7.6465590484282071</v>
      </c>
      <c r="BQ44" s="28"/>
      <c r="CA44" s="28"/>
      <c r="CB44" s="28"/>
      <c r="CC44" s="28"/>
      <c r="CD44" s="28"/>
      <c r="CE44" s="292" t="s">
        <v>599</v>
      </c>
      <c r="CF44" s="28">
        <f>STDEV(CF3:CF40)</f>
        <v>331.66330949881336</v>
      </c>
      <c r="CG44" s="28"/>
      <c r="CQ44" s="144" t="s">
        <v>445</v>
      </c>
      <c r="CX44" s="144" t="s">
        <v>408</v>
      </c>
      <c r="CZ44" s="144" t="s">
        <v>445</v>
      </c>
      <c r="DA44" s="18">
        <f>DA41/Z41</f>
        <v>2389.8602378929481</v>
      </c>
      <c r="DB44" s="18">
        <f>DB41/Z41</f>
        <v>3997.3670348343244</v>
      </c>
      <c r="DC44" s="18"/>
      <c r="DD44" s="18"/>
      <c r="DZ44" s="292" t="s">
        <v>599</v>
      </c>
      <c r="EA44" s="12">
        <f>STDEV(EA3:EA40)</f>
        <v>410729.14980616706</v>
      </c>
    </row>
    <row r="45" spans="1:134" ht="18.5" x14ac:dyDescent="0.45">
      <c r="A45" s="11"/>
      <c r="Z45" s="144"/>
      <c r="BI45" s="144" t="s">
        <v>414</v>
      </c>
      <c r="BK45" s="144" t="s">
        <v>413</v>
      </c>
      <c r="BN45" s="28">
        <v>11.48911</v>
      </c>
      <c r="BO45" s="28">
        <v>15.396000000000001</v>
      </c>
      <c r="BP45" s="28">
        <v>7.518751</v>
      </c>
      <c r="BQ45" s="28"/>
      <c r="CA45" s="28"/>
      <c r="CB45" s="28"/>
      <c r="CC45" s="28"/>
      <c r="CD45" s="28"/>
      <c r="CE45" s="28"/>
      <c r="CF45" s="28"/>
      <c r="CG45" s="28"/>
      <c r="CQ45" s="144" t="s">
        <v>414</v>
      </c>
      <c r="CX45" s="144" t="s">
        <v>413</v>
      </c>
      <c r="CZ45" s="144" t="s">
        <v>414</v>
      </c>
      <c r="DA45" s="18">
        <v>2161.375</v>
      </c>
      <c r="DB45" s="18">
        <v>3688.96</v>
      </c>
      <c r="DC45" s="18"/>
      <c r="DD45" s="18"/>
    </row>
    <row r="46" spans="1:134" ht="18.5" x14ac:dyDescent="0.45">
      <c r="A46" s="11"/>
      <c r="BK46" s="144" t="s">
        <v>416</v>
      </c>
      <c r="BP46">
        <v>2023</v>
      </c>
      <c r="CX46" s="144" t="s">
        <v>417</v>
      </c>
      <c r="DA46" s="21">
        <v>2023</v>
      </c>
      <c r="DB46" s="21"/>
    </row>
    <row r="47" spans="1:134" ht="18.5" x14ac:dyDescent="0.45">
      <c r="A47" s="11"/>
    </row>
    <row r="48" spans="1:134" ht="18.5" x14ac:dyDescent="0.45">
      <c r="A48" s="11"/>
    </row>
    <row r="49" spans="1:1" ht="18.5" x14ac:dyDescent="0.45">
      <c r="A49" s="11"/>
    </row>
    <row r="50" spans="1:1" ht="18.5" x14ac:dyDescent="0.45">
      <c r="A50" s="11"/>
    </row>
    <row r="51" spans="1:1" ht="18.5" x14ac:dyDescent="0.45">
      <c r="A51" s="11"/>
    </row>
    <row r="52" spans="1:1" ht="18.5" x14ac:dyDescent="0.45">
      <c r="A52" s="11"/>
    </row>
    <row r="53" spans="1:1" ht="18.5" x14ac:dyDescent="0.45">
      <c r="A53" s="11"/>
    </row>
    <row r="54" spans="1:1" ht="18.5" x14ac:dyDescent="0.45">
      <c r="A54" s="11"/>
    </row>
    <row r="55" spans="1:1" ht="18.5" x14ac:dyDescent="0.45">
      <c r="A55" s="11"/>
    </row>
    <row r="56" spans="1:1" ht="18.5" x14ac:dyDescent="0.45">
      <c r="A56" s="11"/>
    </row>
    <row r="57" spans="1:1" ht="18.5" x14ac:dyDescent="0.45">
      <c r="A57" s="11"/>
    </row>
    <row r="58" spans="1:1" ht="18.5" x14ac:dyDescent="0.45">
      <c r="A58" s="11"/>
    </row>
    <row r="59" spans="1:1" ht="18.5" x14ac:dyDescent="0.45">
      <c r="A59" s="11"/>
    </row>
    <row r="60" spans="1:1" ht="18.5" x14ac:dyDescent="0.45">
      <c r="A60" s="11"/>
    </row>
    <row r="61" spans="1:1" ht="18.5" x14ac:dyDescent="0.45">
      <c r="A61" s="11"/>
    </row>
    <row r="62" spans="1:1" ht="18.5" x14ac:dyDescent="0.45">
      <c r="A62" s="11"/>
    </row>
    <row r="63" spans="1:1" ht="18.5" x14ac:dyDescent="0.45">
      <c r="A63" s="11"/>
    </row>
    <row r="64" spans="1:1" ht="18.5" x14ac:dyDescent="0.45">
      <c r="A64" s="11"/>
    </row>
    <row r="65" spans="1:1" ht="18.5" x14ac:dyDescent="0.45">
      <c r="A65" s="11"/>
    </row>
    <row r="66" spans="1:1" ht="18.5" x14ac:dyDescent="0.45">
      <c r="A66" s="11"/>
    </row>
    <row r="67" spans="1:1" ht="18.5" x14ac:dyDescent="0.45">
      <c r="A67" s="11"/>
    </row>
  </sheetData>
  <dataValidations disablePrompts="1" count="1">
    <dataValidation type="list" showInputMessage="1" showErrorMessage="1" sqref="D1:J1" xr:uid="{00000000-0002-0000-0500-000000000000}">
      <formula1>$A$43:$A$67</formula1>
    </dataValidation>
  </dataValidations>
  <pageMargins left="0.75" right="0.75" top="1" bottom="1" header="0.5" footer="0.5"/>
  <pageSetup paperSize="9" orientation="portrait" r:id="rId1"/>
  <ignoredErrors>
    <ignoredError sqref="O43 C6:C13 C15:C24 C26:C40 C3:C4 C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H41"/>
  <sheetViews>
    <sheetView workbookViewId="0">
      <pane ySplit="2" topLeftCell="A3" activePane="bottomLeft" state="frozen"/>
      <selection pane="bottomLeft" activeCell="CC13" sqref="CC13"/>
    </sheetView>
  </sheetViews>
  <sheetFormatPr defaultColWidth="8.54296875" defaultRowHeight="14.5" x14ac:dyDescent="0.35"/>
  <cols>
    <col min="1" max="1" width="34.453125" customWidth="1"/>
    <col min="2" max="2" width="34.54296875" customWidth="1"/>
    <col min="3" max="3" width="9" style="1" hidden="1" customWidth="1"/>
    <col min="4" max="5" width="16.81640625" hidden="1" customWidth="1"/>
    <col min="6" max="6" width="13.453125" hidden="1" customWidth="1"/>
    <col min="7" max="8" width="16.453125" hidden="1" customWidth="1"/>
    <col min="9" max="9" width="13.81640625" hidden="1" customWidth="1"/>
    <col min="10" max="10" width="15.1796875" hidden="1" customWidth="1"/>
    <col min="11" max="12" width="20.1796875" hidden="1" customWidth="1"/>
    <col min="13" max="14" width="14.54296875" hidden="1" customWidth="1"/>
    <col min="15" max="16" width="13.81640625" hidden="1" customWidth="1"/>
    <col min="17" max="18" width="14" hidden="1" customWidth="1"/>
    <col min="19" max="19" width="15.1796875" hidden="1" customWidth="1"/>
    <col min="20" max="20" width="14.1796875" hidden="1" customWidth="1"/>
    <col min="21" max="21" width="22.54296875" hidden="1" customWidth="1"/>
    <col min="22" max="22" width="8.54296875" hidden="1" customWidth="1"/>
    <col min="23" max="23" width="7.1796875" hidden="1" customWidth="1"/>
    <col min="24" max="24" width="24.453125" hidden="1" customWidth="1"/>
    <col min="25" max="25" width="13.54296875" hidden="1" customWidth="1"/>
    <col min="26" max="26" width="11.1796875" hidden="1" customWidth="1"/>
    <col min="27" max="27" width="12.81640625" hidden="1" customWidth="1"/>
    <col min="28" max="28" width="8.26953125" bestFit="1" customWidth="1"/>
    <col min="29" max="29" width="11.1796875" hidden="1" customWidth="1"/>
    <col min="30" max="30" width="16.453125" hidden="1" customWidth="1"/>
    <col min="31" max="31" width="11.54296875" hidden="1" customWidth="1"/>
    <col min="32" max="32" width="19.1796875" hidden="1" customWidth="1"/>
    <col min="33" max="35" width="11.1796875" hidden="1" customWidth="1"/>
    <col min="36" max="36" width="14.453125" hidden="1" customWidth="1"/>
    <col min="37" max="37" width="13.54296875" hidden="1" customWidth="1"/>
    <col min="38" max="38" width="11.453125" hidden="1" customWidth="1"/>
    <col min="39" max="40" width="11.1796875" hidden="1" customWidth="1"/>
    <col min="41" max="41" width="12" hidden="1" customWidth="1"/>
    <col min="42" max="42" width="12.1796875" customWidth="1"/>
    <col min="43" max="43" width="11.81640625" customWidth="1"/>
    <col min="44" max="44" width="11.1796875" hidden="1" customWidth="1"/>
    <col min="45" max="45" width="13.54296875" hidden="1" customWidth="1"/>
    <col min="46" max="46" width="11.1796875" hidden="1" customWidth="1"/>
    <col min="47" max="47" width="21.453125" hidden="1" customWidth="1"/>
    <col min="48" max="48" width="12.54296875" hidden="1" customWidth="1"/>
    <col min="49" max="49" width="11.54296875" hidden="1" customWidth="1"/>
    <col min="50" max="50" width="20.1796875" hidden="1" customWidth="1"/>
    <col min="51" max="54" width="14.453125" hidden="1" customWidth="1"/>
    <col min="55" max="55" width="12.54296875" hidden="1" customWidth="1"/>
    <col min="56" max="56" width="22.81640625" hidden="1" customWidth="1"/>
    <col min="57" max="58" width="15" hidden="1" customWidth="1"/>
    <col min="59" max="59" width="12.453125" hidden="1" customWidth="1"/>
    <col min="60" max="60" width="0" hidden="1" customWidth="1"/>
    <col min="61" max="61" width="12.1796875" hidden="1" customWidth="1"/>
    <col min="62" max="62" width="13.1796875" hidden="1" customWidth="1"/>
    <col min="63" max="63" width="20.453125" hidden="1" customWidth="1"/>
    <col min="64" max="64" width="22.1796875" hidden="1" customWidth="1"/>
    <col min="65" max="65" width="12.453125" hidden="1" customWidth="1"/>
    <col min="66" max="66" width="17.453125" hidden="1" customWidth="1"/>
    <col min="67" max="67" width="20.1796875" hidden="1" customWidth="1"/>
    <col min="68" max="68" width="9.1796875" hidden="1" customWidth="1"/>
    <col min="69" max="69" width="16" hidden="1" customWidth="1"/>
    <col min="70" max="70" width="6.453125" hidden="1" customWidth="1"/>
    <col min="71" max="72" width="0" hidden="1" customWidth="1"/>
    <col min="73" max="74" width="10" hidden="1" customWidth="1"/>
    <col min="75" max="75" width="11" hidden="1" customWidth="1"/>
    <col min="76" max="76" width="12.81640625" hidden="1" customWidth="1"/>
    <col min="77" max="77" width="13.54296875" hidden="1" customWidth="1"/>
    <col min="78" max="78" width="11.54296875" hidden="1" customWidth="1"/>
    <col min="79" max="82" width="11.54296875" customWidth="1"/>
    <col min="83" max="83" width="12.26953125" customWidth="1"/>
    <col min="84" max="84" width="13.1796875" bestFit="1" customWidth="1"/>
    <col min="85" max="85" width="11.54296875" customWidth="1"/>
    <col min="86" max="86" width="7.81640625" bestFit="1" customWidth="1"/>
    <col min="87" max="87" width="9.54296875" hidden="1" customWidth="1"/>
    <col min="88" max="90" width="9.54296875" customWidth="1"/>
    <col min="91" max="91" width="10.7265625" customWidth="1"/>
    <col min="92" max="92" width="10.81640625" bestFit="1" customWidth="1"/>
    <col min="93" max="93" width="9.1796875" bestFit="1" customWidth="1"/>
    <col min="94" max="94" width="9.54296875" hidden="1" customWidth="1"/>
    <col min="95" max="95" width="12.453125" hidden="1" customWidth="1"/>
    <col min="96" max="96" width="10.81640625" hidden="1" customWidth="1"/>
    <col min="97" max="97" width="13.1796875" hidden="1" customWidth="1"/>
    <col min="98" max="99" width="10.81640625" hidden="1" customWidth="1"/>
    <col min="100" max="100" width="11.453125" hidden="1" customWidth="1"/>
    <col min="101" max="101" width="10.81640625" hidden="1" customWidth="1"/>
    <col min="102" max="102" width="15" hidden="1" customWidth="1"/>
    <col min="103" max="103" width="9.54296875" hidden="1" customWidth="1"/>
    <col min="104" max="104" width="15.54296875" hidden="1" customWidth="1"/>
    <col min="105" max="105" width="12.453125" hidden="1" customWidth="1"/>
    <col min="106" max="106" width="18.453125" hidden="1" customWidth="1"/>
    <col min="107" max="107" width="9.54296875" hidden="1" customWidth="1"/>
    <col min="108" max="108" width="16.81640625" hidden="1" customWidth="1"/>
    <col min="109" max="110" width="0" hidden="1" customWidth="1"/>
    <col min="111" max="111" width="10.54296875" hidden="1" customWidth="1"/>
    <col min="112" max="112" width="8.1796875" bestFit="1" customWidth="1"/>
    <col min="113" max="113" width="8.7265625" bestFit="1" customWidth="1"/>
    <col min="114" max="114" width="8.7265625" customWidth="1"/>
    <col min="115" max="115" width="10.453125" bestFit="1" customWidth="1"/>
    <col min="116" max="116" width="10.453125" customWidth="1"/>
    <col min="117" max="117" width="11.7265625" bestFit="1" customWidth="1"/>
    <col min="118" max="118" width="10" bestFit="1" customWidth="1"/>
    <col min="119" max="119" width="10.453125" hidden="1" customWidth="1"/>
    <col min="120" max="120" width="11.453125" hidden="1" customWidth="1"/>
    <col min="121" max="121" width="10.81640625" hidden="1" customWidth="1"/>
    <col min="122" max="122" width="13.54296875" hidden="1" customWidth="1"/>
    <col min="123" max="123" width="14.453125" hidden="1" customWidth="1"/>
    <col min="124" max="125" width="12.54296875" hidden="1" customWidth="1"/>
    <col min="126" max="127" width="11.54296875" hidden="1" customWidth="1"/>
    <col min="128" max="128" width="9.81640625" hidden="1" customWidth="1"/>
    <col min="129" max="129" width="6.453125" hidden="1" customWidth="1"/>
    <col min="130" max="130" width="14.81640625" hidden="1" customWidth="1"/>
    <col min="131" max="131" width="11.54296875" hidden="1" customWidth="1"/>
    <col min="132" max="132" width="15.81640625" hidden="1" customWidth="1"/>
    <col min="133" max="133" width="0" hidden="1" customWidth="1"/>
    <col min="134" max="134" width="13.81640625" hidden="1" customWidth="1"/>
    <col min="135" max="135" width="9.1796875" hidden="1" customWidth="1"/>
    <col min="136" max="136" width="0" hidden="1" customWidth="1"/>
    <col min="137" max="137" width="6.453125" bestFit="1" customWidth="1"/>
    <col min="138" max="138" width="0" hidden="1" customWidth="1"/>
  </cols>
  <sheetData>
    <row r="1" spans="1:138" ht="58" x14ac:dyDescent="0.35">
      <c r="C1" s="64"/>
      <c r="D1" s="4" t="s">
        <v>169</v>
      </c>
      <c r="E1" s="270" t="s">
        <v>268</v>
      </c>
      <c r="F1" s="271" t="s">
        <v>268</v>
      </c>
      <c r="G1" s="272" t="s">
        <v>269</v>
      </c>
      <c r="H1" s="272" t="s">
        <v>269</v>
      </c>
      <c r="I1" s="272"/>
      <c r="J1" s="273"/>
      <c r="K1" s="144" t="s">
        <v>270</v>
      </c>
      <c r="L1" s="144" t="s">
        <v>270</v>
      </c>
      <c r="M1" s="144"/>
      <c r="N1" s="144"/>
      <c r="O1" s="144"/>
      <c r="P1" s="144"/>
      <c r="AP1" s="215" t="s">
        <v>271</v>
      </c>
      <c r="AQ1" s="220">
        <v>2161274</v>
      </c>
      <c r="BG1" s="33"/>
      <c r="BM1" t="s">
        <v>273</v>
      </c>
      <c r="BN1" s="144" t="s">
        <v>446</v>
      </c>
      <c r="BO1" s="144" t="s">
        <v>447</v>
      </c>
    </row>
    <row r="2" spans="1:138" ht="16.5" customHeight="1" x14ac:dyDescent="0.35">
      <c r="A2" s="5" t="s">
        <v>145</v>
      </c>
      <c r="B2" s="5" t="s">
        <v>146</v>
      </c>
      <c r="C2" s="6" t="s">
        <v>274</v>
      </c>
      <c r="E2" s="42" t="s">
        <v>275</v>
      </c>
      <c r="F2" s="1" t="s">
        <v>418</v>
      </c>
      <c r="G2" s="1" t="s">
        <v>277</v>
      </c>
      <c r="H2" s="1" t="s">
        <v>278</v>
      </c>
      <c r="I2" s="1" t="s">
        <v>280</v>
      </c>
      <c r="J2" s="43" t="s">
        <v>279</v>
      </c>
      <c r="K2" s="1" t="s">
        <v>281</v>
      </c>
      <c r="L2" s="1" t="s">
        <v>282</v>
      </c>
      <c r="M2" s="1" t="s">
        <v>283</v>
      </c>
      <c r="N2" s="1" t="s">
        <v>284</v>
      </c>
      <c r="O2" s="1" t="s">
        <v>279</v>
      </c>
      <c r="P2" s="1" t="s">
        <v>280</v>
      </c>
      <c r="Q2" s="1" t="s">
        <v>285</v>
      </c>
      <c r="R2" s="1" t="s">
        <v>286</v>
      </c>
      <c r="S2" s="1" t="s">
        <v>287</v>
      </c>
      <c r="T2" s="1" t="s">
        <v>288</v>
      </c>
      <c r="U2" s="1" t="s">
        <v>419</v>
      </c>
      <c r="V2" s="1" t="s">
        <v>289</v>
      </c>
      <c r="W2" s="1" t="s">
        <v>290</v>
      </c>
      <c r="X2" s="1" t="s">
        <v>448</v>
      </c>
      <c r="Y2" s="1" t="s">
        <v>292</v>
      </c>
      <c r="Z2" s="1" t="s">
        <v>421</v>
      </c>
      <c r="AA2" s="1" t="s">
        <v>293</v>
      </c>
      <c r="AB2" s="1" t="s">
        <v>300</v>
      </c>
      <c r="AC2" s="1" t="s">
        <v>301</v>
      </c>
      <c r="AD2" s="104" t="s">
        <v>294</v>
      </c>
      <c r="AE2" s="1" t="s">
        <v>422</v>
      </c>
      <c r="AF2" s="1" t="s">
        <v>449</v>
      </c>
      <c r="AG2" s="1" t="s">
        <v>297</v>
      </c>
      <c r="AH2" s="1" t="s">
        <v>302</v>
      </c>
      <c r="AI2" s="1" t="s">
        <v>303</v>
      </c>
      <c r="AJ2" s="1" t="s">
        <v>423</v>
      </c>
      <c r="AK2" s="1" t="s">
        <v>424</v>
      </c>
      <c r="AL2" s="1" t="s">
        <v>307</v>
      </c>
      <c r="AM2" s="1" t="s">
        <v>308</v>
      </c>
      <c r="AN2" s="1" t="s">
        <v>309</v>
      </c>
      <c r="AO2" s="1" t="s">
        <v>310</v>
      </c>
      <c r="AP2" s="1" t="s">
        <v>311</v>
      </c>
      <c r="AQ2" s="1" t="s">
        <v>352</v>
      </c>
      <c r="AR2" s="1" t="s">
        <v>324</v>
      </c>
      <c r="AS2" s="1" t="s">
        <v>312</v>
      </c>
      <c r="AT2" s="1" t="s">
        <v>306</v>
      </c>
      <c r="AU2" s="1" t="s">
        <v>450</v>
      </c>
      <c r="AV2" s="1" t="s">
        <v>425</v>
      </c>
      <c r="AW2" s="1" t="s">
        <v>296</v>
      </c>
      <c r="AX2" s="1" t="s">
        <v>451</v>
      </c>
      <c r="AY2" s="1" t="s">
        <v>428</v>
      </c>
      <c r="AZ2" s="1" t="s">
        <v>429</v>
      </c>
      <c r="BA2" s="1" t="s">
        <v>325</v>
      </c>
      <c r="BB2" s="1" t="s">
        <v>323</v>
      </c>
      <c r="BC2" s="1" t="s">
        <v>452</v>
      </c>
      <c r="BD2" s="1" t="s">
        <v>453</v>
      </c>
      <c r="BE2" s="1" t="s">
        <v>426</v>
      </c>
      <c r="BF2" s="1" t="s">
        <v>427</v>
      </c>
      <c r="BG2" s="1" t="s">
        <v>315</v>
      </c>
      <c r="BH2" s="1" t="s">
        <v>148</v>
      </c>
      <c r="BJ2" s="19" t="s">
        <v>394</v>
      </c>
      <c r="BK2" s="19" t="s">
        <v>454</v>
      </c>
      <c r="BL2" s="19" t="s">
        <v>455</v>
      </c>
      <c r="BM2" s="14">
        <f>SUM(S3,S4,S5)</f>
        <v>3.2829999999999999</v>
      </c>
      <c r="BN2" s="14">
        <f>SUM(U3:U5)</f>
        <v>3.2814825692683858</v>
      </c>
      <c r="BO2" s="14">
        <f>SUM(X3:X5)</f>
        <v>3.2823540098818498</v>
      </c>
      <c r="BP2" s="1" t="s">
        <v>327</v>
      </c>
      <c r="BQ2" s="1" t="s">
        <v>328</v>
      </c>
      <c r="BR2" s="1" t="s">
        <v>329</v>
      </c>
      <c r="BS2" s="1" t="s">
        <v>330</v>
      </c>
      <c r="BT2" s="1" t="s">
        <v>331</v>
      </c>
      <c r="BU2" s="1" t="s">
        <v>332</v>
      </c>
      <c r="BV2" s="1" t="s">
        <v>333</v>
      </c>
      <c r="BW2" s="1" t="s">
        <v>430</v>
      </c>
      <c r="BX2" s="1" t="s">
        <v>335</v>
      </c>
      <c r="BY2" s="1" t="s">
        <v>337</v>
      </c>
      <c r="BZ2" s="1" t="s">
        <v>351</v>
      </c>
      <c r="CA2" s="1" t="s">
        <v>353</v>
      </c>
      <c r="CB2" s="6" t="s">
        <v>354</v>
      </c>
      <c r="CC2" s="1" t="s">
        <v>355</v>
      </c>
      <c r="CD2" s="6" t="s">
        <v>356</v>
      </c>
      <c r="CE2" s="6" t="s">
        <v>357</v>
      </c>
      <c r="CF2" s="1"/>
      <c r="CG2" s="1"/>
      <c r="CH2" s="1" t="s">
        <v>358</v>
      </c>
      <c r="CI2" s="1" t="s">
        <v>361</v>
      </c>
      <c r="CJ2" s="1" t="s">
        <v>331</v>
      </c>
      <c r="CK2" s="1" t="s">
        <v>359</v>
      </c>
      <c r="CL2" s="1" t="s">
        <v>360</v>
      </c>
      <c r="CM2" s="1" t="s">
        <v>597</v>
      </c>
      <c r="CN2" s="1" t="s">
        <v>600</v>
      </c>
      <c r="CO2" s="1" t="s">
        <v>601</v>
      </c>
      <c r="CP2" s="1" t="s">
        <v>363</v>
      </c>
      <c r="CQ2" s="1" t="s">
        <v>362</v>
      </c>
      <c r="CR2" s="1" t="s">
        <v>365</v>
      </c>
      <c r="CS2" s="1" t="s">
        <v>364</v>
      </c>
      <c r="CT2" s="1" t="s">
        <v>432</v>
      </c>
      <c r="CU2" s="1" t="s">
        <v>367</v>
      </c>
      <c r="CV2" s="1" t="s">
        <v>366</v>
      </c>
      <c r="CW2" s="1" t="s">
        <v>433</v>
      </c>
      <c r="CX2" s="1" t="s">
        <v>339</v>
      </c>
      <c r="CY2" s="1" t="s">
        <v>340</v>
      </c>
      <c r="CZ2" s="1" t="s">
        <v>341</v>
      </c>
      <c r="DA2" s="1" t="s">
        <v>342</v>
      </c>
      <c r="DB2" s="1" t="s">
        <v>434</v>
      </c>
      <c r="DC2" s="1" t="s">
        <v>345</v>
      </c>
      <c r="DD2" s="1" t="s">
        <v>346</v>
      </c>
      <c r="DE2" s="1" t="s">
        <v>347</v>
      </c>
      <c r="DF2" s="1" t="s">
        <v>368</v>
      </c>
      <c r="DG2" s="1" t="s">
        <v>369</v>
      </c>
      <c r="DH2" s="1" t="s">
        <v>370</v>
      </c>
      <c r="DI2" s="1" t="s">
        <v>368</v>
      </c>
      <c r="DJ2" s="1" t="s">
        <v>371</v>
      </c>
      <c r="DK2" s="1" t="s">
        <v>372</v>
      </c>
      <c r="DL2" s="1" t="s">
        <v>602</v>
      </c>
      <c r="DM2" s="1" t="s">
        <v>603</v>
      </c>
      <c r="DN2" s="1" t="s">
        <v>604</v>
      </c>
      <c r="DO2" s="1" t="s">
        <v>373</v>
      </c>
      <c r="DP2" s="1" t="s">
        <v>377</v>
      </c>
      <c r="DQ2" s="1" t="s">
        <v>374</v>
      </c>
      <c r="DR2" s="1" t="s">
        <v>375</v>
      </c>
      <c r="DS2" s="1" t="s">
        <v>376</v>
      </c>
      <c r="DT2" s="1" t="s">
        <v>379</v>
      </c>
      <c r="DU2" s="1" t="s">
        <v>380</v>
      </c>
      <c r="DV2" s="1" t="s">
        <v>378</v>
      </c>
      <c r="DW2" s="1" t="s">
        <v>389</v>
      </c>
      <c r="DX2" s="1" t="s">
        <v>381</v>
      </c>
      <c r="DY2" s="1" t="s">
        <v>290</v>
      </c>
      <c r="DZ2" s="1" t="s">
        <v>382</v>
      </c>
      <c r="EA2" s="1" t="s">
        <v>383</v>
      </c>
      <c r="EB2" s="1" t="s">
        <v>384</v>
      </c>
      <c r="EC2" s="1" t="s">
        <v>385</v>
      </c>
      <c r="ED2" s="1" t="s">
        <v>387</v>
      </c>
      <c r="EE2" s="1" t="s">
        <v>388</v>
      </c>
      <c r="EF2" s="1" t="s">
        <v>390</v>
      </c>
      <c r="EG2" s="1" t="s">
        <v>605</v>
      </c>
      <c r="EH2" s="1" t="s">
        <v>392</v>
      </c>
    </row>
    <row r="3" spans="1:138" x14ac:dyDescent="0.35">
      <c r="A3" s="7" t="s">
        <v>149</v>
      </c>
      <c r="B3" s="7" t="s">
        <v>53</v>
      </c>
      <c r="C3" s="144">
        <f t="shared" ref="C3:C14" si="0">SUM(D3:D3)</f>
        <v>223</v>
      </c>
      <c r="D3">
        <v>223</v>
      </c>
      <c r="E3" s="44">
        <v>2043.5</v>
      </c>
      <c r="F3">
        <v>1646.5</v>
      </c>
      <c r="G3" s="12">
        <f t="shared" ref="G3:G15" si="1">E3/C3</f>
        <v>9.1636771300448423</v>
      </c>
      <c r="H3" s="149">
        <f t="shared" ref="H3:H15" si="2">F3/C3</f>
        <v>7.383408071748879</v>
      </c>
      <c r="I3" s="149">
        <f>G3/G$16</f>
        <v>0.21513520586820442</v>
      </c>
      <c r="J3" s="45">
        <f>H3/H16</f>
        <v>0.18851584302927257</v>
      </c>
      <c r="K3" s="16">
        <v>10909</v>
      </c>
      <c r="L3" s="16">
        <v>51903</v>
      </c>
      <c r="M3" s="16">
        <f t="shared" ref="M3:M15" si="3">K3/C3</f>
        <v>48.91928251121076</v>
      </c>
      <c r="N3" s="16">
        <f t="shared" ref="N3:N15" si="4">L3/C3</f>
        <v>232.74887892376682</v>
      </c>
      <c r="O3" s="20">
        <f>N3/N16</f>
        <v>2.4195965168803138E-2</v>
      </c>
      <c r="P3" s="20">
        <f>M3/M$16</f>
        <v>2.9624409307545461E-3</v>
      </c>
      <c r="Q3" s="20">
        <f t="shared" ref="Q3:Q14" si="5">(0.6*J3)+(0.4*O3)</f>
        <v>0.12278789188508479</v>
      </c>
      <c r="R3" s="20">
        <f t="shared" ref="R3:R14" si="6">(0.6*I3)+(0.4*P3)</f>
        <v>0.13026609989322446</v>
      </c>
      <c r="S3" s="14">
        <v>1.2669999999999999</v>
      </c>
      <c r="T3" s="37">
        <v>1.147</v>
      </c>
      <c r="U3" s="12">
        <f t="shared" ref="U3:U14" si="7">(0.6*DB3)+(0.4*EC3)</f>
        <v>1.3030877059192811</v>
      </c>
      <c r="V3" s="54">
        <v>224</v>
      </c>
      <c r="W3" s="14">
        <v>1.4033400290229823</v>
      </c>
      <c r="X3" s="14">
        <f>(0.6*DB3)+(0.4*ED3)</f>
        <v>1.3035220815603161</v>
      </c>
      <c r="Y3" s="34">
        <f>AE3*BJ$3</f>
        <v>771539.22319424397</v>
      </c>
      <c r="Z3" s="34" t="e">
        <f>AW3*C3</f>
        <v>#VALUE!</v>
      </c>
      <c r="AA3" s="34">
        <f>AF3*BK$3</f>
        <v>804902.14973116189</v>
      </c>
      <c r="AB3" s="142">
        <v>215</v>
      </c>
      <c r="AC3" s="275">
        <f>AU3*BL$3</f>
        <v>804808.26417449617</v>
      </c>
      <c r="AD3" s="209">
        <f>AC3-Y3</f>
        <v>33269.040980252204</v>
      </c>
      <c r="AE3" s="275">
        <f>AV3*C3</f>
        <v>86.061833688699352</v>
      </c>
      <c r="AF3" s="275">
        <f>AX3*C3</f>
        <v>88.554046009998189</v>
      </c>
      <c r="AG3" s="275">
        <f>AS3*BL$15</f>
        <v>818586.03262216225</v>
      </c>
      <c r="AH3" s="34" t="e">
        <f>AT3*BL$7</f>
        <v>#DIV/0!</v>
      </c>
      <c r="AI3" s="34" t="e">
        <f>SUM(AJ3:AK3)</f>
        <v>#DIV/0!</v>
      </c>
      <c r="AJ3" s="34" t="e">
        <f>AY3*BL10</f>
        <v>#DIV/0!</v>
      </c>
      <c r="AK3" s="30"/>
      <c r="AL3" s="275">
        <f>AR3*BL$13</f>
        <v>299675.12517480017</v>
      </c>
      <c r="AM3" s="209">
        <f>AVERAGE(AC3,AG3)</f>
        <v>811697.14839832927</v>
      </c>
      <c r="AN3" s="209">
        <f>AVERAGE(AC3,AO3,AL3)</f>
        <v>636421.44549811352</v>
      </c>
      <c r="AO3" s="34">
        <f>AM3-(BB3*AM$16)</f>
        <v>804780.94714504422</v>
      </c>
      <c r="AP3" s="293">
        <f>AN3-(BA3*AN$16)</f>
        <v>611621.08856790396</v>
      </c>
      <c r="AQ3" s="267">
        <v>606507.93587970221</v>
      </c>
      <c r="AR3" s="30">
        <f>V3*BA3</f>
        <v>43.396282844248141</v>
      </c>
      <c r="AS3" s="30">
        <f>BB3*V3</f>
        <v>87.252318948906833</v>
      </c>
      <c r="AT3" s="30" t="e">
        <f>BC3*V3</f>
        <v>#DIV/0!</v>
      </c>
      <c r="AU3" s="34">
        <f>BD3*C3</f>
        <v>88.560046635071487</v>
      </c>
      <c r="AV3" s="209">
        <f>S3/BM$2</f>
        <v>0.38592750533049036</v>
      </c>
      <c r="AW3" s="28" t="e">
        <f>T3/BJ2</f>
        <v>#VALUE!</v>
      </c>
      <c r="AX3" s="28">
        <f>U3/BN$2</f>
        <v>0.39710334533631475</v>
      </c>
      <c r="AY3" s="28" t="e">
        <f>BE3*V3</f>
        <v>#DIV/0!</v>
      </c>
      <c r="AZ3" s="28"/>
      <c r="BA3" s="12">
        <f>EH3/BO$13</f>
        <v>0.19373340555467919</v>
      </c>
      <c r="BB3" s="28">
        <f>EF3/BO$15</f>
        <v>0.38951928102190553</v>
      </c>
      <c r="BC3" s="12" t="e">
        <f>EE3/BO$7</f>
        <v>#DIV/0!</v>
      </c>
      <c r="BD3" s="28">
        <f t="shared" ref="BD3:BD5" si="8">X3/BO$2</f>
        <v>0.39713025396893042</v>
      </c>
      <c r="BE3" s="12" t="e">
        <f>BZ3/BO9</f>
        <v>#DIV/0!</v>
      </c>
      <c r="BF3" s="12"/>
      <c r="BG3" s="61">
        <v>2244684.0333812442</v>
      </c>
      <c r="BH3">
        <v>347</v>
      </c>
      <c r="BI3" s="27"/>
      <c r="BJ3" s="31">
        <f>BG3/AE15</f>
        <v>8964.9405564031531</v>
      </c>
      <c r="BK3" s="31">
        <f>BG3/AF15</f>
        <v>9089.3887518169922</v>
      </c>
      <c r="BL3" s="31">
        <f>BG3/AU15</f>
        <v>9087.7127412868431</v>
      </c>
      <c r="BP3">
        <v>4087</v>
      </c>
      <c r="BQ3">
        <v>4094</v>
      </c>
      <c r="BR3">
        <f t="shared" ref="BR3:BR14" si="9">BP3-BQ3</f>
        <v>-7</v>
      </c>
      <c r="BS3">
        <v>1729</v>
      </c>
      <c r="BT3" s="16">
        <v>4785</v>
      </c>
      <c r="BU3" s="16">
        <v>6584</v>
      </c>
      <c r="BV3" s="16">
        <v>2328</v>
      </c>
      <c r="BW3" s="54">
        <f>V3*BT$18</f>
        <v>2788.7669616519174</v>
      </c>
      <c r="BX3" s="54">
        <f>V3*BU$19</f>
        <v>2827.328</v>
      </c>
      <c r="BY3" s="54">
        <f>BU3-BX3</f>
        <v>3756.672</v>
      </c>
      <c r="BZ3" s="14">
        <f>(BY3-BY$17)/BY$18</f>
        <v>2.3792591514455084</v>
      </c>
      <c r="CA3" s="285">
        <f>CD3*CG$4</f>
        <v>264750.76399689785</v>
      </c>
      <c r="CB3" s="16">
        <f>AVERAGE(AP3,AQ3,CA3)</f>
        <v>494293.26281483471</v>
      </c>
      <c r="CC3" s="285">
        <f>CB3-(CE3*CB$16)</f>
        <v>519501.39492805197</v>
      </c>
      <c r="CD3" s="12">
        <f>AB3*CE3</f>
        <v>38.600734030750367</v>
      </c>
      <c r="CE3" s="12">
        <f>EG3/CG3</f>
        <v>0.17953829781744357</v>
      </c>
      <c r="CF3" s="149" t="s">
        <v>393</v>
      </c>
      <c r="CG3" s="217">
        <f>SUM(EG3,EG4,EG13)</f>
        <v>3.277782866058597</v>
      </c>
      <c r="CH3" s="16">
        <v>1121</v>
      </c>
      <c r="CI3" s="16">
        <f>BV3+CH3</f>
        <v>3449</v>
      </c>
      <c r="CJ3" s="16">
        <v>781</v>
      </c>
      <c r="CK3" s="16">
        <v>1083</v>
      </c>
      <c r="CL3" s="16">
        <f>CH3+CJ3+CK3</f>
        <v>2985</v>
      </c>
      <c r="CM3" s="16">
        <f t="shared" ref="CM3:CM14" si="10">AB3*CM$17</f>
        <v>2592.4286786786788</v>
      </c>
      <c r="CN3" s="16">
        <f>CL3-CM3</f>
        <v>392.57132132132119</v>
      </c>
      <c r="CO3" s="109">
        <f t="shared" ref="CO3:CO14" si="11">(CN3-CN$18)/CN$19</f>
        <v>0.88756657204367262</v>
      </c>
      <c r="CP3" s="16">
        <f>V3*CH$19</f>
        <v>0</v>
      </c>
      <c r="CQ3" s="16">
        <f>V3*BV$19</f>
        <v>1227.3909759999999</v>
      </c>
      <c r="CR3" s="16">
        <f>CI3-CP3</f>
        <v>3449</v>
      </c>
      <c r="CS3" s="16">
        <f>BV3-CQ3</f>
        <v>1100.6090240000001</v>
      </c>
      <c r="CT3" s="54">
        <f t="shared" ref="CT3:CT14" si="12">BT3-BW3</f>
        <v>1996.2330383480826</v>
      </c>
      <c r="CU3" s="14">
        <f t="shared" ref="CU3:CW5" si="13">(CR3-CR$17)/CR$18</f>
        <v>1.1238545122007089</v>
      </c>
      <c r="CV3" s="14">
        <f t="shared" si="13"/>
        <v>1.900718411657895</v>
      </c>
      <c r="CW3" s="14">
        <f t="shared" si="13"/>
        <v>2.8200032757877187</v>
      </c>
      <c r="CX3">
        <v>1722</v>
      </c>
      <c r="CY3">
        <f t="shared" ref="CY3:CY14" si="14">BP3-BS3</f>
        <v>2358</v>
      </c>
      <c r="CZ3">
        <f t="shared" ref="CZ3:CZ14" si="15">BQ3-CX3</f>
        <v>2372</v>
      </c>
      <c r="DA3" s="12">
        <v>2.198</v>
      </c>
      <c r="DB3" s="12">
        <f>(CZ3-CZ$17)/CZ$18</f>
        <v>2.2591661765321351</v>
      </c>
      <c r="DC3" s="16">
        <v>10909</v>
      </c>
      <c r="DD3" s="142">
        <v>10908.529999999999</v>
      </c>
      <c r="DE3" s="54">
        <v>50675.199999999997</v>
      </c>
      <c r="DF3" s="16">
        <v>25652</v>
      </c>
      <c r="DG3" s="16">
        <v>36562</v>
      </c>
      <c r="DH3" s="16">
        <v>41676</v>
      </c>
      <c r="DI3" s="16">
        <v>421202</v>
      </c>
      <c r="DJ3" s="16">
        <v>8944</v>
      </c>
      <c r="DK3" s="16">
        <f>DH3+DI3+DJ3</f>
        <v>471822</v>
      </c>
      <c r="DL3" s="16">
        <f t="shared" ref="DL3:DL14" si="16">AB3*DK$17</f>
        <v>451895.45795795799</v>
      </c>
      <c r="DM3" s="16">
        <f t="shared" ref="DM3:DM14" si="17">DK3-DL3</f>
        <v>19926.542042042012</v>
      </c>
      <c r="DN3" s="17">
        <f t="shared" ref="DN3:DN14" si="18">(DM3-DL$18)/DL$19</f>
        <v>0.13986903290284661</v>
      </c>
      <c r="DO3" s="16">
        <f>DF3+DH3</f>
        <v>67328</v>
      </c>
      <c r="DP3" s="16">
        <f>V3*DH$19</f>
        <v>0</v>
      </c>
      <c r="DQ3" s="16">
        <f>V3*DF$18</f>
        <v>263568.54277286131</v>
      </c>
      <c r="DR3" s="16">
        <f>V3*DG$19</f>
        <v>574884.576</v>
      </c>
      <c r="DS3" s="16">
        <f>DG3-DR3</f>
        <v>-538322.576</v>
      </c>
      <c r="DT3" s="12">
        <f>(DS3-DS$17)/DS$18</f>
        <v>-0.79122239292647134</v>
      </c>
      <c r="DU3" s="16">
        <f>DO3-DP3</f>
        <v>67328</v>
      </c>
      <c r="DV3" s="16">
        <f>DF3-DQ3</f>
        <v>-237916.54277286131</v>
      </c>
      <c r="DW3" s="12">
        <f t="shared" ref="DW3:DX5" si="19">(DU3-DU$17)/DU$18</f>
        <v>-0.42508278962912732</v>
      </c>
      <c r="DX3" s="17">
        <f t="shared" si="19"/>
        <v>-0.72165484112412215</v>
      </c>
      <c r="DY3" s="109">
        <f>(0.6*CW3)+(0.4*DX3)</f>
        <v>1.4033400290229823</v>
      </c>
      <c r="DZ3" s="54">
        <v>50543</v>
      </c>
      <c r="EA3" s="54">
        <f>DC3-DE3</f>
        <v>-39766.199999999997</v>
      </c>
      <c r="EB3" s="54">
        <f>DD3-DZ3</f>
        <v>-39634.47</v>
      </c>
      <c r="EC3" s="12">
        <v>-0.13103000000000001</v>
      </c>
      <c r="ED3" s="12">
        <f>(EB3-EB$16)/EB$17</f>
        <v>-0.1299440608974122</v>
      </c>
      <c r="EE3" s="14">
        <f t="shared" ref="EE3:EE14" si="20">(0.6*BZ3)+(0.4*DT3)</f>
        <v>1.1110665336967163</v>
      </c>
      <c r="EF3" s="14">
        <f>(0.6*CV3)+(0.4*DX3)</f>
        <v>0.85176911054508808</v>
      </c>
      <c r="EG3" s="14">
        <f t="shared" ref="EG3:EG14" si="21">(0.6*CO3)+(0.4*DN3)</f>
        <v>0.58848755638734218</v>
      </c>
      <c r="EH3" s="14">
        <f>(0.6*CU3)+(0.4*DW3)</f>
        <v>0.50427959146877432</v>
      </c>
    </row>
    <row r="4" spans="1:138" x14ac:dyDescent="0.35">
      <c r="A4" s="8" t="s">
        <v>149</v>
      </c>
      <c r="B4" s="8" t="s">
        <v>55</v>
      </c>
      <c r="C4" s="144">
        <f t="shared" si="0"/>
        <v>434</v>
      </c>
      <c r="D4">
        <v>434</v>
      </c>
      <c r="E4" s="44">
        <v>2655.5</v>
      </c>
      <c r="F4">
        <v>2229.5</v>
      </c>
      <c r="G4" s="12">
        <f t="shared" si="1"/>
        <v>6.1186635944700463</v>
      </c>
      <c r="H4" s="149">
        <f t="shared" si="2"/>
        <v>5.137096774193548</v>
      </c>
      <c r="I4" s="149">
        <f>G4/G$16</f>
        <v>0.14364757000426526</v>
      </c>
      <c r="J4" s="45">
        <f>H4/H16</f>
        <v>0.13116221123081803</v>
      </c>
      <c r="K4" s="16">
        <v>10264</v>
      </c>
      <c r="L4" s="16">
        <v>10264</v>
      </c>
      <c r="M4" s="16">
        <f t="shared" si="3"/>
        <v>23.649769585253456</v>
      </c>
      <c r="N4" s="16">
        <f t="shared" si="4"/>
        <v>23.649769585253456</v>
      </c>
      <c r="O4" s="20">
        <f>N4/N16</f>
        <v>2.4585682379266666E-3</v>
      </c>
      <c r="P4" s="20">
        <f>M4/M$16</f>
        <v>1.432176471644142E-3</v>
      </c>
      <c r="Q4" s="20">
        <f t="shared" si="5"/>
        <v>7.9680754033661483E-2</v>
      </c>
      <c r="R4" s="20">
        <f t="shared" si="6"/>
        <v>8.6761412591216808E-2</v>
      </c>
      <c r="S4" s="14">
        <v>1.052</v>
      </c>
      <c r="T4">
        <v>0.189</v>
      </c>
      <c r="U4" s="12">
        <f t="shared" si="7"/>
        <v>1.0047502238290769</v>
      </c>
      <c r="V4" s="54">
        <v>452</v>
      </c>
      <c r="W4" s="12">
        <v>-0.26518512581027759</v>
      </c>
      <c r="X4" s="14">
        <f t="shared" ref="X4:X14" si="22">(0.6*DB4)+(0.4*ED4)</f>
        <v>1.0054118620566259</v>
      </c>
      <c r="Y4" s="34">
        <f>AE4*BJ$3</f>
        <v>1246757.5327310006</v>
      </c>
      <c r="Z4" s="18"/>
      <c r="AA4" s="34">
        <f>AF4*BK$3</f>
        <v>1207848.3711232648</v>
      </c>
      <c r="AB4" s="142">
        <v>479</v>
      </c>
      <c r="AC4" s="275">
        <f>AU4*BL$3</f>
        <v>1208100.0605390852</v>
      </c>
      <c r="AD4" s="209">
        <f>AC4-Y4</f>
        <v>-38657.472191915382</v>
      </c>
      <c r="AE4" s="275">
        <f>AV4*C4</f>
        <v>139.07036247334756</v>
      </c>
      <c r="AF4" s="275">
        <f>AX4*C4</f>
        <v>132.88554424320478</v>
      </c>
      <c r="AG4" s="275">
        <f>AS4*BL$15</f>
        <v>1254828.8678765243</v>
      </c>
      <c r="AH4" s="30"/>
      <c r="AI4" s="34" t="e">
        <f>SUM(AJ4:AK4)</f>
        <v>#DIV/0!</v>
      </c>
      <c r="AJ4" s="34" t="e">
        <f>AY4*BL10</f>
        <v>#DIV/0!</v>
      </c>
      <c r="AK4" s="30"/>
      <c r="AL4" s="275">
        <f>AR4*BL$13</f>
        <v>1646704.1019468969</v>
      </c>
      <c r="AM4" s="209">
        <f>AVERAGE(AC4,AG4)</f>
        <v>1231464.4642078048</v>
      </c>
      <c r="AN4" s="209">
        <f>AVERAGE(AC4,AO4,AL4)</f>
        <v>1360338.1794254754</v>
      </c>
      <c r="AO4" s="34">
        <f>AM4-(BB4*AM$16)</f>
        <v>1226210.3757904442</v>
      </c>
      <c r="AP4" s="293">
        <f>AN4-(BA4*AN$16)</f>
        <v>1292802.6378695278</v>
      </c>
      <c r="AQ4" s="267">
        <v>1140105.2329088149</v>
      </c>
      <c r="AR4" s="30">
        <f>V4*BA4</f>
        <v>238.46102317363889</v>
      </c>
      <c r="AS4" s="30">
        <f>BB4*V4</f>
        <v>133.75103439713143</v>
      </c>
      <c r="AT4" s="30"/>
      <c r="AU4" s="34">
        <f>BD4*C4</f>
        <v>132.93774736634282</v>
      </c>
      <c r="AV4" s="209">
        <f>S4/BM$2</f>
        <v>0.32043862321047822</v>
      </c>
      <c r="AW4" s="28"/>
      <c r="AX4" s="28">
        <f>U4/BN$2</f>
        <v>0.30618788996130131</v>
      </c>
      <c r="AY4" s="28" t="e">
        <f>BE4*V4</f>
        <v>#DIV/0!</v>
      </c>
      <c r="AZ4" s="28"/>
      <c r="BA4" s="12">
        <f>EH4/BO$13</f>
        <v>0.52756863533990905</v>
      </c>
      <c r="BB4" s="28">
        <f>EF4/BO$15</f>
        <v>0.29590936813524654</v>
      </c>
      <c r="BC4" s="12"/>
      <c r="BD4" s="28">
        <f t="shared" si="8"/>
        <v>0.30630817365516777</v>
      </c>
      <c r="BE4" s="12" t="e">
        <f>BZ4/BO9</f>
        <v>#DIV/0!</v>
      </c>
      <c r="BF4" s="12"/>
      <c r="BH4" s="22">
        <f>BH3/C15</f>
        <v>0.26407914764079149</v>
      </c>
      <c r="BI4" s="19" t="s">
        <v>456</v>
      </c>
      <c r="BP4">
        <v>5311</v>
      </c>
      <c r="BQ4">
        <v>5194</v>
      </c>
      <c r="BR4">
        <f t="shared" si="9"/>
        <v>117</v>
      </c>
      <c r="BS4">
        <v>3365</v>
      </c>
      <c r="BT4" s="16">
        <v>6034</v>
      </c>
      <c r="BU4" s="16">
        <v>8322</v>
      </c>
      <c r="BV4" s="16">
        <v>3670</v>
      </c>
      <c r="BW4" s="54">
        <f>V4*BT$18</f>
        <v>5627.333333333333</v>
      </c>
      <c r="BX4" s="54">
        <f>V4*BU$19</f>
        <v>5705.1440000000002</v>
      </c>
      <c r="BY4" s="54">
        <f t="shared" ref="BY4:BY14" si="23">BU4-BX4</f>
        <v>2616.8559999999998</v>
      </c>
      <c r="BZ4" s="14">
        <f>(BY4-BY$17)/BY$18</f>
        <v>1.5355438296563069</v>
      </c>
      <c r="CA4" s="285">
        <f>CD4*CG$4</f>
        <v>1868913.6336957319</v>
      </c>
      <c r="CB4" s="16">
        <f>AVERAGE(AP4,AQ4,CA4)</f>
        <v>1433940.5014913583</v>
      </c>
      <c r="CC4" s="285">
        <f>CB4-(CE4*CB$16)</f>
        <v>1513812.6971025674</v>
      </c>
      <c r="CD4" s="12">
        <f>AB4*CE4</f>
        <v>272.48812056904001</v>
      </c>
      <c r="CE4" s="12">
        <f>EG4/CG3</f>
        <v>0.56886872770154495</v>
      </c>
      <c r="CF4" s="297" t="s">
        <v>396</v>
      </c>
      <c r="CG4" s="211">
        <f>AQ1/CD15</f>
        <v>6858.6976554899293</v>
      </c>
      <c r="CH4" s="16">
        <v>2237</v>
      </c>
      <c r="CI4" s="16">
        <f t="shared" ref="CI4:CI14" si="24">BV4+CH4</f>
        <v>5907</v>
      </c>
      <c r="CJ4" s="16">
        <v>2417</v>
      </c>
      <c r="CK4" s="16">
        <v>2378</v>
      </c>
      <c r="CL4" s="16">
        <f t="shared" ref="CL4:CL14" si="25">CH4+CJ4+CK4</f>
        <v>7032</v>
      </c>
      <c r="CM4" s="16">
        <f t="shared" si="10"/>
        <v>5775.6899399399399</v>
      </c>
      <c r="CN4" s="16">
        <f t="shared" ref="CN4:CN14" si="26">CL4-CM4</f>
        <v>1256.3100600600601</v>
      </c>
      <c r="CO4" s="109">
        <f t="shared" si="11"/>
        <v>2.8403980445601826</v>
      </c>
      <c r="CP4" s="16">
        <f>V4*CH$19</f>
        <v>0</v>
      </c>
      <c r="CQ4" s="16">
        <f>V4*BV$19</f>
        <v>2476.6996479999998</v>
      </c>
      <c r="CR4" s="16">
        <f t="shared" ref="CR4:CR14" si="27">CI4-CP4</f>
        <v>5907</v>
      </c>
      <c r="CS4" s="16">
        <f t="shared" ref="CS4:CS14" si="28">BV4-CQ4</f>
        <v>1193.3003520000002</v>
      </c>
      <c r="CT4" s="54">
        <f t="shared" si="12"/>
        <v>406.66666666666697</v>
      </c>
      <c r="CU4" s="14">
        <f t="shared" si="13"/>
        <v>2.4303631673250865</v>
      </c>
      <c r="CV4" s="14">
        <f t="shared" si="13"/>
        <v>2.0949088362181141</v>
      </c>
      <c r="CW4" s="14">
        <f t="shared" si="13"/>
        <v>0.57448269321435086</v>
      </c>
      <c r="CX4">
        <v>3351</v>
      </c>
      <c r="CY4">
        <f t="shared" si="14"/>
        <v>1946</v>
      </c>
      <c r="CZ4">
        <f t="shared" si="15"/>
        <v>1843</v>
      </c>
      <c r="DA4" s="12">
        <v>1.744</v>
      </c>
      <c r="DB4" s="12">
        <f>(CZ4-CZ$17)/CZ$18</f>
        <v>1.6657437063817948</v>
      </c>
      <c r="DC4" s="16">
        <v>10264</v>
      </c>
      <c r="DD4" s="142">
        <v>10264.41</v>
      </c>
      <c r="DE4" s="54">
        <v>25872.75</v>
      </c>
      <c r="DF4" s="16">
        <v>29182</v>
      </c>
      <c r="DG4" s="16">
        <v>39447</v>
      </c>
      <c r="DH4" s="16">
        <v>98079</v>
      </c>
      <c r="DI4" s="16">
        <v>473697</v>
      </c>
      <c r="DJ4" s="16">
        <v>492130</v>
      </c>
      <c r="DK4" s="16">
        <f t="shared" ref="DK4:DK14" si="29">DH4+DI4+DJ4</f>
        <v>1063906</v>
      </c>
      <c r="DL4" s="16">
        <f t="shared" si="16"/>
        <v>1006781.0435435436</v>
      </c>
      <c r="DM4" s="16">
        <f t="shared" si="17"/>
        <v>57124.95645645645</v>
      </c>
      <c r="DN4" s="109">
        <f t="shared" si="18"/>
        <v>0.40097335490142044</v>
      </c>
      <c r="DO4" s="16">
        <f t="shared" ref="DO4:DO14" si="30">DF4+DH4</f>
        <v>127261</v>
      </c>
      <c r="DP4" s="16">
        <f>V4*DH$19</f>
        <v>0</v>
      </c>
      <c r="DQ4" s="16">
        <f>V4*DF$18</f>
        <v>531843.66666666663</v>
      </c>
      <c r="DR4" s="16">
        <f>V4*DG$19</f>
        <v>1160034.9480000001</v>
      </c>
      <c r="DS4" s="16">
        <f t="shared" ref="DS4:DS14" si="31">DG4-DR4</f>
        <v>-1120587.9480000001</v>
      </c>
      <c r="DT4" s="12">
        <f>(DS4-DS$17)/DS$18</f>
        <v>-1.9361682833175586</v>
      </c>
      <c r="DU4" s="16">
        <f t="shared" ref="DU4:DU14" si="32">DO4-DP4</f>
        <v>127261</v>
      </c>
      <c r="DV4" s="16">
        <f t="shared" ref="DV4:DV14" si="33">DF4-DQ4</f>
        <v>-502661.66666666663</v>
      </c>
      <c r="DW4" s="12">
        <f t="shared" si="19"/>
        <v>-0.2124494732367232</v>
      </c>
      <c r="DX4" s="17">
        <f t="shared" si="19"/>
        <v>-1.5246868543472201</v>
      </c>
      <c r="DY4" s="17">
        <f t="shared" ref="DY4:DY14" si="34">(0.6*CW4)+(0.4*DX4)</f>
        <v>-0.26518512581027759</v>
      </c>
      <c r="DZ4" s="54">
        <v>25670</v>
      </c>
      <c r="EA4" s="54">
        <f t="shared" ref="EA4:EA14" si="35">DC4-DE4</f>
        <v>-15608.75</v>
      </c>
      <c r="EB4" s="54">
        <f t="shared" ref="EB4:EB14" si="36">DD4-DZ4</f>
        <v>-15405.59</v>
      </c>
      <c r="EC4" s="12">
        <v>1.3259999999999999E-2</v>
      </c>
      <c r="ED4" s="12">
        <f>(EB4-EB$16)/EB$17</f>
        <v>1.4914095568872477E-2</v>
      </c>
      <c r="EE4" s="12">
        <f t="shared" si="20"/>
        <v>0.1468589844667606</v>
      </c>
      <c r="EF4" s="14">
        <f t="shared" ref="EF4:EF14" si="37">(0.6*CV4)+(0.4*DX4)</f>
        <v>0.64707055999198038</v>
      </c>
      <c r="EG4" s="14">
        <f t="shared" si="21"/>
        <v>1.8646281686966777</v>
      </c>
      <c r="EH4" s="14">
        <f t="shared" ref="EH4:EH14" si="38">(0.6*CU4)+(0.4*DW4)</f>
        <v>1.3732381111003626</v>
      </c>
    </row>
    <row r="5" spans="1:138" ht="15.75" customHeight="1" x14ac:dyDescent="0.35">
      <c r="A5" s="7" t="s">
        <v>149</v>
      </c>
      <c r="B5" s="7" t="s">
        <v>60</v>
      </c>
      <c r="C5" s="144">
        <f t="shared" si="0"/>
        <v>86</v>
      </c>
      <c r="D5">
        <v>86</v>
      </c>
      <c r="E5" s="44">
        <v>500.5</v>
      </c>
      <c r="F5">
        <v>519.5</v>
      </c>
      <c r="G5" s="12">
        <f t="shared" si="1"/>
        <v>5.8197674418604652</v>
      </c>
      <c r="H5" s="149">
        <f t="shared" si="2"/>
        <v>6.0406976744186043</v>
      </c>
      <c r="I5" s="149">
        <f>G5/G$16</f>
        <v>0.13663039945009475</v>
      </c>
      <c r="J5" s="45">
        <f>H5/H16</f>
        <v>0.15423327594952424</v>
      </c>
      <c r="K5" s="16">
        <v>513058</v>
      </c>
      <c r="L5" s="16">
        <v>111160</v>
      </c>
      <c r="M5" s="16">
        <f t="shared" si="3"/>
        <v>5965.7906976744189</v>
      </c>
      <c r="N5" s="16">
        <f t="shared" si="4"/>
        <v>1292.5581395348838</v>
      </c>
      <c r="O5" s="20">
        <f>N5/N16</f>
        <v>0.13437096611357927</v>
      </c>
      <c r="P5" s="20">
        <f>M5/M$16</f>
        <v>0.36127477019016491</v>
      </c>
      <c r="Q5" s="20">
        <f t="shared" si="5"/>
        <v>0.14628835201514626</v>
      </c>
      <c r="R5" s="20">
        <f t="shared" si="6"/>
        <v>0.22648814774612283</v>
      </c>
      <c r="S5" s="14">
        <v>0.96399999999999997</v>
      </c>
      <c r="T5" s="37">
        <v>0.60299999999999998</v>
      </c>
      <c r="U5" s="12">
        <f t="shared" si="7"/>
        <v>0.97364463952002789</v>
      </c>
      <c r="V5" s="54">
        <v>97</v>
      </c>
      <c r="W5" s="14">
        <v>0.26206840059940151</v>
      </c>
      <c r="X5" s="14">
        <f t="shared" si="22"/>
        <v>0.97342006626490785</v>
      </c>
      <c r="Y5" s="34">
        <f>AE5*BJ$3</f>
        <v>226387.27745599966</v>
      </c>
      <c r="Z5" s="34" t="e">
        <f>AW5*C5</f>
        <v>#VALUE!</v>
      </c>
      <c r="AA5" s="34">
        <f>AF5*BK$3</f>
        <v>231933.51252681727</v>
      </c>
      <c r="AB5" s="142">
        <v>87</v>
      </c>
      <c r="AC5" s="275">
        <f>AU5*BL$3</f>
        <v>231775.70866766275</v>
      </c>
      <c r="AD5" s="209">
        <f>AC5-Y5</f>
        <v>5388.4312116630899</v>
      </c>
      <c r="AE5" s="275">
        <f>AV5*C5</f>
        <v>25.252512945476695</v>
      </c>
      <c r="AF5" s="275">
        <f>AX5*C5</f>
        <v>25.516953764405024</v>
      </c>
      <c r="AG5" s="209">
        <v>0</v>
      </c>
      <c r="AH5" s="34" t="e">
        <f>AT5*BL$7</f>
        <v>#DIV/0!</v>
      </c>
      <c r="AI5" s="34" t="e">
        <f>SUM(AJ5:AK5)</f>
        <v>#DIV/0!</v>
      </c>
      <c r="AJ5" s="30"/>
      <c r="AK5" s="34" t="e">
        <f>AZ5*BL12</f>
        <v>#DIV/0!</v>
      </c>
      <c r="AL5" s="209">
        <v>0</v>
      </c>
      <c r="AM5" s="209">
        <f>AVERAGE(AC5,AG5)</f>
        <v>115887.85433383138</v>
      </c>
      <c r="AN5" s="209">
        <f>AVERAGE(AC5,AO5,AL5)</f>
        <v>115887.85433383139</v>
      </c>
      <c r="AO5" s="34">
        <f>AM5-(BB5*AM$16)</f>
        <v>115887.85433383138</v>
      </c>
      <c r="AP5" s="293">
        <f>AN5-(BA5*AN$16)</f>
        <v>115887.85433383139</v>
      </c>
      <c r="AQ5" s="267">
        <v>77258.569555887589</v>
      </c>
      <c r="AR5" s="30"/>
      <c r="AS5" s="30"/>
      <c r="AT5" s="30" t="e">
        <f>BC5*V5</f>
        <v>#DIV/0!</v>
      </c>
      <c r="AU5" s="34">
        <f>BD5*C5</f>
        <v>25.50429522432756</v>
      </c>
      <c r="AV5" s="209">
        <f>S5/BM$2</f>
        <v>0.29363387145903136</v>
      </c>
      <c r="AW5" s="28" t="e">
        <f>T5/BJ2</f>
        <v>#VALUE!</v>
      </c>
      <c r="AX5" s="28">
        <f>U5/BN$2</f>
        <v>0.296708764702384</v>
      </c>
      <c r="AY5" s="28"/>
      <c r="AZ5" s="28" t="e">
        <f>BF5*V5</f>
        <v>#DIV/0!</v>
      </c>
      <c r="BA5" s="12"/>
      <c r="BB5" s="28"/>
      <c r="BC5" s="12" t="e">
        <f>EE5/BO$7</f>
        <v>#DIV/0!</v>
      </c>
      <c r="BD5" s="28">
        <f t="shared" si="8"/>
        <v>0.29656157237590186</v>
      </c>
      <c r="BE5" s="28"/>
      <c r="BF5" s="12" t="e">
        <f>DT5/BO11</f>
        <v>#DIV/0!</v>
      </c>
      <c r="BL5" s="19"/>
      <c r="BO5" s="144"/>
      <c r="BP5">
        <v>1001</v>
      </c>
      <c r="BQ5">
        <v>1005</v>
      </c>
      <c r="BR5">
        <f t="shared" si="9"/>
        <v>-4</v>
      </c>
      <c r="BS5">
        <v>667</v>
      </c>
      <c r="BT5" s="16">
        <v>1060</v>
      </c>
      <c r="BU5" s="16">
        <v>1609</v>
      </c>
      <c r="BV5" s="16">
        <v>702</v>
      </c>
      <c r="BW5" s="54">
        <f>V5*BT$18</f>
        <v>1207.6356932153392</v>
      </c>
      <c r="BX5" s="54">
        <f>V5*BU$19</f>
        <v>1224.3340000000001</v>
      </c>
      <c r="BY5" s="54">
        <f t="shared" si="23"/>
        <v>384.66599999999994</v>
      </c>
      <c r="BZ5" s="12">
        <f>(BY5-BY$17)/BY$18</f>
        <v>-0.1167692666194399</v>
      </c>
      <c r="CA5" s="285">
        <v>0</v>
      </c>
      <c r="CB5" s="16">
        <f>AVERAGE(AP5,AQ5,CA5)</f>
        <v>64382.141296572991</v>
      </c>
      <c r="CC5" s="285">
        <f>CB5-(CE5*CB$16)</f>
        <v>64382.141296572991</v>
      </c>
      <c r="CD5" s="12"/>
      <c r="CE5" s="12"/>
      <c r="CF5" s="12"/>
      <c r="CG5" s="12"/>
      <c r="CH5" s="16">
        <v>361</v>
      </c>
      <c r="CI5" s="16">
        <f t="shared" si="24"/>
        <v>1063</v>
      </c>
      <c r="CJ5" s="16">
        <v>348</v>
      </c>
      <c r="CK5" s="16">
        <v>330</v>
      </c>
      <c r="CL5" s="16">
        <f t="shared" si="25"/>
        <v>1039</v>
      </c>
      <c r="CM5" s="16">
        <f t="shared" si="10"/>
        <v>1049.0292792792793</v>
      </c>
      <c r="CN5" s="16">
        <f t="shared" si="26"/>
        <v>-10.029279279279308</v>
      </c>
      <c r="CO5" s="17">
        <f t="shared" si="11"/>
        <v>-2.2675250448803096E-2</v>
      </c>
      <c r="CP5" s="16">
        <f>V5*CH$19</f>
        <v>0</v>
      </c>
      <c r="CQ5" s="16">
        <f>V5*BV$19</f>
        <v>531.50412800000004</v>
      </c>
      <c r="CR5" s="16">
        <f t="shared" si="27"/>
        <v>1063</v>
      </c>
      <c r="CS5" s="16">
        <f t="shared" si="28"/>
        <v>170.49587199999996</v>
      </c>
      <c r="CT5" s="54">
        <f t="shared" si="12"/>
        <v>-147.63569321533919</v>
      </c>
      <c r="CU5" s="12">
        <f t="shared" si="13"/>
        <v>-0.14438375107299509</v>
      </c>
      <c r="CV5" s="12">
        <f t="shared" si="13"/>
        <v>-4.7889638017726555E-2</v>
      </c>
      <c r="CW5" s="12">
        <f t="shared" si="13"/>
        <v>-0.20855938685143205</v>
      </c>
      <c r="CX5">
        <v>664</v>
      </c>
      <c r="CY5">
        <f t="shared" si="14"/>
        <v>334</v>
      </c>
      <c r="CZ5">
        <f t="shared" si="15"/>
        <v>341</v>
      </c>
      <c r="DA5" s="12">
        <v>-3.5000000000000003E-2</v>
      </c>
      <c r="DB5" s="12">
        <f>(CZ5-CZ$17)/CZ$18</f>
        <v>-1.9172267466620357E-2</v>
      </c>
      <c r="DC5" s="16">
        <v>513058</v>
      </c>
      <c r="DD5" s="142">
        <v>513058</v>
      </c>
      <c r="DE5" s="54">
        <v>118530.66</v>
      </c>
      <c r="DF5" s="16">
        <v>433270</v>
      </c>
      <c r="DG5" s="16">
        <v>513058</v>
      </c>
      <c r="DH5" s="16">
        <v>3626</v>
      </c>
      <c r="DI5" s="16">
        <v>221459</v>
      </c>
      <c r="DJ5" s="16">
        <v>6600</v>
      </c>
      <c r="DK5" s="16">
        <f t="shared" si="29"/>
        <v>231685</v>
      </c>
      <c r="DL5" s="16">
        <f t="shared" si="16"/>
        <v>182860.02252252251</v>
      </c>
      <c r="DM5" s="16">
        <f t="shared" si="17"/>
        <v>48824.977477477485</v>
      </c>
      <c r="DN5" s="17">
        <f t="shared" si="18"/>
        <v>0.34271387212440885</v>
      </c>
      <c r="DO5" s="16">
        <f t="shared" si="30"/>
        <v>436896</v>
      </c>
      <c r="DP5" s="16">
        <f>V5*DH$19</f>
        <v>0</v>
      </c>
      <c r="DQ5" s="16">
        <f>V5*DF$18</f>
        <v>114134.59218289085</v>
      </c>
      <c r="DR5" s="16">
        <f>V5*DG$19</f>
        <v>248945.55300000001</v>
      </c>
      <c r="DS5" s="16">
        <f t="shared" si="31"/>
        <v>264112.44699999999</v>
      </c>
      <c r="DT5" s="14">
        <f>(DS5-DS$17)/DS$18</f>
        <v>0.78665725795156061</v>
      </c>
      <c r="DU5" s="16">
        <f t="shared" si="32"/>
        <v>436896</v>
      </c>
      <c r="DV5" s="16">
        <f t="shared" si="33"/>
        <v>319135.40781710914</v>
      </c>
      <c r="DW5" s="14">
        <f t="shared" si="19"/>
        <v>0.8860891769420105</v>
      </c>
      <c r="DX5" s="109">
        <f t="shared" si="19"/>
        <v>0.96801008177565173</v>
      </c>
      <c r="DY5" s="109">
        <f t="shared" si="34"/>
        <v>0.26206840059940151</v>
      </c>
      <c r="DZ5" s="54">
        <v>119114</v>
      </c>
      <c r="EA5" s="54">
        <f t="shared" si="35"/>
        <v>394527.33999999997</v>
      </c>
      <c r="EB5" s="54">
        <f t="shared" si="36"/>
        <v>393944</v>
      </c>
      <c r="EC5" s="12">
        <v>2.4628700000000001</v>
      </c>
      <c r="ED5" s="12">
        <f>(EB5-EB$16)/EB$17</f>
        <v>2.4623085668622</v>
      </c>
      <c r="EE5" s="14">
        <f t="shared" si="20"/>
        <v>0.24460134320896035</v>
      </c>
      <c r="EF5" s="12">
        <f t="shared" si="37"/>
        <v>0.35847024989962478</v>
      </c>
      <c r="EG5" s="12">
        <f t="shared" si="21"/>
        <v>0.12348039858048168</v>
      </c>
      <c r="EH5" s="12">
        <f t="shared" si="38"/>
        <v>0.26780542013300718</v>
      </c>
    </row>
    <row r="6" spans="1:138" x14ac:dyDescent="0.35">
      <c r="A6" s="7" t="s">
        <v>149</v>
      </c>
      <c r="B6" s="143" t="s">
        <v>176</v>
      </c>
      <c r="C6" s="144">
        <v>0</v>
      </c>
      <c r="E6" s="44"/>
      <c r="G6" s="12"/>
      <c r="H6" s="149"/>
      <c r="I6" s="149"/>
      <c r="J6" s="45"/>
      <c r="K6" s="16"/>
      <c r="L6" s="16"/>
      <c r="M6" s="16"/>
      <c r="N6" s="16"/>
      <c r="O6" s="20"/>
      <c r="P6" s="20"/>
      <c r="Q6" s="20"/>
      <c r="R6" s="20"/>
      <c r="S6" s="14"/>
      <c r="T6" s="37"/>
      <c r="U6" s="12"/>
      <c r="V6" s="54">
        <v>0</v>
      </c>
      <c r="W6" s="14"/>
      <c r="X6" s="14"/>
      <c r="Y6" s="34"/>
      <c r="Z6" s="34"/>
      <c r="AA6" s="34"/>
      <c r="AB6" s="142">
        <v>14</v>
      </c>
      <c r="AC6" s="275"/>
      <c r="AD6" s="209"/>
      <c r="AE6" s="275"/>
      <c r="AF6" s="275"/>
      <c r="AG6" s="209"/>
      <c r="AH6" s="34"/>
      <c r="AI6" s="34"/>
      <c r="AJ6" s="30"/>
      <c r="AK6" s="34"/>
      <c r="AL6" s="209"/>
      <c r="AM6" s="209"/>
      <c r="AN6" s="209"/>
      <c r="AO6" s="30"/>
      <c r="AP6" s="24"/>
      <c r="AQ6" s="24"/>
      <c r="AR6" s="30"/>
      <c r="AS6" s="30"/>
      <c r="AT6" s="30"/>
      <c r="AU6" s="34"/>
      <c r="AV6" s="209"/>
      <c r="AW6" s="28"/>
      <c r="AX6" s="28"/>
      <c r="AY6" s="28"/>
      <c r="AZ6" s="28"/>
      <c r="BA6" s="12"/>
      <c r="BB6" s="28"/>
      <c r="BC6" s="12"/>
      <c r="BD6" s="28"/>
      <c r="BE6" s="28"/>
      <c r="BF6" s="12"/>
      <c r="BL6" s="19"/>
      <c r="BO6" s="144"/>
      <c r="BT6" s="16"/>
      <c r="BU6" s="16"/>
      <c r="BV6" s="16"/>
      <c r="BW6" s="54"/>
      <c r="BX6" s="54"/>
      <c r="BY6" s="54"/>
      <c r="BZ6" s="12"/>
      <c r="CA6" s="16"/>
      <c r="CB6" s="16"/>
      <c r="CC6" s="16"/>
      <c r="CD6" s="12"/>
      <c r="CE6" s="12"/>
      <c r="CF6" s="12"/>
      <c r="CG6" s="12"/>
      <c r="CH6" s="16">
        <v>7</v>
      </c>
      <c r="CI6" s="16"/>
      <c r="CJ6" s="16">
        <v>5</v>
      </c>
      <c r="CK6" s="16">
        <v>13.8</v>
      </c>
      <c r="CL6" s="16">
        <f t="shared" si="25"/>
        <v>25.8</v>
      </c>
      <c r="CM6" s="16">
        <f t="shared" si="10"/>
        <v>168.80930930930933</v>
      </c>
      <c r="CN6" s="16">
        <f t="shared" si="26"/>
        <v>-143.00930930930932</v>
      </c>
      <c r="CO6" s="17">
        <f t="shared" si="11"/>
        <v>-0.32333050210283681</v>
      </c>
      <c r="CP6" s="16"/>
      <c r="CQ6" s="16"/>
      <c r="CR6" s="16"/>
      <c r="CS6" s="16"/>
      <c r="CT6" s="54"/>
      <c r="CU6" s="12"/>
      <c r="CV6" s="12"/>
      <c r="CW6" s="12"/>
      <c r="DA6" s="12"/>
      <c r="DB6" s="12"/>
      <c r="DC6" s="16"/>
      <c r="DD6" s="142"/>
      <c r="DE6" s="54"/>
      <c r="DF6" s="16"/>
      <c r="DG6" s="16"/>
      <c r="DH6" s="16">
        <v>0</v>
      </c>
      <c r="DI6" s="16">
        <v>0</v>
      </c>
      <c r="DJ6" s="16">
        <v>0</v>
      </c>
      <c r="DK6" s="16">
        <f t="shared" si="29"/>
        <v>0</v>
      </c>
      <c r="DL6" s="16">
        <f t="shared" si="16"/>
        <v>29425.750750750751</v>
      </c>
      <c r="DM6" s="16">
        <f t="shared" si="17"/>
        <v>-29425.750750750751</v>
      </c>
      <c r="DN6" s="17">
        <f t="shared" si="18"/>
        <v>-0.20654618805732086</v>
      </c>
      <c r="DO6" s="16"/>
      <c r="DP6" s="16"/>
      <c r="DQ6" s="16"/>
      <c r="DR6" s="16"/>
      <c r="DS6" s="16"/>
      <c r="DT6" s="14"/>
      <c r="DU6" s="16"/>
      <c r="DV6" s="16"/>
      <c r="DW6" s="14"/>
      <c r="DX6" s="109"/>
      <c r="DY6" s="109"/>
      <c r="DZ6" s="54"/>
      <c r="EA6" s="54"/>
      <c r="EB6" s="54"/>
      <c r="EC6" s="12"/>
      <c r="ED6" s="12"/>
      <c r="EE6" s="14"/>
      <c r="EF6" s="12"/>
      <c r="EG6" s="12">
        <f t="shared" si="21"/>
        <v>-0.27661677648463046</v>
      </c>
      <c r="EH6" s="12"/>
    </row>
    <row r="7" spans="1:138" x14ac:dyDescent="0.35">
      <c r="A7" s="8" t="s">
        <v>204</v>
      </c>
      <c r="B7" s="8" t="s">
        <v>205</v>
      </c>
      <c r="C7" s="144">
        <f t="shared" si="0"/>
        <v>48</v>
      </c>
      <c r="D7">
        <v>48</v>
      </c>
      <c r="E7" s="44">
        <v>127</v>
      </c>
      <c r="F7">
        <v>135</v>
      </c>
      <c r="G7" s="12">
        <f t="shared" si="1"/>
        <v>2.6458333333333335</v>
      </c>
      <c r="H7" s="149">
        <f t="shared" si="2"/>
        <v>2.8125</v>
      </c>
      <c r="I7" s="149">
        <f t="shared" ref="I7:I14" si="39">G7/G$16</f>
        <v>6.2116101514899054E-2</v>
      </c>
      <c r="J7" s="45">
        <f>H7/H16</f>
        <v>7.1809766352822282E-2</v>
      </c>
      <c r="K7" s="16">
        <v>0</v>
      </c>
      <c r="L7" s="16">
        <v>0</v>
      </c>
      <c r="M7" s="16">
        <f t="shared" si="3"/>
        <v>0</v>
      </c>
      <c r="N7" s="16">
        <f t="shared" si="4"/>
        <v>0</v>
      </c>
      <c r="O7" s="20">
        <f>N7/N16</f>
        <v>0</v>
      </c>
      <c r="P7" s="20">
        <f t="shared" ref="P7:P14" si="40">M7/M$16</f>
        <v>0</v>
      </c>
      <c r="Q7" s="20">
        <f t="shared" si="5"/>
        <v>4.3085859811693369E-2</v>
      </c>
      <c r="R7" s="20">
        <f t="shared" si="6"/>
        <v>3.7269660908939434E-2</v>
      </c>
      <c r="S7" s="12">
        <v>-0.64300000000000002</v>
      </c>
      <c r="T7">
        <v>-0.36699999999999999</v>
      </c>
      <c r="U7" s="12">
        <f t="shared" si="7"/>
        <v>-0.64186894610816436</v>
      </c>
      <c r="V7" s="54">
        <v>35</v>
      </c>
      <c r="W7" s="12">
        <v>-0.13620511008465794</v>
      </c>
      <c r="X7" s="12">
        <f t="shared" si="22"/>
        <v>-0.64550952641041559</v>
      </c>
      <c r="Y7" s="38"/>
      <c r="Z7" s="18"/>
      <c r="AA7" s="18"/>
      <c r="AB7" s="142">
        <v>37</v>
      </c>
      <c r="AC7" s="209"/>
      <c r="AD7" s="209"/>
      <c r="AE7" s="209"/>
      <c r="AF7" s="209"/>
      <c r="AG7" s="209"/>
      <c r="AH7" s="18"/>
      <c r="AI7" s="18"/>
      <c r="AJ7" s="18"/>
      <c r="AK7" s="18"/>
      <c r="AL7" s="209"/>
      <c r="AM7" s="209"/>
      <c r="AN7" s="209"/>
      <c r="AO7" s="18"/>
      <c r="AP7" s="16"/>
      <c r="AQ7" s="16"/>
      <c r="AR7" s="18"/>
      <c r="AS7" s="18"/>
      <c r="AT7" s="18"/>
      <c r="AU7" s="18"/>
      <c r="AV7" s="209"/>
      <c r="AW7" s="28"/>
      <c r="AX7" s="28"/>
      <c r="AY7" s="28"/>
      <c r="AZ7" s="28"/>
      <c r="BA7" s="12"/>
      <c r="BB7" s="28"/>
      <c r="BC7" s="12"/>
      <c r="BD7" s="28"/>
      <c r="BE7" s="28"/>
      <c r="BF7" s="12"/>
      <c r="BG7" s="144"/>
      <c r="BL7" s="27"/>
      <c r="BO7" s="12"/>
      <c r="BP7">
        <v>254</v>
      </c>
      <c r="BQ7">
        <v>254</v>
      </c>
      <c r="BR7">
        <f t="shared" si="9"/>
        <v>0</v>
      </c>
      <c r="BS7">
        <v>372</v>
      </c>
      <c r="BT7" s="16">
        <v>334</v>
      </c>
      <c r="BU7" s="16">
        <v>462</v>
      </c>
      <c r="BV7" s="16">
        <v>162</v>
      </c>
      <c r="BW7" s="54">
        <f t="shared" ref="BW7:BW14" si="41">V7*BT$18</f>
        <v>435.74483775811211</v>
      </c>
      <c r="BX7" s="54">
        <f t="shared" ref="BX7:BX14" si="42">V7*BU$19</f>
        <v>441.77</v>
      </c>
      <c r="BY7" s="54">
        <f t="shared" si="23"/>
        <v>20.230000000000018</v>
      </c>
      <c r="BZ7" s="12">
        <f t="shared" ref="BZ7:BZ14" si="43">(BY7-BY$17)/BY$18</f>
        <v>-0.38653231347223826</v>
      </c>
      <c r="CA7" s="16"/>
      <c r="CB7" s="16"/>
      <c r="CC7" s="16"/>
      <c r="CD7" s="12"/>
      <c r="CE7" s="12"/>
      <c r="CF7" s="12"/>
      <c r="CG7" s="12"/>
      <c r="CH7" s="16">
        <v>87</v>
      </c>
      <c r="CI7" s="16">
        <f t="shared" si="24"/>
        <v>249</v>
      </c>
      <c r="CJ7" s="16">
        <v>62</v>
      </c>
      <c r="CK7" s="16">
        <v>61</v>
      </c>
      <c r="CL7" s="16">
        <f t="shared" si="25"/>
        <v>210</v>
      </c>
      <c r="CM7" s="16">
        <f t="shared" si="10"/>
        <v>446.13888888888891</v>
      </c>
      <c r="CN7" s="16">
        <f t="shared" si="26"/>
        <v>-236.13888888888891</v>
      </c>
      <c r="CO7" s="17">
        <f t="shared" si="11"/>
        <v>-0.53388766003557175</v>
      </c>
      <c r="CP7" s="16">
        <f t="shared" ref="CP7:CP14" si="44">V7*CH$19</f>
        <v>0</v>
      </c>
      <c r="CQ7" s="16">
        <f>V7*BV$19</f>
        <v>191.77984000000001</v>
      </c>
      <c r="CR7" s="16">
        <f t="shared" si="27"/>
        <v>249</v>
      </c>
      <c r="CS7" s="16">
        <f t="shared" si="28"/>
        <v>-29.779840000000007</v>
      </c>
      <c r="CT7" s="54">
        <f t="shared" si="12"/>
        <v>-101.74483775811211</v>
      </c>
      <c r="CU7" s="12">
        <f t="shared" ref="CU7:CW14" si="45">(CR7-CR$17)/CR$18</f>
        <v>-0.57705179227366366</v>
      </c>
      <c r="CV7" s="12">
        <f t="shared" si="45"/>
        <v>-0.46747177565178977</v>
      </c>
      <c r="CW7" s="12">
        <f t="shared" si="45"/>
        <v>-0.14373110266214117</v>
      </c>
      <c r="CX7">
        <v>371</v>
      </c>
      <c r="CY7">
        <f t="shared" si="14"/>
        <v>-118</v>
      </c>
      <c r="CZ7">
        <f t="shared" si="15"/>
        <v>-117</v>
      </c>
      <c r="DA7" s="12">
        <v>-0.53400000000000003</v>
      </c>
      <c r="DB7" s="12">
        <f t="shared" ref="DB7:DB14" si="46">(CZ7-CZ$17)/CZ$18</f>
        <v>-0.53294824351360714</v>
      </c>
      <c r="DC7" s="16">
        <v>0</v>
      </c>
      <c r="DD7" s="142">
        <v>0</v>
      </c>
      <c r="DE7" s="54">
        <v>152650.23000000001</v>
      </c>
      <c r="DF7" s="16">
        <v>0</v>
      </c>
      <c r="DG7" s="16">
        <v>0</v>
      </c>
      <c r="DH7" s="16">
        <v>0</v>
      </c>
      <c r="DI7" s="16">
        <v>0</v>
      </c>
      <c r="DJ7" s="16">
        <v>0</v>
      </c>
      <c r="DK7" s="16">
        <f t="shared" si="29"/>
        <v>0</v>
      </c>
      <c r="DL7" s="16">
        <f t="shared" si="16"/>
        <v>77768.055555555562</v>
      </c>
      <c r="DM7" s="16">
        <f t="shared" si="17"/>
        <v>-77768.055555555562</v>
      </c>
      <c r="DN7" s="17">
        <f t="shared" si="18"/>
        <v>-0.54587206843720515</v>
      </c>
      <c r="DO7" s="16">
        <f t="shared" si="30"/>
        <v>0</v>
      </c>
      <c r="DP7" s="16">
        <f t="shared" ref="DP7:DP14" si="47">V7*DH$19</f>
        <v>0</v>
      </c>
      <c r="DQ7" s="16">
        <f t="shared" ref="DQ7:DQ14" si="48">V7*DF$18</f>
        <v>41182.584808259584</v>
      </c>
      <c r="DR7" s="16">
        <f t="shared" ref="DR7:DR14" si="49">V7*DG$19</f>
        <v>89825.714999999997</v>
      </c>
      <c r="DS7" s="16">
        <f t="shared" si="31"/>
        <v>-89825.714999999997</v>
      </c>
      <c r="DT7" s="12">
        <f t="shared" ref="DT7:DT14" si="50">(DS7-DS$17)/DS$18</f>
        <v>9.0685861537358609E-2</v>
      </c>
      <c r="DU7" s="16">
        <f t="shared" si="32"/>
        <v>0</v>
      </c>
      <c r="DV7" s="16">
        <f t="shared" si="33"/>
        <v>-41182.584808259584</v>
      </c>
      <c r="DW7" s="12">
        <f t="shared" ref="DW7:DX14" si="51">(DU7-DU$17)/DU$18</f>
        <v>-0.66395245952831117</v>
      </c>
      <c r="DX7" s="17">
        <f t="shared" si="51"/>
        <v>-0.12491612121843308</v>
      </c>
      <c r="DY7" s="17">
        <f t="shared" si="34"/>
        <v>-0.13620511008465794</v>
      </c>
      <c r="DZ7" s="54">
        <v>154108</v>
      </c>
      <c r="EA7" s="54">
        <f t="shared" si="35"/>
        <v>-152650.23000000001</v>
      </c>
      <c r="EB7" s="54">
        <f t="shared" si="36"/>
        <v>-154108</v>
      </c>
      <c r="EC7" s="12">
        <v>-0.80525000000000002</v>
      </c>
      <c r="ED7" s="12">
        <f t="shared" ref="ED7:ED14" si="52">(EB7-EB$16)/EB$17</f>
        <v>-0.8143514507556282</v>
      </c>
      <c r="EE7" s="12">
        <f t="shared" si="20"/>
        <v>-0.1956450434683995</v>
      </c>
      <c r="EF7" s="12">
        <f t="shared" si="37"/>
        <v>-0.33044951387844712</v>
      </c>
      <c r="EG7" s="12">
        <f t="shared" si="21"/>
        <v>-0.53868142339622516</v>
      </c>
      <c r="EH7" s="12">
        <f t="shared" si="38"/>
        <v>-0.61181205917552273</v>
      </c>
    </row>
    <row r="8" spans="1:138" x14ac:dyDescent="0.35">
      <c r="A8" s="7" t="s">
        <v>214</v>
      </c>
      <c r="B8" s="7" t="s">
        <v>215</v>
      </c>
      <c r="C8" s="144">
        <f t="shared" si="0"/>
        <v>293</v>
      </c>
      <c r="D8">
        <v>293</v>
      </c>
      <c r="E8" s="44">
        <v>1239</v>
      </c>
      <c r="F8">
        <v>1080</v>
      </c>
      <c r="G8" s="12">
        <f t="shared" si="1"/>
        <v>4.2286689419795218</v>
      </c>
      <c r="H8" s="149">
        <f t="shared" si="2"/>
        <v>3.6860068259385668</v>
      </c>
      <c r="I8" s="149">
        <f t="shared" si="39"/>
        <v>9.9276256733064838E-2</v>
      </c>
      <c r="J8" s="45">
        <f>H8/H16</f>
        <v>9.4112458291753437E-2</v>
      </c>
      <c r="K8" s="16">
        <v>56571</v>
      </c>
      <c r="L8" s="16">
        <v>46292</v>
      </c>
      <c r="M8" s="16">
        <f t="shared" si="3"/>
        <v>193.07508532423208</v>
      </c>
      <c r="N8" s="16">
        <f t="shared" si="4"/>
        <v>157.99317406143345</v>
      </c>
      <c r="O8" s="20">
        <f>N8/N16</f>
        <v>1.6424557463716898E-2</v>
      </c>
      <c r="P8" s="20">
        <f t="shared" si="40"/>
        <v>1.169218978921764E-2</v>
      </c>
      <c r="Q8" s="20">
        <f t="shared" si="5"/>
        <v>6.3037297960538821E-2</v>
      </c>
      <c r="R8" s="20">
        <f t="shared" si="6"/>
        <v>6.4242629955525959E-2</v>
      </c>
      <c r="S8" s="12">
        <v>-0.02</v>
      </c>
      <c r="T8">
        <v>-0.30299999999999999</v>
      </c>
      <c r="U8" s="12">
        <f t="shared" si="7"/>
        <v>-3.0209049939294838E-2</v>
      </c>
      <c r="V8" s="54">
        <v>315</v>
      </c>
      <c r="W8" s="12">
        <v>-0.65424922354727244</v>
      </c>
      <c r="X8" s="12">
        <f t="shared" si="22"/>
        <v>-2.9512527853035958E-2</v>
      </c>
      <c r="Y8" s="38"/>
      <c r="Z8" s="18"/>
      <c r="AA8" s="18"/>
      <c r="AB8" s="142">
        <v>285</v>
      </c>
      <c r="AC8" s="209"/>
      <c r="AD8" s="209"/>
      <c r="AE8" s="209"/>
      <c r="AF8" s="209"/>
      <c r="AG8" s="209"/>
      <c r="AH8" s="18"/>
      <c r="AI8" s="18"/>
      <c r="AJ8" s="18"/>
      <c r="AK8" s="18"/>
      <c r="AL8" s="209"/>
      <c r="AM8" s="209"/>
      <c r="AN8" s="209"/>
      <c r="AO8" s="18"/>
      <c r="AP8" s="16"/>
      <c r="AQ8" s="16"/>
      <c r="AR8" s="18"/>
      <c r="AS8" s="18"/>
      <c r="AT8" s="18"/>
      <c r="AU8" s="18"/>
      <c r="AV8" s="209"/>
      <c r="AW8" s="28"/>
      <c r="AX8" s="28"/>
      <c r="AY8" s="28"/>
      <c r="AZ8" s="28"/>
      <c r="BA8" s="12"/>
      <c r="BB8" s="28"/>
      <c r="BC8" s="12"/>
      <c r="BD8" s="28"/>
      <c r="BE8" s="28"/>
      <c r="BF8" s="12"/>
      <c r="BG8" s="18"/>
      <c r="BO8" s="144"/>
      <c r="BP8">
        <v>2478</v>
      </c>
      <c r="BQ8">
        <v>2448</v>
      </c>
      <c r="BR8">
        <f t="shared" si="9"/>
        <v>30</v>
      </c>
      <c r="BS8">
        <v>2272</v>
      </c>
      <c r="BT8" s="16">
        <v>3366</v>
      </c>
      <c r="BU8" s="16">
        <v>4270</v>
      </c>
      <c r="BV8" s="16">
        <v>1713</v>
      </c>
      <c r="BW8" s="54">
        <f t="shared" si="41"/>
        <v>3921.7035398230087</v>
      </c>
      <c r="BX8" s="54">
        <f t="shared" si="42"/>
        <v>3975.93</v>
      </c>
      <c r="BY8" s="54">
        <f t="shared" si="23"/>
        <v>294.07000000000016</v>
      </c>
      <c r="BZ8" s="12">
        <f t="shared" si="43"/>
        <v>-0.18383029514756574</v>
      </c>
      <c r="CA8" s="16"/>
      <c r="CB8" s="16"/>
      <c r="CC8" s="16"/>
      <c r="CD8" s="12"/>
      <c r="CE8" s="12"/>
      <c r="CF8" s="12"/>
      <c r="CG8" s="12"/>
      <c r="CH8" s="16">
        <v>834</v>
      </c>
      <c r="CI8" s="16">
        <f t="shared" si="24"/>
        <v>2547</v>
      </c>
      <c r="CJ8" s="16">
        <v>829</v>
      </c>
      <c r="CK8" s="16">
        <v>1471</v>
      </c>
      <c r="CL8" s="16">
        <f t="shared" si="25"/>
        <v>3134</v>
      </c>
      <c r="CM8" s="16">
        <f t="shared" si="10"/>
        <v>3436.4752252252256</v>
      </c>
      <c r="CN8" s="16">
        <f t="shared" si="26"/>
        <v>-302.47522522522559</v>
      </c>
      <c r="CO8" s="17">
        <f t="shared" si="11"/>
        <v>-0.68386783292697517</v>
      </c>
      <c r="CP8" s="16">
        <f t="shared" si="44"/>
        <v>0</v>
      </c>
      <c r="CQ8" s="16">
        <f t="shared" ref="CQ8:CQ14" si="53">V8*BV$19</f>
        <v>1726.01856</v>
      </c>
      <c r="CR8" s="16">
        <f t="shared" si="27"/>
        <v>2547</v>
      </c>
      <c r="CS8" s="16">
        <f t="shared" si="28"/>
        <v>-13.018559999999979</v>
      </c>
      <c r="CT8" s="54">
        <f t="shared" si="12"/>
        <v>-555.70353982300867</v>
      </c>
      <c r="CU8" s="12">
        <f t="shared" si="45"/>
        <v>0.64441154762699526</v>
      </c>
      <c r="CV8" s="12">
        <f t="shared" si="45"/>
        <v>-0.43235651568515399</v>
      </c>
      <c r="CW8" s="12">
        <f t="shared" si="45"/>
        <v>-0.78502147422853297</v>
      </c>
      <c r="CX8">
        <v>2262</v>
      </c>
      <c r="CY8">
        <f t="shared" si="14"/>
        <v>206</v>
      </c>
      <c r="CZ8">
        <f t="shared" si="15"/>
        <v>186</v>
      </c>
      <c r="DA8" s="12">
        <v>-0.17599999999999999</v>
      </c>
      <c r="DB8" s="12">
        <f t="shared" si="46"/>
        <v>-0.1930484165654914</v>
      </c>
      <c r="DC8" s="16">
        <v>56571</v>
      </c>
      <c r="DD8" s="142">
        <v>56571</v>
      </c>
      <c r="DE8" s="54">
        <v>38560.949999999997</v>
      </c>
      <c r="DF8" s="16">
        <v>219619</v>
      </c>
      <c r="DG8" s="16">
        <v>271235</v>
      </c>
      <c r="DH8" s="16">
        <v>144988</v>
      </c>
      <c r="DI8" s="16">
        <v>207044</v>
      </c>
      <c r="DJ8" s="16">
        <v>46178</v>
      </c>
      <c r="DK8" s="16">
        <f t="shared" si="29"/>
        <v>398210</v>
      </c>
      <c r="DL8" s="16">
        <f t="shared" si="16"/>
        <v>599024.21171171172</v>
      </c>
      <c r="DM8" s="16">
        <f t="shared" si="17"/>
        <v>-200814.21171171172</v>
      </c>
      <c r="DN8" s="17">
        <f t="shared" si="18"/>
        <v>-1.4095616553039561</v>
      </c>
      <c r="DO8" s="16">
        <f t="shared" si="30"/>
        <v>364607</v>
      </c>
      <c r="DP8" s="16">
        <f t="shared" si="47"/>
        <v>0</v>
      </c>
      <c r="DQ8" s="16">
        <f t="shared" si="48"/>
        <v>370643.26327433629</v>
      </c>
      <c r="DR8" s="16">
        <f t="shared" si="49"/>
        <v>808431.43500000006</v>
      </c>
      <c r="DS8" s="16">
        <f t="shared" si="31"/>
        <v>-537196.43500000006</v>
      </c>
      <c r="DT8" s="12">
        <f t="shared" si="50"/>
        <v>-0.78900798937105809</v>
      </c>
      <c r="DU8" s="16">
        <f t="shared" si="32"/>
        <v>364607</v>
      </c>
      <c r="DV8" s="16">
        <f t="shared" si="33"/>
        <v>-151024.26327433629</v>
      </c>
      <c r="DW8" s="12">
        <f t="shared" si="51"/>
        <v>0.62961862134341706</v>
      </c>
      <c r="DX8" s="17">
        <f t="shared" si="51"/>
        <v>-0.45809084752538165</v>
      </c>
      <c r="DY8" s="17">
        <f t="shared" si="34"/>
        <v>-0.65424922354727244</v>
      </c>
      <c r="DZ8" s="54">
        <v>38378</v>
      </c>
      <c r="EA8" s="54">
        <f t="shared" si="35"/>
        <v>18010.050000000003</v>
      </c>
      <c r="EB8" s="54">
        <f t="shared" si="36"/>
        <v>18193</v>
      </c>
      <c r="EC8" s="12">
        <v>0.21404999999999999</v>
      </c>
      <c r="ED8" s="12">
        <f t="shared" si="52"/>
        <v>0.21579130521564718</v>
      </c>
      <c r="EE8" s="12">
        <f t="shared" si="20"/>
        <v>-0.42590137283696272</v>
      </c>
      <c r="EF8" s="12">
        <f t="shared" si="37"/>
        <v>-0.44265024842124506</v>
      </c>
      <c r="EG8" s="12">
        <f t="shared" si="21"/>
        <v>-0.97414536187776757</v>
      </c>
      <c r="EH8" s="12">
        <f t="shared" si="38"/>
        <v>0.63849437711356405</v>
      </c>
    </row>
    <row r="9" spans="1:138" x14ac:dyDescent="0.35">
      <c r="A9" s="8" t="s">
        <v>217</v>
      </c>
      <c r="B9" s="8" t="s">
        <v>57</v>
      </c>
      <c r="C9" s="144">
        <f t="shared" si="0"/>
        <v>38</v>
      </c>
      <c r="D9">
        <v>38</v>
      </c>
      <c r="E9" s="44">
        <v>178.5</v>
      </c>
      <c r="F9">
        <v>225</v>
      </c>
      <c r="G9" s="12">
        <f t="shared" si="1"/>
        <v>4.6973684210526319</v>
      </c>
      <c r="H9" s="149">
        <f t="shared" si="2"/>
        <v>5.9210526315789478</v>
      </c>
      <c r="I9" s="149">
        <f t="shared" si="39"/>
        <v>0.11027989179023105</v>
      </c>
      <c r="J9" s="45">
        <f>H9/H16</f>
        <v>0.15117845547962586</v>
      </c>
      <c r="K9" s="16">
        <v>329494</v>
      </c>
      <c r="L9" s="16">
        <v>257811</v>
      </c>
      <c r="M9" s="16">
        <f t="shared" si="3"/>
        <v>8670.894736842105</v>
      </c>
      <c r="N9" s="16">
        <f t="shared" si="4"/>
        <v>6784.5</v>
      </c>
      <c r="O9" s="20">
        <f>N9/N16</f>
        <v>0.70529888885742842</v>
      </c>
      <c r="P9" s="20">
        <f t="shared" si="40"/>
        <v>0.52508974285954757</v>
      </c>
      <c r="Q9" s="20">
        <f t="shared" si="5"/>
        <v>0.37282662883074685</v>
      </c>
      <c r="R9" s="20">
        <f t="shared" si="6"/>
        <v>0.27620383221795763</v>
      </c>
      <c r="S9" s="12">
        <v>0.27</v>
      </c>
      <c r="T9" s="37">
        <v>0.753</v>
      </c>
      <c r="U9" s="12">
        <f t="shared" si="7"/>
        <v>0.28171443295705256</v>
      </c>
      <c r="V9" s="54">
        <v>46</v>
      </c>
      <c r="W9" s="14">
        <v>0.72862914665684042</v>
      </c>
      <c r="X9" s="12">
        <f t="shared" si="22"/>
        <v>0.27826478582989411</v>
      </c>
      <c r="Y9" s="38"/>
      <c r="Z9" s="34" t="e">
        <f>AW9*C9</f>
        <v>#VALUE!</v>
      </c>
      <c r="AA9" s="30"/>
      <c r="AB9" s="142">
        <v>43</v>
      </c>
      <c r="AC9" s="209">
        <v>0</v>
      </c>
      <c r="AD9" s="209"/>
      <c r="AE9" s="209"/>
      <c r="AF9" s="209"/>
      <c r="AG9" s="275">
        <f>AS9*BL$15</f>
        <v>135757.66225578697</v>
      </c>
      <c r="AH9" s="34" t="e">
        <f>AT9*BL$7</f>
        <v>#DIV/0!</v>
      </c>
      <c r="AI9" s="34" t="e">
        <f>SUM(AJ9:AK9)</f>
        <v>#DIV/0!</v>
      </c>
      <c r="AJ9" s="30"/>
      <c r="AK9" s="34" t="e">
        <f>AZ9*BL12</f>
        <v>#DIV/0!</v>
      </c>
      <c r="AL9" s="275">
        <f>AR9*BL$13</f>
        <v>88529.861410226513</v>
      </c>
      <c r="AM9" s="209">
        <f>AVERAGE(AC9,AG9)</f>
        <v>67878.831127893485</v>
      </c>
      <c r="AN9" s="209">
        <f>AVERAGE(AC9,AO9,AL9)</f>
        <v>50274.415631793447</v>
      </c>
      <c r="AO9" s="34">
        <f>AM9-(BB9*AM$16)</f>
        <v>62293.385485153827</v>
      </c>
      <c r="AP9" s="293">
        <f>AN9-(BA9*AN$16)</f>
        <v>14597.507760660403</v>
      </c>
      <c r="AQ9" s="267">
        <v>27801.239840993814</v>
      </c>
      <c r="AR9" s="30">
        <f>V9*BA9</f>
        <v>12.820106118848942</v>
      </c>
      <c r="AS9" s="30">
        <f>BB9*V9</f>
        <v>14.470282138771008</v>
      </c>
      <c r="AT9" s="30" t="e">
        <f>BC9*V9</f>
        <v>#DIV/0!</v>
      </c>
      <c r="AU9" s="30"/>
      <c r="AV9" s="209"/>
      <c r="AW9" s="28" t="e">
        <f>T9/BJ2</f>
        <v>#VALUE!</v>
      </c>
      <c r="AX9" s="28"/>
      <c r="AY9" s="28"/>
      <c r="AZ9" s="28" t="e">
        <f>BF9*V9</f>
        <v>#DIV/0!</v>
      </c>
      <c r="BA9" s="12">
        <f>EH9/BO$13</f>
        <v>0.27869795910541179</v>
      </c>
      <c r="BB9" s="28">
        <f>EF9/BO$15</f>
        <v>0.31457135084284799</v>
      </c>
      <c r="BC9" s="12" t="e">
        <f>EE9/BO$7</f>
        <v>#DIV/0!</v>
      </c>
      <c r="BD9" s="28"/>
      <c r="BE9" s="28"/>
      <c r="BF9" s="12" t="e">
        <f>DT9/BO11</f>
        <v>#DIV/0!</v>
      </c>
      <c r="BG9" s="144"/>
      <c r="BL9" s="144"/>
      <c r="BO9" s="12"/>
      <c r="BP9">
        <v>357</v>
      </c>
      <c r="BQ9">
        <v>370</v>
      </c>
      <c r="BR9">
        <f t="shared" si="9"/>
        <v>-13</v>
      </c>
      <c r="BS9">
        <v>295</v>
      </c>
      <c r="BT9" s="16">
        <v>285</v>
      </c>
      <c r="BU9" s="16">
        <v>484</v>
      </c>
      <c r="BV9" s="16">
        <v>219</v>
      </c>
      <c r="BW9" s="54">
        <f t="shared" si="41"/>
        <v>572.69321533923301</v>
      </c>
      <c r="BX9" s="54">
        <f t="shared" si="42"/>
        <v>580.61199999999997</v>
      </c>
      <c r="BY9" s="54">
        <f t="shared" si="23"/>
        <v>-96.611999999999966</v>
      </c>
      <c r="BZ9" s="12">
        <f t="shared" si="43"/>
        <v>-0.47302117275171307</v>
      </c>
      <c r="CA9" s="285">
        <v>0</v>
      </c>
      <c r="CB9" s="16">
        <f>AVERAGE(AP9,AQ9,CA9)</f>
        <v>14132.915867218073</v>
      </c>
      <c r="CC9" s="285">
        <f>CB9-(CE9*CB$16)</f>
        <v>14132.915867218073</v>
      </c>
      <c r="CD9" s="12"/>
      <c r="CE9" s="12"/>
      <c r="CF9" s="12"/>
      <c r="CG9" s="12"/>
      <c r="CH9" s="16">
        <v>190</v>
      </c>
      <c r="CI9" s="16">
        <f t="shared" si="24"/>
        <v>409</v>
      </c>
      <c r="CJ9" s="16">
        <v>190</v>
      </c>
      <c r="CK9" s="16">
        <v>151</v>
      </c>
      <c r="CL9" s="16">
        <f t="shared" si="25"/>
        <v>531</v>
      </c>
      <c r="CM9" s="16">
        <f t="shared" si="10"/>
        <v>518.48573573573572</v>
      </c>
      <c r="CN9" s="16">
        <f t="shared" si="26"/>
        <v>12.514264264264284</v>
      </c>
      <c r="CO9" s="109">
        <f t="shared" si="11"/>
        <v>2.8293566115061206E-2</v>
      </c>
      <c r="CP9" s="16">
        <f t="shared" si="44"/>
        <v>0</v>
      </c>
      <c r="CQ9" s="16">
        <f t="shared" si="53"/>
        <v>252.053504</v>
      </c>
      <c r="CR9" s="16">
        <f t="shared" si="27"/>
        <v>409</v>
      </c>
      <c r="CS9" s="16">
        <f t="shared" si="28"/>
        <v>-33.053504000000004</v>
      </c>
      <c r="CT9" s="54">
        <f t="shared" si="12"/>
        <v>-287.69321533923301</v>
      </c>
      <c r="CU9" s="12">
        <f t="shared" si="45"/>
        <v>-0.49200647704994499</v>
      </c>
      <c r="CV9" s="12">
        <f t="shared" si="45"/>
        <v>-0.47433017563099283</v>
      </c>
      <c r="CW9" s="12">
        <f t="shared" si="45"/>
        <v>-0.40641337664158694</v>
      </c>
      <c r="CX9">
        <v>293</v>
      </c>
      <c r="CY9">
        <f t="shared" si="14"/>
        <v>62</v>
      </c>
      <c r="CZ9">
        <f t="shared" si="15"/>
        <v>77</v>
      </c>
      <c r="DA9" s="12">
        <v>-0.33500000000000002</v>
      </c>
      <c r="DB9" s="12">
        <f t="shared" si="46"/>
        <v>-0.31532261173824588</v>
      </c>
      <c r="DC9" s="16">
        <v>329494</v>
      </c>
      <c r="DD9" s="142">
        <v>329493.82999999996</v>
      </c>
      <c r="DE9" s="54">
        <v>150212.88</v>
      </c>
      <c r="DF9" s="16">
        <v>855646</v>
      </c>
      <c r="DG9" s="16">
        <v>1032093</v>
      </c>
      <c r="DH9" s="16">
        <v>50694</v>
      </c>
      <c r="DI9" s="16">
        <v>5598</v>
      </c>
      <c r="DJ9" s="16">
        <v>172421</v>
      </c>
      <c r="DK9" s="16">
        <f t="shared" si="29"/>
        <v>228713</v>
      </c>
      <c r="DL9" s="16">
        <f t="shared" si="16"/>
        <v>90379.091591591598</v>
      </c>
      <c r="DM9" s="16">
        <f t="shared" si="17"/>
        <v>138333.9084084084</v>
      </c>
      <c r="DN9" s="109">
        <f t="shared" si="18"/>
        <v>0.97099787539314841</v>
      </c>
      <c r="DO9" s="16">
        <f t="shared" si="30"/>
        <v>906340</v>
      </c>
      <c r="DP9" s="16">
        <f t="shared" si="47"/>
        <v>0</v>
      </c>
      <c r="DQ9" s="16">
        <f t="shared" si="48"/>
        <v>54125.682890855453</v>
      </c>
      <c r="DR9" s="16">
        <f t="shared" si="49"/>
        <v>118056.65400000001</v>
      </c>
      <c r="DS9" s="16">
        <f t="shared" si="31"/>
        <v>914036.34600000002</v>
      </c>
      <c r="DT9" s="14">
        <f t="shared" si="50"/>
        <v>2.0646444662085579</v>
      </c>
      <c r="DU9" s="16">
        <f t="shared" si="32"/>
        <v>906340</v>
      </c>
      <c r="DV9" s="16">
        <f t="shared" si="33"/>
        <v>801520.31710914453</v>
      </c>
      <c r="DW9" s="14">
        <f t="shared" si="51"/>
        <v>2.5516062473458905</v>
      </c>
      <c r="DX9" s="109">
        <f t="shared" si="51"/>
        <v>2.4311929316044814</v>
      </c>
      <c r="DY9" s="109">
        <f t="shared" si="34"/>
        <v>0.72862914665684042</v>
      </c>
      <c r="DZ9" s="54">
        <v>151927</v>
      </c>
      <c r="EA9" s="54">
        <f t="shared" si="35"/>
        <v>179281.12</v>
      </c>
      <c r="EB9" s="54">
        <f t="shared" si="36"/>
        <v>177566.82999999996</v>
      </c>
      <c r="EC9" s="12">
        <v>1.17727</v>
      </c>
      <c r="ED9" s="12">
        <f t="shared" si="52"/>
        <v>1.168645882182104</v>
      </c>
      <c r="EE9" s="14">
        <f t="shared" si="20"/>
        <v>0.54204508283239539</v>
      </c>
      <c r="EF9" s="14">
        <f t="shared" si="37"/>
        <v>0.68787906726319692</v>
      </c>
      <c r="EG9" s="12">
        <f t="shared" si="21"/>
        <v>0.40537528982629611</v>
      </c>
      <c r="EH9" s="14">
        <f t="shared" si="38"/>
        <v>0.72543861270838927</v>
      </c>
    </row>
    <row r="10" spans="1:138" x14ac:dyDescent="0.35">
      <c r="A10" s="7" t="s">
        <v>221</v>
      </c>
      <c r="B10" s="7" t="s">
        <v>105</v>
      </c>
      <c r="C10" s="144">
        <f t="shared" si="0"/>
        <v>18</v>
      </c>
      <c r="D10">
        <v>18</v>
      </c>
      <c r="E10" s="44">
        <v>46.5</v>
      </c>
      <c r="F10">
        <v>31</v>
      </c>
      <c r="G10" s="12">
        <f t="shared" si="1"/>
        <v>2.5833333333333335</v>
      </c>
      <c r="H10" s="149">
        <f t="shared" si="2"/>
        <v>1.7222222222222223</v>
      </c>
      <c r="I10" s="149">
        <f t="shared" si="39"/>
        <v>6.0648792030295134E-2</v>
      </c>
      <c r="J10" s="45">
        <f>H10/H16</f>
        <v>4.3972400137036856E-2</v>
      </c>
      <c r="K10" s="16">
        <v>0</v>
      </c>
      <c r="L10" s="16">
        <v>0</v>
      </c>
      <c r="M10" s="16">
        <f t="shared" si="3"/>
        <v>0</v>
      </c>
      <c r="N10" s="16">
        <f t="shared" si="4"/>
        <v>0</v>
      </c>
      <c r="O10" s="20">
        <f>N10/N16</f>
        <v>0</v>
      </c>
      <c r="P10" s="20">
        <f t="shared" si="40"/>
        <v>0</v>
      </c>
      <c r="Q10" s="20">
        <f t="shared" si="5"/>
        <v>2.6383440082222112E-2</v>
      </c>
      <c r="R10" s="20">
        <f t="shared" si="6"/>
        <v>3.6389275218177079E-2</v>
      </c>
      <c r="S10" s="12">
        <v>-0.443</v>
      </c>
      <c r="T10">
        <v>-0.32800000000000001</v>
      </c>
      <c r="U10" s="12">
        <f t="shared" si="7"/>
        <v>-0.4463074634316741</v>
      </c>
      <c r="V10" s="54">
        <v>17</v>
      </c>
      <c r="W10" s="12">
        <v>-6.8316871116035752E-2</v>
      </c>
      <c r="X10" s="12">
        <f t="shared" si="22"/>
        <v>-0.45001246642527287</v>
      </c>
      <c r="Z10" s="18"/>
      <c r="AA10" s="18"/>
      <c r="AB10" s="142">
        <v>21</v>
      </c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6"/>
      <c r="AQ10" s="16"/>
      <c r="AR10" s="18"/>
      <c r="AS10" s="18"/>
      <c r="AT10" s="18"/>
      <c r="AU10" s="18"/>
      <c r="AV10" s="18"/>
      <c r="AW10" s="28"/>
      <c r="AX10" s="28"/>
      <c r="AY10" s="28"/>
      <c r="AZ10" s="28"/>
      <c r="BA10" s="12"/>
      <c r="BB10" s="28"/>
      <c r="BC10" s="28"/>
      <c r="BD10" s="28"/>
      <c r="BE10" s="28"/>
      <c r="BF10" s="12"/>
      <c r="BG10" s="18"/>
      <c r="BL10" s="27"/>
      <c r="BO10" s="144"/>
      <c r="BP10">
        <v>93</v>
      </c>
      <c r="BQ10">
        <v>87</v>
      </c>
      <c r="BR10">
        <f t="shared" si="9"/>
        <v>6</v>
      </c>
      <c r="BS10">
        <v>140</v>
      </c>
      <c r="BT10" s="16">
        <v>144</v>
      </c>
      <c r="BU10" s="16">
        <v>168</v>
      </c>
      <c r="BV10" s="16">
        <v>93</v>
      </c>
      <c r="BW10" s="54">
        <f t="shared" si="41"/>
        <v>211.64749262536873</v>
      </c>
      <c r="BX10" s="54">
        <f t="shared" si="42"/>
        <v>214.57400000000001</v>
      </c>
      <c r="BY10" s="54">
        <f t="shared" si="23"/>
        <v>-46.574000000000012</v>
      </c>
      <c r="BZ10" s="12">
        <f t="shared" si="43"/>
        <v>-0.43598201268404602</v>
      </c>
      <c r="CA10" s="16"/>
      <c r="CB10" s="16"/>
      <c r="CC10" s="16"/>
      <c r="CD10" s="12"/>
      <c r="CE10" s="12"/>
      <c r="CF10" s="12"/>
      <c r="CG10" s="12"/>
      <c r="CH10" s="16">
        <v>23</v>
      </c>
      <c r="CI10" s="16">
        <f t="shared" si="24"/>
        <v>116</v>
      </c>
      <c r="CJ10" s="16">
        <v>32</v>
      </c>
      <c r="CK10" s="16">
        <v>140</v>
      </c>
      <c r="CL10" s="16">
        <f t="shared" si="25"/>
        <v>195</v>
      </c>
      <c r="CM10" s="16">
        <f t="shared" si="10"/>
        <v>253.21396396396398</v>
      </c>
      <c r="CN10" s="16">
        <f t="shared" si="26"/>
        <v>-58.213963963963977</v>
      </c>
      <c r="CO10" s="17">
        <f t="shared" si="11"/>
        <v>-0.13161625833151025</v>
      </c>
      <c r="CP10" s="16">
        <f t="shared" si="44"/>
        <v>0</v>
      </c>
      <c r="CQ10" s="16">
        <f t="shared" si="53"/>
        <v>93.150207999999992</v>
      </c>
      <c r="CR10" s="16">
        <f t="shared" si="27"/>
        <v>116</v>
      </c>
      <c r="CS10" s="16">
        <f t="shared" si="28"/>
        <v>-0.15020799999999213</v>
      </c>
      <c r="CT10" s="54">
        <f t="shared" si="12"/>
        <v>-67.647492625368727</v>
      </c>
      <c r="CU10" s="12">
        <f t="shared" si="45"/>
        <v>-0.64774571055337971</v>
      </c>
      <c r="CV10" s="12">
        <f t="shared" si="45"/>
        <v>-0.40539702775689451</v>
      </c>
      <c r="CW10" s="12">
        <f t="shared" si="45"/>
        <v>-9.556306660480271E-2</v>
      </c>
      <c r="CX10">
        <v>139</v>
      </c>
      <c r="CY10">
        <f t="shared" si="14"/>
        <v>-47</v>
      </c>
      <c r="CZ10">
        <f t="shared" si="15"/>
        <v>-52</v>
      </c>
      <c r="DA10" s="12">
        <v>-0.45500000000000002</v>
      </c>
      <c r="DB10" s="12">
        <f t="shared" si="46"/>
        <v>-0.46003243905279018</v>
      </c>
      <c r="DC10" s="16">
        <v>0</v>
      </c>
      <c r="DD10" s="142">
        <v>0</v>
      </c>
      <c r="DE10" s="54">
        <v>89105.64</v>
      </c>
      <c r="DF10" s="16">
        <v>10954</v>
      </c>
      <c r="DG10" s="16">
        <v>10954</v>
      </c>
      <c r="DH10" s="16">
        <v>10954</v>
      </c>
      <c r="DI10" s="16">
        <v>0</v>
      </c>
      <c r="DJ10" s="16">
        <v>6212</v>
      </c>
      <c r="DK10" s="16">
        <f t="shared" si="29"/>
        <v>17166</v>
      </c>
      <c r="DL10" s="16">
        <f t="shared" si="16"/>
        <v>44138.626126126124</v>
      </c>
      <c r="DM10" s="16">
        <f t="shared" si="17"/>
        <v>-26972.626126126124</v>
      </c>
      <c r="DN10" s="17">
        <f t="shared" si="18"/>
        <v>-0.18932713579464119</v>
      </c>
      <c r="DO10" s="16">
        <f t="shared" si="30"/>
        <v>21908</v>
      </c>
      <c r="DP10" s="16">
        <f t="shared" si="47"/>
        <v>0</v>
      </c>
      <c r="DQ10" s="16">
        <f t="shared" si="48"/>
        <v>20002.969764011799</v>
      </c>
      <c r="DR10" s="16">
        <f t="shared" si="49"/>
        <v>43629.633000000002</v>
      </c>
      <c r="DS10" s="16">
        <f t="shared" si="31"/>
        <v>-32675.633000000002</v>
      </c>
      <c r="DT10" s="12">
        <f t="shared" si="50"/>
        <v>0.20306374740863731</v>
      </c>
      <c r="DU10" s="16">
        <f t="shared" si="32"/>
        <v>21908</v>
      </c>
      <c r="DV10" s="16">
        <f t="shared" si="33"/>
        <v>-9048.9697640117993</v>
      </c>
      <c r="DW10" s="12">
        <f t="shared" si="51"/>
        <v>-0.58622615356123475</v>
      </c>
      <c r="DX10" s="17">
        <f t="shared" si="51"/>
        <v>-2.7447577882885318E-2</v>
      </c>
      <c r="DY10" s="17">
        <f t="shared" si="34"/>
        <v>-6.8316871116035752E-2</v>
      </c>
      <c r="DZ10" s="54">
        <v>90655</v>
      </c>
      <c r="EA10" s="54">
        <f t="shared" si="35"/>
        <v>-89105.64</v>
      </c>
      <c r="EB10" s="54">
        <f t="shared" si="36"/>
        <v>-90655</v>
      </c>
      <c r="EC10" s="12">
        <v>-0.42571999999999999</v>
      </c>
      <c r="ED10" s="12">
        <f t="shared" si="52"/>
        <v>-0.43498250748399692</v>
      </c>
      <c r="EE10" s="12">
        <f t="shared" si="20"/>
        <v>-0.18036370864697265</v>
      </c>
      <c r="EF10" s="12">
        <f t="shared" si="37"/>
        <v>-0.25421724780729082</v>
      </c>
      <c r="EG10" s="12">
        <f t="shared" si="21"/>
        <v>-0.15470060931676261</v>
      </c>
      <c r="EH10" s="12">
        <f t="shared" si="38"/>
        <v>-0.62313788775652168</v>
      </c>
    </row>
    <row r="11" spans="1:138" x14ac:dyDescent="0.35">
      <c r="A11" s="7" t="s">
        <v>223</v>
      </c>
      <c r="B11" s="7" t="s">
        <v>224</v>
      </c>
      <c r="C11" s="144">
        <f t="shared" si="0"/>
        <v>77</v>
      </c>
      <c r="D11">
        <v>77</v>
      </c>
      <c r="E11" s="44">
        <v>128.5</v>
      </c>
      <c r="F11">
        <v>77.5</v>
      </c>
      <c r="G11" s="12">
        <f t="shared" si="1"/>
        <v>1.6688311688311688</v>
      </c>
      <c r="H11" s="149">
        <f t="shared" si="2"/>
        <v>1.0064935064935066</v>
      </c>
      <c r="I11" s="149">
        <f t="shared" si="39"/>
        <v>3.917906883565777E-2</v>
      </c>
      <c r="J11" s="45">
        <f>H11/H16</f>
        <v>2.5698155924242318E-2</v>
      </c>
      <c r="K11" s="16">
        <v>12500</v>
      </c>
      <c r="L11" s="16">
        <v>12500</v>
      </c>
      <c r="M11" s="16">
        <f t="shared" si="3"/>
        <v>162.33766233766235</v>
      </c>
      <c r="N11" s="16">
        <f t="shared" si="4"/>
        <v>162.33766233766235</v>
      </c>
      <c r="O11" s="20">
        <f>N11/N16</f>
        <v>1.6876199110688432E-2</v>
      </c>
      <c r="P11" s="20">
        <f t="shared" si="40"/>
        <v>9.8308010834355745E-3</v>
      </c>
      <c r="Q11" s="20">
        <f t="shared" si="5"/>
        <v>2.2169373198820765E-2</v>
      </c>
      <c r="R11" s="20">
        <f t="shared" si="6"/>
        <v>2.7439761734768892E-2</v>
      </c>
      <c r="S11" s="12">
        <v>-0.7</v>
      </c>
      <c r="T11">
        <v>-0.64300000000000002</v>
      </c>
      <c r="U11" s="12">
        <f t="shared" si="7"/>
        <v>-0.70076118720823066</v>
      </c>
      <c r="V11" s="54">
        <v>74</v>
      </c>
      <c r="W11" s="12">
        <v>-0.49802243273308355</v>
      </c>
      <c r="X11" s="12">
        <f t="shared" si="22"/>
        <v>-0.7025917369328788</v>
      </c>
      <c r="Z11" s="18"/>
      <c r="AA11" s="18"/>
      <c r="AB11" s="142">
        <v>69</v>
      </c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6"/>
      <c r="AQ11" s="16"/>
      <c r="AR11" s="18"/>
      <c r="AS11" s="18"/>
      <c r="AT11" s="18"/>
      <c r="AU11" s="18"/>
      <c r="AV11" s="18"/>
      <c r="AW11" s="28"/>
      <c r="AX11" s="28"/>
      <c r="AY11" s="28"/>
      <c r="AZ11" s="28"/>
      <c r="BA11" s="12"/>
      <c r="BB11" s="28"/>
      <c r="BC11" s="28"/>
      <c r="BD11" s="28"/>
      <c r="BE11" s="28"/>
      <c r="BF11" s="12"/>
      <c r="BG11" s="144"/>
      <c r="BL11" s="144"/>
      <c r="BO11" s="12"/>
      <c r="BP11">
        <v>257</v>
      </c>
      <c r="BQ11">
        <v>257</v>
      </c>
      <c r="BR11">
        <f t="shared" si="9"/>
        <v>0</v>
      </c>
      <c r="BS11">
        <v>597</v>
      </c>
      <c r="BT11" s="16">
        <v>428</v>
      </c>
      <c r="BU11" s="16">
        <v>508</v>
      </c>
      <c r="BV11" s="16">
        <v>339</v>
      </c>
      <c r="BW11" s="54">
        <f t="shared" si="41"/>
        <v>921.28908554572274</v>
      </c>
      <c r="BX11" s="54">
        <f t="shared" si="42"/>
        <v>934.02800000000002</v>
      </c>
      <c r="BY11" s="54">
        <f t="shared" si="23"/>
        <v>-426.02800000000002</v>
      </c>
      <c r="BZ11" s="12">
        <f t="shared" si="43"/>
        <v>-0.71686169301332681</v>
      </c>
      <c r="CA11" s="16"/>
      <c r="CB11" s="16"/>
      <c r="CC11" s="16"/>
      <c r="CD11" s="12"/>
      <c r="CE11" s="12"/>
      <c r="CF11" s="12"/>
      <c r="CG11" s="12"/>
      <c r="CH11" s="16">
        <v>150</v>
      </c>
      <c r="CI11" s="16">
        <f t="shared" si="24"/>
        <v>489</v>
      </c>
      <c r="CJ11" s="16">
        <v>136</v>
      </c>
      <c r="CK11" s="16">
        <v>161</v>
      </c>
      <c r="CL11" s="16">
        <f t="shared" si="25"/>
        <v>447</v>
      </c>
      <c r="CM11" s="16">
        <f t="shared" si="10"/>
        <v>831.98873873873879</v>
      </c>
      <c r="CN11" s="16">
        <f t="shared" si="26"/>
        <v>-384.98873873873879</v>
      </c>
      <c r="CO11" s="17">
        <f t="shared" si="11"/>
        <v>-0.87042307106808237</v>
      </c>
      <c r="CP11" s="16">
        <f t="shared" si="44"/>
        <v>0</v>
      </c>
      <c r="CQ11" s="16">
        <f t="shared" si="53"/>
        <v>405.47737599999999</v>
      </c>
      <c r="CR11" s="16">
        <f t="shared" si="27"/>
        <v>489</v>
      </c>
      <c r="CS11" s="16">
        <f t="shared" si="28"/>
        <v>-66.477375999999992</v>
      </c>
      <c r="CT11" s="54">
        <f t="shared" si="12"/>
        <v>-493.28908554572274</v>
      </c>
      <c r="CU11" s="12">
        <f t="shared" si="45"/>
        <v>-0.44948381943808569</v>
      </c>
      <c r="CV11" s="12">
        <f t="shared" si="45"/>
        <v>-0.54435394197649611</v>
      </c>
      <c r="CW11" s="12">
        <f t="shared" si="45"/>
        <v>-0.69685092392840398</v>
      </c>
      <c r="CX11">
        <v>595</v>
      </c>
      <c r="CY11">
        <f t="shared" si="14"/>
        <v>-340</v>
      </c>
      <c r="CZ11">
        <f t="shared" si="15"/>
        <v>-338</v>
      </c>
      <c r="DA11" s="12">
        <v>-0.77900000000000003</v>
      </c>
      <c r="DB11" s="12">
        <f t="shared" si="46"/>
        <v>-0.78086197868038443</v>
      </c>
      <c r="DC11" s="16">
        <v>12500</v>
      </c>
      <c r="DD11" s="142">
        <v>12500</v>
      </c>
      <c r="DE11" s="54">
        <v>127538.48</v>
      </c>
      <c r="DF11" s="16">
        <v>21208</v>
      </c>
      <c r="DG11" s="16">
        <v>33708</v>
      </c>
      <c r="DH11" s="16">
        <v>0</v>
      </c>
      <c r="DI11" s="16">
        <v>0</v>
      </c>
      <c r="DJ11" s="16">
        <v>0</v>
      </c>
      <c r="DK11" s="16">
        <f t="shared" si="29"/>
        <v>0</v>
      </c>
      <c r="DL11" s="16">
        <f t="shared" si="16"/>
        <v>145026.91441441441</v>
      </c>
      <c r="DM11" s="16">
        <f t="shared" si="17"/>
        <v>-145026.91441441441</v>
      </c>
      <c r="DN11" s="17">
        <f t="shared" si="18"/>
        <v>-1.0179776411396528</v>
      </c>
      <c r="DO11" s="16">
        <f t="shared" si="30"/>
        <v>21208</v>
      </c>
      <c r="DP11" s="16">
        <f t="shared" si="47"/>
        <v>0</v>
      </c>
      <c r="DQ11" s="16">
        <f t="shared" si="48"/>
        <v>87071.750737463124</v>
      </c>
      <c r="DR11" s="16">
        <f t="shared" si="49"/>
        <v>189917.226</v>
      </c>
      <c r="DS11" s="16">
        <f t="shared" si="31"/>
        <v>-156209.226</v>
      </c>
      <c r="DT11" s="12">
        <f t="shared" si="50"/>
        <v>-3.9848310275251819E-2</v>
      </c>
      <c r="DU11" s="16">
        <f t="shared" si="32"/>
        <v>21208</v>
      </c>
      <c r="DV11" s="16">
        <f t="shared" si="33"/>
        <v>-65863.750737463124</v>
      </c>
      <c r="DW11" s="12">
        <f t="shared" si="51"/>
        <v>-0.58870964882218757</v>
      </c>
      <c r="DX11" s="17">
        <f t="shared" si="51"/>
        <v>-0.199779695940103</v>
      </c>
      <c r="DY11" s="17">
        <f t="shared" si="34"/>
        <v>-0.49802243273308355</v>
      </c>
      <c r="DZ11" s="54">
        <v>128278</v>
      </c>
      <c r="EA11" s="54">
        <f t="shared" si="35"/>
        <v>-115038.48</v>
      </c>
      <c r="EB11" s="54">
        <f t="shared" si="36"/>
        <v>-115778</v>
      </c>
      <c r="EC11" s="12">
        <v>-0.58060999999999996</v>
      </c>
      <c r="ED11" s="12">
        <f t="shared" si="52"/>
        <v>-0.58518637431162035</v>
      </c>
      <c r="EE11" s="12">
        <f t="shared" si="20"/>
        <v>-0.44605633991809679</v>
      </c>
      <c r="EF11" s="12">
        <f t="shared" si="37"/>
        <v>-0.40652424356193884</v>
      </c>
      <c r="EG11" s="12">
        <f t="shared" si="21"/>
        <v>-0.92944489909671058</v>
      </c>
      <c r="EH11" s="12">
        <f t="shared" si="38"/>
        <v>-0.50517415119172648</v>
      </c>
    </row>
    <row r="12" spans="1:138" x14ac:dyDescent="0.35">
      <c r="A12" s="8" t="s">
        <v>231</v>
      </c>
      <c r="B12" s="8" t="s">
        <v>232</v>
      </c>
      <c r="C12" s="144">
        <f t="shared" si="0"/>
        <v>30</v>
      </c>
      <c r="D12">
        <v>30</v>
      </c>
      <c r="E12" s="44">
        <v>59</v>
      </c>
      <c r="F12">
        <v>71.5</v>
      </c>
      <c r="G12" s="12">
        <f t="shared" si="1"/>
        <v>1.9666666666666666</v>
      </c>
      <c r="H12" s="149">
        <f t="shared" si="2"/>
        <v>2.3833333333333333</v>
      </c>
      <c r="I12" s="149">
        <f t="shared" si="39"/>
        <v>4.6171338448869843E-2</v>
      </c>
      <c r="J12" s="45">
        <f>H12/H16</f>
        <v>6.0852127931576808E-2</v>
      </c>
      <c r="K12" s="16">
        <v>0</v>
      </c>
      <c r="L12" s="16">
        <v>0</v>
      </c>
      <c r="M12" s="16">
        <f t="shared" si="3"/>
        <v>0</v>
      </c>
      <c r="N12" s="16">
        <f t="shared" si="4"/>
        <v>0</v>
      </c>
      <c r="O12" s="20">
        <f>N12/N16</f>
        <v>0</v>
      </c>
      <c r="P12" s="20">
        <f t="shared" si="40"/>
        <v>0</v>
      </c>
      <c r="Q12" s="20">
        <f t="shared" si="5"/>
        <v>3.6511276758946082E-2</v>
      </c>
      <c r="R12" s="20">
        <f t="shared" si="6"/>
        <v>2.7702803069321904E-2</v>
      </c>
      <c r="S12" s="12">
        <v>-0.60199999999999998</v>
      </c>
      <c r="T12">
        <v>-0.34599999999999997</v>
      </c>
      <c r="U12" s="12">
        <f t="shared" si="7"/>
        <v>-0.60155373921540312</v>
      </c>
      <c r="V12" s="54">
        <v>28</v>
      </c>
      <c r="W12" s="12">
        <v>-0.27526270112967721</v>
      </c>
      <c r="X12" s="12">
        <f t="shared" si="22"/>
        <v>-0.60601797323222617</v>
      </c>
      <c r="Z12" s="18"/>
      <c r="AA12" s="18"/>
      <c r="AB12" s="142">
        <v>24</v>
      </c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6"/>
      <c r="AQ12" s="16"/>
      <c r="AR12" s="18"/>
      <c r="AS12" s="18"/>
      <c r="AT12" s="18"/>
      <c r="AU12" s="18"/>
      <c r="AV12" s="18"/>
      <c r="AW12" s="28"/>
      <c r="AX12" s="28"/>
      <c r="AY12" s="28"/>
      <c r="AZ12" s="28"/>
      <c r="BA12" s="12"/>
      <c r="BB12" s="28"/>
      <c r="BC12" s="28"/>
      <c r="BD12" s="28"/>
      <c r="BE12" s="28"/>
      <c r="BF12" s="12"/>
      <c r="BG12" s="209" t="s">
        <v>402</v>
      </c>
      <c r="BL12" s="209" t="s">
        <v>404</v>
      </c>
      <c r="BO12" s="144" t="s">
        <v>436</v>
      </c>
      <c r="BP12">
        <v>118</v>
      </c>
      <c r="BQ12">
        <v>118</v>
      </c>
      <c r="BR12">
        <f t="shared" si="9"/>
        <v>0</v>
      </c>
      <c r="BS12">
        <v>233</v>
      </c>
      <c r="BT12" s="16">
        <v>71</v>
      </c>
      <c r="BU12" s="16">
        <v>156</v>
      </c>
      <c r="BV12" s="16">
        <v>40</v>
      </c>
      <c r="BW12" s="54">
        <f t="shared" si="41"/>
        <v>348.59587020648968</v>
      </c>
      <c r="BX12" s="54">
        <f t="shared" si="42"/>
        <v>353.416</v>
      </c>
      <c r="BY12" s="54">
        <f t="shared" si="23"/>
        <v>-197.416</v>
      </c>
      <c r="BZ12" s="12">
        <f t="shared" si="43"/>
        <v>-0.54763837350836031</v>
      </c>
      <c r="CA12" s="16"/>
      <c r="CB12" s="16"/>
      <c r="CC12" s="16"/>
      <c r="CD12" s="12"/>
      <c r="CE12" s="12"/>
      <c r="CF12" s="12"/>
      <c r="CG12" s="12"/>
      <c r="CH12" s="16">
        <v>27</v>
      </c>
      <c r="CI12" s="16">
        <f t="shared" si="24"/>
        <v>67</v>
      </c>
      <c r="CJ12" s="16">
        <v>16</v>
      </c>
      <c r="CK12" s="16">
        <v>16</v>
      </c>
      <c r="CL12" s="16">
        <f t="shared" si="25"/>
        <v>59</v>
      </c>
      <c r="CM12" s="16">
        <f t="shared" si="10"/>
        <v>289.38738738738743</v>
      </c>
      <c r="CN12" s="16">
        <f t="shared" si="26"/>
        <v>-230.38738738738743</v>
      </c>
      <c r="CO12" s="17">
        <f t="shared" si="11"/>
        <v>-0.52088405993913633</v>
      </c>
      <c r="CP12" s="16">
        <f t="shared" si="44"/>
        <v>0</v>
      </c>
      <c r="CQ12" s="16">
        <f t="shared" si="53"/>
        <v>153.42387199999999</v>
      </c>
      <c r="CR12" s="16">
        <f t="shared" si="27"/>
        <v>67</v>
      </c>
      <c r="CS12" s="16">
        <f t="shared" si="28"/>
        <v>-113.42387199999999</v>
      </c>
      <c r="CT12" s="54">
        <f t="shared" si="12"/>
        <v>-277.59587020648968</v>
      </c>
      <c r="CU12" s="12">
        <f t="shared" si="45"/>
        <v>-0.67379083834064357</v>
      </c>
      <c r="CV12" s="12">
        <f t="shared" si="45"/>
        <v>-0.64270791085969758</v>
      </c>
      <c r="CW12" s="12">
        <f t="shared" si="45"/>
        <v>-0.39214923723296435</v>
      </c>
      <c r="CX12">
        <v>232</v>
      </c>
      <c r="CY12">
        <f t="shared" si="14"/>
        <v>-115</v>
      </c>
      <c r="CZ12">
        <f t="shared" si="15"/>
        <v>-114</v>
      </c>
      <c r="DA12" s="12">
        <v>-0.53</v>
      </c>
      <c r="DB12" s="12">
        <f t="shared" si="46"/>
        <v>-0.52958289869233865</v>
      </c>
      <c r="DC12" s="16">
        <v>0</v>
      </c>
      <c r="DD12" s="142">
        <v>0</v>
      </c>
      <c r="DE12" s="54">
        <v>136621.60999999999</v>
      </c>
      <c r="DF12" s="16">
        <v>0</v>
      </c>
      <c r="DG12" s="16">
        <v>0</v>
      </c>
      <c r="DH12" s="16">
        <v>0</v>
      </c>
      <c r="DI12" s="16">
        <v>0</v>
      </c>
      <c r="DJ12" s="16">
        <v>0</v>
      </c>
      <c r="DK12" s="16">
        <f t="shared" si="29"/>
        <v>0</v>
      </c>
      <c r="DL12" s="16">
        <f t="shared" si="16"/>
        <v>50444.144144144142</v>
      </c>
      <c r="DM12" s="16">
        <f t="shared" si="17"/>
        <v>-50444.144144144142</v>
      </c>
      <c r="DN12" s="17">
        <f t="shared" si="18"/>
        <v>-0.35407917952683576</v>
      </c>
      <c r="DO12" s="16">
        <f t="shared" si="30"/>
        <v>0</v>
      </c>
      <c r="DP12" s="16">
        <f t="shared" si="47"/>
        <v>0</v>
      </c>
      <c r="DQ12" s="16">
        <f t="shared" si="48"/>
        <v>32946.067846607664</v>
      </c>
      <c r="DR12" s="16">
        <f t="shared" si="49"/>
        <v>71860.572</v>
      </c>
      <c r="DS12" s="16">
        <f t="shared" si="31"/>
        <v>-71860.572</v>
      </c>
      <c r="DT12" s="12">
        <f t="shared" si="50"/>
        <v>0.12601187891236781</v>
      </c>
      <c r="DU12" s="16">
        <f t="shared" si="32"/>
        <v>0</v>
      </c>
      <c r="DV12" s="16">
        <f t="shared" si="33"/>
        <v>-32946.067846607664</v>
      </c>
      <c r="DW12" s="12">
        <f t="shared" si="51"/>
        <v>-0.66395245952831117</v>
      </c>
      <c r="DX12" s="17">
        <f t="shared" si="51"/>
        <v>-9.9932896974746457E-2</v>
      </c>
      <c r="DY12" s="17">
        <f t="shared" si="34"/>
        <v>-0.27526270112967721</v>
      </c>
      <c r="DZ12" s="54">
        <v>138439</v>
      </c>
      <c r="EA12" s="54">
        <f t="shared" si="35"/>
        <v>-136621.60999999999</v>
      </c>
      <c r="EB12" s="54">
        <f t="shared" si="36"/>
        <v>-138439</v>
      </c>
      <c r="EC12" s="12">
        <v>-0.70950999999999997</v>
      </c>
      <c r="ED12" s="12">
        <f t="shared" si="52"/>
        <v>-0.72067058504205761</v>
      </c>
      <c r="EE12" s="12">
        <f t="shared" si="20"/>
        <v>-0.27817827254006905</v>
      </c>
      <c r="EF12" s="12">
        <f t="shared" si="37"/>
        <v>-0.42559790530571712</v>
      </c>
      <c r="EG12" s="12">
        <f t="shared" si="21"/>
        <v>-0.45416210777421606</v>
      </c>
      <c r="EH12" s="12">
        <f t="shared" si="38"/>
        <v>-0.66985548681571061</v>
      </c>
    </row>
    <row r="13" spans="1:138" x14ac:dyDescent="0.35">
      <c r="A13" s="8" t="s">
        <v>237</v>
      </c>
      <c r="B13" s="141" t="s">
        <v>58</v>
      </c>
      <c r="C13" s="144">
        <f t="shared" si="0"/>
        <v>26</v>
      </c>
      <c r="D13">
        <v>26</v>
      </c>
      <c r="E13" s="44">
        <v>39.5</v>
      </c>
      <c r="F13">
        <v>26</v>
      </c>
      <c r="G13" s="12">
        <f t="shared" si="1"/>
        <v>1.5192307692307692</v>
      </c>
      <c r="H13" s="149">
        <f t="shared" si="2"/>
        <v>1</v>
      </c>
      <c r="I13" s="149">
        <f t="shared" si="39"/>
        <v>3.5666907471910536E-2</v>
      </c>
      <c r="J13" s="45">
        <f>H13/H16</f>
        <v>2.5532361369892367E-2</v>
      </c>
      <c r="K13" s="16">
        <v>37661</v>
      </c>
      <c r="L13" s="16">
        <v>25104</v>
      </c>
      <c r="M13" s="16">
        <f t="shared" si="3"/>
        <v>1448.5</v>
      </c>
      <c r="N13" s="16">
        <f t="shared" si="4"/>
        <v>965.53846153846155</v>
      </c>
      <c r="O13" s="20">
        <f>N13/N16</f>
        <v>0.1003748550478573</v>
      </c>
      <c r="P13" s="20">
        <f t="shared" si="40"/>
        <v>8.7717878675235603E-2</v>
      </c>
      <c r="Q13" s="20">
        <f t="shared" si="5"/>
        <v>5.5469358841078342E-2</v>
      </c>
      <c r="R13" s="20">
        <f t="shared" si="6"/>
        <v>5.6487295953240563E-2</v>
      </c>
      <c r="S13" s="12">
        <v>-0.48799999999999999</v>
      </c>
      <c r="T13">
        <v>-0.29899999999999999</v>
      </c>
      <c r="U13" s="12">
        <f t="shared" si="7"/>
        <v>-0.48734522196517904</v>
      </c>
      <c r="V13" s="54">
        <v>27</v>
      </c>
      <c r="W13" s="12">
        <v>-0.22175035210353078</v>
      </c>
      <c r="X13" s="12">
        <f t="shared" si="22"/>
        <v>-0.46772757848608881</v>
      </c>
      <c r="Z13" s="18"/>
      <c r="AA13" s="18"/>
      <c r="AB13" s="142">
        <v>16</v>
      </c>
      <c r="AC13" s="18"/>
      <c r="AD13" s="18"/>
      <c r="AE13" s="18"/>
      <c r="AF13" s="18"/>
      <c r="AG13" s="18"/>
      <c r="AH13" s="18"/>
      <c r="AI13" s="34" t="e">
        <f>SUM(AJ13:AK13)</f>
        <v>#DIV/0!</v>
      </c>
      <c r="AJ13" s="18"/>
      <c r="AK13" s="34" t="e">
        <f>AZ13*BL12</f>
        <v>#DIV/0!</v>
      </c>
      <c r="AL13" s="30"/>
      <c r="AM13" s="30"/>
      <c r="AN13" s="30"/>
      <c r="AO13" s="30">
        <v>0</v>
      </c>
      <c r="AP13" s="24">
        <v>0</v>
      </c>
      <c r="AQ13" s="267">
        <v>14749.974019504079</v>
      </c>
      <c r="AR13" s="30"/>
      <c r="AS13" s="30"/>
      <c r="AT13" s="18"/>
      <c r="AU13" s="18"/>
      <c r="AV13" s="18"/>
      <c r="AW13" s="28"/>
      <c r="AX13" s="28"/>
      <c r="AY13" s="28"/>
      <c r="AZ13" s="28" t="e">
        <f>BF13*V13</f>
        <v>#DIV/0!</v>
      </c>
      <c r="BA13" s="12"/>
      <c r="BB13" s="28"/>
      <c r="BC13" s="28"/>
      <c r="BD13" s="28"/>
      <c r="BE13" s="28"/>
      <c r="BF13" s="12" t="e">
        <f>DT13/BO11</f>
        <v>#DIV/0!</v>
      </c>
      <c r="BG13" s="35">
        <v>2034909.0885319237</v>
      </c>
      <c r="BL13" s="31">
        <f>BG13/AR15</f>
        <v>6905.5482528388929</v>
      </c>
      <c r="BO13" s="101">
        <f>SUM(EH3,EH4,EH9)</f>
        <v>2.6029563152775261</v>
      </c>
      <c r="BP13">
        <v>79</v>
      </c>
      <c r="BQ13">
        <v>80</v>
      </c>
      <c r="BR13">
        <f t="shared" si="9"/>
        <v>-1</v>
      </c>
      <c r="BS13">
        <v>202</v>
      </c>
      <c r="BT13" s="16">
        <v>120</v>
      </c>
      <c r="BU13" s="16">
        <v>139</v>
      </c>
      <c r="BV13" s="16">
        <v>72</v>
      </c>
      <c r="BW13" s="54">
        <f t="shared" si="41"/>
        <v>336.14601769911502</v>
      </c>
      <c r="BX13" s="54">
        <f t="shared" si="42"/>
        <v>340.79399999999998</v>
      </c>
      <c r="BY13" s="54">
        <f t="shared" si="23"/>
        <v>-201.79399999999998</v>
      </c>
      <c r="BZ13" s="12">
        <f t="shared" si="43"/>
        <v>-0.5508790594425752</v>
      </c>
      <c r="CA13" s="285">
        <f>CD13*CG$4</f>
        <v>27609.602307370409</v>
      </c>
      <c r="CB13" s="16">
        <f>AVERAGE(AP13,AQ13,CA13)</f>
        <v>14119.858775624831</v>
      </c>
      <c r="CC13" s="285">
        <f>CB13-(CE13*CB$16)</f>
        <v>49444.850805589631</v>
      </c>
      <c r="CD13" s="12">
        <f>AB13*CE13</f>
        <v>4.0254875916961828</v>
      </c>
      <c r="CE13" s="12">
        <f>EG13/CG3</f>
        <v>0.25159297448101142</v>
      </c>
      <c r="CF13" s="12"/>
      <c r="CG13" s="12"/>
      <c r="CH13" s="16">
        <v>14</v>
      </c>
      <c r="CI13" s="16">
        <f t="shared" si="24"/>
        <v>86</v>
      </c>
      <c r="CJ13" s="16">
        <v>61</v>
      </c>
      <c r="CK13" s="16">
        <v>8.6</v>
      </c>
      <c r="CL13" s="16">
        <f t="shared" si="25"/>
        <v>83.6</v>
      </c>
      <c r="CM13" s="16">
        <f t="shared" si="10"/>
        <v>192.92492492492494</v>
      </c>
      <c r="CN13" s="16">
        <f t="shared" si="26"/>
        <v>-109.32492492492494</v>
      </c>
      <c r="CO13" s="17">
        <f t="shared" si="11"/>
        <v>-0.24717329968972798</v>
      </c>
      <c r="CP13" s="16">
        <f t="shared" si="44"/>
        <v>0</v>
      </c>
      <c r="CQ13" s="16">
        <f t="shared" si="53"/>
        <v>147.94444799999999</v>
      </c>
      <c r="CR13" s="16">
        <f t="shared" si="27"/>
        <v>86</v>
      </c>
      <c r="CS13" s="16">
        <f t="shared" si="28"/>
        <v>-75.944447999999994</v>
      </c>
      <c r="CT13" s="54">
        <f t="shared" si="12"/>
        <v>-216.14601769911502</v>
      </c>
      <c r="CU13" s="12">
        <f t="shared" si="45"/>
        <v>-0.66369170715782699</v>
      </c>
      <c r="CV13" s="12">
        <f t="shared" si="45"/>
        <v>-0.56418767152476801</v>
      </c>
      <c r="CW13" s="12">
        <f t="shared" si="45"/>
        <v>-0.30534134354592857</v>
      </c>
      <c r="CX13">
        <v>201</v>
      </c>
      <c r="CY13">
        <f t="shared" si="14"/>
        <v>-123</v>
      </c>
      <c r="CZ13">
        <f t="shared" si="15"/>
        <v>-121</v>
      </c>
      <c r="DA13" s="12">
        <v>-0.53900000000000003</v>
      </c>
      <c r="DB13" s="12">
        <f t="shared" si="46"/>
        <v>-0.53743536994196506</v>
      </c>
      <c r="DC13" s="16">
        <v>37661</v>
      </c>
      <c r="DD13" s="142">
        <v>47661</v>
      </c>
      <c r="DE13" s="54">
        <v>124506.06</v>
      </c>
      <c r="DF13" s="16">
        <v>0</v>
      </c>
      <c r="DG13" s="16">
        <v>47661</v>
      </c>
      <c r="DH13" s="16">
        <v>113016</v>
      </c>
      <c r="DI13" s="16">
        <v>0</v>
      </c>
      <c r="DJ13" s="16">
        <v>267151</v>
      </c>
      <c r="DK13" s="16">
        <f t="shared" si="29"/>
        <v>380167</v>
      </c>
      <c r="DL13" s="16">
        <f t="shared" si="16"/>
        <v>33629.42942942943</v>
      </c>
      <c r="DM13" s="16">
        <f t="shared" si="17"/>
        <v>346537.57057057059</v>
      </c>
      <c r="DN13" s="109">
        <f t="shared" si="18"/>
        <v>2.4324278019710346</v>
      </c>
      <c r="DO13" s="16">
        <f t="shared" si="30"/>
        <v>113016</v>
      </c>
      <c r="DP13" s="16">
        <f t="shared" si="47"/>
        <v>0</v>
      </c>
      <c r="DQ13" s="16">
        <f t="shared" si="48"/>
        <v>31769.422566371679</v>
      </c>
      <c r="DR13" s="16">
        <f t="shared" si="49"/>
        <v>69294.123000000007</v>
      </c>
      <c r="DS13" s="16">
        <f t="shared" si="31"/>
        <v>-21633.123000000007</v>
      </c>
      <c r="DT13" s="14">
        <f t="shared" si="50"/>
        <v>0.2247773457987928</v>
      </c>
      <c r="DU13" s="16">
        <f t="shared" si="32"/>
        <v>113016</v>
      </c>
      <c r="DV13" s="16">
        <f t="shared" si="33"/>
        <v>-31769.422566371679</v>
      </c>
      <c r="DW13" s="14">
        <f t="shared" si="51"/>
        <v>-0.26298860179711225</v>
      </c>
      <c r="DX13" s="17">
        <f t="shared" si="51"/>
        <v>-9.6363864939934096E-2</v>
      </c>
      <c r="DY13" s="17">
        <f t="shared" si="34"/>
        <v>-0.22175035210353078</v>
      </c>
      <c r="DZ13" s="54">
        <v>126304</v>
      </c>
      <c r="EA13" s="54">
        <f t="shared" si="35"/>
        <v>-86845.06</v>
      </c>
      <c r="EB13" s="54">
        <f t="shared" si="36"/>
        <v>-78643</v>
      </c>
      <c r="EC13" s="12">
        <v>-0.41221000000000002</v>
      </c>
      <c r="ED13" s="12">
        <f t="shared" si="52"/>
        <v>-0.36316589130227445</v>
      </c>
      <c r="EE13" s="12">
        <f t="shared" si="20"/>
        <v>-0.24061649734602797</v>
      </c>
      <c r="EF13" s="12">
        <f t="shared" si="37"/>
        <v>-0.37705814889083444</v>
      </c>
      <c r="EG13" s="14">
        <f t="shared" si="21"/>
        <v>0.82466714097457705</v>
      </c>
      <c r="EH13" s="12">
        <f t="shared" si="38"/>
        <v>-0.50341046501354114</v>
      </c>
    </row>
    <row r="14" spans="1:138" x14ac:dyDescent="0.35">
      <c r="A14" s="7" t="s">
        <v>241</v>
      </c>
      <c r="B14" s="7" t="s">
        <v>232</v>
      </c>
      <c r="C14" s="144">
        <f t="shared" si="0"/>
        <v>41</v>
      </c>
      <c r="D14">
        <v>41</v>
      </c>
      <c r="E14" s="44">
        <v>89.5</v>
      </c>
      <c r="F14">
        <v>85</v>
      </c>
      <c r="G14" s="12">
        <f t="shared" si="1"/>
        <v>2.1829268292682928</v>
      </c>
      <c r="H14" s="149">
        <f t="shared" si="2"/>
        <v>2.0731707317073171</v>
      </c>
      <c r="I14" s="149">
        <f t="shared" si="39"/>
        <v>5.1248467852507459E-2</v>
      </c>
      <c r="J14" s="45">
        <f>H14/H16</f>
        <v>5.2932944303435397E-2</v>
      </c>
      <c r="K14" s="16">
        <v>0</v>
      </c>
      <c r="L14" s="16">
        <v>0</v>
      </c>
      <c r="M14" s="16">
        <f t="shared" si="3"/>
        <v>0</v>
      </c>
      <c r="N14" s="16">
        <f t="shared" si="4"/>
        <v>0</v>
      </c>
      <c r="O14" s="20">
        <f>N14/N16</f>
        <v>0</v>
      </c>
      <c r="P14" s="20">
        <f t="shared" si="40"/>
        <v>0</v>
      </c>
      <c r="Q14" s="20">
        <f t="shared" si="5"/>
        <v>3.1759766582061234E-2</v>
      </c>
      <c r="R14" s="20">
        <f t="shared" si="6"/>
        <v>3.0749080711504475E-2</v>
      </c>
      <c r="S14" s="12">
        <v>-0.65600000000000003</v>
      </c>
      <c r="T14">
        <v>-0.40500000000000003</v>
      </c>
      <c r="U14" s="12">
        <f t="shared" si="7"/>
        <v>-0.65515539435749182</v>
      </c>
      <c r="V14" s="54">
        <v>41</v>
      </c>
      <c r="W14" s="12">
        <v>-0.27504575975468892</v>
      </c>
      <c r="X14" s="12">
        <f t="shared" si="22"/>
        <v>-0.65924698637182544</v>
      </c>
      <c r="Z14" s="18"/>
      <c r="AA14" s="18"/>
      <c r="AB14" s="142">
        <v>42</v>
      </c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6"/>
      <c r="AQ14" s="16"/>
      <c r="AR14" s="18"/>
      <c r="AS14" s="18"/>
      <c r="AT14" s="18"/>
      <c r="AU14" s="18"/>
      <c r="AV14" s="18"/>
      <c r="AW14" s="28"/>
      <c r="AX14" s="28"/>
      <c r="AY14" s="28"/>
      <c r="AZ14" s="28"/>
      <c r="BA14" s="12"/>
      <c r="BB14" s="28"/>
      <c r="BC14" s="28"/>
      <c r="BD14" s="28"/>
      <c r="BE14" s="28"/>
      <c r="BF14" s="12"/>
      <c r="BG14" s="144" t="s">
        <v>400</v>
      </c>
      <c r="BL14" s="144" t="s">
        <v>401</v>
      </c>
      <c r="BO14" s="144" t="s">
        <v>457</v>
      </c>
      <c r="BP14">
        <v>179</v>
      </c>
      <c r="BQ14">
        <v>179</v>
      </c>
      <c r="BR14">
        <f t="shared" si="9"/>
        <v>0</v>
      </c>
      <c r="BS14">
        <v>318</v>
      </c>
      <c r="BT14" s="16">
        <v>255</v>
      </c>
      <c r="BU14" s="16">
        <v>380</v>
      </c>
      <c r="BV14" s="16">
        <v>219</v>
      </c>
      <c r="BW14" s="54">
        <f t="shared" si="41"/>
        <v>510.44395280235989</v>
      </c>
      <c r="BX14" s="54">
        <f t="shared" si="42"/>
        <v>517.50199999999995</v>
      </c>
      <c r="BY14" s="54">
        <f t="shared" si="23"/>
        <v>-137.50199999999995</v>
      </c>
      <c r="BZ14" s="12">
        <f t="shared" si="43"/>
        <v>-0.50328879446255093</v>
      </c>
      <c r="CA14" s="16"/>
      <c r="CB14" s="16"/>
      <c r="CC14" s="16"/>
      <c r="CD14" s="12"/>
      <c r="CE14" s="12"/>
      <c r="CF14" s="12"/>
      <c r="CG14" s="12"/>
      <c r="CH14" s="16">
        <v>80</v>
      </c>
      <c r="CI14" s="16">
        <f t="shared" si="24"/>
        <v>299</v>
      </c>
      <c r="CJ14" s="16">
        <v>157</v>
      </c>
      <c r="CK14" s="16">
        <v>82.6</v>
      </c>
      <c r="CL14" s="16">
        <f t="shared" si="25"/>
        <v>319.60000000000002</v>
      </c>
      <c r="CM14" s="16">
        <f t="shared" si="10"/>
        <v>506.42792792792795</v>
      </c>
      <c r="CN14" s="16">
        <f t="shared" si="26"/>
        <v>-186.82792792792793</v>
      </c>
      <c r="CO14" s="17">
        <f t="shared" si="11"/>
        <v>-0.42240024817627236</v>
      </c>
      <c r="CP14" s="16">
        <f t="shared" si="44"/>
        <v>0</v>
      </c>
      <c r="CQ14" s="16">
        <f t="shared" si="53"/>
        <v>224.656384</v>
      </c>
      <c r="CR14" s="16">
        <f t="shared" si="27"/>
        <v>299</v>
      </c>
      <c r="CS14" s="16">
        <f t="shared" si="28"/>
        <v>-5.6563840000000027</v>
      </c>
      <c r="CT14" s="54">
        <f t="shared" si="12"/>
        <v>-255.44395280235989</v>
      </c>
      <c r="CU14" s="12">
        <f t="shared" si="45"/>
        <v>-0.55047513126625158</v>
      </c>
      <c r="CV14" s="12">
        <f t="shared" si="45"/>
        <v>-0.41693259077249062</v>
      </c>
      <c r="CW14" s="12">
        <f t="shared" si="45"/>
        <v>-0.36085605730627662</v>
      </c>
      <c r="CX14">
        <v>317</v>
      </c>
      <c r="CY14">
        <f t="shared" si="14"/>
        <v>-139</v>
      </c>
      <c r="CZ14">
        <f t="shared" si="15"/>
        <v>-138</v>
      </c>
      <c r="DA14" s="12">
        <v>-0.55700000000000005</v>
      </c>
      <c r="DB14" s="12">
        <f t="shared" si="46"/>
        <v>-0.55650565726248635</v>
      </c>
      <c r="DC14" s="16">
        <v>0</v>
      </c>
      <c r="DD14" s="142">
        <v>0</v>
      </c>
      <c r="DE14" s="54">
        <v>152295.82999999999</v>
      </c>
      <c r="DF14" s="16">
        <v>0</v>
      </c>
      <c r="DG14" s="16">
        <v>0</v>
      </c>
      <c r="DH14" s="16">
        <v>0</v>
      </c>
      <c r="DI14" s="16">
        <v>7981</v>
      </c>
      <c r="DJ14" s="16">
        <v>0</v>
      </c>
      <c r="DK14" s="16">
        <f t="shared" si="29"/>
        <v>7981</v>
      </c>
      <c r="DL14" s="16">
        <f t="shared" si="16"/>
        <v>88277.252252252249</v>
      </c>
      <c r="DM14" s="16">
        <f t="shared" si="17"/>
        <v>-80296.252252252249</v>
      </c>
      <c r="DN14" s="17">
        <f t="shared" si="18"/>
        <v>-0.56361806903324729</v>
      </c>
      <c r="DO14" s="16">
        <f t="shared" si="30"/>
        <v>0</v>
      </c>
      <c r="DP14" s="16">
        <f t="shared" si="47"/>
        <v>0</v>
      </c>
      <c r="DQ14" s="16">
        <f t="shared" si="48"/>
        <v>48242.456489675511</v>
      </c>
      <c r="DR14" s="16">
        <f t="shared" si="49"/>
        <v>105224.409</v>
      </c>
      <c r="DS14" s="16">
        <f t="shared" si="31"/>
        <v>-105224.409</v>
      </c>
      <c r="DT14" s="12">
        <f t="shared" si="50"/>
        <v>6.0406418073064988E-2</v>
      </c>
      <c r="DU14" s="16">
        <f t="shared" si="32"/>
        <v>0</v>
      </c>
      <c r="DV14" s="16">
        <f t="shared" si="33"/>
        <v>-48242.456489675511</v>
      </c>
      <c r="DW14" s="12">
        <f t="shared" si="51"/>
        <v>-0.66395245952831117</v>
      </c>
      <c r="DX14" s="17">
        <f t="shared" si="51"/>
        <v>-0.14633031342730732</v>
      </c>
      <c r="DY14" s="17">
        <f t="shared" si="34"/>
        <v>-0.27504575975468892</v>
      </c>
      <c r="DZ14" s="54">
        <v>153942</v>
      </c>
      <c r="EA14" s="54">
        <f t="shared" si="35"/>
        <v>-152295.82999999999</v>
      </c>
      <c r="EB14" s="54">
        <f t="shared" si="36"/>
        <v>-153942</v>
      </c>
      <c r="EC14" s="12">
        <v>-0.80313000000000001</v>
      </c>
      <c r="ED14" s="12">
        <f t="shared" si="52"/>
        <v>-0.81335898003583407</v>
      </c>
      <c r="EE14" s="12">
        <f t="shared" si="20"/>
        <v>-0.27781070944830455</v>
      </c>
      <c r="EF14" s="12">
        <f t="shared" si="37"/>
        <v>-0.30869167983441731</v>
      </c>
      <c r="EG14" s="12">
        <f t="shared" si="21"/>
        <v>-0.47888737651906232</v>
      </c>
      <c r="EH14" s="12">
        <f t="shared" si="38"/>
        <v>-0.59586606257107544</v>
      </c>
    </row>
    <row r="15" spans="1:138" x14ac:dyDescent="0.35">
      <c r="C15" s="1">
        <f>SUM(C3:C14)</f>
        <v>1314</v>
      </c>
      <c r="D15" s="1">
        <f>SUM(D3:D14)</f>
        <v>1314</v>
      </c>
      <c r="E15" s="42">
        <f>SUM(E3:E14)</f>
        <v>7107</v>
      </c>
      <c r="F15" s="1">
        <f>SUM(F3:F14)</f>
        <v>6126.5</v>
      </c>
      <c r="G15" s="23">
        <f t="shared" si="1"/>
        <v>5.4086757990867582</v>
      </c>
      <c r="H15" s="23">
        <f t="shared" si="2"/>
        <v>4.6624809741248097</v>
      </c>
      <c r="I15" s="23">
        <f>SUM(I3:I14)</f>
        <v>1</v>
      </c>
      <c r="J15" s="55">
        <f>SUM(J3:J14)</f>
        <v>1</v>
      </c>
      <c r="K15" s="24">
        <f>SUM(K3:K14)</f>
        <v>970457</v>
      </c>
      <c r="L15" s="24">
        <f>SUM(L3:L14)</f>
        <v>515034</v>
      </c>
      <c r="M15" s="24">
        <f t="shared" si="3"/>
        <v>738.55175038051755</v>
      </c>
      <c r="N15" s="24">
        <f t="shared" si="4"/>
        <v>391.95890410958901</v>
      </c>
      <c r="O15" s="26">
        <f>SUM(O3:O14)</f>
        <v>1</v>
      </c>
      <c r="P15" s="26">
        <f>SUM(P3:P14)</f>
        <v>1</v>
      </c>
      <c r="Q15" s="26">
        <f>SUM(Q3:Q14)</f>
        <v>1</v>
      </c>
      <c r="R15" s="26">
        <f>SUM(R3:R14)</f>
        <v>1</v>
      </c>
      <c r="S15" s="26"/>
      <c r="T15" s="26"/>
      <c r="U15" s="26"/>
      <c r="V15" s="74">
        <f>SUM(V3:V14)</f>
        <v>1356</v>
      </c>
      <c r="W15" s="74"/>
      <c r="X15" s="26"/>
      <c r="Y15" s="30">
        <f t="shared" ref="Y15:AW15" si="54">SUM(Y3:Y14)</f>
        <v>2244684.0333812442</v>
      </c>
      <c r="Z15" s="30" t="e">
        <f t="shared" si="54"/>
        <v>#VALUE!</v>
      </c>
      <c r="AA15" s="30"/>
      <c r="AB15" s="24">
        <f>SUM(AB3:AB14)</f>
        <v>1332</v>
      </c>
      <c r="AC15" s="30">
        <f>SUM(AC3:AC14)</f>
        <v>2244684.0333812442</v>
      </c>
      <c r="AD15" s="30"/>
      <c r="AE15" s="30">
        <f>SUM(AE3:AE14)</f>
        <v>250.38470910752361</v>
      </c>
      <c r="AF15" s="30">
        <f>SUM(AF3:AF14)</f>
        <v>246.956544017608</v>
      </c>
      <c r="AG15" s="30">
        <f>SUM(AG3:AG14)</f>
        <v>2209172.5627544736</v>
      </c>
      <c r="AH15" s="30" t="e">
        <f>SUM(AH3:AH14)</f>
        <v>#DIV/0!</v>
      </c>
      <c r="AI15" s="30"/>
      <c r="AJ15" s="30" t="e">
        <f t="shared" ref="AJ15:AT15" si="55">SUM(AJ3:AJ14)</f>
        <v>#DIV/0!</v>
      </c>
      <c r="AK15" s="30" t="e">
        <f t="shared" si="55"/>
        <v>#DIV/0!</v>
      </c>
      <c r="AL15" s="30">
        <f>SUM(AL3:AL14)</f>
        <v>2034909.0885319235</v>
      </c>
      <c r="AM15" s="30">
        <f t="shared" si="55"/>
        <v>2226928.2980678589</v>
      </c>
      <c r="AN15" s="30">
        <f>SUM(AN3:AN14)</f>
        <v>2162921.8948892136</v>
      </c>
      <c r="AO15" s="30">
        <f t="shared" si="55"/>
        <v>2209172.5627544736</v>
      </c>
      <c r="AP15" s="24">
        <f>SUM(AP3:AP14)</f>
        <v>2034909.0885319237</v>
      </c>
      <c r="AQ15" s="24">
        <f>SUM(AQ3:AQ14)</f>
        <v>1866422.9522049027</v>
      </c>
      <c r="AR15" s="30">
        <f>SUM(AR3:AR14)</f>
        <v>294.677412136736</v>
      </c>
      <c r="AS15" s="30">
        <f t="shared" si="55"/>
        <v>235.47363548480928</v>
      </c>
      <c r="AT15" s="30" t="e">
        <f t="shared" si="55"/>
        <v>#DIV/0!</v>
      </c>
      <c r="AU15" s="30">
        <f>SUM(AU3:AU5)</f>
        <v>247.00208922574188</v>
      </c>
      <c r="AV15" s="30">
        <f>SUM(AV3:AV14)</f>
        <v>1</v>
      </c>
      <c r="AW15" s="29" t="e">
        <f t="shared" si="54"/>
        <v>#VALUE!</v>
      </c>
      <c r="AX15" s="29"/>
      <c r="AY15" s="29" t="e">
        <f>SUM(AY3:AY14)</f>
        <v>#DIV/0!</v>
      </c>
      <c r="AZ15" s="29" t="e">
        <f>SUM(AZ3:AZ14)</f>
        <v>#DIV/0!</v>
      </c>
      <c r="BA15" s="23"/>
      <c r="BB15" s="29"/>
      <c r="BC15" s="29"/>
      <c r="BD15" s="29"/>
      <c r="BE15" s="29"/>
      <c r="BF15" s="29"/>
      <c r="BG15" s="61">
        <v>2209172.5627544736</v>
      </c>
      <c r="BH15" s="18"/>
      <c r="BI15" s="18"/>
      <c r="BJ15" s="18"/>
      <c r="BK15" s="18"/>
      <c r="BL15" s="31">
        <f>BG15/AS15</f>
        <v>9381.8255203223816</v>
      </c>
      <c r="BO15" s="14">
        <f>SUM(EF3,EF4,EF9)</f>
        <v>2.1867187378002653</v>
      </c>
      <c r="BP15" s="1">
        <f>SUM(BP3:BP14)</f>
        <v>14214</v>
      </c>
      <c r="BQ15" s="1">
        <f>SUM(BQ3:BQ14)</f>
        <v>14086</v>
      </c>
      <c r="BR15" s="1"/>
      <c r="BT15" s="24">
        <f>SUM(BT3:BT14)</f>
        <v>16882</v>
      </c>
      <c r="BU15" s="24">
        <f>SUM(BU3:BU14)</f>
        <v>23082</v>
      </c>
      <c r="BV15" s="24">
        <f>SUM(BV3:BV14)</f>
        <v>9557</v>
      </c>
      <c r="BW15" s="1"/>
      <c r="BX15" s="1"/>
      <c r="BY15" s="1"/>
      <c r="BZ15" s="1"/>
      <c r="CA15" s="24">
        <f>SUM(CA3:CA14)</f>
        <v>2161274</v>
      </c>
      <c r="CB15" s="24">
        <f>SUM(CB3:CB14)</f>
        <v>2020868.6802456088</v>
      </c>
      <c r="CC15" s="24">
        <f>SUM(CC3:CC14)</f>
        <v>2161274</v>
      </c>
      <c r="CD15" s="23">
        <f>SUM(CD3:CD14)</f>
        <v>315.11434219148651</v>
      </c>
      <c r="CE15" s="23">
        <f>SUM(CE3:CE14)</f>
        <v>1</v>
      </c>
      <c r="CF15" s="1"/>
      <c r="CG15" s="1"/>
      <c r="CH15" s="24">
        <f>SUM(CH3:CH14)</f>
        <v>5131</v>
      </c>
      <c r="CI15" s="24">
        <f>SUM(CI3:CI14)</f>
        <v>14681</v>
      </c>
      <c r="CJ15" s="24">
        <f>SUM(CJ3:CJ14)</f>
        <v>5034</v>
      </c>
      <c r="CK15" s="24">
        <f>SUM(CK3:CK14)</f>
        <v>5896.0000000000009</v>
      </c>
      <c r="CL15" s="24">
        <f>SUM(CL3:CL14)</f>
        <v>16061</v>
      </c>
      <c r="CM15" s="24"/>
      <c r="CN15" s="24"/>
      <c r="CO15" s="24"/>
      <c r="CP15" s="24"/>
      <c r="CQ15" s="1"/>
      <c r="CR15" s="1"/>
      <c r="CS15" s="1"/>
      <c r="CT15" s="1"/>
      <c r="CU15" s="1"/>
      <c r="CV15" s="1"/>
      <c r="CW15" s="1"/>
      <c r="DC15" s="24">
        <f>SUM(DC3:DC14)</f>
        <v>970457</v>
      </c>
      <c r="DD15" s="24">
        <f>SUM(DD3:DD14)</f>
        <v>980456.7699999999</v>
      </c>
      <c r="DF15" s="24">
        <f t="shared" ref="DF15:DK15" si="56">SUM(DF3:DF14)</f>
        <v>1595531</v>
      </c>
      <c r="DG15" s="24">
        <f t="shared" si="56"/>
        <v>1984718</v>
      </c>
      <c r="DH15" s="24">
        <f t="shared" si="56"/>
        <v>463033</v>
      </c>
      <c r="DI15" s="24">
        <f t="shared" si="56"/>
        <v>1336981</v>
      </c>
      <c r="DJ15" s="24">
        <f t="shared" si="56"/>
        <v>999636</v>
      </c>
      <c r="DK15" s="24">
        <f t="shared" si="56"/>
        <v>2799650</v>
      </c>
      <c r="DL15" s="24"/>
      <c r="DM15" s="24"/>
      <c r="DN15" s="24"/>
      <c r="DO15" s="24">
        <f>SUM(DO3:DO14)</f>
        <v>2058564</v>
      </c>
      <c r="DP15" s="24"/>
      <c r="DQ15" s="24"/>
      <c r="DR15" s="24"/>
      <c r="DS15" s="24"/>
      <c r="DT15" s="24"/>
      <c r="DU15" s="24"/>
      <c r="DV15" s="24"/>
      <c r="DW15" s="24"/>
      <c r="DX15" s="24"/>
      <c r="DY15" s="24"/>
    </row>
    <row r="16" spans="1:138" x14ac:dyDescent="0.35">
      <c r="C16" s="1">
        <v>743</v>
      </c>
      <c r="E16" s="56"/>
      <c r="F16" s="57"/>
      <c r="G16" s="46">
        <f>SUM(G3:G14)</f>
        <v>42.594967630071068</v>
      </c>
      <c r="H16" s="46">
        <f>SUM(H3:H14)</f>
        <v>39.165981771634918</v>
      </c>
      <c r="I16" s="46"/>
      <c r="J16" s="47"/>
      <c r="M16" s="24">
        <f>SUM(M3:M14)</f>
        <v>16513.167234274883</v>
      </c>
      <c r="N16" s="24">
        <f>SUM(N3:N14)</f>
        <v>9619.32608598146</v>
      </c>
      <c r="AA16" s="144" t="s">
        <v>458</v>
      </c>
      <c r="AB16" s="144"/>
      <c r="AC16" s="144"/>
      <c r="AD16" s="144"/>
      <c r="AE16" s="144" t="s">
        <v>459</v>
      </c>
      <c r="AM16" s="18">
        <f>AM15-AG15</f>
        <v>17755.735313385259</v>
      </c>
      <c r="AN16" s="18">
        <f>AN15-AL15</f>
        <v>128012.80635729013</v>
      </c>
      <c r="BA16" s="12"/>
      <c r="BQ16" s="75">
        <f>(BQ15/BP15)*100</f>
        <v>99.099479386520329</v>
      </c>
      <c r="CA16" s="16"/>
      <c r="CB16" s="16">
        <f>CB15-CA15</f>
        <v>-140405.31975439121</v>
      </c>
      <c r="CC16" s="16"/>
      <c r="EA16" s="1" t="s">
        <v>406</v>
      </c>
      <c r="EB16" s="54">
        <f>AVERAGE(EB3:EB14)</f>
        <v>-17900.11181818182</v>
      </c>
    </row>
    <row r="17" spans="1:132" ht="18.5" x14ac:dyDescent="0.45">
      <c r="A17" s="11"/>
      <c r="C17" s="1">
        <f>C16/C15</f>
        <v>0.56544901065449016</v>
      </c>
      <c r="Y17" s="144" t="s">
        <v>460</v>
      </c>
      <c r="AA17" s="18">
        <f>Y3-AA3</f>
        <v>-33362.926536917919</v>
      </c>
      <c r="AB17" s="18"/>
      <c r="AC17" s="18"/>
      <c r="AD17" s="18"/>
      <c r="AE17" s="20">
        <f>ABS(AA17)/Y3</f>
        <v>4.324203557505775E-2</v>
      </c>
      <c r="BA17" s="12"/>
      <c r="BT17" s="12"/>
      <c r="BU17" s="12"/>
      <c r="BV17" s="12"/>
      <c r="BW17" s="12"/>
      <c r="BX17" s="12"/>
      <c r="BY17" s="12">
        <f>AVERAGE(BY3:BY14)</f>
        <v>542.41527272727285</v>
      </c>
      <c r="BZ17" s="12"/>
      <c r="CA17" s="16"/>
      <c r="CB17" s="16"/>
      <c r="CC17" s="16"/>
      <c r="CD17" s="12">
        <f>14750+44060</f>
        <v>58810</v>
      </c>
      <c r="CE17" s="12"/>
      <c r="CF17" s="12"/>
      <c r="CG17" s="12"/>
      <c r="CH17" s="12"/>
      <c r="CI17" s="12"/>
      <c r="CJ17" s="12"/>
      <c r="CK17" s="12"/>
      <c r="CL17" s="291" t="s">
        <v>596</v>
      </c>
      <c r="CM17" s="149">
        <f>CL15/AB15</f>
        <v>12.057807807807809</v>
      </c>
      <c r="CN17" s="149"/>
      <c r="CO17" s="149"/>
      <c r="CP17" s="12"/>
      <c r="CQ17" s="12"/>
      <c r="CR17" s="12">
        <f>AVERAGE(CR3:CR14)</f>
        <v>1334.6363636363637</v>
      </c>
      <c r="CS17" s="12">
        <f>AVERAGE(CS3:CS14)</f>
        <v>193.35464145454551</v>
      </c>
      <c r="CT17" s="12">
        <f>AVERAGE(CT3:CT14)</f>
        <v>5.6843418860808015E-14</v>
      </c>
      <c r="CU17" s="12"/>
      <c r="CV17" s="12"/>
      <c r="CX17" s="1" t="s">
        <v>405</v>
      </c>
      <c r="CY17">
        <f>AVERAGE(CY3:CY14)</f>
        <v>365.81818181818181</v>
      </c>
      <c r="CZ17">
        <f>AVERAGE(CZ3:CZ14)</f>
        <v>358.09090909090907</v>
      </c>
      <c r="DJ17" s="291" t="s">
        <v>596</v>
      </c>
      <c r="DK17" s="16">
        <f>DK15/AB15</f>
        <v>2101.8393393393394</v>
      </c>
      <c r="DS17" s="12">
        <f>AVERAGE(DS3:DS14)</f>
        <v>-135944.25854545456</v>
      </c>
      <c r="DU17" s="12">
        <f>AVERAGE(DU3:DU14)</f>
        <v>187142.18181818182</v>
      </c>
      <c r="DV17" s="12">
        <f>AVERAGE(DV3:DV14)</f>
        <v>8.5988589985804129E-12</v>
      </c>
      <c r="DW17" s="12"/>
      <c r="EA17" s="1" t="s">
        <v>409</v>
      </c>
      <c r="EB17">
        <f>STDEV(EB3:EB14)</f>
        <v>167259.34245642016</v>
      </c>
    </row>
    <row r="18" spans="1:132" ht="18.5" x14ac:dyDescent="0.45">
      <c r="A18" s="11"/>
      <c r="AA18" s="18">
        <f>Y4-AA4</f>
        <v>38909.16160773579</v>
      </c>
      <c r="AB18" s="18"/>
      <c r="AC18" s="18"/>
      <c r="AD18" s="18"/>
      <c r="AE18" s="20">
        <f>AA18/Y4</f>
        <v>3.1208282754471073E-2</v>
      </c>
      <c r="BO18" s="144" t="s">
        <v>445</v>
      </c>
      <c r="BQ18" s="144" t="s">
        <v>408</v>
      </c>
      <c r="BT18" s="12">
        <f>BT15/V15</f>
        <v>12.449852507374631</v>
      </c>
      <c r="BU18" s="12">
        <f>BU15/V15</f>
        <v>17.022123893805311</v>
      </c>
      <c r="BV18" s="12">
        <f>BV15/V15</f>
        <v>7.0479351032448374</v>
      </c>
      <c r="BW18" s="12"/>
      <c r="BX18" s="12"/>
      <c r="BY18" s="12">
        <f>STDEV(BY3:BY14)</f>
        <v>1350.9485611602754</v>
      </c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291" t="s">
        <v>598</v>
      </c>
      <c r="CN18" s="12">
        <f>AVERAGE(CN3:CN14)</f>
        <v>-6.3948846218409017E-14</v>
      </c>
      <c r="CO18" s="12"/>
      <c r="CP18" s="12"/>
      <c r="CQ18" s="12"/>
      <c r="CR18" s="12">
        <f>STDEV(CR3:CR14)</f>
        <v>1881.3499553632903</v>
      </c>
      <c r="CS18" s="12">
        <f>STDEV(CS3:CS14)</f>
        <v>477.32182577960356</v>
      </c>
      <c r="CT18" s="12">
        <f>STDEV(CT3:CT14)</f>
        <v>707.88323385563081</v>
      </c>
      <c r="CU18" s="12"/>
      <c r="CV18" s="12"/>
      <c r="CW18" s="144" t="s">
        <v>445</v>
      </c>
      <c r="CX18" s="1" t="s">
        <v>409</v>
      </c>
      <c r="CY18">
        <f>STDEV(CY3:CY14)</f>
        <v>906.21584825932268</v>
      </c>
      <c r="CZ18">
        <f>STDEV(CZ3:CZ14)</f>
        <v>891.43911228366619</v>
      </c>
      <c r="DD18" s="144" t="s">
        <v>408</v>
      </c>
      <c r="DF18">
        <f>DF15/V15</f>
        <v>1176.6452802359881</v>
      </c>
      <c r="DG18">
        <f>DG15/V15</f>
        <v>1463.656342182891</v>
      </c>
      <c r="DK18" s="291" t="s">
        <v>598</v>
      </c>
      <c r="DL18" s="12">
        <f>AVERAGE(DM3:DM14)</f>
        <v>0</v>
      </c>
      <c r="DS18" s="12">
        <f>STDEV(DS3:DS14)</f>
        <v>508552.74199998355</v>
      </c>
      <c r="DU18" s="12">
        <f>STDEV(DU3:DU14)</f>
        <v>281860.81568420189</v>
      </c>
      <c r="DV18" s="12">
        <f>STDEV(DV3:DV14)</f>
        <v>329681.9049980439</v>
      </c>
      <c r="DW18" s="12"/>
    </row>
    <row r="19" spans="1:132" ht="18.5" x14ac:dyDescent="0.45">
      <c r="A19" s="11"/>
      <c r="AA19" s="18">
        <f>Y5-AA5</f>
        <v>-5546.2350708176091</v>
      </c>
      <c r="AB19" s="18"/>
      <c r="AC19" s="18"/>
      <c r="AD19" s="18"/>
      <c r="AE19" s="20">
        <f>ABS(AA19)/Y5</f>
        <v>2.4498881443969694E-2</v>
      </c>
      <c r="BO19" s="144" t="s">
        <v>414</v>
      </c>
      <c r="BQ19" s="144" t="s">
        <v>413</v>
      </c>
      <c r="BT19">
        <v>9.0611859999999993</v>
      </c>
      <c r="BU19">
        <v>12.622</v>
      </c>
      <c r="BV19">
        <v>5.4794239999999999</v>
      </c>
      <c r="CM19" s="290" t="s">
        <v>599</v>
      </c>
      <c r="CN19" s="12">
        <f>STDEV(CN3:CN14)</f>
        <v>442.30070586976188</v>
      </c>
      <c r="CW19" s="144" t="s">
        <v>414</v>
      </c>
      <c r="DD19" s="144" t="s">
        <v>413</v>
      </c>
      <c r="DF19">
        <v>2041.6220000000001</v>
      </c>
      <c r="DG19">
        <v>2566.4490000000001</v>
      </c>
      <c r="DK19" s="290" t="s">
        <v>599</v>
      </c>
      <c r="DL19" s="12">
        <f>STDEV(DM3:DM14)</f>
        <v>142465.71688161339</v>
      </c>
    </row>
    <row r="20" spans="1:132" ht="18.5" x14ac:dyDescent="0.45">
      <c r="A20" s="11"/>
      <c r="BQ20" s="144" t="s">
        <v>416</v>
      </c>
      <c r="DD20" s="144" t="s">
        <v>417</v>
      </c>
      <c r="DF20">
        <v>2023</v>
      </c>
    </row>
    <row r="21" spans="1:132" ht="18.5" x14ac:dyDescent="0.45">
      <c r="A21" s="11"/>
    </row>
    <row r="22" spans="1:132" ht="18.5" x14ac:dyDescent="0.45">
      <c r="A22" s="11"/>
    </row>
    <row r="23" spans="1:132" ht="18.5" x14ac:dyDescent="0.45">
      <c r="A23" s="11"/>
    </row>
    <row r="24" spans="1:132" ht="18.5" x14ac:dyDescent="0.45">
      <c r="A24" s="11"/>
    </row>
    <row r="25" spans="1:132" ht="18.5" x14ac:dyDescent="0.45">
      <c r="A25" s="11"/>
    </row>
    <row r="26" spans="1:132" ht="18.5" x14ac:dyDescent="0.45">
      <c r="A26" s="11"/>
    </row>
    <row r="27" spans="1:132" ht="18.5" x14ac:dyDescent="0.45">
      <c r="A27" s="11"/>
    </row>
    <row r="28" spans="1:132" ht="18.5" x14ac:dyDescent="0.45">
      <c r="A28" s="11"/>
    </row>
    <row r="29" spans="1:132" ht="18.5" x14ac:dyDescent="0.45">
      <c r="A29" s="11"/>
    </row>
    <row r="30" spans="1:132" ht="18.5" x14ac:dyDescent="0.45">
      <c r="A30" s="11"/>
    </row>
    <row r="31" spans="1:132" ht="18.5" x14ac:dyDescent="0.45">
      <c r="A31" s="11"/>
    </row>
    <row r="32" spans="1:132" ht="18.5" x14ac:dyDescent="0.45">
      <c r="A32" s="11"/>
    </row>
    <row r="33" spans="1:1" ht="18.5" x14ac:dyDescent="0.45">
      <c r="A33" s="11"/>
    </row>
    <row r="34" spans="1:1" ht="18.5" x14ac:dyDescent="0.45">
      <c r="A34" s="11"/>
    </row>
    <row r="35" spans="1:1" ht="18.5" x14ac:dyDescent="0.45">
      <c r="A35" s="11"/>
    </row>
    <row r="36" spans="1:1" ht="18.5" x14ac:dyDescent="0.45">
      <c r="A36" s="11"/>
    </row>
    <row r="37" spans="1:1" ht="18.5" x14ac:dyDescent="0.45">
      <c r="A37" s="11"/>
    </row>
    <row r="38" spans="1:1" ht="18.5" x14ac:dyDescent="0.45">
      <c r="A38" s="11"/>
    </row>
    <row r="39" spans="1:1" ht="18.5" x14ac:dyDescent="0.45">
      <c r="A39" s="11"/>
    </row>
    <row r="40" spans="1:1" ht="18.5" x14ac:dyDescent="0.45">
      <c r="A40" s="11"/>
    </row>
    <row r="41" spans="1:1" ht="18.5" x14ac:dyDescent="0.45">
      <c r="A41" s="11"/>
    </row>
  </sheetData>
  <dataValidations disablePrompts="1" count="1">
    <dataValidation type="list" showInputMessage="1" showErrorMessage="1" sqref="D1" xr:uid="{00000000-0002-0000-0600-000000000000}">
      <formula1>$A$17:$A$41</formula1>
    </dataValidation>
  </dataValidations>
  <pageMargins left="0.75" right="0.75" top="1" bottom="1" header="0.5" footer="0.5"/>
  <pageSetup orientation="portrait" r:id="rId1"/>
  <ignoredErrors>
    <ignoredError sqref="N15 AE18 AU15 CT7:CT14 DV7:DV14 DV3:DV5 CT3:CT5" formula="1"/>
    <ignoredError sqref="H16 V1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D38"/>
  <sheetViews>
    <sheetView topLeftCell="B1" workbookViewId="0">
      <pane ySplit="2" topLeftCell="A3" activePane="bottomLeft" state="frozen"/>
      <selection pane="bottomLeft" activeCell="BU9" sqref="BU9"/>
    </sheetView>
  </sheetViews>
  <sheetFormatPr defaultColWidth="8.54296875" defaultRowHeight="14.5" x14ac:dyDescent="0.35"/>
  <cols>
    <col min="1" max="1" width="48" bestFit="1" customWidth="1"/>
    <col min="2" max="2" width="60.54296875" customWidth="1"/>
    <col min="3" max="3" width="9" style="1" hidden="1" customWidth="1"/>
    <col min="4" max="4" width="16.453125" hidden="1" customWidth="1"/>
    <col min="5" max="5" width="12.1796875" hidden="1" customWidth="1"/>
    <col min="6" max="7" width="13.453125" hidden="1" customWidth="1"/>
    <col min="8" max="9" width="16.453125" hidden="1" customWidth="1"/>
    <col min="10" max="11" width="13.81640625" hidden="1" customWidth="1"/>
    <col min="12" max="13" width="20.1796875" hidden="1" customWidth="1"/>
    <col min="14" max="16" width="14.54296875" hidden="1" customWidth="1"/>
    <col min="17" max="17" width="13.81640625" hidden="1" customWidth="1"/>
    <col min="18" max="19" width="14" hidden="1" customWidth="1"/>
    <col min="20" max="20" width="15.453125" hidden="1" customWidth="1"/>
    <col min="21" max="21" width="14.1796875" hidden="1" customWidth="1"/>
    <col min="22" max="22" width="8.1796875" hidden="1" customWidth="1"/>
    <col min="23" max="23" width="6.453125" hidden="1" customWidth="1"/>
    <col min="24" max="24" width="22" hidden="1" customWidth="1"/>
    <col min="25" max="25" width="11.54296875" hidden="1" customWidth="1"/>
    <col min="26" max="27" width="11.1796875" hidden="1" customWidth="1"/>
    <col min="28" max="28" width="12.1796875" hidden="1" customWidth="1"/>
    <col min="29" max="29" width="12.81640625" hidden="1" customWidth="1"/>
    <col min="30" max="30" width="11.1796875" hidden="1" customWidth="1"/>
    <col min="31" max="32" width="11.54296875" hidden="1" customWidth="1"/>
    <col min="33" max="33" width="14.453125" hidden="1" customWidth="1"/>
    <col min="34" max="34" width="13.54296875" hidden="1" customWidth="1"/>
    <col min="35" max="35" width="11.1796875" hidden="1" customWidth="1"/>
    <col min="36" max="36" width="18.1796875" hidden="1" customWidth="1"/>
    <col min="37" max="37" width="12.54296875" hidden="1" customWidth="1"/>
    <col min="38" max="38" width="8.26953125" bestFit="1" customWidth="1"/>
    <col min="39" max="39" width="9.54296875" hidden="1" customWidth="1"/>
    <col min="40" max="44" width="11.1796875" hidden="1" customWidth="1"/>
    <col min="45" max="45" width="12" customWidth="1"/>
    <col min="46" max="46" width="11.1796875" hidden="1" customWidth="1"/>
    <col min="47" max="47" width="13.453125" hidden="1" customWidth="1"/>
    <col min="48" max="51" width="15" hidden="1" customWidth="1"/>
    <col min="52" max="52" width="11.54296875" hidden="1" customWidth="1"/>
    <col min="53" max="53" width="13.81640625" hidden="1" customWidth="1"/>
    <col min="54" max="54" width="11.54296875" hidden="1" customWidth="1"/>
    <col min="55" max="55" width="18.54296875" hidden="1" customWidth="1"/>
    <col min="56" max="56" width="11.1796875" hidden="1" customWidth="1"/>
    <col min="57" max="57" width="0" hidden="1" customWidth="1"/>
    <col min="58" max="59" width="12.1796875" hidden="1" customWidth="1"/>
    <col min="60" max="60" width="19.54296875" hidden="1" customWidth="1"/>
    <col min="61" max="61" width="12.453125" hidden="1" customWidth="1"/>
    <col min="62" max="62" width="18.1796875" hidden="1" customWidth="1"/>
    <col min="63" max="63" width="10" hidden="1" customWidth="1"/>
    <col min="64" max="64" width="16" hidden="1" customWidth="1"/>
    <col min="65" max="65" width="7.1796875" hidden="1" customWidth="1"/>
    <col min="66" max="66" width="0" hidden="1" customWidth="1"/>
    <col min="67" max="67" width="7.453125" hidden="1" customWidth="1"/>
    <col min="68" max="69" width="10" hidden="1" customWidth="1"/>
    <col min="70" max="70" width="10" customWidth="1"/>
    <col min="71" max="71" width="8.7265625" customWidth="1"/>
    <col min="72" max="72" width="11.1796875" customWidth="1"/>
    <col min="73" max="73" width="10.1796875" bestFit="1" customWidth="1"/>
    <col min="74" max="74" width="12" bestFit="1" customWidth="1"/>
    <col min="75" max="75" width="12.54296875" bestFit="1" customWidth="1"/>
    <col min="76" max="76" width="13.1796875" bestFit="1" customWidth="1"/>
    <col min="77" max="77" width="10" customWidth="1"/>
    <col min="78" max="78" width="7.81640625" bestFit="1" customWidth="1"/>
    <col min="79" max="79" width="9.54296875" hidden="1" customWidth="1"/>
    <col min="80" max="80" width="10.453125" hidden="1" customWidth="1"/>
    <col min="81" max="81" width="12.453125" hidden="1" customWidth="1"/>
    <col min="82" max="82" width="10.1796875" hidden="1" customWidth="1"/>
    <col min="83" max="83" width="12.81640625" hidden="1" customWidth="1"/>
    <col min="84" max="84" width="10.81640625" hidden="1" customWidth="1"/>
    <col min="85" max="85" width="13.1796875" hidden="1" customWidth="1"/>
    <col min="86" max="86" width="11.1796875" hidden="1" customWidth="1"/>
    <col min="87" max="87" width="13.54296875" hidden="1" customWidth="1"/>
    <col min="88" max="88" width="11.54296875" hidden="1" customWidth="1"/>
    <col min="89" max="89" width="9.1796875" hidden="1" customWidth="1"/>
    <col min="90" max="90" width="11.54296875" hidden="1" customWidth="1"/>
    <col min="91" max="91" width="9" hidden="1" customWidth="1"/>
    <col min="92" max="92" width="15" hidden="1" customWidth="1"/>
    <col min="93" max="93" width="11.54296875" hidden="1" customWidth="1"/>
    <col min="94" max="94" width="15.54296875" hidden="1" customWidth="1"/>
    <col min="95" max="95" width="12.453125" hidden="1" customWidth="1"/>
    <col min="96" max="96" width="18.453125" hidden="1" customWidth="1"/>
    <col min="97" max="97" width="9.54296875" hidden="1" customWidth="1"/>
    <col min="98" max="98" width="15.81640625" hidden="1" customWidth="1"/>
    <col min="99" max="100" width="0" hidden="1" customWidth="1"/>
    <col min="101" max="101" width="10.54296875" hidden="1" customWidth="1"/>
    <col min="102" max="102" width="8.453125" bestFit="1" customWidth="1"/>
    <col min="103" max="103" width="8.453125" customWidth="1"/>
    <col min="104" max="107" width="10.54296875" customWidth="1"/>
    <col min="108" max="108" width="8.54296875" bestFit="1" customWidth="1"/>
    <col min="109" max="109" width="10.453125" hidden="1" customWidth="1"/>
    <col min="110" max="110" width="11" hidden="1" customWidth="1"/>
    <col min="111" max="111" width="10.81640625" hidden="1" customWidth="1"/>
    <col min="112" max="112" width="13.54296875" hidden="1" customWidth="1"/>
    <col min="113" max="114" width="11.54296875" hidden="1" customWidth="1"/>
    <col min="115" max="115" width="14.453125" hidden="1" customWidth="1"/>
    <col min="116" max="116" width="10" hidden="1" customWidth="1"/>
    <col min="117" max="117" width="9.81640625" hidden="1" customWidth="1"/>
    <col min="118" max="118" width="12.54296875" hidden="1" customWidth="1"/>
    <col min="119" max="119" width="11.54296875" hidden="1" customWidth="1"/>
    <col min="120" max="120" width="14.81640625" hidden="1" customWidth="1"/>
    <col min="121" max="121" width="11.54296875" hidden="1" customWidth="1"/>
    <col min="122" max="122" width="15.54296875" hidden="1" customWidth="1"/>
    <col min="123" max="123" width="0" hidden="1" customWidth="1"/>
    <col min="124" max="124" width="13.81640625" hidden="1" customWidth="1"/>
    <col min="125" max="125" width="10.81640625" hidden="1" customWidth="1"/>
    <col min="126" max="126" width="10.453125" hidden="1" customWidth="1"/>
    <col min="127" max="127" width="10.453125" customWidth="1"/>
    <col min="128" max="128" width="8.1796875" bestFit="1" customWidth="1"/>
    <col min="129" max="130" width="10.453125" customWidth="1"/>
    <col min="131" max="131" width="11.7265625" bestFit="1" customWidth="1"/>
    <col min="132" max="132" width="11.7265625" customWidth="1"/>
    <col min="133" max="133" width="8.26953125" bestFit="1" customWidth="1"/>
    <col min="134" max="134" width="0" style="12" hidden="1" customWidth="1"/>
  </cols>
  <sheetData>
    <row r="1" spans="1:134" ht="29" x14ac:dyDescent="0.35">
      <c r="C1" s="64"/>
      <c r="D1" s="4" t="s">
        <v>170</v>
      </c>
      <c r="E1" s="4" t="s">
        <v>171</v>
      </c>
      <c r="F1" s="270" t="s">
        <v>268</v>
      </c>
      <c r="G1" s="271" t="s">
        <v>268</v>
      </c>
      <c r="H1" s="272" t="s">
        <v>269</v>
      </c>
      <c r="I1" s="272" t="s">
        <v>269</v>
      </c>
      <c r="J1" s="272"/>
      <c r="K1" s="273"/>
      <c r="L1" s="144"/>
      <c r="M1" s="144" t="s">
        <v>270</v>
      </c>
      <c r="N1" s="144"/>
      <c r="O1" s="144"/>
      <c r="P1" s="144"/>
      <c r="Q1" s="144"/>
      <c r="AS1" s="287" t="s">
        <v>271</v>
      </c>
      <c r="BD1" s="33"/>
      <c r="BI1" t="s">
        <v>273</v>
      </c>
      <c r="BJ1" s="144"/>
      <c r="BR1" s="299">
        <v>1084416</v>
      </c>
    </row>
    <row r="2" spans="1:134" ht="15" customHeight="1" x14ac:dyDescent="0.35">
      <c r="A2" s="5" t="s">
        <v>145</v>
      </c>
      <c r="B2" s="5" t="s">
        <v>146</v>
      </c>
      <c r="C2" s="6" t="s">
        <v>274</v>
      </c>
      <c r="F2" s="42" t="s">
        <v>275</v>
      </c>
      <c r="G2" s="1" t="s">
        <v>418</v>
      </c>
      <c r="H2" s="1" t="s">
        <v>277</v>
      </c>
      <c r="I2" s="1" t="s">
        <v>278</v>
      </c>
      <c r="J2" s="1" t="s">
        <v>280</v>
      </c>
      <c r="K2" s="43" t="s">
        <v>279</v>
      </c>
      <c r="L2" s="1" t="s">
        <v>281</v>
      </c>
      <c r="M2" s="1" t="s">
        <v>282</v>
      </c>
      <c r="N2" s="1" t="s">
        <v>283</v>
      </c>
      <c r="O2" s="1" t="s">
        <v>284</v>
      </c>
      <c r="P2" s="1" t="s">
        <v>280</v>
      </c>
      <c r="Q2" s="1" t="s">
        <v>279</v>
      </c>
      <c r="R2" s="1" t="s">
        <v>285</v>
      </c>
      <c r="S2" s="1" t="s">
        <v>286</v>
      </c>
      <c r="T2" s="1" t="s">
        <v>287</v>
      </c>
      <c r="U2" s="1" t="s">
        <v>288</v>
      </c>
      <c r="V2" s="1" t="s">
        <v>289</v>
      </c>
      <c r="W2" s="1" t="s">
        <v>290</v>
      </c>
      <c r="X2" s="1" t="s">
        <v>461</v>
      </c>
      <c r="Y2" s="1" t="s">
        <v>297</v>
      </c>
      <c r="Z2" s="1" t="s">
        <v>421</v>
      </c>
      <c r="AA2" s="1" t="s">
        <v>302</v>
      </c>
      <c r="AB2" s="1" t="s">
        <v>293</v>
      </c>
      <c r="AC2" s="104" t="s">
        <v>294</v>
      </c>
      <c r="AD2" s="1" t="s">
        <v>422</v>
      </c>
      <c r="AE2" s="1" t="s">
        <v>296</v>
      </c>
      <c r="AF2" s="1" t="s">
        <v>303</v>
      </c>
      <c r="AG2" s="1" t="s">
        <v>423</v>
      </c>
      <c r="AH2" s="1" t="s">
        <v>424</v>
      </c>
      <c r="AI2" s="1" t="s">
        <v>306</v>
      </c>
      <c r="AJ2" s="1" t="s">
        <v>449</v>
      </c>
      <c r="AK2" s="1" t="s">
        <v>425</v>
      </c>
      <c r="AL2" s="1" t="s">
        <v>300</v>
      </c>
      <c r="AM2" s="1" t="s">
        <v>301</v>
      </c>
      <c r="AN2" s="1" t="s">
        <v>297</v>
      </c>
      <c r="AO2" s="1" t="s">
        <v>307</v>
      </c>
      <c r="AP2" s="1" t="s">
        <v>309</v>
      </c>
      <c r="AQ2" s="1" t="s">
        <v>308</v>
      </c>
      <c r="AR2" s="1" t="s">
        <v>310</v>
      </c>
      <c r="AS2" s="1" t="s">
        <v>311</v>
      </c>
      <c r="AT2" s="1" t="s">
        <v>324</v>
      </c>
      <c r="AU2" s="1" t="s">
        <v>312</v>
      </c>
      <c r="AV2" s="1" t="s">
        <v>426</v>
      </c>
      <c r="AW2" s="1" t="s">
        <v>428</v>
      </c>
      <c r="AX2" s="1" t="s">
        <v>427</v>
      </c>
      <c r="AY2" s="1" t="s">
        <v>429</v>
      </c>
      <c r="AZ2" s="1" t="s">
        <v>325</v>
      </c>
      <c r="BA2" s="1" t="s">
        <v>323</v>
      </c>
      <c r="BB2" s="1" t="s">
        <v>313</v>
      </c>
      <c r="BC2" s="1" t="s">
        <v>451</v>
      </c>
      <c r="BD2" s="1"/>
      <c r="BE2" s="1" t="s">
        <v>148</v>
      </c>
      <c r="BG2" s="19" t="s">
        <v>394</v>
      </c>
      <c r="BH2" s="19"/>
      <c r="BI2" s="39">
        <v>1.845</v>
      </c>
      <c r="BJ2" s="12"/>
      <c r="BK2" s="1" t="s">
        <v>327</v>
      </c>
      <c r="BL2" s="1" t="s">
        <v>328</v>
      </c>
      <c r="BM2" s="1" t="s">
        <v>329</v>
      </c>
      <c r="BN2" s="1" t="s">
        <v>330</v>
      </c>
      <c r="BO2" s="1" t="s">
        <v>331</v>
      </c>
      <c r="BP2" s="1" t="s">
        <v>332</v>
      </c>
      <c r="BQ2" s="1" t="s">
        <v>333</v>
      </c>
      <c r="BR2" s="6" t="s">
        <v>352</v>
      </c>
      <c r="BS2" s="1" t="s">
        <v>353</v>
      </c>
      <c r="BT2" s="6" t="s">
        <v>431</v>
      </c>
      <c r="BU2" s="1" t="s">
        <v>355</v>
      </c>
      <c r="BV2" s="1" t="s">
        <v>356</v>
      </c>
      <c r="BW2" s="1" t="s">
        <v>357</v>
      </c>
      <c r="BX2" s="1"/>
      <c r="BY2" s="1"/>
      <c r="BZ2" s="1" t="s">
        <v>358</v>
      </c>
      <c r="CA2" s="1" t="s">
        <v>361</v>
      </c>
      <c r="CB2" s="1" t="s">
        <v>363</v>
      </c>
      <c r="CC2" s="1" t="s">
        <v>362</v>
      </c>
      <c r="CD2" s="1" t="s">
        <v>430</v>
      </c>
      <c r="CE2" s="1" t="s">
        <v>335</v>
      </c>
      <c r="CF2" s="1" t="s">
        <v>365</v>
      </c>
      <c r="CG2" s="1" t="s">
        <v>364</v>
      </c>
      <c r="CH2" s="1" t="s">
        <v>432</v>
      </c>
      <c r="CI2" s="1" t="s">
        <v>337</v>
      </c>
      <c r="CJ2" s="1" t="s">
        <v>351</v>
      </c>
      <c r="CK2" s="1" t="s">
        <v>367</v>
      </c>
      <c r="CL2" s="1" t="s">
        <v>366</v>
      </c>
      <c r="CM2" s="1" t="s">
        <v>433</v>
      </c>
      <c r="CN2" s="1" t="s">
        <v>339</v>
      </c>
      <c r="CO2" s="1" t="s">
        <v>340</v>
      </c>
      <c r="CP2" s="1" t="s">
        <v>341</v>
      </c>
      <c r="CQ2" s="1" t="s">
        <v>342</v>
      </c>
      <c r="CR2" s="1" t="s">
        <v>434</v>
      </c>
      <c r="CS2" s="1" t="s">
        <v>345</v>
      </c>
      <c r="CT2" s="1" t="s">
        <v>346</v>
      </c>
      <c r="CU2" s="1" t="s">
        <v>347</v>
      </c>
      <c r="CV2" s="1" t="s">
        <v>368</v>
      </c>
      <c r="CW2" s="1" t="s">
        <v>369</v>
      </c>
      <c r="CX2" s="1" t="s">
        <v>331</v>
      </c>
      <c r="CY2" s="1" t="s">
        <v>359</v>
      </c>
      <c r="CZ2" s="1" t="s">
        <v>360</v>
      </c>
      <c r="DA2" s="1" t="s">
        <v>597</v>
      </c>
      <c r="DB2" s="1" t="s">
        <v>600</v>
      </c>
      <c r="DC2" s="1" t="s">
        <v>601</v>
      </c>
      <c r="DD2" s="1" t="s">
        <v>370</v>
      </c>
      <c r="DE2" s="1" t="s">
        <v>373</v>
      </c>
      <c r="DF2" s="1" t="s">
        <v>377</v>
      </c>
      <c r="DG2" s="1" t="s">
        <v>374</v>
      </c>
      <c r="DH2" s="1" t="s">
        <v>375</v>
      </c>
      <c r="DI2" s="1" t="s">
        <v>380</v>
      </c>
      <c r="DJ2" s="1" t="s">
        <v>378</v>
      </c>
      <c r="DK2" s="1" t="s">
        <v>376</v>
      </c>
      <c r="DL2" s="1" t="s">
        <v>389</v>
      </c>
      <c r="DM2" s="1" t="s">
        <v>381</v>
      </c>
      <c r="DN2" s="1" t="s">
        <v>379</v>
      </c>
      <c r="DO2" s="1" t="s">
        <v>462</v>
      </c>
      <c r="DP2" s="1" t="s">
        <v>382</v>
      </c>
      <c r="DQ2" s="1" t="s">
        <v>383</v>
      </c>
      <c r="DR2" s="1" t="s">
        <v>384</v>
      </c>
      <c r="DS2" s="1" t="s">
        <v>385</v>
      </c>
      <c r="DT2" s="1" t="s">
        <v>387</v>
      </c>
      <c r="DU2" s="1" t="s">
        <v>463</v>
      </c>
      <c r="DV2" s="1" t="s">
        <v>464</v>
      </c>
      <c r="DW2" s="1" t="s">
        <v>368</v>
      </c>
      <c r="DX2" s="1" t="s">
        <v>371</v>
      </c>
      <c r="DY2" s="1" t="s">
        <v>372</v>
      </c>
      <c r="DZ2" s="1" t="s">
        <v>602</v>
      </c>
      <c r="EA2" s="1" t="s">
        <v>603</v>
      </c>
      <c r="EB2" s="1" t="s">
        <v>604</v>
      </c>
      <c r="EC2" s="1" t="s">
        <v>606</v>
      </c>
      <c r="ED2" s="23" t="s">
        <v>465</v>
      </c>
    </row>
    <row r="3" spans="1:134" x14ac:dyDescent="0.35">
      <c r="A3" s="7" t="s">
        <v>191</v>
      </c>
      <c r="B3" s="7" t="s">
        <v>193</v>
      </c>
      <c r="C3" s="144">
        <f t="shared" ref="C3:C11" si="0">SUM(D3:E3)</f>
        <v>41</v>
      </c>
      <c r="D3" s="144">
        <v>41</v>
      </c>
      <c r="E3" s="144">
        <v>0</v>
      </c>
      <c r="F3" s="146">
        <v>485.5</v>
      </c>
      <c r="G3" s="144">
        <v>299</v>
      </c>
      <c r="H3" s="147">
        <f>F3/C3</f>
        <v>11.841463414634147</v>
      </c>
      <c r="I3" s="147">
        <f>G3/C3</f>
        <v>7.2926829268292686</v>
      </c>
      <c r="J3" s="147">
        <f>H3/H$14</f>
        <v>0.26855711961887407</v>
      </c>
      <c r="K3" s="148">
        <f>I3/I14</f>
        <v>0.28933640284874024</v>
      </c>
      <c r="L3" s="142">
        <v>53270</v>
      </c>
      <c r="M3" s="142">
        <v>0</v>
      </c>
      <c r="N3" s="142">
        <f>L3/C3</f>
        <v>1299.2682926829268</v>
      </c>
      <c r="O3" s="142"/>
      <c r="P3" s="147">
        <f>N3/N$13</f>
        <v>0.20931699390894795</v>
      </c>
      <c r="Q3" s="147"/>
      <c r="R3" s="147">
        <f t="shared" ref="R3:R11" si="1">(0.6*K3)+(0.4*Q3)</f>
        <v>0.17360184170924414</v>
      </c>
      <c r="S3" s="147">
        <f t="shared" ref="S3:S11" si="2">(0.6*J3)+(0.4*P3)</f>
        <v>0.24486106933490365</v>
      </c>
      <c r="T3" s="149">
        <v>-7.2999999999999995E-2</v>
      </c>
      <c r="U3" s="144">
        <v>0.38</v>
      </c>
      <c r="V3" s="145">
        <v>41</v>
      </c>
      <c r="W3" s="149">
        <v>0.32747375497885034</v>
      </c>
      <c r="X3" s="12">
        <f>(0.6*CR3)+(0.4*DT3)</f>
        <v>9.1132766323651221E-2</v>
      </c>
      <c r="AA3" s="34" t="e">
        <f>AI3*BH$8</f>
        <v>#DIV/0!</v>
      </c>
      <c r="AF3" s="34" t="e">
        <f>SUM(AG3:AH3)</f>
        <v>#VALUE!</v>
      </c>
      <c r="AG3" s="34" t="e">
        <f>AW3*BH6</f>
        <v>#VALUE!</v>
      </c>
      <c r="AH3" s="18"/>
      <c r="AI3" s="28" t="e">
        <f>BB4*V3</f>
        <v>#DIV/0!</v>
      </c>
      <c r="AL3" s="16">
        <v>35</v>
      </c>
      <c r="AN3" s="18"/>
      <c r="AO3" s="18"/>
      <c r="AP3" s="18"/>
      <c r="AV3" s="28" t="e">
        <f>CJ3/BJ9</f>
        <v>#VALUE!</v>
      </c>
      <c r="AW3" s="28" t="e">
        <f>V3*AV3</f>
        <v>#VALUE!</v>
      </c>
      <c r="AX3" s="28"/>
      <c r="AY3" s="28"/>
      <c r="AZ3" s="28"/>
      <c r="BA3" s="28"/>
      <c r="BB3" s="12" t="e">
        <f>DU3/BJ5</f>
        <v>#DIV/0!</v>
      </c>
      <c r="BD3" s="18"/>
      <c r="BF3" s="19"/>
      <c r="BG3" s="30"/>
      <c r="BH3" s="27"/>
      <c r="BK3">
        <v>971</v>
      </c>
      <c r="BL3">
        <v>971</v>
      </c>
      <c r="BM3">
        <f>BK3-BL3</f>
        <v>0</v>
      </c>
      <c r="BN3">
        <v>139</v>
      </c>
      <c r="BO3" s="142">
        <v>872</v>
      </c>
      <c r="BP3" s="142">
        <v>1230</v>
      </c>
      <c r="BQ3" s="142">
        <v>410</v>
      </c>
      <c r="BR3" s="142"/>
      <c r="BS3" s="142"/>
      <c r="BT3" s="142"/>
      <c r="BU3" s="142"/>
      <c r="BV3" s="149"/>
      <c r="BW3" s="149"/>
      <c r="BX3" s="149" t="s">
        <v>393</v>
      </c>
      <c r="BY3" s="149">
        <f>SUM(EC4,EC5)</f>
        <v>1.8527915996460558</v>
      </c>
      <c r="BZ3" s="142">
        <v>209</v>
      </c>
      <c r="CA3" s="142">
        <f t="shared" ref="CA3:CA11" si="3">BQ3+BZ3</f>
        <v>619</v>
      </c>
      <c r="CB3" s="142">
        <f t="shared" ref="CB3:CB11" si="4">V3*BZ$16</f>
        <v>0</v>
      </c>
      <c r="CC3" s="142">
        <f t="shared" ref="CC3:CC11" si="5">V3*BQ$16</f>
        <v>391.61219700000004</v>
      </c>
      <c r="CD3" s="142">
        <f>V3*BO$15</f>
        <v>689.22554890219556</v>
      </c>
      <c r="CE3" s="142">
        <f t="shared" ref="CE3:CE11" si="6">V3*BP$16</f>
        <v>830.947</v>
      </c>
      <c r="CF3" s="142">
        <f t="shared" ref="CF3:CF11" si="7">CA3-CC3</f>
        <v>227.38780299999996</v>
      </c>
      <c r="CG3" s="142">
        <f t="shared" ref="CG3:CG11" si="8">BQ3-CC3</f>
        <v>18.387802999999963</v>
      </c>
      <c r="CH3" s="142">
        <f t="shared" ref="CH3:CH6" si="9">BO3-CD3</f>
        <v>182.77445109780444</v>
      </c>
      <c r="CI3" s="142">
        <f t="shared" ref="CI3:CI11" si="10">BP3-CE3</f>
        <v>399.053</v>
      </c>
      <c r="CJ3" s="150">
        <f>(CI3-CI$12)/CI$13</f>
        <v>0.48301581273839389</v>
      </c>
      <c r="CK3" s="149">
        <f t="shared" ref="CK3:CK11" si="11">(CF3-CF$12)/CF$13</f>
        <v>-0.29318177315576893</v>
      </c>
      <c r="CL3" s="149">
        <f t="shared" ref="CL3:CL11" si="12">(CG3-CG$12)/CG$13</f>
        <v>-4.6347015408837622E-2</v>
      </c>
      <c r="CM3" s="150">
        <f>(CH3-CH$12)/CH$13</f>
        <v>0.31663692398675536</v>
      </c>
      <c r="CN3">
        <v>151</v>
      </c>
      <c r="CO3">
        <f>BK3-BN3</f>
        <v>832</v>
      </c>
      <c r="CP3">
        <f>BL3-CN3</f>
        <v>820</v>
      </c>
      <c r="CQ3">
        <v>0.187</v>
      </c>
      <c r="CR3" s="12">
        <f>(CP3-CP$13)/CP$14</f>
        <v>0.19024164020366996</v>
      </c>
      <c r="CS3" s="16">
        <v>53270</v>
      </c>
      <c r="CT3" s="16">
        <v>19870.25</v>
      </c>
      <c r="CU3">
        <v>74227</v>
      </c>
      <c r="CV3" s="142">
        <v>68870</v>
      </c>
      <c r="CW3" s="142">
        <v>103871</v>
      </c>
      <c r="CX3" s="142">
        <v>181</v>
      </c>
      <c r="CY3" s="142">
        <v>188.3</v>
      </c>
      <c r="CZ3" s="142">
        <f>BZ3+CX3+CY3</f>
        <v>578.29999999999995</v>
      </c>
      <c r="DA3" s="142">
        <f>AL3*CZ$14</f>
        <v>601.46760563380269</v>
      </c>
      <c r="DB3" s="142">
        <f>CZ3-DA3</f>
        <v>-23.167605633802737</v>
      </c>
      <c r="DC3" s="274">
        <f>(DB3-DA$15)/DA$16</f>
        <v>-6.2668545460516797E-2</v>
      </c>
      <c r="DD3" s="142">
        <v>50000</v>
      </c>
      <c r="DE3" s="142">
        <f t="shared" ref="DE3:DE11" si="13">CV3+DD3</f>
        <v>118870</v>
      </c>
      <c r="DF3" s="142">
        <f t="shared" ref="DF3:DF11" si="14">V3*DD$16</f>
        <v>0</v>
      </c>
      <c r="DG3" s="142">
        <f>V3*CV$15</f>
        <v>37129.960079840319</v>
      </c>
      <c r="DH3" s="142">
        <f>V3*CW$16</f>
        <v>56702.426000000007</v>
      </c>
      <c r="DI3" s="142">
        <f t="shared" ref="DI3:DI11" si="15">DE3-DF3</f>
        <v>118870</v>
      </c>
      <c r="DJ3" s="142">
        <f>CV3-DG3</f>
        <v>31740.039920159681</v>
      </c>
      <c r="DK3" s="142">
        <f t="shared" ref="DK3:DK11" si="16">CW3-DH3</f>
        <v>47168.573999999993</v>
      </c>
      <c r="DL3" s="149">
        <f t="shared" ref="DL3:DL11" si="17">(DI3-DI$12)/DI$13</f>
        <v>-3.3407153619593823E-2</v>
      </c>
      <c r="DM3" s="274">
        <f t="shared" ref="DM3:DN6" si="18">(DJ3-DJ$12)/DJ$13</f>
        <v>0.43000007087992298</v>
      </c>
      <c r="DN3" s="274">
        <f t="shared" si="18"/>
        <v>0.65730235018291916</v>
      </c>
      <c r="DO3" s="274">
        <f>(0.6*CM3)+(0.4*DM3)</f>
        <v>0.36198218274402238</v>
      </c>
      <c r="DP3">
        <v>22333</v>
      </c>
      <c r="DQ3">
        <f>CS3-CU3</f>
        <v>-20957</v>
      </c>
      <c r="DR3" s="16">
        <f>CT3-DP3</f>
        <v>-2462.75</v>
      </c>
      <c r="DS3">
        <v>-0.46300000000000002</v>
      </c>
      <c r="DT3" s="12">
        <f>(DR3-DR$13)/DR$14</f>
        <v>-5.7530544496376894E-2</v>
      </c>
      <c r="DU3" s="14">
        <f>(0.6*CJ3)+(0.4*DN3)</f>
        <v>0.55273042771620395</v>
      </c>
      <c r="DV3" s="12">
        <f t="shared" ref="DV3:DV11" si="19">(0.6*CL3)+(0.4*DM3)</f>
        <v>0.14419181910666662</v>
      </c>
      <c r="DW3" s="16">
        <v>11200</v>
      </c>
      <c r="DX3" s="16">
        <v>61943</v>
      </c>
      <c r="DY3" s="16">
        <f>DD3+DW3+DX3</f>
        <v>123143</v>
      </c>
      <c r="DZ3" s="16">
        <f>AL3*DY$14</f>
        <v>159006.31455399061</v>
      </c>
      <c r="EA3" s="16">
        <f>DY3-DZ3</f>
        <v>-35863.314553990611</v>
      </c>
      <c r="EB3" s="12">
        <f>(EA3-DZ$15)/DZ$16</f>
        <v>-9.7254123754940955E-2</v>
      </c>
      <c r="EC3" s="12">
        <f>(0.6*DC3)+(0.4*EB3)</f>
        <v>-7.6502776778286458E-2</v>
      </c>
      <c r="ED3" s="12">
        <f t="shared" ref="ED3:ED11" si="20">(0.6*CK3)+(0.4*DL3)</f>
        <v>-0.18927192534129889</v>
      </c>
    </row>
    <row r="4" spans="1:134" x14ac:dyDescent="0.35">
      <c r="A4" s="8" t="s">
        <v>191</v>
      </c>
      <c r="B4" s="8" t="s">
        <v>63</v>
      </c>
      <c r="C4" s="144">
        <f t="shared" si="0"/>
        <v>94</v>
      </c>
      <c r="D4" s="144">
        <v>94</v>
      </c>
      <c r="E4" s="144">
        <v>0</v>
      </c>
      <c r="F4" s="146">
        <v>831.5</v>
      </c>
      <c r="G4" s="144">
        <v>502.5</v>
      </c>
      <c r="H4" s="147">
        <f>F4/C4</f>
        <v>8.8457446808510642</v>
      </c>
      <c r="I4" s="147">
        <f>G4/C4</f>
        <v>5.3457446808510642</v>
      </c>
      <c r="J4" s="147">
        <f>H4/H$14</f>
        <v>0.20061605809949923</v>
      </c>
      <c r="K4" s="148">
        <f>I4/I14</f>
        <v>0.21209183945389493</v>
      </c>
      <c r="L4" s="142">
        <v>95610</v>
      </c>
      <c r="M4" s="142">
        <v>206835</v>
      </c>
      <c r="N4" s="142">
        <f>L4/C4</f>
        <v>1017.1276595744681</v>
      </c>
      <c r="O4" s="142">
        <f>M4/C4</f>
        <v>2200.372340425532</v>
      </c>
      <c r="P4" s="147">
        <f>N4/N$13</f>
        <v>0.16386307995259297</v>
      </c>
      <c r="Q4" s="147">
        <f>O4/O13</f>
        <v>0.5199270859060815</v>
      </c>
      <c r="R4" s="147">
        <f t="shared" si="1"/>
        <v>0.33522593803476952</v>
      </c>
      <c r="S4" s="147">
        <f t="shared" si="2"/>
        <v>0.18591486684073671</v>
      </c>
      <c r="T4" s="150">
        <v>1.2450000000000001</v>
      </c>
      <c r="U4" s="151">
        <v>1.1499999999999999</v>
      </c>
      <c r="V4" s="145">
        <v>91</v>
      </c>
      <c r="W4" s="150">
        <v>0.8574343023159241</v>
      </c>
      <c r="X4" s="14">
        <f>(0.6*CR4)+(0.4*DT4)</f>
        <v>1.2824316499498281</v>
      </c>
      <c r="Y4" s="34">
        <f>AD4*BG3</f>
        <v>0</v>
      </c>
      <c r="Z4" s="34" t="e">
        <f>AE4*C4</f>
        <v>#VALUE!</v>
      </c>
      <c r="AA4" s="34" t="e">
        <f>AI4*BH$8</f>
        <v>#DIV/0!</v>
      </c>
      <c r="AB4" s="34" t="e">
        <f>AJ4*BH$3</f>
        <v>#DIV/0!</v>
      </c>
      <c r="AC4" s="30" t="e">
        <f>AB4-Y4</f>
        <v>#DIV/0!</v>
      </c>
      <c r="AD4" s="30">
        <f>AK4*C4</f>
        <v>63.430894308943103</v>
      </c>
      <c r="AE4" s="28" t="e">
        <f>U4/BG2</f>
        <v>#VALUE!</v>
      </c>
      <c r="AF4" s="34" t="e">
        <f>SUM(AG4:AH4)</f>
        <v>#VALUE!</v>
      </c>
      <c r="AG4" s="34" t="e">
        <f>AW4*BH6</f>
        <v>#VALUE!</v>
      </c>
      <c r="AH4" s="18"/>
      <c r="AI4" s="28" t="e">
        <f>BB4*V4</f>
        <v>#DIV/0!</v>
      </c>
      <c r="AJ4" s="29" t="e">
        <f>BC4*C4</f>
        <v>#DIV/0!</v>
      </c>
      <c r="AK4" s="28">
        <f>T4/BI$2</f>
        <v>0.67479674796747979</v>
      </c>
      <c r="AL4" s="16">
        <v>89</v>
      </c>
      <c r="AM4" s="35">
        <v>619562.86625499919</v>
      </c>
      <c r="AN4" s="35">
        <f>AU4*BH13</f>
        <v>724506.69635332667</v>
      </c>
      <c r="AO4" s="35">
        <f>AT4*BH$10</f>
        <v>786199.48757345218</v>
      </c>
      <c r="AP4" s="35">
        <f>AVERAGE(AM4,AR4,AO4)</f>
        <v>716537.94985295879</v>
      </c>
      <c r="AQ4" s="35">
        <f>AVERAGE(AM4,AN4)</f>
        <v>672034.78130416293</v>
      </c>
      <c r="AR4" s="34">
        <f>AQ4+(AQ14*BA4)</f>
        <v>743851.495730425</v>
      </c>
      <c r="AS4" s="128">
        <f>AP4-(AP$14*AZ4)</f>
        <v>769818.21637967043</v>
      </c>
      <c r="AT4" s="30">
        <f>V4*AZ4</f>
        <v>60.310809471683804</v>
      </c>
      <c r="AU4" s="28">
        <f>V4*BA4</f>
        <v>55.075770445184197</v>
      </c>
      <c r="AV4" s="28" t="e">
        <f>CJ4/BJ9</f>
        <v>#VALUE!</v>
      </c>
      <c r="AW4" s="28" t="e">
        <f>V4*AV4</f>
        <v>#VALUE!</v>
      </c>
      <c r="AX4" s="28"/>
      <c r="AY4" s="28"/>
      <c r="AZ4" s="12">
        <f>ED4/BJ$10</f>
        <v>0.66275614804048133</v>
      </c>
      <c r="BA4" s="28">
        <f>DV4/BJ$14</f>
        <v>0.60522824665037578</v>
      </c>
      <c r="BB4" s="12" t="e">
        <f>DU4/BJ5</f>
        <v>#DIV/0!</v>
      </c>
      <c r="BC4" s="28" t="e">
        <f>X4/BJ$2</f>
        <v>#DIV/0!</v>
      </c>
      <c r="BE4" s="20"/>
      <c r="BF4" s="1"/>
      <c r="BJ4" s="144"/>
      <c r="BK4">
        <v>1663</v>
      </c>
      <c r="BL4">
        <v>1662</v>
      </c>
      <c r="BM4">
        <f>BK4-BL4</f>
        <v>1</v>
      </c>
      <c r="BN4">
        <v>318</v>
      </c>
      <c r="BO4" s="142">
        <v>2437</v>
      </c>
      <c r="BP4" s="142">
        <v>3030</v>
      </c>
      <c r="BQ4" s="142">
        <v>1899</v>
      </c>
      <c r="BR4" s="267">
        <v>610415.99495326576</v>
      </c>
      <c r="BS4" s="296">
        <f>BV4*BY4</f>
        <v>314823.49570011039</v>
      </c>
      <c r="BT4" s="142">
        <f>AVERAGE(AS4,BR4,BS4)</f>
        <v>565019.23567768221</v>
      </c>
      <c r="BU4" s="296">
        <f>BT4-(BW4*BT$14)</f>
        <v>570248.06947790657</v>
      </c>
      <c r="BV4" s="149">
        <f>AL4*BW4</f>
        <v>14.112651355902923</v>
      </c>
      <c r="BW4" s="149">
        <f>EC4/BY3</f>
        <v>0.1585691163584598</v>
      </c>
      <c r="BX4" s="149" t="s">
        <v>396</v>
      </c>
      <c r="BY4" s="142">
        <f>BR1/BV13</f>
        <v>22307.891533679009</v>
      </c>
      <c r="BZ4" s="142">
        <v>887</v>
      </c>
      <c r="CA4" s="142">
        <f t="shared" si="3"/>
        <v>2786</v>
      </c>
      <c r="CB4" s="142">
        <f t="shared" si="4"/>
        <v>0</v>
      </c>
      <c r="CC4" s="142">
        <f t="shared" si="5"/>
        <v>869.1880470000001</v>
      </c>
      <c r="CD4" s="142">
        <f>V4*BO$15</f>
        <v>1529.744510978044</v>
      </c>
      <c r="CE4" s="142">
        <f t="shared" si="6"/>
        <v>1844.297</v>
      </c>
      <c r="CF4" s="154">
        <f t="shared" si="7"/>
        <v>1916.8119529999999</v>
      </c>
      <c r="CG4" s="142">
        <f t="shared" si="8"/>
        <v>1029.8119529999999</v>
      </c>
      <c r="CH4" s="142">
        <f t="shared" si="9"/>
        <v>907.25548902195601</v>
      </c>
      <c r="CI4" s="142">
        <f t="shared" si="10"/>
        <v>1185.703</v>
      </c>
      <c r="CJ4" s="150">
        <f>(CI4-CI$12)/CI$13</f>
        <v>1.5916748863104877</v>
      </c>
      <c r="CK4" s="150">
        <f t="shared" si="11"/>
        <v>2.0366138454901677</v>
      </c>
      <c r="CL4" s="150">
        <f t="shared" si="12"/>
        <v>1.8705398493313603</v>
      </c>
      <c r="CM4" s="150">
        <f>(CH4-CH$12)/CH$13</f>
        <v>1.6413433267385462</v>
      </c>
      <c r="CN4">
        <v>345</v>
      </c>
      <c r="CO4">
        <f>BK4-BN4</f>
        <v>1345</v>
      </c>
      <c r="CP4">
        <f>BL4-CN4</f>
        <v>1317</v>
      </c>
      <c r="CQ4">
        <v>1.343</v>
      </c>
      <c r="CR4" s="12">
        <f>(CP4-CP$13)/CP$14</f>
        <v>1.3271165321622753</v>
      </c>
      <c r="CS4" s="16">
        <v>95610</v>
      </c>
      <c r="CT4" s="16">
        <v>95610.05</v>
      </c>
      <c r="CU4">
        <v>46062</v>
      </c>
      <c r="CV4" s="142">
        <v>47948</v>
      </c>
      <c r="CW4" s="142">
        <v>95610</v>
      </c>
      <c r="CX4" s="142">
        <v>591</v>
      </c>
      <c r="CY4" s="142">
        <v>451.8</v>
      </c>
      <c r="CZ4" s="142">
        <f t="shared" ref="CZ4:CZ11" si="21">BZ4+CX4+CY4</f>
        <v>1929.8</v>
      </c>
      <c r="DA4" s="142">
        <f>AL4*CZ$14</f>
        <v>1529.4461971830983</v>
      </c>
      <c r="DB4" s="142">
        <f>CZ4-DA4</f>
        <v>400.35380281690163</v>
      </c>
      <c r="DC4" s="278">
        <f>(DB4-DA$15)/DA$16</f>
        <v>1.0829600127306458</v>
      </c>
      <c r="DD4" s="142">
        <v>30086</v>
      </c>
      <c r="DE4" s="142">
        <f t="shared" si="13"/>
        <v>78034</v>
      </c>
      <c r="DF4" s="142">
        <f t="shared" si="14"/>
        <v>0</v>
      </c>
      <c r="DG4" s="142">
        <f>V4*CV$15</f>
        <v>82410.399201596811</v>
      </c>
      <c r="DH4" s="142">
        <f>V4*CW$16</f>
        <v>125851.72600000001</v>
      </c>
      <c r="DI4" s="142">
        <f t="shared" si="15"/>
        <v>78034</v>
      </c>
      <c r="DJ4" s="142">
        <f>CV4-DG4</f>
        <v>-34462.399201596811</v>
      </c>
      <c r="DK4" s="142">
        <f t="shared" si="16"/>
        <v>-30241.72600000001</v>
      </c>
      <c r="DL4" s="149">
        <f t="shared" si="17"/>
        <v>-0.49014628105732705</v>
      </c>
      <c r="DM4" s="274">
        <f t="shared" si="18"/>
        <v>-0.48174654352919599</v>
      </c>
      <c r="DN4" s="274">
        <f t="shared" si="18"/>
        <v>-0.14010991453585683</v>
      </c>
      <c r="DO4" s="278">
        <f>(0.6*CM4)+(0.4*DM4)</f>
        <v>0.79210737863144931</v>
      </c>
      <c r="DP4">
        <v>47386</v>
      </c>
      <c r="DQ4">
        <f t="shared" ref="DQ4:DQ11" si="22">CS4-CU4</f>
        <v>49548</v>
      </c>
      <c r="DR4" s="16">
        <f>CT4-DP4</f>
        <v>48224.05</v>
      </c>
      <c r="DS4">
        <v>1.0980000000000001</v>
      </c>
      <c r="DT4" s="12">
        <f>(DR4-DR$13)/DR$14</f>
        <v>1.2154043266311574</v>
      </c>
      <c r="DU4" s="14">
        <f>(0.6*CJ4)+(0.4*DN4)</f>
        <v>0.89896096597194974</v>
      </c>
      <c r="DV4" s="14">
        <f t="shared" si="19"/>
        <v>0.92962529218713785</v>
      </c>
      <c r="DW4" s="16">
        <v>14497</v>
      </c>
      <c r="DX4" s="16">
        <v>31570</v>
      </c>
      <c r="DY4" s="16">
        <f t="shared" ref="DY4:DY11" si="23">DD4+DW4+DX4</f>
        <v>76153</v>
      </c>
      <c r="DZ4" s="16">
        <f>AL4*DY$14</f>
        <v>404330.34272300469</v>
      </c>
      <c r="EA4" s="16">
        <f t="shared" ref="EA4:EA11" si="24">DY4-DZ4</f>
        <v>-328177.34272300469</v>
      </c>
      <c r="EB4" s="12">
        <f>(EA4-DZ$15)/DZ$16</f>
        <v>-0.88995120221533797</v>
      </c>
      <c r="EC4" s="14">
        <f>(0.6*DC4)+(0.4*EB4)</f>
        <v>0.29379552675225229</v>
      </c>
      <c r="ED4" s="14">
        <f t="shared" si="20"/>
        <v>1.0259097948711697</v>
      </c>
    </row>
    <row r="5" spans="1:134" x14ac:dyDescent="0.35">
      <c r="A5" s="7" t="s">
        <v>191</v>
      </c>
      <c r="B5" s="7" t="s">
        <v>64</v>
      </c>
      <c r="C5" s="144">
        <f t="shared" si="0"/>
        <v>46</v>
      </c>
      <c r="D5" s="144">
        <v>46</v>
      </c>
      <c r="E5" s="144">
        <v>0</v>
      </c>
      <c r="F5" s="146">
        <v>296.5</v>
      </c>
      <c r="G5" s="144">
        <v>75</v>
      </c>
      <c r="H5" s="147">
        <f>F5/C5</f>
        <v>6.4456521739130439</v>
      </c>
      <c r="I5" s="147">
        <f>G5/C5</f>
        <v>1.6304347826086956</v>
      </c>
      <c r="J5" s="147">
        <f>H5/H$14</f>
        <v>0.14618343369215256</v>
      </c>
      <c r="K5" s="148">
        <f>I5/I14</f>
        <v>6.4687322870428679E-2</v>
      </c>
      <c r="L5" s="142">
        <v>107767</v>
      </c>
      <c r="M5" s="142">
        <v>15893</v>
      </c>
      <c r="N5" s="142">
        <f>L5/C5</f>
        <v>2342.7608695652175</v>
      </c>
      <c r="O5" s="142">
        <f>M5/C5</f>
        <v>345.5</v>
      </c>
      <c r="P5" s="147">
        <f>N5/N$13</f>
        <v>0.37742756090221652</v>
      </c>
      <c r="Q5" s="147">
        <f>O5/O13</f>
        <v>8.1638368598021649E-2</v>
      </c>
      <c r="R5" s="147">
        <f t="shared" si="1"/>
        <v>7.146774116146587E-2</v>
      </c>
      <c r="S5" s="147">
        <f t="shared" si="2"/>
        <v>0.23868108457617815</v>
      </c>
      <c r="T5" s="149">
        <v>-8.2000000000000003E-2</v>
      </c>
      <c r="U5" s="144">
        <v>-0.56999999999999995</v>
      </c>
      <c r="V5" s="145">
        <v>40</v>
      </c>
      <c r="W5" s="150">
        <v>0.47100078012510938</v>
      </c>
      <c r="X5" s="12">
        <f>(0.6*CR5)+(0.4*DT5)</f>
        <v>-0.52741220674062139</v>
      </c>
      <c r="Y5" s="30"/>
      <c r="Z5" s="18"/>
      <c r="AA5" s="30"/>
      <c r="AB5" s="18"/>
      <c r="AC5" s="18"/>
      <c r="AD5" s="18"/>
      <c r="AE5" s="28"/>
      <c r="AF5" s="34" t="e">
        <f>SUM(AG5:AH5)</f>
        <v>#DIV/0!</v>
      </c>
      <c r="AG5" s="18"/>
      <c r="AH5" s="34" t="e">
        <f>AY5*BH10</f>
        <v>#DIV/0!</v>
      </c>
      <c r="AI5" s="28"/>
      <c r="AJ5" s="28"/>
      <c r="AK5" s="28"/>
      <c r="AL5" s="16">
        <v>41</v>
      </c>
      <c r="AM5" s="18"/>
      <c r="AN5" s="18"/>
      <c r="AO5" s="18"/>
      <c r="AP5" s="18"/>
      <c r="AQ5" s="18"/>
      <c r="AR5" s="18">
        <v>0</v>
      </c>
      <c r="AS5" s="18">
        <v>0</v>
      </c>
      <c r="AT5" s="18"/>
      <c r="AU5" s="28"/>
      <c r="AV5" s="28"/>
      <c r="AW5" s="28"/>
      <c r="AX5" s="28" t="e">
        <f>DN5/BJ11</f>
        <v>#DIV/0!</v>
      </c>
      <c r="AY5" s="279" t="e">
        <f>V5*AX5</f>
        <v>#DIV/0!</v>
      </c>
      <c r="AZ5" s="149"/>
      <c r="BA5" s="279"/>
      <c r="BB5" s="12"/>
      <c r="BC5" s="28"/>
      <c r="BD5" s="144"/>
      <c r="BH5" s="144"/>
      <c r="BJ5" s="12"/>
      <c r="BK5">
        <v>593</v>
      </c>
      <c r="BL5">
        <v>598</v>
      </c>
      <c r="BM5">
        <f>BK5-BL5</f>
        <v>-5</v>
      </c>
      <c r="BN5">
        <v>156</v>
      </c>
      <c r="BO5" s="142">
        <v>821</v>
      </c>
      <c r="BP5" s="142">
        <v>904</v>
      </c>
      <c r="BQ5" s="142">
        <v>455</v>
      </c>
      <c r="BR5" s="267">
        <v>101180.65016610327</v>
      </c>
      <c r="BS5" s="296">
        <f>BV5*BY4</f>
        <v>769592.50429988955</v>
      </c>
      <c r="BT5" s="142">
        <f>AVERAGE(AS5,BR5,BS5)</f>
        <v>290257.71815533092</v>
      </c>
      <c r="BU5" s="296">
        <f>BT5-(BW5*BT$14)</f>
        <v>318003.99275139807</v>
      </c>
      <c r="BV5" s="149">
        <f>AL5*BW5</f>
        <v>34.498666229303147</v>
      </c>
      <c r="BW5" s="149">
        <f>EC5/BY3</f>
        <v>0.84143088364154017</v>
      </c>
      <c r="BX5" s="142"/>
      <c r="BY5" s="142"/>
      <c r="BZ5" s="142">
        <v>369</v>
      </c>
      <c r="CA5" s="142">
        <f t="shared" si="3"/>
        <v>824</v>
      </c>
      <c r="CB5" s="142">
        <f t="shared" si="4"/>
        <v>0</v>
      </c>
      <c r="CC5" s="142">
        <f t="shared" si="5"/>
        <v>382.06068000000005</v>
      </c>
      <c r="CD5" s="142">
        <f>V5*BO$15</f>
        <v>672.41516966067866</v>
      </c>
      <c r="CE5" s="142">
        <f t="shared" si="6"/>
        <v>810.68</v>
      </c>
      <c r="CF5" s="142">
        <f t="shared" si="7"/>
        <v>441.93931999999995</v>
      </c>
      <c r="CG5" s="142">
        <f t="shared" si="8"/>
        <v>72.939319999999952</v>
      </c>
      <c r="CH5" s="142">
        <f t="shared" si="9"/>
        <v>148.58483033932134</v>
      </c>
      <c r="CI5" s="142">
        <f t="shared" si="10"/>
        <v>93.32000000000005</v>
      </c>
      <c r="CJ5" s="149">
        <f>(CI5-CI$12)/CI$13</f>
        <v>5.2133381491439194E-2</v>
      </c>
      <c r="CK5" s="149">
        <f t="shared" si="11"/>
        <v>2.6948924408718715E-3</v>
      </c>
      <c r="CL5" s="149">
        <f t="shared" si="12"/>
        <v>5.7040951339782715E-2</v>
      </c>
      <c r="CM5" s="149">
        <f>(CH5-CH$12)/CH$13</f>
        <v>0.25412154103595991</v>
      </c>
      <c r="CN5">
        <v>169</v>
      </c>
      <c r="CO5">
        <f>BK5-BN5</f>
        <v>437</v>
      </c>
      <c r="CP5">
        <f>BL5-CN5</f>
        <v>429</v>
      </c>
      <c r="CQ5">
        <v>-0.70299999999999996</v>
      </c>
      <c r="CR5" s="12">
        <f>(CP5-CP$13)/CP$14</f>
        <v>-0.70416094079394509</v>
      </c>
      <c r="CS5" s="16">
        <v>107767</v>
      </c>
      <c r="CT5" s="16">
        <v>14172</v>
      </c>
      <c r="CU5">
        <v>69474</v>
      </c>
      <c r="CV5" s="142">
        <v>109577</v>
      </c>
      <c r="CW5" s="142">
        <v>117039</v>
      </c>
      <c r="CX5" s="142">
        <v>295</v>
      </c>
      <c r="CY5" s="142">
        <v>472.6</v>
      </c>
      <c r="CZ5" s="142">
        <f t="shared" si="21"/>
        <v>1136.5999999999999</v>
      </c>
      <c r="DA5" s="142">
        <f>AL5*CZ$14</f>
        <v>704.57633802816883</v>
      </c>
      <c r="DB5" s="142">
        <f>CZ5-DA5</f>
        <v>432.02366197183107</v>
      </c>
      <c r="DC5" s="278">
        <f>(DB5-DA$15)/DA$16</f>
        <v>1.1686272171690302</v>
      </c>
      <c r="DD5" s="142">
        <v>59005</v>
      </c>
      <c r="DE5" s="142">
        <f t="shared" si="13"/>
        <v>168582</v>
      </c>
      <c r="DF5" s="142">
        <f t="shared" si="14"/>
        <v>0</v>
      </c>
      <c r="DG5" s="142">
        <f>V5*CV$15</f>
        <v>36224.351297405192</v>
      </c>
      <c r="DH5" s="142">
        <f>V5*CW$16</f>
        <v>55319.44</v>
      </c>
      <c r="DI5" s="154">
        <f t="shared" si="15"/>
        <v>168582</v>
      </c>
      <c r="DJ5" s="142">
        <f>CV5-DG5</f>
        <v>73352.648702594801</v>
      </c>
      <c r="DK5" s="142">
        <f t="shared" si="16"/>
        <v>61719.56</v>
      </c>
      <c r="DL5" s="150">
        <f t="shared" si="17"/>
        <v>0.52260752713230629</v>
      </c>
      <c r="DM5" s="278">
        <f t="shared" si="18"/>
        <v>1.003093081914435</v>
      </c>
      <c r="DN5" s="278">
        <f t="shared" si="18"/>
        <v>0.80719370443618021</v>
      </c>
      <c r="DO5" s="278">
        <f>(0.6*CM5)+(0.4*DM5)</f>
        <v>0.55371015738734997</v>
      </c>
      <c r="DP5">
        <v>24788</v>
      </c>
      <c r="DQ5">
        <f t="shared" si="22"/>
        <v>38293</v>
      </c>
      <c r="DR5" s="16">
        <f>CT5-DP5</f>
        <v>-10616</v>
      </c>
      <c r="DS5">
        <v>0.84899999999999998</v>
      </c>
      <c r="DT5" s="12">
        <f>(DR5-DR$13)/DR$14</f>
        <v>-0.26228910566063601</v>
      </c>
      <c r="DU5" s="12">
        <f>(0.6*CJ5)+(0.4*DN5)</f>
        <v>0.35415751066933565</v>
      </c>
      <c r="DV5" s="12">
        <f t="shared" si="19"/>
        <v>0.4354618035696437</v>
      </c>
      <c r="DW5" s="16">
        <v>500799</v>
      </c>
      <c r="DX5" s="16">
        <v>417282</v>
      </c>
      <c r="DY5" s="16">
        <f t="shared" si="23"/>
        <v>977086</v>
      </c>
      <c r="DZ5" s="16">
        <f>AL5*DY$14</f>
        <v>186264.53990610328</v>
      </c>
      <c r="EA5" s="16">
        <f t="shared" si="24"/>
        <v>790821.46009389672</v>
      </c>
      <c r="EB5" s="14">
        <f>(EA5-DZ$15)/DZ$16</f>
        <v>2.1445493564809635</v>
      </c>
      <c r="EC5" s="14">
        <f>(0.6*DC5)+(0.4*EB5)</f>
        <v>1.5589960728938035</v>
      </c>
      <c r="ED5" s="12">
        <f t="shared" si="20"/>
        <v>0.21065994631744567</v>
      </c>
    </row>
    <row r="6" spans="1:134" x14ac:dyDescent="0.35">
      <c r="A6" s="8" t="s">
        <v>191</v>
      </c>
      <c r="B6" s="8" t="s">
        <v>194</v>
      </c>
      <c r="C6" s="152">
        <f t="shared" si="0"/>
        <v>2</v>
      </c>
      <c r="D6" s="144">
        <v>2</v>
      </c>
      <c r="E6" s="144">
        <v>0</v>
      </c>
      <c r="F6" s="146"/>
      <c r="G6" s="144"/>
      <c r="H6" s="147"/>
      <c r="I6" s="147"/>
      <c r="J6" s="147"/>
      <c r="K6" s="148"/>
      <c r="L6" s="142"/>
      <c r="M6" s="142"/>
      <c r="N6" s="142"/>
      <c r="O6" s="142"/>
      <c r="P6" s="147"/>
      <c r="Q6" s="147"/>
      <c r="R6" s="147">
        <f t="shared" si="1"/>
        <v>0</v>
      </c>
      <c r="S6" s="147">
        <f t="shared" si="2"/>
        <v>0</v>
      </c>
      <c r="T6" s="149"/>
      <c r="U6" s="147"/>
      <c r="V6" s="145">
        <v>15</v>
      </c>
      <c r="W6" s="149">
        <v>8.7215995020760453E-2</v>
      </c>
      <c r="X6" s="12"/>
      <c r="Y6" s="30"/>
      <c r="Z6" s="18"/>
      <c r="AA6" s="18"/>
      <c r="AB6" s="18"/>
      <c r="AC6" s="18"/>
      <c r="AD6" s="18"/>
      <c r="AE6" s="28"/>
      <c r="AF6" s="18"/>
      <c r="AG6" s="18"/>
      <c r="AH6" s="18"/>
      <c r="AI6" s="28"/>
      <c r="AJ6" s="28"/>
      <c r="AK6" s="28"/>
      <c r="AL6" s="16">
        <v>18</v>
      </c>
      <c r="AM6" s="18"/>
      <c r="AN6" s="18"/>
      <c r="AO6" s="18"/>
      <c r="AP6" s="18"/>
      <c r="AQ6" s="18"/>
      <c r="AR6" s="18"/>
      <c r="AS6" s="18"/>
      <c r="AT6" s="18"/>
      <c r="AU6" s="28"/>
      <c r="AV6" s="28"/>
      <c r="AW6" s="28"/>
      <c r="AX6" s="28"/>
      <c r="AY6" s="28"/>
      <c r="AZ6" s="12"/>
      <c r="BA6" s="28"/>
      <c r="BB6" s="28"/>
      <c r="BC6" s="28"/>
      <c r="BD6" s="18"/>
      <c r="BH6" s="27"/>
      <c r="BJ6" s="144"/>
      <c r="BO6" s="142">
        <v>223</v>
      </c>
      <c r="BP6" s="142">
        <v>248</v>
      </c>
      <c r="BQ6" s="142">
        <v>73</v>
      </c>
      <c r="BR6" s="24"/>
      <c r="BS6" s="142"/>
      <c r="BT6" s="142"/>
      <c r="BU6" s="142"/>
      <c r="BV6" s="149"/>
      <c r="BW6" s="149"/>
      <c r="BX6" s="142"/>
      <c r="BY6" s="142"/>
      <c r="BZ6" s="142">
        <v>101</v>
      </c>
      <c r="CA6" s="142">
        <f t="shared" si="3"/>
        <v>174</v>
      </c>
      <c r="CB6" s="142">
        <f t="shared" si="4"/>
        <v>0</v>
      </c>
      <c r="CC6" s="142">
        <f t="shared" si="5"/>
        <v>143.27275500000002</v>
      </c>
      <c r="CD6" s="142">
        <f>V6*BO$15</f>
        <v>252.1556886227545</v>
      </c>
      <c r="CE6" s="142">
        <f t="shared" si="6"/>
        <v>304.005</v>
      </c>
      <c r="CF6" s="142">
        <f t="shared" si="7"/>
        <v>30.727244999999982</v>
      </c>
      <c r="CG6" s="142">
        <f t="shared" si="8"/>
        <v>-70.272755000000018</v>
      </c>
      <c r="CH6" s="142">
        <f t="shared" si="9"/>
        <v>-29.155688622754496</v>
      </c>
      <c r="CI6" s="142">
        <f t="shared" si="10"/>
        <v>-56.004999999999995</v>
      </c>
      <c r="CJ6" s="149">
        <f>(CI6-CI$12)/CI$13</f>
        <v>-0.15831664858693489</v>
      </c>
      <c r="CK6" s="149">
        <f t="shared" si="11"/>
        <v>-0.56438596210314784</v>
      </c>
      <c r="CL6" s="149">
        <f t="shared" si="12"/>
        <v>-0.21437964449994293</v>
      </c>
      <c r="CM6" s="149">
        <f>(CH6-CH$12)/CH$13</f>
        <v>-7.0875237585233591E-2</v>
      </c>
      <c r="CR6" s="12"/>
      <c r="CS6" s="16"/>
      <c r="CT6" s="16">
        <v>0</v>
      </c>
      <c r="CV6" s="142">
        <v>43557</v>
      </c>
      <c r="CW6" s="142">
        <v>43557</v>
      </c>
      <c r="CX6" s="142">
        <v>50</v>
      </c>
      <c r="CY6" s="142">
        <v>60.42</v>
      </c>
      <c r="CZ6" s="142">
        <f t="shared" si="21"/>
        <v>211.42000000000002</v>
      </c>
      <c r="DA6" s="142">
        <f>AL6*CZ$14</f>
        <v>309.32619718309854</v>
      </c>
      <c r="DB6" s="142">
        <f>CZ6-DA6</f>
        <v>-97.906197183098527</v>
      </c>
      <c r="DC6" s="274">
        <f>(DB6-DA$15)/DA$16</f>
        <v>-0.26483699118579107</v>
      </c>
      <c r="DD6" s="142">
        <v>0</v>
      </c>
      <c r="DE6" s="142">
        <f t="shared" si="13"/>
        <v>43557</v>
      </c>
      <c r="DF6" s="142">
        <f t="shared" si="14"/>
        <v>0</v>
      </c>
      <c r="DG6" s="142">
        <f>V6*CV$15</f>
        <v>13584.131736526946</v>
      </c>
      <c r="DH6" s="142">
        <f>V6*CW$16</f>
        <v>20744.79</v>
      </c>
      <c r="DI6" s="142">
        <f t="shared" si="15"/>
        <v>43557</v>
      </c>
      <c r="DJ6" s="142">
        <f>CV6-DG6</f>
        <v>29972.868263473054</v>
      </c>
      <c r="DK6" s="142">
        <f t="shared" si="16"/>
        <v>22812.21</v>
      </c>
      <c r="DL6" s="149">
        <f t="shared" si="17"/>
        <v>-0.87576178935076243</v>
      </c>
      <c r="DM6" s="274">
        <f t="shared" si="18"/>
        <v>0.40566240603798992</v>
      </c>
      <c r="DN6" s="274">
        <f t="shared" si="18"/>
        <v>0.40640468698364396</v>
      </c>
      <c r="DO6" s="274">
        <f>(0.6*CM6)+(0.4*DM6)</f>
        <v>0.11973981986405582</v>
      </c>
      <c r="DT6" s="12"/>
      <c r="DU6" s="12">
        <f>(0.6*CJ6)+(0.4*DN6)</f>
        <v>6.7571885641296667E-2</v>
      </c>
      <c r="DV6" s="12">
        <f t="shared" si="19"/>
        <v>3.3637175715230228E-2</v>
      </c>
      <c r="DW6" s="16">
        <v>38904</v>
      </c>
      <c r="DX6" s="16">
        <v>67856</v>
      </c>
      <c r="DY6" s="16">
        <f t="shared" si="23"/>
        <v>106760</v>
      </c>
      <c r="DZ6" s="16">
        <f>AL6*DY$14</f>
        <v>81774.676056338038</v>
      </c>
      <c r="EA6" s="16">
        <f t="shared" si="24"/>
        <v>24985.323943661962</v>
      </c>
      <c r="EB6" s="14">
        <f>(EA6-DZ$15)/DZ$16</f>
        <v>6.7755192655604812E-2</v>
      </c>
      <c r="EC6" s="12">
        <f>(0.6*DC6)+(0.4*EB6)</f>
        <v>-0.13180011764923269</v>
      </c>
      <c r="ED6" s="12">
        <f t="shared" si="20"/>
        <v>-0.68893629300219361</v>
      </c>
    </row>
    <row r="7" spans="1:134" hidden="1" x14ac:dyDescent="0.35">
      <c r="A7" s="7" t="s">
        <v>195</v>
      </c>
      <c r="B7" s="7" t="s">
        <v>196</v>
      </c>
      <c r="C7" s="152">
        <f t="shared" si="0"/>
        <v>2</v>
      </c>
      <c r="D7" s="144">
        <v>2</v>
      </c>
      <c r="E7" s="144">
        <v>0</v>
      </c>
      <c r="F7" s="146"/>
      <c r="G7" s="144"/>
      <c r="H7" s="147"/>
      <c r="I7" s="147"/>
      <c r="J7" s="147"/>
      <c r="K7" s="148"/>
      <c r="L7" s="142"/>
      <c r="M7" s="142"/>
      <c r="N7" s="142"/>
      <c r="O7" s="142"/>
      <c r="P7" s="147"/>
      <c r="Q7" s="147"/>
      <c r="R7" s="147">
        <f t="shared" si="1"/>
        <v>0</v>
      </c>
      <c r="S7" s="147">
        <f t="shared" si="2"/>
        <v>0</v>
      </c>
      <c r="T7" s="149"/>
      <c r="U7" s="147"/>
      <c r="V7" s="153">
        <v>0</v>
      </c>
      <c r="W7" s="149"/>
      <c r="X7" s="12"/>
      <c r="Y7" s="30"/>
      <c r="Z7" s="18"/>
      <c r="AA7" s="18"/>
      <c r="AB7" s="18"/>
      <c r="AC7" s="18"/>
      <c r="AD7" s="18"/>
      <c r="AE7" s="28"/>
      <c r="AF7" s="18"/>
      <c r="AG7" s="18"/>
      <c r="AH7" s="18"/>
      <c r="AI7" s="28"/>
      <c r="AJ7" s="28"/>
      <c r="AK7" s="28"/>
      <c r="AL7" s="16"/>
      <c r="AM7" s="18"/>
      <c r="AN7" s="18"/>
      <c r="AO7" s="18"/>
      <c r="AP7" s="18"/>
      <c r="AQ7" s="18"/>
      <c r="AR7" s="18"/>
      <c r="AS7" s="18"/>
      <c r="AT7" s="18"/>
      <c r="AU7" s="28"/>
      <c r="AV7" s="28"/>
      <c r="AW7" s="28"/>
      <c r="AX7" s="28"/>
      <c r="AY7" s="28"/>
      <c r="AZ7" s="12"/>
      <c r="BA7" s="28"/>
      <c r="BB7" s="28"/>
      <c r="BC7" s="28"/>
      <c r="BH7" s="144"/>
      <c r="BO7" s="142"/>
      <c r="BP7" s="142"/>
      <c r="BQ7" s="142"/>
      <c r="BR7" s="24"/>
      <c r="BS7" s="142"/>
      <c r="BT7" s="142"/>
      <c r="BU7" s="142"/>
      <c r="BV7" s="149"/>
      <c r="BW7" s="149"/>
      <c r="BX7" s="142"/>
      <c r="BY7" s="142"/>
      <c r="BZ7" s="142"/>
      <c r="CA7" s="142">
        <f t="shared" si="3"/>
        <v>0</v>
      </c>
      <c r="CB7" s="142">
        <f t="shared" si="4"/>
        <v>0</v>
      </c>
      <c r="CC7" s="142">
        <f t="shared" si="5"/>
        <v>0</v>
      </c>
      <c r="CD7" s="142"/>
      <c r="CE7" s="142">
        <f t="shared" si="6"/>
        <v>0</v>
      </c>
      <c r="CF7" s="142">
        <f t="shared" si="7"/>
        <v>0</v>
      </c>
      <c r="CG7" s="142">
        <f t="shared" si="8"/>
        <v>0</v>
      </c>
      <c r="CH7" s="142"/>
      <c r="CI7" s="142">
        <f t="shared" si="10"/>
        <v>0</v>
      </c>
      <c r="CJ7" s="149"/>
      <c r="CK7" s="149">
        <f t="shared" si="11"/>
        <v>-0.60676028282897643</v>
      </c>
      <c r="CL7" s="149">
        <f t="shared" si="12"/>
        <v>-8.1196230787104334E-2</v>
      </c>
      <c r="CM7" s="149"/>
      <c r="CR7" s="12"/>
      <c r="CS7" s="16"/>
      <c r="CT7" s="16">
        <v>0</v>
      </c>
      <c r="CV7" s="142"/>
      <c r="CW7" s="142"/>
      <c r="CX7" s="142"/>
      <c r="CY7" s="142"/>
      <c r="CZ7" s="142">
        <f t="shared" si="21"/>
        <v>0</v>
      </c>
      <c r="DA7" s="142">
        <f t="shared" ref="DA7:DA8" si="25">AL7*CZ$14</f>
        <v>0</v>
      </c>
      <c r="DB7" s="142" t="e">
        <f t="shared" ref="DB7:DB8" si="26">CZ7/DA7</f>
        <v>#DIV/0!</v>
      </c>
      <c r="DC7" s="274" t="e">
        <f t="shared" ref="DC7:DC8" si="27">(DB7-DA$15)/DA$16</f>
        <v>#DIV/0!</v>
      </c>
      <c r="DD7" s="142"/>
      <c r="DE7" s="142">
        <f t="shared" si="13"/>
        <v>0</v>
      </c>
      <c r="DF7" s="142">
        <f t="shared" si="14"/>
        <v>0</v>
      </c>
      <c r="DG7" s="142"/>
      <c r="DH7" s="142"/>
      <c r="DI7" s="142">
        <f t="shared" si="15"/>
        <v>0</v>
      </c>
      <c r="DJ7" s="142"/>
      <c r="DK7" s="142">
        <f t="shared" si="16"/>
        <v>0</v>
      </c>
      <c r="DL7" s="149">
        <f t="shared" si="17"/>
        <v>-1.3629345333463876</v>
      </c>
      <c r="DM7" s="274"/>
      <c r="DN7" s="274"/>
      <c r="DO7" s="274"/>
      <c r="DT7" s="12"/>
      <c r="DU7" s="12"/>
      <c r="DV7" s="12">
        <f t="shared" si="19"/>
        <v>-4.8717738472262601E-2</v>
      </c>
      <c r="DW7" s="16"/>
      <c r="DX7" s="16"/>
      <c r="DY7" s="16">
        <f t="shared" si="23"/>
        <v>0</v>
      </c>
      <c r="DZ7" s="16">
        <f t="shared" ref="DZ7:DZ8" si="28">AL7*DY$14</f>
        <v>0</v>
      </c>
      <c r="EA7" s="16">
        <f t="shared" si="24"/>
        <v>0</v>
      </c>
      <c r="EB7" s="12">
        <f t="shared" ref="EB7:EB8" si="29">(EA7-DZ$15)/DZ$16</f>
        <v>0</v>
      </c>
      <c r="EC7" s="12" t="e">
        <f t="shared" ref="EC7:EC8" si="30">(0.6*DC7)+(0.4*EB7)</f>
        <v>#DIV/0!</v>
      </c>
      <c r="ED7" s="12">
        <f t="shared" si="20"/>
        <v>-0.90922998303594094</v>
      </c>
    </row>
    <row r="8" spans="1:134" hidden="1" x14ac:dyDescent="0.35">
      <c r="A8" s="7" t="s">
        <v>195</v>
      </c>
      <c r="B8" s="7" t="s">
        <v>197</v>
      </c>
      <c r="C8" s="152">
        <f t="shared" si="0"/>
        <v>4</v>
      </c>
      <c r="D8" s="144">
        <v>4</v>
      </c>
      <c r="E8" s="144">
        <v>0</v>
      </c>
      <c r="F8" s="146"/>
      <c r="G8" s="144"/>
      <c r="H8" s="147"/>
      <c r="I8" s="147"/>
      <c r="J8" s="147"/>
      <c r="K8" s="148"/>
      <c r="L8" s="142"/>
      <c r="M8" s="142"/>
      <c r="N8" s="142"/>
      <c r="O8" s="142"/>
      <c r="P8" s="147"/>
      <c r="Q8" s="147"/>
      <c r="R8" s="147">
        <f t="shared" si="1"/>
        <v>0</v>
      </c>
      <c r="S8" s="147">
        <f t="shared" si="2"/>
        <v>0</v>
      </c>
      <c r="T8" s="149"/>
      <c r="U8" s="147"/>
      <c r="V8" s="153">
        <v>4</v>
      </c>
      <c r="W8" s="149"/>
      <c r="X8" s="12"/>
      <c r="Y8" s="30"/>
      <c r="Z8" s="18"/>
      <c r="AA8" s="18"/>
      <c r="AB8" s="18"/>
      <c r="AC8" s="18"/>
      <c r="AD8" s="18"/>
      <c r="AE8" s="28"/>
      <c r="AF8" s="18"/>
      <c r="AG8" s="18"/>
      <c r="AH8" s="18"/>
      <c r="AI8" s="28"/>
      <c r="AJ8" s="28"/>
      <c r="AK8" s="28"/>
      <c r="AL8" s="16"/>
      <c r="AM8" s="18"/>
      <c r="AN8" s="18"/>
      <c r="AO8" s="18"/>
      <c r="AP8" s="18"/>
      <c r="AQ8" s="18"/>
      <c r="AR8" s="18"/>
      <c r="AS8" s="18"/>
      <c r="AT8" s="18"/>
      <c r="AU8" s="28"/>
      <c r="AV8" s="28"/>
      <c r="AW8" s="28"/>
      <c r="AX8" s="28"/>
      <c r="AY8" s="28"/>
      <c r="AZ8" s="12"/>
      <c r="BA8" s="28"/>
      <c r="BB8" s="28"/>
      <c r="BC8" s="28"/>
      <c r="BH8" s="27"/>
      <c r="BO8" s="142"/>
      <c r="BP8" s="142"/>
      <c r="BQ8" s="142"/>
      <c r="BR8" s="24"/>
      <c r="BS8" s="142"/>
      <c r="BT8" s="142"/>
      <c r="BU8" s="142"/>
      <c r="BV8" s="149"/>
      <c r="BW8" s="149"/>
      <c r="BX8" s="142"/>
      <c r="BY8" s="142"/>
      <c r="BZ8" s="142"/>
      <c r="CA8" s="142">
        <f t="shared" si="3"/>
        <v>0</v>
      </c>
      <c r="CB8" s="142">
        <f t="shared" si="4"/>
        <v>0</v>
      </c>
      <c r="CC8" s="142">
        <f t="shared" si="5"/>
        <v>38.206068000000002</v>
      </c>
      <c r="CD8" s="142"/>
      <c r="CE8" s="142">
        <f t="shared" si="6"/>
        <v>81.067999999999998</v>
      </c>
      <c r="CF8" s="142">
        <f t="shared" si="7"/>
        <v>-38.206068000000002</v>
      </c>
      <c r="CG8" s="142">
        <f t="shared" si="8"/>
        <v>-38.206068000000002</v>
      </c>
      <c r="CH8" s="142"/>
      <c r="CI8" s="142">
        <f t="shared" si="10"/>
        <v>-81.067999999999998</v>
      </c>
      <c r="CJ8" s="149"/>
      <c r="CK8" s="149">
        <f t="shared" si="11"/>
        <v>-0.65944825336147339</v>
      </c>
      <c r="CL8" s="149">
        <f t="shared" si="12"/>
        <v>-0.15360572378029694</v>
      </c>
      <c r="CM8" s="149"/>
      <c r="CR8" s="12"/>
      <c r="CS8" s="16"/>
      <c r="CT8" s="16">
        <v>0</v>
      </c>
      <c r="CV8" s="142"/>
      <c r="CW8" s="142"/>
      <c r="CX8" s="142"/>
      <c r="CY8" s="142"/>
      <c r="CZ8" s="142">
        <f t="shared" si="21"/>
        <v>0</v>
      </c>
      <c r="DA8" s="142">
        <f t="shared" si="25"/>
        <v>0</v>
      </c>
      <c r="DB8" s="142" t="e">
        <f t="shared" si="26"/>
        <v>#DIV/0!</v>
      </c>
      <c r="DC8" s="274" t="e">
        <f t="shared" si="27"/>
        <v>#DIV/0!</v>
      </c>
      <c r="DD8" s="142"/>
      <c r="DE8" s="142">
        <f t="shared" si="13"/>
        <v>0</v>
      </c>
      <c r="DF8" s="142">
        <f t="shared" si="14"/>
        <v>0</v>
      </c>
      <c r="DG8" s="142"/>
      <c r="DH8" s="142"/>
      <c r="DI8" s="142">
        <f t="shared" si="15"/>
        <v>0</v>
      </c>
      <c r="DJ8" s="142"/>
      <c r="DK8" s="142">
        <f t="shared" si="16"/>
        <v>0</v>
      </c>
      <c r="DL8" s="149">
        <f t="shared" si="17"/>
        <v>-1.3629345333463876</v>
      </c>
      <c r="DM8" s="274"/>
      <c r="DN8" s="274"/>
      <c r="DO8" s="274"/>
      <c r="DT8" s="12"/>
      <c r="DU8" s="12"/>
      <c r="DV8" s="12">
        <f t="shared" si="19"/>
        <v>-9.2163434268178163E-2</v>
      </c>
      <c r="DW8" s="16"/>
      <c r="DX8" s="16"/>
      <c r="DY8" s="16">
        <f t="shared" si="23"/>
        <v>0</v>
      </c>
      <c r="DZ8" s="16">
        <f t="shared" si="28"/>
        <v>0</v>
      </c>
      <c r="EA8" s="16">
        <f t="shared" si="24"/>
        <v>0</v>
      </c>
      <c r="EB8" s="12">
        <f t="shared" si="29"/>
        <v>0</v>
      </c>
      <c r="EC8" s="12" t="e">
        <f t="shared" si="30"/>
        <v>#DIV/0!</v>
      </c>
      <c r="ED8" s="12">
        <f t="shared" si="20"/>
        <v>-0.94084276535543909</v>
      </c>
    </row>
    <row r="9" spans="1:134" x14ac:dyDescent="0.35">
      <c r="A9" s="8" t="s">
        <v>195</v>
      </c>
      <c r="B9" s="8" t="s">
        <v>66</v>
      </c>
      <c r="C9" s="144">
        <f t="shared" si="0"/>
        <v>63</v>
      </c>
      <c r="D9" s="144">
        <v>63</v>
      </c>
      <c r="E9" s="144">
        <v>0</v>
      </c>
      <c r="F9" s="146">
        <v>603.5</v>
      </c>
      <c r="G9" s="144">
        <v>402.5</v>
      </c>
      <c r="H9" s="147">
        <f>F9/C9</f>
        <v>9.5793650793650791</v>
      </c>
      <c r="I9" s="147">
        <f>G9/C9</f>
        <v>6.3888888888888893</v>
      </c>
      <c r="J9" s="147">
        <f>H9/H$14</f>
        <v>0.21725411829694835</v>
      </c>
      <c r="K9" s="148">
        <f>I9/I14</f>
        <v>0.2534784725811613</v>
      </c>
      <c r="L9" s="142">
        <v>88262</v>
      </c>
      <c r="M9" s="142">
        <v>106231</v>
      </c>
      <c r="N9" s="142">
        <f>L9/C9</f>
        <v>1400.984126984127</v>
      </c>
      <c r="O9" s="142">
        <f>M9/C9</f>
        <v>1686.2063492063492</v>
      </c>
      <c r="P9" s="147">
        <f>N9/N$13</f>
        <v>0.22570379622589148</v>
      </c>
      <c r="Q9" s="147">
        <f>O9/O13</f>
        <v>0.3984345454958968</v>
      </c>
      <c r="R9" s="147">
        <f t="shared" si="1"/>
        <v>0.31146090174705549</v>
      </c>
      <c r="S9" s="147">
        <f t="shared" si="2"/>
        <v>0.22063398946852561</v>
      </c>
      <c r="T9" s="150">
        <v>0.6</v>
      </c>
      <c r="U9" s="151">
        <v>0.87</v>
      </c>
      <c r="V9" s="145">
        <v>75</v>
      </c>
      <c r="W9" s="149">
        <v>0.41168984367967182</v>
      </c>
      <c r="X9" s="14">
        <f>(0.6*CR9)+(0.4*DT9)</f>
        <v>0.79405192800653546</v>
      </c>
      <c r="Y9" s="34">
        <f>AD9*BG3</f>
        <v>0</v>
      </c>
      <c r="Z9" s="34" t="e">
        <f>AE9*C9</f>
        <v>#VALUE!</v>
      </c>
      <c r="AA9" s="30"/>
      <c r="AB9" s="34" t="e">
        <f>AJ9*BH$3</f>
        <v>#DIV/0!</v>
      </c>
      <c r="AC9" s="30" t="e">
        <f>AB9-Y9</f>
        <v>#DIV/0!</v>
      </c>
      <c r="AD9" s="30">
        <f>AK9*C9</f>
        <v>20.487804878048781</v>
      </c>
      <c r="AE9" s="28" t="e">
        <f>U9/BG2</f>
        <v>#VALUE!</v>
      </c>
      <c r="AF9" s="18"/>
      <c r="AG9" s="18"/>
      <c r="AH9" s="18"/>
      <c r="AI9" s="28"/>
      <c r="AJ9" s="29" t="e">
        <f>BC9*C9</f>
        <v>#DIV/0!</v>
      </c>
      <c r="AK9" s="28">
        <f>T9/BI$2</f>
        <v>0.32520325203252032</v>
      </c>
      <c r="AL9" s="16">
        <v>72</v>
      </c>
      <c r="AM9" s="35">
        <v>257106.32041214322</v>
      </c>
      <c r="AN9" s="35">
        <f>AU9*BH13</f>
        <v>389483.58305438224</v>
      </c>
      <c r="AO9" s="35">
        <f>AT9*BH$10</f>
        <v>329718.18723767379</v>
      </c>
      <c r="AP9" s="35">
        <f>AVERAGE(AM9,AR9,AO9)</f>
        <v>318987.7637757003</v>
      </c>
      <c r="AQ9" s="35">
        <f>AVERAGE(AM9,AN9)</f>
        <v>323294.95173326274</v>
      </c>
      <c r="AR9" s="34">
        <f>AQ9+(AQ14*BA9)</f>
        <v>370138.78367728385</v>
      </c>
      <c r="AS9" s="128">
        <f>AP9-(AP$14*AZ9)</f>
        <v>346099.45843145554</v>
      </c>
      <c r="AT9" s="30">
        <f>V9*AZ9</f>
        <v>25.293288896963904</v>
      </c>
      <c r="AU9" s="28">
        <f>V9*BA9</f>
        <v>29.607881501221812</v>
      </c>
      <c r="AV9" s="28"/>
      <c r="AW9" s="28"/>
      <c r="AX9" s="28"/>
      <c r="AY9" s="28"/>
      <c r="AZ9" s="12">
        <f>ED9/BJ$10</f>
        <v>0.33724385195951873</v>
      </c>
      <c r="BA9" s="28">
        <f>DV9/BJ$14</f>
        <v>0.39477175334962417</v>
      </c>
      <c r="BB9" s="280" t="s">
        <v>438</v>
      </c>
      <c r="BC9" s="28" t="e">
        <f>X9/BJ$2</f>
        <v>#DIV/0!</v>
      </c>
      <c r="BD9" s="209" t="s">
        <v>402</v>
      </c>
      <c r="BH9" s="144" t="s">
        <v>404</v>
      </c>
      <c r="BJ9" s="149" t="s">
        <v>436</v>
      </c>
      <c r="BK9">
        <v>1207</v>
      </c>
      <c r="BL9">
        <v>1223</v>
      </c>
      <c r="BM9">
        <f>BK9-BL9</f>
        <v>-16</v>
      </c>
      <c r="BN9">
        <v>213</v>
      </c>
      <c r="BO9" s="142">
        <v>1376</v>
      </c>
      <c r="BP9" s="142">
        <v>1827</v>
      </c>
      <c r="BQ9" s="142">
        <v>935</v>
      </c>
      <c r="BR9" s="267">
        <v>242392.354880631</v>
      </c>
      <c r="BS9" s="296">
        <v>0</v>
      </c>
      <c r="BT9" s="142">
        <f>AVERAGE(AS9,BR9,BS9)</f>
        <v>196163.93777069551</v>
      </c>
      <c r="BU9" s="296">
        <f>BT9-(BW9*BT$14)</f>
        <v>196163.93777069551</v>
      </c>
      <c r="BV9" s="149"/>
      <c r="BW9" s="149"/>
      <c r="BX9" s="142"/>
      <c r="BY9" s="142"/>
      <c r="BZ9" s="142">
        <v>514</v>
      </c>
      <c r="CA9" s="142">
        <f t="shared" si="3"/>
        <v>1449</v>
      </c>
      <c r="CB9" s="142">
        <f t="shared" si="4"/>
        <v>0</v>
      </c>
      <c r="CC9" s="142">
        <f t="shared" si="5"/>
        <v>716.36377500000003</v>
      </c>
      <c r="CD9" s="142">
        <f t="shared" ref="CD9:CD11" si="31">V9*BO$15</f>
        <v>1260.7784431137725</v>
      </c>
      <c r="CE9" s="142">
        <f t="shared" si="6"/>
        <v>1520.0249999999999</v>
      </c>
      <c r="CF9" s="154">
        <f t="shared" si="7"/>
        <v>732.63622499999997</v>
      </c>
      <c r="CG9" s="142">
        <f t="shared" si="8"/>
        <v>218.63622499999997</v>
      </c>
      <c r="CH9" s="142">
        <f t="shared" ref="CH9:CH11" si="32">BO9-CD9</f>
        <v>115.22155688622752</v>
      </c>
      <c r="CI9" s="142">
        <f t="shared" si="10"/>
        <v>306.97500000000014</v>
      </c>
      <c r="CJ9" s="149">
        <f>(CI9-CI$12)/CI$13</f>
        <v>0.35324639790794693</v>
      </c>
      <c r="CK9" s="150">
        <f t="shared" si="11"/>
        <v>0.40357964102395216</v>
      </c>
      <c r="CL9" s="150">
        <f t="shared" si="12"/>
        <v>0.33317088498611741</v>
      </c>
      <c r="CM9" s="149">
        <f>(CH9-CH$12)/CH$13</f>
        <v>0.19311712594911626</v>
      </c>
      <c r="CN9">
        <v>231</v>
      </c>
      <c r="CO9">
        <f>BK9-BN9</f>
        <v>994</v>
      </c>
      <c r="CP9">
        <f>BL9-CN9</f>
        <v>992</v>
      </c>
      <c r="CQ9" s="12">
        <v>0.55200000000000005</v>
      </c>
      <c r="CR9" s="12">
        <f>(CP9-CP$13)/CP$14</f>
        <v>0.58368727685735233</v>
      </c>
      <c r="CS9" s="16">
        <v>88262</v>
      </c>
      <c r="CT9" s="16">
        <v>76978</v>
      </c>
      <c r="CU9">
        <v>57980</v>
      </c>
      <c r="CV9" s="142">
        <v>142222</v>
      </c>
      <c r="CW9" s="142">
        <v>163337</v>
      </c>
      <c r="CX9" s="142">
        <v>390</v>
      </c>
      <c r="CY9" s="142">
        <v>524.6</v>
      </c>
      <c r="CZ9" s="142">
        <f t="shared" si="21"/>
        <v>1428.6</v>
      </c>
      <c r="DA9" s="142">
        <f>AL9*CZ$14</f>
        <v>1237.3047887323942</v>
      </c>
      <c r="DB9" s="142">
        <f>CZ9-DA9</f>
        <v>191.29521126760574</v>
      </c>
      <c r="DC9" s="274">
        <f>(DB9-DA$15)/DA$16</f>
        <v>0.51745496851049755</v>
      </c>
      <c r="DD9" s="142">
        <v>42195</v>
      </c>
      <c r="DE9" s="142">
        <f t="shared" si="13"/>
        <v>184417</v>
      </c>
      <c r="DF9" s="142">
        <f t="shared" si="14"/>
        <v>0</v>
      </c>
      <c r="DG9" s="142">
        <f>V9*CV$15</f>
        <v>67920.658682634734</v>
      </c>
      <c r="DH9" s="142">
        <f>V9*CW$16</f>
        <v>103723.95000000001</v>
      </c>
      <c r="DI9" s="142">
        <f t="shared" si="15"/>
        <v>184417</v>
      </c>
      <c r="DJ9" s="142">
        <f>CV9-DG9</f>
        <v>74301.341317365266</v>
      </c>
      <c r="DK9" s="142">
        <f t="shared" si="16"/>
        <v>59613.049999999988</v>
      </c>
      <c r="DL9" s="149">
        <f t="shared" si="17"/>
        <v>0.69971753014377913</v>
      </c>
      <c r="DM9" s="274">
        <f t="shared" ref="DM9:DN11" si="33">(DJ9-DJ$12)/DJ$13</f>
        <v>1.0161585715112924</v>
      </c>
      <c r="DN9" s="274">
        <f t="shared" si="33"/>
        <v>0.78549430642644813</v>
      </c>
      <c r="DO9" s="274">
        <f>(0.6*CM9)+(0.4*DM9)</f>
        <v>0.52233370417398672</v>
      </c>
      <c r="DP9">
        <v>32967</v>
      </c>
      <c r="DQ9">
        <f t="shared" si="22"/>
        <v>30282</v>
      </c>
      <c r="DR9" s="16">
        <f>CT9-DP9</f>
        <v>44011</v>
      </c>
      <c r="DS9">
        <v>0.67200000000000004</v>
      </c>
      <c r="DT9" s="12">
        <f>(DR9-DR$13)/DR$14</f>
        <v>1.1095989047303103</v>
      </c>
      <c r="DU9" s="12">
        <f>(0.6*CJ9)+(0.4*DN9)</f>
        <v>0.5261455613153474</v>
      </c>
      <c r="DV9" s="14">
        <f t="shared" si="19"/>
        <v>0.60636595959618744</v>
      </c>
      <c r="DW9" s="16">
        <v>114207</v>
      </c>
      <c r="DX9" s="16">
        <v>47092</v>
      </c>
      <c r="DY9" s="16">
        <f t="shared" si="23"/>
        <v>203494</v>
      </c>
      <c r="DZ9" s="16">
        <f>AL9*DY$14</f>
        <v>327098.70422535215</v>
      </c>
      <c r="EA9" s="16">
        <f t="shared" si="24"/>
        <v>-123604.70422535215</v>
      </c>
      <c r="EB9" s="12">
        <f>(EA9-DZ$15)/DZ$16</f>
        <v>-0.33519119331059305</v>
      </c>
      <c r="EC9" s="12">
        <f>(0.6*DC9)+(0.4*EB9)</f>
        <v>0.17639650378206129</v>
      </c>
      <c r="ED9" s="14">
        <f t="shared" si="20"/>
        <v>0.52203479667188291</v>
      </c>
    </row>
    <row r="10" spans="1:134" x14ac:dyDescent="0.35">
      <c r="A10" s="8" t="s">
        <v>204</v>
      </c>
      <c r="B10" s="8" t="s">
        <v>205</v>
      </c>
      <c r="C10" s="144">
        <f t="shared" si="0"/>
        <v>123</v>
      </c>
      <c r="D10" s="144">
        <v>0</v>
      </c>
      <c r="E10" s="144">
        <v>123</v>
      </c>
      <c r="F10" s="146">
        <v>616</v>
      </c>
      <c r="G10" s="144">
        <v>335</v>
      </c>
      <c r="H10" s="147">
        <f>F10/C10</f>
        <v>5.0081300813008127</v>
      </c>
      <c r="I10" s="147">
        <f>G10/C10</f>
        <v>2.7235772357723578</v>
      </c>
      <c r="J10" s="147">
        <f>H10/H$14</f>
        <v>0.11358131526620421</v>
      </c>
      <c r="K10" s="148">
        <f>I10/I14</f>
        <v>0.10805763094127979</v>
      </c>
      <c r="L10" s="142"/>
      <c r="M10" s="142">
        <v>0</v>
      </c>
      <c r="N10" s="142">
        <f>L10/C10</f>
        <v>0</v>
      </c>
      <c r="O10" s="142"/>
      <c r="P10" s="147"/>
      <c r="Q10" s="147"/>
      <c r="R10" s="147">
        <f t="shared" si="1"/>
        <v>6.4834578564767875E-2</v>
      </c>
      <c r="S10" s="147">
        <f t="shared" si="2"/>
        <v>6.8148789159722528E-2</v>
      </c>
      <c r="T10" s="149">
        <v>-0.25900000000000001</v>
      </c>
      <c r="U10" s="144">
        <v>-1.1499999999999999</v>
      </c>
      <c r="V10" s="145">
        <v>183</v>
      </c>
      <c r="W10" s="149">
        <v>-1.6949225872156846</v>
      </c>
      <c r="X10" s="12">
        <f>(0.6*CR10)+(0.4*DT10)</f>
        <v>-0.44916710287095163</v>
      </c>
      <c r="Y10" s="30"/>
      <c r="Z10" s="18"/>
      <c r="AA10" s="18"/>
      <c r="AB10" s="18"/>
      <c r="AC10" s="18"/>
      <c r="AD10" s="18"/>
      <c r="AE10" s="28"/>
      <c r="AF10" s="18"/>
      <c r="AG10" s="18"/>
      <c r="AH10" s="18"/>
      <c r="AI10" s="28"/>
      <c r="AJ10" s="28"/>
      <c r="AK10" s="28"/>
      <c r="AL10" s="16">
        <v>118</v>
      </c>
      <c r="AN10" s="18"/>
      <c r="AO10" s="18"/>
      <c r="AP10" s="18"/>
      <c r="AQ10" s="18"/>
      <c r="AR10" s="18"/>
      <c r="AS10" s="18"/>
      <c r="AT10" s="18"/>
      <c r="AU10" s="28"/>
      <c r="AV10" s="28"/>
      <c r="AW10" s="28"/>
      <c r="AX10" s="28"/>
      <c r="AY10" s="28"/>
      <c r="AZ10" s="12"/>
      <c r="BA10" s="28"/>
      <c r="BB10" s="280" t="s">
        <v>254</v>
      </c>
      <c r="BC10" s="28"/>
      <c r="BD10" s="35">
        <v>1115917.674811126</v>
      </c>
      <c r="BH10" s="31">
        <f>BD10/AT12</f>
        <v>13035.79730500179</v>
      </c>
      <c r="BJ10" s="281">
        <f>SUM(ED4,ED9)</f>
        <v>1.5479445915430525</v>
      </c>
      <c r="BK10">
        <v>1232</v>
      </c>
      <c r="BL10">
        <v>1248</v>
      </c>
      <c r="BM10">
        <f>BK10-BL10</f>
        <v>-16</v>
      </c>
      <c r="BN10">
        <v>416</v>
      </c>
      <c r="BO10" s="142">
        <v>2211</v>
      </c>
      <c r="BP10" s="142">
        <v>2630</v>
      </c>
      <c r="BQ10" s="142">
        <v>1046</v>
      </c>
      <c r="BR10" s="142"/>
      <c r="BS10" s="142"/>
      <c r="BT10" s="142"/>
      <c r="BU10" s="142"/>
      <c r="BV10" s="149"/>
      <c r="BW10" s="149"/>
      <c r="BX10" s="142"/>
      <c r="BY10" s="142"/>
      <c r="BZ10" s="142">
        <v>481</v>
      </c>
      <c r="CA10" s="142">
        <f t="shared" si="3"/>
        <v>1527</v>
      </c>
      <c r="CB10" s="142">
        <f t="shared" si="4"/>
        <v>0</v>
      </c>
      <c r="CC10" s="142">
        <f t="shared" si="5"/>
        <v>1747.9276110000001</v>
      </c>
      <c r="CD10" s="142">
        <f t="shared" si="31"/>
        <v>3076.2994011976048</v>
      </c>
      <c r="CE10" s="142">
        <f t="shared" si="6"/>
        <v>3708.8609999999999</v>
      </c>
      <c r="CF10" s="142">
        <f t="shared" si="7"/>
        <v>-220.92761100000007</v>
      </c>
      <c r="CG10" s="142">
        <f t="shared" si="8"/>
        <v>-701.92761100000007</v>
      </c>
      <c r="CH10" s="142">
        <f t="shared" si="32"/>
        <v>-865.29940119760477</v>
      </c>
      <c r="CI10" s="142">
        <f t="shared" si="10"/>
        <v>-1078.8609999999999</v>
      </c>
      <c r="CJ10" s="149">
        <f>(CI10-CI$12)/CI$13</f>
        <v>-1.5998708154434245</v>
      </c>
      <c r="CK10" s="149">
        <f t="shared" si="11"/>
        <v>-0.91142988290881066</v>
      </c>
      <c r="CL10" s="149">
        <f t="shared" si="12"/>
        <v>-1.4115142951959554</v>
      </c>
      <c r="CM10" s="149">
        <f>(CH10-CH$12)/CH$13</f>
        <v>-1.5997557350545415</v>
      </c>
      <c r="CN10">
        <v>452</v>
      </c>
      <c r="CO10">
        <f>BK10-BN10</f>
        <v>816</v>
      </c>
      <c r="CP10">
        <f>BL10-CN10</f>
        <v>796</v>
      </c>
      <c r="CQ10" s="12">
        <v>0.151</v>
      </c>
      <c r="CR10" s="12">
        <f>(CP10-CP$13)/CP$14</f>
        <v>0.13534224904269102</v>
      </c>
      <c r="CS10" s="16">
        <v>0</v>
      </c>
      <c r="CT10" s="16">
        <v>7499</v>
      </c>
      <c r="CU10">
        <v>39462</v>
      </c>
      <c r="CV10" s="142">
        <v>41536</v>
      </c>
      <c r="CW10" s="142">
        <v>47448</v>
      </c>
      <c r="CX10" s="142">
        <v>465</v>
      </c>
      <c r="CY10" s="142">
        <v>533</v>
      </c>
      <c r="CZ10" s="142">
        <f t="shared" si="21"/>
        <v>1479</v>
      </c>
      <c r="DA10" s="142">
        <f>AL10*CZ$14</f>
        <v>2027.8050704225348</v>
      </c>
      <c r="DB10" s="142">
        <f>CZ10-DA10</f>
        <v>-548.80507042253475</v>
      </c>
      <c r="DC10" s="274">
        <f>(DB10-DA$15)/DA$16</f>
        <v>-1.4845217951463923</v>
      </c>
      <c r="DD10" s="142">
        <v>218002</v>
      </c>
      <c r="DE10" s="142">
        <f t="shared" si="13"/>
        <v>259538</v>
      </c>
      <c r="DF10" s="142">
        <f t="shared" si="14"/>
        <v>0</v>
      </c>
      <c r="DG10" s="142">
        <f>V10*CV$15</f>
        <v>165726.40718562875</v>
      </c>
      <c r="DH10" s="142">
        <f>V10*CW$16</f>
        <v>253086.43800000002</v>
      </c>
      <c r="DI10" s="142">
        <f t="shared" si="15"/>
        <v>259538</v>
      </c>
      <c r="DJ10" s="142">
        <f>CV10-DG10</f>
        <v>-124190.40718562875</v>
      </c>
      <c r="DK10" s="142">
        <f t="shared" si="16"/>
        <v>-205638.43800000002</v>
      </c>
      <c r="DL10" s="149">
        <f t="shared" si="17"/>
        <v>1.539924700097985</v>
      </c>
      <c r="DM10" s="274">
        <f t="shared" si="33"/>
        <v>-1.7174896457834161</v>
      </c>
      <c r="DN10" s="274">
        <f t="shared" si="33"/>
        <v>-1.9468913033193511</v>
      </c>
      <c r="DO10" s="274">
        <f>(0.6*CM10)+(0.4*DM10)</f>
        <v>-1.6468492993460915</v>
      </c>
      <c r="DP10">
        <v>60468</v>
      </c>
      <c r="DQ10">
        <f t="shared" si="22"/>
        <v>-39462</v>
      </c>
      <c r="DR10" s="16">
        <f>CT10-DP10</f>
        <v>-52969</v>
      </c>
      <c r="DS10">
        <v>-0.873</v>
      </c>
      <c r="DT10" s="12">
        <f>(DR10-DR$13)/DR$14</f>
        <v>-1.3259311307414157</v>
      </c>
      <c r="DU10" s="12">
        <f>(0.6*CJ10)+(0.4*DN10)</f>
        <v>-1.738679010593795</v>
      </c>
      <c r="DV10" s="12">
        <f t="shared" si="19"/>
        <v>-1.5339044354309397</v>
      </c>
      <c r="DW10" s="16">
        <v>47898</v>
      </c>
      <c r="DX10" s="16">
        <v>182798</v>
      </c>
      <c r="DY10" s="16">
        <f t="shared" si="23"/>
        <v>448698</v>
      </c>
      <c r="DZ10" s="16">
        <f>AL10*DY$14</f>
        <v>536078.43192488269</v>
      </c>
      <c r="EA10" s="16">
        <f t="shared" si="24"/>
        <v>-87380.431924882694</v>
      </c>
      <c r="EB10" s="12">
        <f>(EA10-DZ$15)/DZ$16</f>
        <v>-0.23695822446609657</v>
      </c>
      <c r="EC10" s="12">
        <f>(0.6*DC10)+(0.4*EB10)</f>
        <v>-0.985496366874274</v>
      </c>
      <c r="ED10" s="12">
        <f t="shared" si="20"/>
        <v>6.9111950293907709E-2</v>
      </c>
    </row>
    <row r="11" spans="1:134" x14ac:dyDescent="0.35">
      <c r="A11" s="8" t="s">
        <v>204</v>
      </c>
      <c r="B11" s="8" t="s">
        <v>206</v>
      </c>
      <c r="C11" s="144">
        <f t="shared" si="0"/>
        <v>51</v>
      </c>
      <c r="D11" s="144">
        <v>0</v>
      </c>
      <c r="E11" s="144">
        <v>51</v>
      </c>
      <c r="F11" s="146">
        <v>121</v>
      </c>
      <c r="G11" s="144">
        <v>93</v>
      </c>
      <c r="H11" s="147">
        <f>F11/C11</f>
        <v>2.3725490196078431</v>
      </c>
      <c r="I11" s="147">
        <f>G11/C11</f>
        <v>1.8235294117647058</v>
      </c>
      <c r="J11" s="147">
        <f>H11/H$14</f>
        <v>5.3807955026321533E-2</v>
      </c>
      <c r="K11" s="148">
        <f>I11/I14</f>
        <v>7.2348331304495139E-2</v>
      </c>
      <c r="L11" s="142">
        <v>7499</v>
      </c>
      <c r="M11" s="142">
        <v>0</v>
      </c>
      <c r="N11" s="142">
        <f>L11/C11</f>
        <v>147.0392156862745</v>
      </c>
      <c r="O11" s="142"/>
      <c r="P11" s="147">
        <f>N11/N$13</f>
        <v>2.3688569010350977E-2</v>
      </c>
      <c r="Q11" s="147"/>
      <c r="R11" s="147">
        <f t="shared" si="1"/>
        <v>4.3408998782697085E-2</v>
      </c>
      <c r="S11" s="147">
        <f t="shared" si="2"/>
        <v>4.176020061993331E-2</v>
      </c>
      <c r="T11" s="149">
        <v>-1.431</v>
      </c>
      <c r="U11" s="144">
        <v>-0.68</v>
      </c>
      <c r="V11" s="145">
        <v>52</v>
      </c>
      <c r="W11" s="149">
        <v>-0.70637144663170925</v>
      </c>
      <c r="X11" s="12">
        <f>(0.6*CR11)+(0.4*DT11)</f>
        <v>-1.191037034668442</v>
      </c>
      <c r="Y11" s="30"/>
      <c r="Z11" s="18"/>
      <c r="AA11" s="18"/>
      <c r="AB11" s="18"/>
      <c r="AC11" s="18"/>
      <c r="AD11" s="18"/>
      <c r="AE11" s="28"/>
      <c r="AF11" s="18"/>
      <c r="AG11" s="18"/>
      <c r="AH11" s="18"/>
      <c r="AI11" s="28"/>
      <c r="AJ11" s="28"/>
      <c r="AK11" s="28"/>
      <c r="AL11" s="16">
        <v>53</v>
      </c>
      <c r="AM11" s="18"/>
      <c r="AN11" s="18"/>
      <c r="AO11" s="18"/>
      <c r="AP11" s="18"/>
      <c r="AQ11" s="18"/>
      <c r="AR11" s="18"/>
      <c r="AS11" s="18"/>
      <c r="AT11" s="18"/>
      <c r="AU11" s="28"/>
      <c r="AV11" s="28"/>
      <c r="AW11" s="28"/>
      <c r="AX11" s="28"/>
      <c r="AY11" s="28"/>
      <c r="AZ11" s="12"/>
      <c r="BA11" s="28"/>
      <c r="BB11" s="28"/>
      <c r="BC11" s="28"/>
      <c r="BJ11" s="17"/>
      <c r="BK11">
        <v>242</v>
      </c>
      <c r="BL11">
        <v>254</v>
      </c>
      <c r="BM11">
        <f>BK11-BL11</f>
        <v>-12</v>
      </c>
      <c r="BN11">
        <v>172</v>
      </c>
      <c r="BO11" s="142">
        <v>482</v>
      </c>
      <c r="BP11" s="142">
        <v>598</v>
      </c>
      <c r="BQ11" s="142">
        <v>229</v>
      </c>
      <c r="BR11" s="142"/>
      <c r="BS11" s="142"/>
      <c r="BT11" s="142"/>
      <c r="BU11" s="142"/>
      <c r="BV11" s="149"/>
      <c r="BW11" s="149"/>
      <c r="BX11" s="142"/>
      <c r="BY11" s="142"/>
      <c r="BZ11" s="142">
        <v>219</v>
      </c>
      <c r="CA11" s="142">
        <f t="shared" si="3"/>
        <v>448</v>
      </c>
      <c r="CB11" s="142">
        <f t="shared" si="4"/>
        <v>0</v>
      </c>
      <c r="CC11" s="142">
        <f t="shared" si="5"/>
        <v>496.67888400000004</v>
      </c>
      <c r="CD11" s="142">
        <f t="shared" si="31"/>
        <v>874.13972055888223</v>
      </c>
      <c r="CE11" s="142">
        <f t="shared" si="6"/>
        <v>1053.884</v>
      </c>
      <c r="CF11" s="142">
        <f t="shared" si="7"/>
        <v>-48.678884000000039</v>
      </c>
      <c r="CG11" s="142">
        <f t="shared" si="8"/>
        <v>-267.67888400000004</v>
      </c>
      <c r="CH11" s="142">
        <f t="shared" si="32"/>
        <v>-392.13972055888223</v>
      </c>
      <c r="CI11" s="142">
        <f t="shared" si="10"/>
        <v>-455.88400000000001</v>
      </c>
      <c r="CJ11" s="149">
        <f>(CI11-CI$12)/CI$13</f>
        <v>-0.72188301441790848</v>
      </c>
      <c r="CK11" s="149">
        <f t="shared" si="11"/>
        <v>-0.67389076078726406</v>
      </c>
      <c r="CL11" s="149">
        <f t="shared" si="12"/>
        <v>-0.58851073055252445</v>
      </c>
      <c r="CM11" s="149">
        <f>(CH11-CH$12)/CH$13</f>
        <v>-0.73458794507060265</v>
      </c>
      <c r="CN11">
        <v>187</v>
      </c>
      <c r="CO11">
        <f>BK11-BN11</f>
        <v>70</v>
      </c>
      <c r="CP11">
        <f>BL11-CN11</f>
        <v>67</v>
      </c>
      <c r="CQ11" s="12">
        <v>-1.53</v>
      </c>
      <c r="CR11" s="12">
        <f>(CP11-CP$13)/CP$14</f>
        <v>-1.5322267574720441</v>
      </c>
      <c r="CS11" s="16">
        <v>7499</v>
      </c>
      <c r="CT11" s="16">
        <v>0</v>
      </c>
      <c r="CU11">
        <v>65472</v>
      </c>
      <c r="CV11" s="142">
        <v>0</v>
      </c>
      <c r="CW11" s="142">
        <v>0</v>
      </c>
      <c r="CX11" s="142">
        <v>163</v>
      </c>
      <c r="CY11" s="142">
        <v>175</v>
      </c>
      <c r="CZ11" s="142">
        <f t="shared" si="21"/>
        <v>557</v>
      </c>
      <c r="DA11" s="142">
        <f>AL11*CZ$14</f>
        <v>910.79380281690123</v>
      </c>
      <c r="DB11" s="142">
        <f>CZ11-DA11</f>
        <v>-353.79380281690123</v>
      </c>
      <c r="DC11" s="274">
        <f>(DB11-DA$15)/DA$16</f>
        <v>-0.95701486661747326</v>
      </c>
      <c r="DD11" s="142">
        <v>0</v>
      </c>
      <c r="DE11" s="142">
        <f t="shared" si="13"/>
        <v>0</v>
      </c>
      <c r="DF11" s="142">
        <f t="shared" si="14"/>
        <v>0</v>
      </c>
      <c r="DG11" s="142">
        <f>V11*CV$15</f>
        <v>47091.656686626753</v>
      </c>
      <c r="DH11" s="142">
        <f>V11*CW$16</f>
        <v>71915.272000000012</v>
      </c>
      <c r="DI11" s="142">
        <f t="shared" si="15"/>
        <v>0</v>
      </c>
      <c r="DJ11" s="142">
        <f>CV11-DG11</f>
        <v>-47091.656686626753</v>
      </c>
      <c r="DK11" s="142">
        <f t="shared" si="16"/>
        <v>-71915.272000000012</v>
      </c>
      <c r="DL11" s="149">
        <f t="shared" si="17"/>
        <v>-1.3629345333463876</v>
      </c>
      <c r="DM11" s="274">
        <f t="shared" si="33"/>
        <v>-0.65567794103102817</v>
      </c>
      <c r="DN11" s="274">
        <f t="shared" si="33"/>
        <v>-0.56939383017398371</v>
      </c>
      <c r="DO11" s="274">
        <f>(0.6*CM11)+(0.4*DM11)</f>
        <v>-0.70302394345477293</v>
      </c>
      <c r="DP11">
        <v>27219</v>
      </c>
      <c r="DQ11">
        <f t="shared" si="22"/>
        <v>-57973</v>
      </c>
      <c r="DR11" s="16">
        <f>CT11-DP11</f>
        <v>-27219</v>
      </c>
      <c r="DS11">
        <v>-1.2829999999999999</v>
      </c>
      <c r="DT11" s="12">
        <f>(DR11-DR$13)/DR$14</f>
        <v>-0.67925245046303917</v>
      </c>
      <c r="DU11" s="12">
        <f>(0.6*CJ11)+(0.4*DN11)</f>
        <v>-0.66088734072033861</v>
      </c>
      <c r="DV11" s="12">
        <f t="shared" si="19"/>
        <v>-0.61537761474392594</v>
      </c>
      <c r="DW11" s="16">
        <v>0</v>
      </c>
      <c r="DX11" s="16">
        <v>0</v>
      </c>
      <c r="DY11" s="16">
        <f t="shared" si="23"/>
        <v>0</v>
      </c>
      <c r="DZ11" s="16">
        <f>AL11*DY$14</f>
        <v>240780.99061032865</v>
      </c>
      <c r="EA11" s="16">
        <f t="shared" si="24"/>
        <v>-240780.99061032865</v>
      </c>
      <c r="EB11" s="12">
        <f>(EA11-DZ$15)/DZ$16</f>
        <v>-0.65294980538960001</v>
      </c>
      <c r="EC11" s="12">
        <f>(0.6*DC11)+(0.4*EB11)</f>
        <v>-0.83538884212632403</v>
      </c>
      <c r="ED11" s="12">
        <f t="shared" si="20"/>
        <v>-0.94950826981091352</v>
      </c>
    </row>
    <row r="12" spans="1:134" x14ac:dyDescent="0.35">
      <c r="C12" s="1">
        <f>SUM(C3:C11)</f>
        <v>426</v>
      </c>
      <c r="D12" s="1">
        <f>SUM(D3:D11)</f>
        <v>252</v>
      </c>
      <c r="E12" s="1">
        <f>SUM(E3:E11)</f>
        <v>174</v>
      </c>
      <c r="F12" s="42">
        <f>SUM(F3:F11)</f>
        <v>2954</v>
      </c>
      <c r="G12" s="1">
        <f>SUM(G3:G11)</f>
        <v>1707</v>
      </c>
      <c r="H12" s="26">
        <f>F12/C12</f>
        <v>6.934272300469484</v>
      </c>
      <c r="I12" s="26">
        <f>G12/C12</f>
        <v>4.007042253521127</v>
      </c>
      <c r="J12" s="26">
        <f>SUM(J3:J11)</f>
        <v>1</v>
      </c>
      <c r="K12" s="58">
        <f>SUM(K3:K11)</f>
        <v>1</v>
      </c>
      <c r="L12" s="24">
        <f>SUM(L3:L11)</f>
        <v>352408</v>
      </c>
      <c r="M12" s="24">
        <f>SUM(M3:M11)</f>
        <v>328959</v>
      </c>
      <c r="N12" s="24">
        <f>L12/C12</f>
        <v>827.24882629107981</v>
      </c>
      <c r="O12" s="24">
        <f>M12/C12</f>
        <v>772.20422535211264</v>
      </c>
      <c r="P12" s="16"/>
      <c r="Q12" s="26">
        <f>SUM(Q3:Q11)</f>
        <v>1</v>
      </c>
      <c r="R12" s="26">
        <f>SUM(R3:R11)</f>
        <v>1.0000000000000002</v>
      </c>
      <c r="S12" s="26"/>
      <c r="T12" s="26"/>
      <c r="U12" s="26"/>
      <c r="V12" s="74">
        <f>SUM(V3:V11)</f>
        <v>501</v>
      </c>
      <c r="W12" s="74"/>
      <c r="X12" s="26"/>
      <c r="Y12" s="34">
        <f>SUM(Y3:Y11)</f>
        <v>0</v>
      </c>
      <c r="Z12" s="30" t="e">
        <f>SUM(Z3:Z11)</f>
        <v>#VALUE!</v>
      </c>
      <c r="AA12" s="30" t="e">
        <f>SUM(AA3:AA11)</f>
        <v>#DIV/0!</v>
      </c>
      <c r="AB12" s="30"/>
      <c r="AC12" s="30"/>
      <c r="AD12" s="30">
        <f>SUM(AD4:AD11)</f>
        <v>83.918699186991887</v>
      </c>
      <c r="AE12" s="32"/>
      <c r="AF12" s="30" t="e">
        <f>SUM(AF3:AF11)</f>
        <v>#VALUE!</v>
      </c>
      <c r="AG12" s="27" t="e">
        <f>SUM(AG3:AG11)</f>
        <v>#VALUE!</v>
      </c>
      <c r="AH12" s="27" t="e">
        <f>SUM(AH3:AH11)</f>
        <v>#DIV/0!</v>
      </c>
      <c r="AI12" s="29" t="e">
        <f>SUM(AI3:AI11)</f>
        <v>#DIV/0!</v>
      </c>
      <c r="AJ12" s="29" t="e">
        <f>SUM(AJ3:AJ11)</f>
        <v>#DIV/0!</v>
      </c>
      <c r="AK12" s="32"/>
      <c r="AL12" s="24">
        <f>SUM(AL3:AL11)</f>
        <v>426</v>
      </c>
      <c r="AM12" s="27"/>
      <c r="AN12" s="27"/>
      <c r="AO12" s="27"/>
      <c r="AP12" s="27"/>
      <c r="AQ12" s="27"/>
      <c r="AR12" s="27"/>
      <c r="AS12" s="27"/>
      <c r="AT12" s="30">
        <f>SUM(AT3:AT11)</f>
        <v>85.604098368647712</v>
      </c>
      <c r="AU12" s="29">
        <f>SUM(AU3:AU11)</f>
        <v>84.683651946406002</v>
      </c>
      <c r="AV12" s="32"/>
      <c r="AW12" s="32" t="e">
        <f>SUM(AW3:AW11)</f>
        <v>#VALUE!</v>
      </c>
      <c r="AX12" s="32"/>
      <c r="AY12" s="32" t="e">
        <f>SUM(AY3:AY11)</f>
        <v>#DIV/0!</v>
      </c>
      <c r="AZ12" s="129"/>
      <c r="BA12" s="32"/>
      <c r="BB12" s="32"/>
      <c r="BC12" s="32"/>
      <c r="BD12" s="144" t="s">
        <v>400</v>
      </c>
      <c r="BH12" s="144" t="s">
        <v>401</v>
      </c>
      <c r="BK12" s="1">
        <f>SUM(BK3:BK11)</f>
        <v>5908</v>
      </c>
      <c r="BL12" s="1">
        <f>SUM(BL3:BL11)</f>
        <v>5956</v>
      </c>
      <c r="BM12" s="1"/>
      <c r="BO12" s="24">
        <f>SUM(BO9:BO11,BO3:BO6)</f>
        <v>8422</v>
      </c>
      <c r="BP12" s="24">
        <f>SUM(BP3:BP11)</f>
        <v>10467</v>
      </c>
      <c r="BQ12" s="24">
        <f>SUM(BQ3:BQ11)</f>
        <v>5047</v>
      </c>
      <c r="BR12" s="24"/>
      <c r="BS12" s="24"/>
      <c r="BT12" s="24"/>
      <c r="BU12" s="24"/>
      <c r="BV12" s="23"/>
      <c r="BW12" s="23"/>
      <c r="BX12" s="24"/>
      <c r="BY12" s="24"/>
      <c r="BZ12" s="24">
        <f>SUM(BZ3:BZ11)</f>
        <v>2780</v>
      </c>
      <c r="CA12" s="24">
        <f>SUM(CA3:CA11)</f>
        <v>7827</v>
      </c>
      <c r="CB12" s="24"/>
      <c r="CC12" s="24"/>
      <c r="CD12" s="1"/>
      <c r="CE12" s="1"/>
      <c r="CF12" s="23">
        <f>AVERAGE(CF9:CF11,CF3:CF6)</f>
        <v>439.98515014285709</v>
      </c>
      <c r="CG12" s="23">
        <f>AVERAGE(CG9:CG11,CG3:CG6)</f>
        <v>42.842292999999948</v>
      </c>
      <c r="CH12" s="23">
        <f>AVERAGE(CH9:CH11,CH3:CH6)</f>
        <v>9.60593099515253</v>
      </c>
      <c r="CI12" s="23">
        <f>AVERAGE(CI9:CI11,CI3:CI6)</f>
        <v>56.328714285714327</v>
      </c>
      <c r="CJ12" s="23"/>
      <c r="CK12" s="23"/>
      <c r="CL12" s="23"/>
      <c r="CM12" s="1"/>
      <c r="CS12" s="24">
        <f>SUM(CS3:CS11)</f>
        <v>352408</v>
      </c>
      <c r="CT12" s="24">
        <f>SUM(CT3:CT11)</f>
        <v>214129.3</v>
      </c>
      <c r="CV12" s="24">
        <f>SUM(CV3:CV6,CV9:CV11)</f>
        <v>453710</v>
      </c>
      <c r="CW12" s="24">
        <f>SUM(CW3:CW11)</f>
        <v>570862</v>
      </c>
      <c r="CX12" s="24">
        <f>SUM(CX3:CX11)</f>
        <v>2135</v>
      </c>
      <c r="CY12" s="24">
        <f>SUM(CY3:CY11)</f>
        <v>2405.7200000000003</v>
      </c>
      <c r="CZ12" s="24">
        <f>SUM(CZ3:CZ11)</f>
        <v>7320.7199999999993</v>
      </c>
      <c r="DA12" s="24"/>
      <c r="DB12" s="24"/>
      <c r="DC12" s="24"/>
      <c r="DD12" s="24">
        <f>SUM(DD3:DD11)</f>
        <v>399288</v>
      </c>
      <c r="DE12" s="24">
        <f>SUM(DE3:DE11)</f>
        <v>852998</v>
      </c>
      <c r="DF12" s="24"/>
      <c r="DG12" s="24"/>
      <c r="DH12" s="24"/>
      <c r="DI12" s="24">
        <f>AVERAGE(DI9:DI11,DI3:DI6)</f>
        <v>121856.85714285714</v>
      </c>
      <c r="DJ12" s="24">
        <f>AVERAGE(DJ9:DJ11,DJ3:DJ6)</f>
        <v>517.490732820071</v>
      </c>
      <c r="DK12" s="24">
        <f>AVERAGE(DK9:DK11,DK3:DK6)</f>
        <v>-16640.291714285722</v>
      </c>
      <c r="DL12" s="23"/>
      <c r="DM12" s="24"/>
      <c r="DN12" s="24"/>
      <c r="DO12" s="24"/>
      <c r="DW12" s="24">
        <f>SUM(DW3:DW11)</f>
        <v>727505</v>
      </c>
      <c r="DX12" s="24">
        <f>SUM(DX3:DX11)</f>
        <v>808541</v>
      </c>
      <c r="DY12" s="24">
        <f>SUM(DY3:DY11)</f>
        <v>1935334</v>
      </c>
    </row>
    <row r="13" spans="1:134" x14ac:dyDescent="0.35">
      <c r="C13" s="1">
        <v>157</v>
      </c>
      <c r="F13" s="44"/>
      <c r="H13" s="1" t="s">
        <v>444</v>
      </c>
      <c r="I13" s="1" t="s">
        <v>444</v>
      </c>
      <c r="J13" s="1"/>
      <c r="K13" s="59"/>
      <c r="N13" s="25">
        <f>SUM(N3:N11)</f>
        <v>6207.1801644930147</v>
      </c>
      <c r="O13" s="25">
        <f>SUM(O3:O11)</f>
        <v>4232.0786896318814</v>
      </c>
      <c r="P13" s="25"/>
      <c r="Q13" s="20"/>
      <c r="V13" s="54"/>
      <c r="W13" s="54"/>
      <c r="AM13" s="18">
        <f t="shared" ref="AM13:AS13" si="34">SUM(AM3:AM12)</f>
        <v>876669.18666714244</v>
      </c>
      <c r="AN13" s="18">
        <f t="shared" si="34"/>
        <v>1113990.2794077089</v>
      </c>
      <c r="AO13" s="18">
        <f t="shared" si="34"/>
        <v>1115917.674811126</v>
      </c>
      <c r="AP13" s="18">
        <f t="shared" si="34"/>
        <v>1035525.713628659</v>
      </c>
      <c r="AQ13" s="18">
        <f t="shared" si="34"/>
        <v>995329.73303742567</v>
      </c>
      <c r="AR13" s="30">
        <f t="shared" si="34"/>
        <v>1113990.2794077089</v>
      </c>
      <c r="AS13" s="30">
        <f t="shared" si="34"/>
        <v>1115917.674811126</v>
      </c>
      <c r="AT13" s="30"/>
      <c r="BD13" s="61">
        <v>1113990.2794077089</v>
      </c>
      <c r="BE13" s="61"/>
      <c r="BF13" s="61"/>
      <c r="BG13" s="61"/>
      <c r="BH13" s="40">
        <f>BD13/AU12</f>
        <v>13154.726488563852</v>
      </c>
      <c r="BJ13" s="144" t="s">
        <v>439</v>
      </c>
      <c r="BL13" s="75">
        <f>(BK12/BL12)*100</f>
        <v>99.194089993284081</v>
      </c>
      <c r="BR13" s="268">
        <f t="shared" ref="BR13:BW13" si="35">SUM(BR3:BR12)</f>
        <v>953989</v>
      </c>
      <c r="BS13" s="24">
        <f t="shared" si="35"/>
        <v>1084416</v>
      </c>
      <c r="BT13" s="24">
        <f t="shared" si="35"/>
        <v>1051440.8916037085</v>
      </c>
      <c r="BU13" s="24">
        <f t="shared" si="35"/>
        <v>1084416</v>
      </c>
      <c r="BV13" s="23">
        <f t="shared" si="35"/>
        <v>48.611317585206066</v>
      </c>
      <c r="BW13" s="23">
        <f t="shared" si="35"/>
        <v>1</v>
      </c>
      <c r="CF13" s="12">
        <f>STDEV(CF3:CF6,CF9:CF11)</f>
        <v>725.13834968145545</v>
      </c>
      <c r="CG13" s="12">
        <f>STDEV(CG3:CG6,CG9:CG11)</f>
        <v>527.63893822032196</v>
      </c>
      <c r="CH13" s="12">
        <f>STDEV(CH3:CH6,CH9:CH11)</f>
        <v>546.89932532914384</v>
      </c>
      <c r="CI13" s="12">
        <f>STDEV(CI3:CI6,CI9:CI11)</f>
        <v>709.55086081189745</v>
      </c>
      <c r="CJ13" s="12"/>
      <c r="CK13" s="12"/>
      <c r="CL13" s="12"/>
      <c r="CO13" s="1" t="s">
        <v>466</v>
      </c>
      <c r="CP13">
        <f>AVERAGE(CP3:CP5,CP9:CP11)</f>
        <v>736.83333333333337</v>
      </c>
      <c r="DI13">
        <f>STDEV(DI3:DI6,DI9:DI11)</f>
        <v>89407.711200672493</v>
      </c>
      <c r="DJ13">
        <f>STDEV(DJ3:DJ6,DJ9:DJ11)</f>
        <v>72610.567536530638</v>
      </c>
      <c r="DK13">
        <f>STDEV(DK3:DK6,DK9:DK11)</f>
        <v>97076.886605575783</v>
      </c>
      <c r="DQ13" s="1" t="s">
        <v>406</v>
      </c>
      <c r="DR13" s="16">
        <f>AVERAGE(DR3:DR5,DR9:DR11)</f>
        <v>-171.94999999999951</v>
      </c>
    </row>
    <row r="14" spans="1:134" ht="14.9" customHeight="1" x14ac:dyDescent="0.45">
      <c r="A14" s="11"/>
      <c r="C14" s="1">
        <f>C13/C12</f>
        <v>0.36854460093896713</v>
      </c>
      <c r="F14" s="56"/>
      <c r="G14" s="57"/>
      <c r="H14" s="52">
        <f>SUM(H3:H11)</f>
        <v>44.092904449671991</v>
      </c>
      <c r="I14" s="52">
        <f>SUM(I3:I11)</f>
        <v>25.204857926714979</v>
      </c>
      <c r="J14" s="52"/>
      <c r="K14" s="60"/>
      <c r="AM14" s="18"/>
      <c r="AP14" s="18">
        <f>AP13-AO13</f>
        <v>-80391.961182466941</v>
      </c>
      <c r="AQ14" s="18">
        <f>AN13-AQ13</f>
        <v>118660.54637028323</v>
      </c>
      <c r="AR14" s="18"/>
      <c r="AS14" s="18"/>
      <c r="AT14" s="18"/>
      <c r="BJ14" s="14">
        <f>SUM(DV4,DV9)</f>
        <v>1.5359912517833254</v>
      </c>
      <c r="BT14" s="16">
        <f>BT13-BS13</f>
        <v>-32975.1083962915</v>
      </c>
      <c r="CO14" s="1" t="s">
        <v>409</v>
      </c>
      <c r="CP14">
        <f>STDEV(CP3:CP5,CP9:CP11)</f>
        <v>437.16331807079456</v>
      </c>
      <c r="CY14" s="290" t="s">
        <v>596</v>
      </c>
      <c r="CZ14" s="12">
        <f>CZ12/AL12</f>
        <v>17.184788732394363</v>
      </c>
      <c r="DQ14" s="1" t="s">
        <v>409</v>
      </c>
      <c r="DR14">
        <f>STDEV(DR3:DR5,DR9:DR11)</f>
        <v>39818.847884262046</v>
      </c>
      <c r="DX14" s="290" t="s">
        <v>596</v>
      </c>
      <c r="DY14" s="16">
        <f>DY12/AL12</f>
        <v>4543.0375586854461</v>
      </c>
    </row>
    <row r="15" spans="1:134" ht="18.5" x14ac:dyDescent="0.45">
      <c r="A15" s="11"/>
      <c r="BJ15" s="144" t="s">
        <v>445</v>
      </c>
      <c r="BL15" s="144" t="s">
        <v>408</v>
      </c>
      <c r="BO15" s="12">
        <f>BO12/V12</f>
        <v>16.810379241516966</v>
      </c>
      <c r="BP15" s="12">
        <f>BP12/V12</f>
        <v>20.892215568862277</v>
      </c>
      <c r="BQ15" s="12">
        <f>BQ12/V12</f>
        <v>10.073852295409182</v>
      </c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L15" s="144" t="s">
        <v>445</v>
      </c>
      <c r="CM15" s="144" t="s">
        <v>445</v>
      </c>
      <c r="CT15" s="144" t="s">
        <v>408</v>
      </c>
      <c r="CV15" s="18">
        <f>CV12/V12</f>
        <v>905.6087824351298</v>
      </c>
      <c r="CW15" s="17">
        <f>CW12/V12</f>
        <v>1139.4451097804392</v>
      </c>
      <c r="CX15" s="17"/>
      <c r="CY15" s="17"/>
      <c r="CZ15" s="298" t="s">
        <v>598</v>
      </c>
      <c r="DA15" s="17">
        <f>AVERAGE(DB3,DB4,DB5,DB6,DB9,DB10,DB11)</f>
        <v>1.6240976817373719E-13</v>
      </c>
      <c r="DB15" s="17"/>
      <c r="DC15" s="17"/>
      <c r="DD15" s="17"/>
      <c r="DE15" s="17"/>
      <c r="DF15" s="17"/>
      <c r="DY15" s="298" t="s">
        <v>598</v>
      </c>
      <c r="DZ15" s="12">
        <f>AVERAGE(EA3,EA4,EA5,EA6,EA9,EA10,EA11)</f>
        <v>0</v>
      </c>
    </row>
    <row r="16" spans="1:134" ht="18.5" x14ac:dyDescent="0.45">
      <c r="A16" s="11"/>
      <c r="BJ16" s="144" t="s">
        <v>414</v>
      </c>
      <c r="BL16" s="144" t="s">
        <v>413</v>
      </c>
      <c r="BO16" s="12">
        <v>16.451229999999999</v>
      </c>
      <c r="BP16" s="12">
        <v>20.266999999999999</v>
      </c>
      <c r="BQ16" s="12">
        <v>9.5515170000000005</v>
      </c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L16" s="144" t="s">
        <v>414</v>
      </c>
      <c r="CM16" s="144" t="s">
        <v>414</v>
      </c>
      <c r="CT16" s="144" t="s">
        <v>413</v>
      </c>
      <c r="CV16" s="18">
        <v>1172.625</v>
      </c>
      <c r="CW16" s="17">
        <v>1382.9860000000001</v>
      </c>
      <c r="CX16" s="17"/>
      <c r="CY16" s="17"/>
      <c r="CZ16" s="298" t="s">
        <v>599</v>
      </c>
      <c r="DA16" s="17">
        <f>STDEV(DB3,DB4,DB5,DB6,DB9,DB10,DB11)</f>
        <v>369.68475115477565</v>
      </c>
      <c r="DB16" s="17"/>
      <c r="DC16" s="17"/>
      <c r="DD16" s="17"/>
      <c r="DE16" s="17"/>
      <c r="DF16" s="17"/>
      <c r="DY16" s="298" t="s">
        <v>599</v>
      </c>
      <c r="DZ16" s="12">
        <f>STDEV(EA3,EA4,EA5,EA6,EA9,EA10,EA11)</f>
        <v>368758.80599529424</v>
      </c>
    </row>
    <row r="17" spans="1:100" ht="18.5" x14ac:dyDescent="0.45">
      <c r="A17" s="11"/>
      <c r="BL17" t="s">
        <v>416</v>
      </c>
      <c r="BQ17">
        <v>2023</v>
      </c>
      <c r="CT17" t="s">
        <v>417</v>
      </c>
      <c r="CV17">
        <v>2023</v>
      </c>
    </row>
    <row r="18" spans="1:100" ht="18.5" x14ac:dyDescent="0.45">
      <c r="A18" s="11"/>
    </row>
    <row r="19" spans="1:100" ht="18.5" x14ac:dyDescent="0.45">
      <c r="A19" s="11"/>
    </row>
    <row r="20" spans="1:100" ht="18.5" x14ac:dyDescent="0.45">
      <c r="A20" s="11"/>
    </row>
    <row r="21" spans="1:100" ht="18.5" x14ac:dyDescent="0.45">
      <c r="A21" s="11"/>
    </row>
    <row r="22" spans="1:100" ht="18.5" x14ac:dyDescent="0.45">
      <c r="A22" s="11"/>
    </row>
    <row r="23" spans="1:100" ht="18.5" x14ac:dyDescent="0.45">
      <c r="A23" s="11"/>
    </row>
    <row r="24" spans="1:100" ht="18.5" x14ac:dyDescent="0.45">
      <c r="A24" s="11"/>
    </row>
    <row r="25" spans="1:100" ht="18.5" x14ac:dyDescent="0.45">
      <c r="A25" s="11"/>
    </row>
    <row r="26" spans="1:100" ht="18.5" x14ac:dyDescent="0.45">
      <c r="A26" s="11"/>
    </row>
    <row r="27" spans="1:100" ht="18.5" x14ac:dyDescent="0.45">
      <c r="A27" s="11"/>
    </row>
    <row r="28" spans="1:100" ht="18.5" x14ac:dyDescent="0.45">
      <c r="A28" s="11"/>
    </row>
    <row r="29" spans="1:100" ht="18.5" x14ac:dyDescent="0.45">
      <c r="A29" s="11"/>
    </row>
    <row r="30" spans="1:100" ht="18.5" x14ac:dyDescent="0.45">
      <c r="A30" s="11"/>
    </row>
    <row r="31" spans="1:100" ht="18.5" x14ac:dyDescent="0.45">
      <c r="A31" s="11"/>
    </row>
    <row r="32" spans="1:100" ht="18.5" x14ac:dyDescent="0.45">
      <c r="A32" s="11"/>
    </row>
    <row r="33" spans="1:1" ht="18.5" x14ac:dyDescent="0.45">
      <c r="A33" s="11"/>
    </row>
    <row r="34" spans="1:1" ht="18.5" x14ac:dyDescent="0.45">
      <c r="A34" s="11"/>
    </row>
    <row r="35" spans="1:1" ht="18.5" x14ac:dyDescent="0.45">
      <c r="A35" s="11"/>
    </row>
    <row r="36" spans="1:1" ht="18.5" x14ac:dyDescent="0.45">
      <c r="A36" s="11"/>
    </row>
    <row r="37" spans="1:1" ht="18.5" x14ac:dyDescent="0.45">
      <c r="A37" s="11"/>
    </row>
    <row r="38" spans="1:1" ht="18.5" x14ac:dyDescent="0.45">
      <c r="A38" s="11"/>
    </row>
  </sheetData>
  <dataValidations disablePrompts="1" count="1">
    <dataValidation type="list" showInputMessage="1" showErrorMessage="1" sqref="D1:E1" xr:uid="{00000000-0002-0000-0700-000000000000}">
      <formula1>$A$14:$A$38</formula1>
    </dataValidation>
  </dataValidations>
  <pageMargins left="0.75" right="0.75" top="1" bottom="1" header="0.5" footer="0.5"/>
  <pageSetup paperSize="9" orientation="portrait" r:id="rId1"/>
  <ignoredErrors>
    <ignoredError sqref="I14 C3:C1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Q97"/>
  <sheetViews>
    <sheetView zoomScaleNormal="100" workbookViewId="0">
      <pane ySplit="2" topLeftCell="A17" activePane="bottomLeft" state="frozen"/>
      <selection pane="bottomLeft" activeCell="B17" sqref="B17"/>
    </sheetView>
  </sheetViews>
  <sheetFormatPr defaultColWidth="8.54296875" defaultRowHeight="14.5" x14ac:dyDescent="0.35"/>
  <cols>
    <col min="1" max="1" width="43.54296875" customWidth="1"/>
    <col min="2" max="2" width="60.54296875" customWidth="1"/>
    <col min="3" max="3" width="11.54296875" style="1" hidden="1" customWidth="1"/>
    <col min="4" max="4" width="15.54296875" hidden="1" customWidth="1"/>
    <col min="5" max="5" width="17.54296875" hidden="1" customWidth="1"/>
    <col min="6" max="6" width="13.81640625" hidden="1" customWidth="1"/>
    <col min="7" max="7" width="12.81640625" hidden="1" customWidth="1"/>
    <col min="8" max="9" width="8.54296875" hidden="1" customWidth="1"/>
    <col min="10" max="10" width="12.54296875" hidden="1" customWidth="1"/>
    <col min="11" max="11" width="13.453125" hidden="1" customWidth="1"/>
    <col min="12" max="12" width="16.453125" hidden="1" customWidth="1"/>
    <col min="13" max="13" width="16.54296875" hidden="1" customWidth="1"/>
    <col min="14" max="14" width="19.54296875" hidden="1" customWidth="1"/>
    <col min="15" max="15" width="16.453125" hidden="1" customWidth="1"/>
    <col min="16" max="16" width="11.453125" hidden="1" customWidth="1"/>
    <col min="17" max="17" width="8.54296875" hidden="1" customWidth="1"/>
    <col min="18" max="18" width="15.453125" hidden="1" customWidth="1"/>
    <col min="19" max="19" width="7.453125" hidden="1" customWidth="1"/>
    <col min="20" max="20" width="15.453125" hidden="1" customWidth="1"/>
    <col min="21" max="21" width="17.1796875" hidden="1" customWidth="1"/>
    <col min="22" max="23" width="9.54296875" hidden="1" customWidth="1"/>
    <col min="24" max="24" width="8.54296875" hidden="1" customWidth="1"/>
    <col min="25" max="26" width="10.54296875" hidden="1" customWidth="1"/>
    <col min="27" max="27" width="15.1796875" hidden="1" customWidth="1"/>
    <col min="28" max="28" width="8.54296875" style="74" hidden="1" customWidth="1"/>
    <col min="29" max="29" width="8.453125" style="74" hidden="1" customWidth="1"/>
    <col min="30" max="30" width="21" hidden="1" customWidth="1"/>
    <col min="31" max="31" width="8.26953125" bestFit="1" customWidth="1"/>
    <col min="32" max="34" width="11.1796875" hidden="1" customWidth="1"/>
    <col min="35" max="36" width="11.453125" hidden="1" customWidth="1"/>
    <col min="37" max="37" width="11.54296875" hidden="1" customWidth="1"/>
    <col min="38" max="38" width="15.453125" hidden="1" customWidth="1"/>
    <col min="39" max="39" width="14.54296875" hidden="1" customWidth="1"/>
    <col min="40" max="41" width="11.453125" hidden="1" customWidth="1"/>
    <col min="42" max="42" width="14.54296875" hidden="1" customWidth="1"/>
    <col min="43" max="43" width="12.26953125" customWidth="1"/>
    <col min="44" max="45" width="11.1796875" style="1" hidden="1" customWidth="1"/>
    <col min="46" max="46" width="14.54296875" hidden="1" customWidth="1"/>
    <col min="47" max="47" width="11.1796875" hidden="1" customWidth="1"/>
    <col min="48" max="50" width="14.54296875" hidden="1" customWidth="1"/>
    <col min="51" max="51" width="13.453125" hidden="1" customWidth="1"/>
    <col min="52" max="52" width="8.54296875" hidden="1" customWidth="1"/>
    <col min="53" max="53" width="13.54296875" hidden="1" customWidth="1"/>
    <col min="54" max="56" width="15.54296875" hidden="1" customWidth="1"/>
    <col min="57" max="57" width="11.54296875" hidden="1" customWidth="1"/>
    <col min="58" max="58" width="13.81640625" hidden="1" customWidth="1"/>
    <col min="59" max="59" width="12.54296875" hidden="1" customWidth="1"/>
    <col min="60" max="60" width="10" hidden="1" customWidth="1"/>
    <col min="61" max="61" width="11.1796875" hidden="1" customWidth="1"/>
    <col min="62" max="62" width="8.54296875" hidden="1" customWidth="1"/>
    <col min="63" max="63" width="16" hidden="1" customWidth="1"/>
    <col min="64" max="64" width="10" hidden="1" customWidth="1"/>
    <col min="65" max="65" width="17.453125" hidden="1" customWidth="1"/>
    <col min="66" max="66" width="6.453125" hidden="1" customWidth="1"/>
    <col min="67" max="67" width="8.54296875" hidden="1" customWidth="1"/>
    <col min="68" max="68" width="11.54296875" hidden="1" customWidth="1"/>
    <col min="69" max="69" width="16.453125" hidden="1" customWidth="1"/>
    <col min="70" max="71" width="11.81640625" hidden="1" customWidth="1"/>
    <col min="72" max="72" width="9.54296875" hidden="1" customWidth="1"/>
    <col min="73" max="73" width="10.81640625" customWidth="1"/>
    <col min="74" max="74" width="9.81640625" customWidth="1"/>
    <col min="75" max="75" width="11.7265625" bestFit="1" customWidth="1"/>
    <col min="76" max="76" width="10.54296875" customWidth="1"/>
    <col min="77" max="77" width="12" bestFit="1" customWidth="1"/>
    <col min="78" max="78" width="12.54296875" bestFit="1" customWidth="1"/>
    <col min="79" max="79" width="13.1796875" bestFit="1" customWidth="1"/>
    <col min="80" max="80" width="9.54296875" customWidth="1"/>
    <col min="81" max="81" width="7.81640625" bestFit="1" customWidth="1"/>
    <col min="82" max="82" width="9.54296875" hidden="1" customWidth="1"/>
    <col min="83" max="83" width="10.1796875" hidden="1" customWidth="1"/>
    <col min="84" max="84" width="12.453125" hidden="1" customWidth="1"/>
    <col min="85" max="85" width="14" hidden="1" customWidth="1"/>
    <col min="86" max="86" width="12" hidden="1" customWidth="1"/>
    <col min="87" max="87" width="18" hidden="1" customWidth="1"/>
    <col min="88" max="88" width="12.54296875" hidden="1" customWidth="1"/>
    <col min="89" max="89" width="18.54296875" hidden="1" customWidth="1"/>
    <col min="90" max="90" width="15.54296875" hidden="1" customWidth="1"/>
    <col min="91" max="92" width="12.453125" hidden="1" customWidth="1"/>
    <col min="93" max="93" width="13.1796875" hidden="1" customWidth="1"/>
    <col min="94" max="94" width="9.1796875" hidden="1" customWidth="1"/>
    <col min="95" max="95" width="11.453125" hidden="1" customWidth="1"/>
    <col min="96" max="96" width="13.54296875" hidden="1" customWidth="1"/>
    <col min="97" max="97" width="12.54296875" hidden="1" customWidth="1"/>
    <col min="98" max="98" width="10" hidden="1" customWidth="1"/>
    <col min="99" max="99" width="21.453125" hidden="1" customWidth="1"/>
    <col min="100" max="100" width="18.453125" hidden="1" customWidth="1"/>
    <col min="101" max="101" width="8.453125" hidden="1" customWidth="1"/>
    <col min="102" max="102" width="11.1796875" hidden="1" customWidth="1"/>
    <col min="103" max="103" width="11.81640625" hidden="1" customWidth="1"/>
    <col min="104" max="104" width="10.1796875" hidden="1" customWidth="1"/>
    <col min="105" max="105" width="11.54296875" hidden="1" customWidth="1"/>
    <col min="106" max="106" width="9.81640625" hidden="1" customWidth="1"/>
    <col min="107" max="108" width="10.453125" hidden="1" customWidth="1"/>
    <col min="109" max="109" width="12.81640625" hidden="1" customWidth="1"/>
    <col min="110" max="110" width="8.453125" bestFit="1" customWidth="1"/>
    <col min="111" max="111" width="8.453125" customWidth="1"/>
    <col min="112" max="112" width="10.26953125" bestFit="1" customWidth="1"/>
    <col min="113" max="113" width="10.1796875" bestFit="1" customWidth="1"/>
    <col min="114" max="114" width="10.81640625" bestFit="1" customWidth="1"/>
    <col min="115" max="115" width="10.81640625" customWidth="1"/>
    <col min="116" max="116" width="7.453125" bestFit="1" customWidth="1"/>
    <col min="117" max="117" width="8.453125" bestFit="1" customWidth="1"/>
    <col min="118" max="118" width="8.453125" customWidth="1"/>
    <col min="119" max="119" width="9.453125" bestFit="1" customWidth="1"/>
    <col min="120" max="120" width="9.81640625" customWidth="1"/>
    <col min="121" max="121" width="10.1796875" bestFit="1" customWidth="1"/>
    <col min="122" max="122" width="10.1796875" customWidth="1"/>
    <col min="123" max="123" width="8.81640625" hidden="1" customWidth="1"/>
    <col min="124" max="124" width="9.453125" hidden="1" customWidth="1"/>
    <col min="125" max="125" width="10.453125" hidden="1" customWidth="1"/>
    <col min="126" max="126" width="13.54296875" hidden="1" customWidth="1"/>
    <col min="127" max="127" width="10.1796875" hidden="1" customWidth="1"/>
    <col min="128" max="128" width="10.453125" hidden="1" customWidth="1"/>
    <col min="129" max="129" width="11.54296875" hidden="1" customWidth="1"/>
    <col min="130" max="131" width="8.453125" hidden="1" customWidth="1"/>
    <col min="132" max="132" width="11.1796875" hidden="1" customWidth="1"/>
    <col min="133" max="133" width="9.81640625" hidden="1" customWidth="1"/>
    <col min="134" max="134" width="7.54296875" hidden="1" customWidth="1"/>
    <col min="135" max="135" width="7.453125" hidden="1" customWidth="1"/>
    <col min="136" max="136" width="8" hidden="1" customWidth="1"/>
    <col min="137" max="137" width="10.54296875" hidden="1" customWidth="1"/>
    <col min="138" max="138" width="6.453125" hidden="1" customWidth="1"/>
    <col min="139" max="139" width="12.54296875" hidden="1" customWidth="1"/>
    <col min="140" max="140" width="9.54296875" hidden="1" customWidth="1"/>
    <col min="141" max="141" width="15.81640625" hidden="1" customWidth="1"/>
    <col min="142" max="142" width="0" hidden="1" customWidth="1"/>
    <col min="144" max="144" width="0" hidden="1" customWidth="1"/>
    <col min="145" max="145" width="8.54296875" hidden="1" customWidth="1"/>
    <col min="146" max="146" width="11.54296875" hidden="1" customWidth="1"/>
    <col min="147" max="147" width="13.54296875" hidden="1" customWidth="1"/>
    <col min="148" max="148" width="8.54296875" bestFit="1" customWidth="1"/>
    <col min="149" max="150" width="10.453125" hidden="1" customWidth="1"/>
    <col min="151" max="151" width="9.81640625" hidden="1" customWidth="1"/>
    <col min="152" max="152" width="14.453125" hidden="1" customWidth="1"/>
    <col min="153" max="153" width="10.81640625" hidden="1" customWidth="1"/>
    <col min="154" max="154" width="11" hidden="1" customWidth="1"/>
    <col min="155" max="155" width="9.1796875" hidden="1" customWidth="1"/>
    <col min="156" max="156" width="8.81640625" hidden="1" customWidth="1"/>
    <col min="157" max="157" width="12.453125" hidden="1" customWidth="1"/>
    <col min="158" max="158" width="8.1796875" hidden="1" customWidth="1"/>
    <col min="159" max="159" width="14.81640625" hidden="1" customWidth="1"/>
    <col min="160" max="160" width="11.81640625" hidden="1" customWidth="1"/>
    <col min="161" max="161" width="15.54296875" hidden="1" customWidth="1"/>
    <col min="162" max="162" width="6.81640625" hidden="1" customWidth="1"/>
    <col min="163" max="163" width="13.81640625" hidden="1" customWidth="1"/>
    <col min="164" max="164" width="11.54296875" hidden="1" customWidth="1"/>
    <col min="165" max="165" width="10.453125" hidden="1" customWidth="1"/>
    <col min="166" max="166" width="8.7265625" bestFit="1" customWidth="1"/>
    <col min="167" max="167" width="8.7265625" customWidth="1"/>
    <col min="168" max="169" width="10.453125" customWidth="1"/>
    <col min="170" max="170" width="11.7265625" bestFit="1" customWidth="1"/>
    <col min="171" max="171" width="10" bestFit="1" customWidth="1"/>
    <col min="172" max="172" width="8.26953125" bestFit="1" customWidth="1"/>
    <col min="173" max="173" width="0" hidden="1" customWidth="1"/>
  </cols>
  <sheetData>
    <row r="1" spans="1:173" ht="43.5" x14ac:dyDescent="0.35">
      <c r="C1" s="64"/>
      <c r="D1" s="3" t="s">
        <v>151</v>
      </c>
      <c r="E1" s="4" t="s">
        <v>156</v>
      </c>
      <c r="F1" s="4" t="s">
        <v>157</v>
      </c>
      <c r="G1" s="4" t="s">
        <v>158</v>
      </c>
      <c r="H1" s="4" t="s">
        <v>172</v>
      </c>
      <c r="I1" s="4" t="s">
        <v>173</v>
      </c>
      <c r="J1" s="4" t="s">
        <v>174</v>
      </c>
      <c r="K1" s="282" t="s">
        <v>467</v>
      </c>
      <c r="L1" s="282" t="s">
        <v>467</v>
      </c>
      <c r="M1" s="282"/>
      <c r="N1" s="282"/>
      <c r="O1" s="144" t="s">
        <v>468</v>
      </c>
      <c r="P1" s="144"/>
      <c r="Q1" s="144"/>
      <c r="R1" s="144" t="s">
        <v>269</v>
      </c>
      <c r="S1" s="144"/>
      <c r="T1" s="144" t="s">
        <v>269</v>
      </c>
      <c r="U1" s="144" t="s">
        <v>270</v>
      </c>
      <c r="V1" s="144"/>
      <c r="W1" s="144"/>
      <c r="X1" s="144"/>
      <c r="AA1" s="54"/>
      <c r="AD1" s="54"/>
      <c r="AE1" s="54"/>
      <c r="AR1" s="215" t="s">
        <v>469</v>
      </c>
      <c r="AZ1" s="33">
        <v>0.1467</v>
      </c>
      <c r="BH1" s="144" t="s">
        <v>470</v>
      </c>
      <c r="BK1" s="144"/>
      <c r="BU1" s="216">
        <v>3323144</v>
      </c>
      <c r="BV1" s="215" t="s">
        <v>271</v>
      </c>
    </row>
    <row r="2" spans="1:173" ht="17.25" customHeight="1" x14ac:dyDescent="0.35">
      <c r="A2" s="5" t="s">
        <v>145</v>
      </c>
      <c r="B2" s="5" t="s">
        <v>146</v>
      </c>
      <c r="C2" s="6" t="s">
        <v>274</v>
      </c>
      <c r="K2" s="1" t="s">
        <v>418</v>
      </c>
      <c r="L2" s="1" t="s">
        <v>418</v>
      </c>
      <c r="M2" s="1" t="s">
        <v>471</v>
      </c>
      <c r="N2" s="43" t="s">
        <v>472</v>
      </c>
      <c r="O2" s="1" t="s">
        <v>473</v>
      </c>
      <c r="P2" s="1" t="s">
        <v>474</v>
      </c>
      <c r="Q2" s="1" t="s">
        <v>475</v>
      </c>
      <c r="R2" s="1" t="s">
        <v>476</v>
      </c>
      <c r="S2" s="1" t="s">
        <v>477</v>
      </c>
      <c r="T2" s="1" t="s">
        <v>476</v>
      </c>
      <c r="U2" s="1" t="s">
        <v>478</v>
      </c>
      <c r="V2" s="1" t="s">
        <v>474</v>
      </c>
      <c r="W2" s="1"/>
      <c r="X2" s="1" t="s">
        <v>477</v>
      </c>
      <c r="Y2" s="1" t="s">
        <v>479</v>
      </c>
      <c r="Z2" s="1" t="s">
        <v>480</v>
      </c>
      <c r="AA2" s="1" t="s">
        <v>287</v>
      </c>
      <c r="AB2" s="74" t="s">
        <v>289</v>
      </c>
      <c r="AC2" s="74" t="s">
        <v>395</v>
      </c>
      <c r="AD2" s="1" t="s">
        <v>419</v>
      </c>
      <c r="AE2" s="1" t="s">
        <v>300</v>
      </c>
      <c r="AF2" s="126" t="s">
        <v>301</v>
      </c>
      <c r="AG2" s="126" t="s">
        <v>297</v>
      </c>
      <c r="AH2" s="1" t="s">
        <v>422</v>
      </c>
      <c r="AI2" s="1" t="s">
        <v>297</v>
      </c>
      <c r="AJ2" s="1" t="s">
        <v>302</v>
      </c>
      <c r="AK2" s="1" t="s">
        <v>303</v>
      </c>
      <c r="AL2" s="1" t="s">
        <v>423</v>
      </c>
      <c r="AM2" s="1" t="s">
        <v>424</v>
      </c>
      <c r="AN2" s="1" t="s">
        <v>307</v>
      </c>
      <c r="AO2" s="1" t="s">
        <v>309</v>
      </c>
      <c r="AP2" s="1" t="s">
        <v>308</v>
      </c>
      <c r="AQ2" s="1" t="s">
        <v>311</v>
      </c>
      <c r="AR2" s="1" t="s">
        <v>310</v>
      </c>
      <c r="AS2" s="1" t="s">
        <v>324</v>
      </c>
      <c r="AT2" s="1" t="s">
        <v>312</v>
      </c>
      <c r="AU2" s="1" t="s">
        <v>306</v>
      </c>
      <c r="AV2" s="1" t="s">
        <v>318</v>
      </c>
      <c r="AW2" s="1" t="s">
        <v>428</v>
      </c>
      <c r="AX2" s="1" t="s">
        <v>429</v>
      </c>
      <c r="AY2" s="18"/>
      <c r="AZ2">
        <v>0.62980000000000003</v>
      </c>
      <c r="BA2" s="19" t="s">
        <v>394</v>
      </c>
      <c r="BB2" s="1" t="s">
        <v>317</v>
      </c>
      <c r="BC2" s="1" t="s">
        <v>426</v>
      </c>
      <c r="BD2" s="1" t="s">
        <v>427</v>
      </c>
      <c r="BE2" s="1" t="s">
        <v>325</v>
      </c>
      <c r="BF2" s="1" t="s">
        <v>323</v>
      </c>
      <c r="BG2" s="1" t="s">
        <v>313</v>
      </c>
      <c r="BH2">
        <v>14.042999999999999</v>
      </c>
      <c r="BK2" s="12"/>
      <c r="BL2" s="1" t="s">
        <v>327</v>
      </c>
      <c r="BM2" s="1" t="s">
        <v>328</v>
      </c>
      <c r="BN2" s="1" t="s">
        <v>329</v>
      </c>
      <c r="BO2" s="1" t="s">
        <v>330</v>
      </c>
      <c r="BP2" s="1" t="s">
        <v>481</v>
      </c>
      <c r="BQ2" s="1" t="s">
        <v>339</v>
      </c>
      <c r="BR2" s="1" t="s">
        <v>340</v>
      </c>
      <c r="BS2" s="1" t="s">
        <v>332</v>
      </c>
      <c r="BT2" s="1" t="s">
        <v>333</v>
      </c>
      <c r="BU2" s="6" t="s">
        <v>352</v>
      </c>
      <c r="BV2" s="1" t="s">
        <v>353</v>
      </c>
      <c r="BW2" s="1" t="s">
        <v>354</v>
      </c>
      <c r="BX2" s="6" t="s">
        <v>355</v>
      </c>
      <c r="BY2" s="1" t="s">
        <v>356</v>
      </c>
      <c r="BZ2" s="1" t="s">
        <v>357</v>
      </c>
      <c r="CA2" s="1"/>
      <c r="CB2" s="1"/>
      <c r="CC2" s="1" t="s">
        <v>358</v>
      </c>
      <c r="CD2" s="1" t="s">
        <v>361</v>
      </c>
      <c r="CE2" s="1" t="s">
        <v>363</v>
      </c>
      <c r="CF2" s="1" t="s">
        <v>362</v>
      </c>
      <c r="CG2" s="1" t="s">
        <v>335</v>
      </c>
      <c r="CH2" s="1" t="s">
        <v>334</v>
      </c>
      <c r="CI2" s="1" t="s">
        <v>482</v>
      </c>
      <c r="CJ2" s="1" t="s">
        <v>336</v>
      </c>
      <c r="CK2" s="1" t="s">
        <v>483</v>
      </c>
      <c r="CL2" s="1" t="s">
        <v>341</v>
      </c>
      <c r="CM2" s="1" t="s">
        <v>342</v>
      </c>
      <c r="CN2" s="1" t="s">
        <v>365</v>
      </c>
      <c r="CO2" s="1" t="s">
        <v>364</v>
      </c>
      <c r="CP2" s="1" t="s">
        <v>367</v>
      </c>
      <c r="CQ2" s="1" t="s">
        <v>366</v>
      </c>
      <c r="CR2" s="1" t="s">
        <v>337</v>
      </c>
      <c r="CS2" s="1" t="s">
        <v>351</v>
      </c>
      <c r="CT2" s="1" t="s">
        <v>338</v>
      </c>
      <c r="CU2" s="1" t="s">
        <v>484</v>
      </c>
      <c r="CV2" s="1" t="s">
        <v>434</v>
      </c>
      <c r="CW2" s="1" t="s">
        <v>485</v>
      </c>
      <c r="CX2" s="1" t="s">
        <v>348</v>
      </c>
      <c r="CY2" s="1" t="s">
        <v>349</v>
      </c>
      <c r="CZ2" s="1" t="s">
        <v>350</v>
      </c>
      <c r="DA2" s="1" t="s">
        <v>486</v>
      </c>
      <c r="DB2" s="1" t="s">
        <v>487</v>
      </c>
      <c r="DC2" s="1" t="s">
        <v>488</v>
      </c>
      <c r="DD2" s="1" t="s">
        <v>489</v>
      </c>
      <c r="DE2" s="1" t="s">
        <v>490</v>
      </c>
      <c r="DF2" s="1" t="s">
        <v>331</v>
      </c>
      <c r="DG2" s="1" t="s">
        <v>359</v>
      </c>
      <c r="DH2" s="1" t="s">
        <v>360</v>
      </c>
      <c r="DI2" s="1" t="s">
        <v>597</v>
      </c>
      <c r="DJ2" s="1" t="s">
        <v>600</v>
      </c>
      <c r="DK2" s="1" t="s">
        <v>601</v>
      </c>
      <c r="DL2" s="1" t="s">
        <v>491</v>
      </c>
      <c r="DM2" s="1" t="s">
        <v>492</v>
      </c>
      <c r="DN2" s="1" t="s">
        <v>493</v>
      </c>
      <c r="DO2" s="1" t="s">
        <v>494</v>
      </c>
      <c r="DP2" s="1" t="s">
        <v>607</v>
      </c>
      <c r="DQ2" s="1" t="s">
        <v>608</v>
      </c>
      <c r="DR2" s="1" t="s">
        <v>609</v>
      </c>
      <c r="DS2" s="1" t="s">
        <v>497</v>
      </c>
      <c r="DT2" s="1" t="s">
        <v>498</v>
      </c>
      <c r="DU2" s="1" t="s">
        <v>499</v>
      </c>
      <c r="DV2" s="1" t="s">
        <v>500</v>
      </c>
      <c r="DW2" s="1" t="s">
        <v>501</v>
      </c>
      <c r="DX2" s="1" t="s">
        <v>502</v>
      </c>
      <c r="DY2" s="1" t="s">
        <v>503</v>
      </c>
      <c r="DZ2" s="1" t="s">
        <v>504</v>
      </c>
      <c r="EA2" s="1" t="s">
        <v>505</v>
      </c>
      <c r="EB2" s="1" t="s">
        <v>506</v>
      </c>
      <c r="EC2" s="1" t="s">
        <v>507</v>
      </c>
      <c r="ED2" s="1" t="s">
        <v>508</v>
      </c>
      <c r="EE2" s="1" t="s">
        <v>509</v>
      </c>
      <c r="EF2" s="1" t="s">
        <v>510</v>
      </c>
      <c r="EG2" s="1" t="s">
        <v>511</v>
      </c>
      <c r="EH2" s="1" t="s">
        <v>512</v>
      </c>
      <c r="EI2" s="1" t="s">
        <v>344</v>
      </c>
      <c r="EJ2" s="1" t="s">
        <v>345</v>
      </c>
      <c r="EK2" s="1" t="s">
        <v>346</v>
      </c>
      <c r="EL2" s="1" t="s">
        <v>347</v>
      </c>
      <c r="EM2" s="1" t="s">
        <v>610</v>
      </c>
      <c r="EN2" s="1" t="s">
        <v>514</v>
      </c>
      <c r="EO2" s="1" t="s">
        <v>515</v>
      </c>
      <c r="EP2" s="1" t="s">
        <v>369</v>
      </c>
      <c r="EQ2" s="1" t="s">
        <v>516</v>
      </c>
      <c r="ER2" s="1" t="s">
        <v>370</v>
      </c>
      <c r="ES2" s="1" t="s">
        <v>517</v>
      </c>
      <c r="ET2" s="1" t="s">
        <v>518</v>
      </c>
      <c r="EU2" s="1" t="s">
        <v>519</v>
      </c>
      <c r="EV2" s="1" t="s">
        <v>520</v>
      </c>
      <c r="EW2" s="1" t="s">
        <v>521</v>
      </c>
      <c r="EX2" s="1" t="s">
        <v>522</v>
      </c>
      <c r="EY2" s="1" t="s">
        <v>523</v>
      </c>
      <c r="EZ2" s="1" t="s">
        <v>524</v>
      </c>
      <c r="FA2" s="1" t="s">
        <v>525</v>
      </c>
      <c r="FB2" s="1" t="s">
        <v>462</v>
      </c>
      <c r="FC2" s="1" t="s">
        <v>382</v>
      </c>
      <c r="FD2" s="1" t="s">
        <v>383</v>
      </c>
      <c r="FE2" s="1" t="s">
        <v>384</v>
      </c>
      <c r="FF2" s="1" t="s">
        <v>385</v>
      </c>
      <c r="FG2" s="1" t="s">
        <v>387</v>
      </c>
      <c r="FH2" s="1" t="s">
        <v>463</v>
      </c>
      <c r="FI2" s="1" t="s">
        <v>464</v>
      </c>
      <c r="FJ2" s="1" t="s">
        <v>368</v>
      </c>
      <c r="FK2" s="1" t="s">
        <v>371</v>
      </c>
      <c r="FL2" s="1" t="s">
        <v>372</v>
      </c>
      <c r="FM2" s="1" t="s">
        <v>602</v>
      </c>
      <c r="FN2" s="1" t="s">
        <v>603</v>
      </c>
      <c r="FO2" s="1" t="s">
        <v>604</v>
      </c>
      <c r="FP2" s="1" t="s">
        <v>606</v>
      </c>
      <c r="FQ2" s="1" t="s">
        <v>465</v>
      </c>
    </row>
    <row r="3" spans="1:173" x14ac:dyDescent="0.35">
      <c r="A3" s="7" t="s">
        <v>149</v>
      </c>
      <c r="B3" s="7" t="s">
        <v>150</v>
      </c>
      <c r="C3" s="144">
        <f t="shared" ref="C3:C31" si="0">SUM(D3:J3)</f>
        <v>124</v>
      </c>
      <c r="D3" s="144">
        <v>10</v>
      </c>
      <c r="E3" s="144">
        <v>0</v>
      </c>
      <c r="F3" s="144">
        <v>105</v>
      </c>
      <c r="G3" s="144">
        <v>6</v>
      </c>
      <c r="H3" s="144">
        <v>3</v>
      </c>
      <c r="I3" s="144">
        <v>0</v>
      </c>
      <c r="J3" s="144">
        <v>0</v>
      </c>
      <c r="K3" s="144"/>
      <c r="L3" s="144">
        <v>22</v>
      </c>
      <c r="M3" s="149">
        <f t="shared" ref="M3:M31" si="1">L3/C3</f>
        <v>0.17741935483870969</v>
      </c>
      <c r="N3" s="149">
        <f>M3/M73</f>
        <v>2.7812685354695666E-3</v>
      </c>
      <c r="O3" s="144">
        <v>100</v>
      </c>
      <c r="P3" s="149">
        <f t="shared" ref="P3:P31" si="2">O3/C3</f>
        <v>0.80645161290322576</v>
      </c>
      <c r="Q3" s="147">
        <f>P3/P73</f>
        <v>5.4608297386586187E-2</v>
      </c>
      <c r="R3" s="149">
        <f t="shared" ref="R3:R31" si="3">(0.75*M3)+(0.25*P3)</f>
        <v>0.33467741935483869</v>
      </c>
      <c r="S3" s="147">
        <f>R3/R73</f>
        <v>6.4941663569308191E-3</v>
      </c>
      <c r="T3" s="147">
        <f t="shared" ref="T3:T31" si="4">(0.75*N3)+(0.25*Q3)</f>
        <v>1.5738025748248723E-2</v>
      </c>
      <c r="U3" s="142">
        <v>42000</v>
      </c>
      <c r="V3" s="142">
        <f t="shared" ref="V3:V30" si="5">U3/C3</f>
        <v>338.70967741935482</v>
      </c>
      <c r="W3" s="142"/>
      <c r="X3" s="147">
        <f>V3/V73</f>
        <v>4.3495078379074889E-3</v>
      </c>
      <c r="Y3" s="147">
        <f t="shared" ref="Y3:Y31" si="6">(0.6*T3)+(0.4*X3)</f>
        <v>1.1182618584112229E-2</v>
      </c>
      <c r="Z3" s="147">
        <v>-0.94</v>
      </c>
      <c r="AA3" s="149">
        <v>-1.0999999999999999E-2</v>
      </c>
      <c r="AB3" s="145">
        <v>137</v>
      </c>
      <c r="AC3" s="149">
        <v>-0.51871188406016011</v>
      </c>
      <c r="AD3" s="149">
        <f t="shared" ref="AD3:AD13" si="7">(0.6*EI3)+(0.4*FG3)</f>
        <v>-4.0858156702472392E-3</v>
      </c>
      <c r="AE3" s="142">
        <v>138</v>
      </c>
      <c r="AF3" s="209"/>
      <c r="AG3" s="209"/>
      <c r="AH3" s="20"/>
      <c r="AI3" s="18"/>
      <c r="AJ3" s="30"/>
      <c r="AK3" s="30"/>
      <c r="AL3" s="30"/>
      <c r="AM3" s="30"/>
      <c r="AN3" s="30"/>
      <c r="AO3" s="30"/>
      <c r="AP3" s="209"/>
      <c r="AQ3" s="209"/>
      <c r="AR3" s="30"/>
      <c r="AS3" s="30"/>
      <c r="AT3" s="30"/>
      <c r="AU3" s="12"/>
      <c r="AV3" s="12"/>
      <c r="AW3" s="12"/>
      <c r="AX3" s="12"/>
      <c r="BA3" s="40">
        <f>AY2/AH71</f>
        <v>0</v>
      </c>
      <c r="BB3" s="27"/>
      <c r="BC3" s="27"/>
      <c r="BD3" s="27"/>
      <c r="BE3" s="27"/>
      <c r="BF3" s="27"/>
      <c r="BG3" s="274"/>
      <c r="BL3">
        <v>109</v>
      </c>
      <c r="BM3">
        <v>109</v>
      </c>
      <c r="BN3">
        <f t="shared" ref="BN3:BN13" si="8">BL3-BM3</f>
        <v>0</v>
      </c>
      <c r="BO3">
        <v>281</v>
      </c>
      <c r="BP3">
        <v>156</v>
      </c>
      <c r="BQ3" s="54">
        <v>282.68986000000001</v>
      </c>
      <c r="BR3">
        <f>BL3-BO3</f>
        <v>-172</v>
      </c>
      <c r="BS3">
        <v>170</v>
      </c>
      <c r="BT3">
        <v>113</v>
      </c>
      <c r="BU3" s="18"/>
      <c r="BV3" s="16"/>
      <c r="BW3" s="16"/>
      <c r="BX3" s="16"/>
      <c r="BY3" s="12"/>
      <c r="BZ3" s="12"/>
      <c r="CA3" s="149" t="s">
        <v>393</v>
      </c>
      <c r="CB3" s="217">
        <f>SUM(FP5,FP6,FP11,FP19,FP22,FP24,FP27,FP30,FP32,FP40,FP43,FP54,FP58,FP60,FP67,FP69,FP70)</f>
        <v>13.074747931678347</v>
      </c>
      <c r="CC3">
        <v>89</v>
      </c>
      <c r="CD3">
        <f>BT3+CC3</f>
        <v>202</v>
      </c>
      <c r="CE3" s="16">
        <f t="shared" ref="CE3:CE34" si="9">AB3*CC$75</f>
        <v>0</v>
      </c>
      <c r="CF3" s="54">
        <f t="shared" ref="CF3:CF34" si="10">AB3*BT$75</f>
        <v>298.05583000000001</v>
      </c>
      <c r="CG3" s="16">
        <f t="shared" ref="CG3:CG34" si="11">AB3*BS$75</f>
        <v>584.04675499999996</v>
      </c>
      <c r="CH3" s="54">
        <f t="shared" ref="CH3:CH34" si="12">AB3*BP$72</f>
        <v>448.97772096420744</v>
      </c>
      <c r="CI3" s="54">
        <v>429.64497</v>
      </c>
      <c r="CJ3" s="54">
        <f>BP3-CH3</f>
        <v>-292.97772096420744</v>
      </c>
      <c r="CK3" s="54">
        <f>BP3-CI3</f>
        <v>-273.64497</v>
      </c>
      <c r="CL3" s="54">
        <f>BM3-BQ3</f>
        <v>-173.68986000000001</v>
      </c>
      <c r="CM3" s="12">
        <v>-1.6080000000000001</v>
      </c>
      <c r="CN3" s="16">
        <f>CD3-CE3</f>
        <v>202</v>
      </c>
      <c r="CO3" s="54">
        <f>BT3-CF3</f>
        <v>-185.05583000000001</v>
      </c>
      <c r="CP3" s="12">
        <f t="shared" ref="CP3:CP41" si="13">(CN3-CN$71)/CN$72</f>
        <v>0.1933287459616167</v>
      </c>
      <c r="CQ3" s="12">
        <f t="shared" ref="CQ3:CQ41" si="14">(CO3-CO$71)/CO$72</f>
        <v>-1.7531690170781502</v>
      </c>
      <c r="CR3" s="16">
        <f>BS3-CG3</f>
        <v>-414.04675499999996</v>
      </c>
      <c r="CS3" s="12">
        <f t="shared" ref="CS3:CS41" si="15">(CR3-CR$71)/CR$72</f>
        <v>-2.1929345936224571</v>
      </c>
      <c r="CT3" s="12">
        <f t="shared" ref="CT3:CT41" si="16">(CJ3-CJ$71)/CJ$72</f>
        <v>-1.9624764786571418</v>
      </c>
      <c r="CU3" s="12">
        <f t="shared" ref="CU3:CU41" si="17">(CL3-CK$71)/CK$72</f>
        <v>-1.2069953966026661</v>
      </c>
      <c r="CV3" s="12">
        <f>(CL3-CL$72)/CL$73</f>
        <v>-1.595850047598488</v>
      </c>
      <c r="CW3" s="54">
        <v>204</v>
      </c>
      <c r="CX3" s="54">
        <f t="shared" ref="CX3:CX34" si="18">AB3*BP$75</f>
        <v>429.65433099999996</v>
      </c>
      <c r="CY3" s="54">
        <f>BP3-CX3</f>
        <v>-273.65433099999996</v>
      </c>
      <c r="CZ3" s="12">
        <f t="shared" ref="CZ3:CZ41" si="19">(CY3-CY$71)/CY$72</f>
        <v>-1.8793870860837409</v>
      </c>
      <c r="DA3" s="12">
        <f t="shared" ref="DA3:DA33" si="20">CY3/AB3</f>
        <v>-1.9974768686131383</v>
      </c>
      <c r="DB3" s="12">
        <f t="shared" ref="DB3:DB41" si="21">(DA3-DA$71)/DA$72</f>
        <v>-0.71845255523885143</v>
      </c>
      <c r="DC3" s="54">
        <v>145</v>
      </c>
      <c r="DD3" s="54">
        <v>259</v>
      </c>
      <c r="DE3" s="54">
        <f t="shared" ref="DE3:DE34" si="22">AB3*DD$74</f>
        <v>79.645128100000008</v>
      </c>
      <c r="DF3" s="54">
        <v>63</v>
      </c>
      <c r="DG3" s="54">
        <v>38.5</v>
      </c>
      <c r="DH3" s="54">
        <f>CC3+DF3+DG3</f>
        <v>190.5</v>
      </c>
      <c r="DI3" s="54">
        <f t="shared" ref="DI3:DI34" si="23">AE3*DH$73</f>
        <v>676.44333598093726</v>
      </c>
      <c r="DJ3" s="16">
        <f>DH3-DI3</f>
        <v>-485.94333598093726</v>
      </c>
      <c r="DK3" s="12">
        <f t="shared" ref="DK3:DK34" si="24">(DJ3-DI$74)/DI$75</f>
        <v>-2.5204810178878856</v>
      </c>
      <c r="DL3" s="54">
        <v>24</v>
      </c>
      <c r="DM3" s="54">
        <v>73</v>
      </c>
      <c r="DN3" s="54">
        <v>59.5</v>
      </c>
      <c r="DO3" s="54">
        <f>DL3+DM3+DN3</f>
        <v>156.5</v>
      </c>
      <c r="DP3" s="54">
        <f t="shared" ref="DP3:DP34" si="25">AE3*DO$73</f>
        <v>72.836378077839555</v>
      </c>
      <c r="DQ3" s="16">
        <f>DO3-DP3</f>
        <v>83.663621922160445</v>
      </c>
      <c r="DR3" s="14">
        <f t="shared" ref="DR3:DR34" si="26">(DQ3-DP$74)/DP$75</f>
        <v>4.1979548778088542</v>
      </c>
      <c r="DS3" s="54">
        <f>DC3+DL3</f>
        <v>169</v>
      </c>
      <c r="DT3" s="54">
        <f t="shared" ref="DT3:DT34" si="27">AB3*DL$74</f>
        <v>0</v>
      </c>
      <c r="DU3" s="54">
        <f t="shared" ref="DU3:DU34" si="28">AB3*DC$72</f>
        <v>59.643535427319208</v>
      </c>
      <c r="DV3" s="54">
        <f>DD3-DE3</f>
        <v>179.35487189999998</v>
      </c>
      <c r="DW3" s="54">
        <f>DS3-DT3</f>
        <v>169</v>
      </c>
      <c r="DX3" s="54">
        <f t="shared" ref="DX3:DX33" si="29">DC3-DU3</f>
        <v>85.356464572680792</v>
      </c>
      <c r="DY3" s="12">
        <f t="shared" ref="DY3:DY41" si="30">(DV3-DV$71)/DV$72</f>
        <v>5.4514766277569908</v>
      </c>
      <c r="DZ3" s="12">
        <f t="shared" ref="DZ3:DZ41" si="31">(DW3-DW$71)/DW$72</f>
        <v>4.9510832867511656</v>
      </c>
      <c r="EA3" s="12">
        <f t="shared" ref="EA3:EA41" si="32">(DX3-DX$71)/DX$72</f>
        <v>4.3553719313710317</v>
      </c>
      <c r="EB3" s="12">
        <f>(0.75*CS3)+(0.25*DY3)</f>
        <v>-0.28183178827759514</v>
      </c>
      <c r="EC3" s="12">
        <f>(0.75*CQ3)+(0.25*EA3)</f>
        <v>-0.22603377996585472</v>
      </c>
      <c r="ED3" s="12">
        <f t="shared" ref="ED3:ED33" si="33">(0.75*CT3)+(0.25*EA3)</f>
        <v>-0.38301437615009837</v>
      </c>
      <c r="EE3" s="54">
        <v>40</v>
      </c>
      <c r="EF3" s="54">
        <f>CW3-EE3</f>
        <v>164</v>
      </c>
      <c r="EG3" s="12">
        <v>6.37</v>
      </c>
      <c r="EH3" s="12">
        <v>0.38600000000000001</v>
      </c>
      <c r="EI3" s="12">
        <f>(0.75*CV3)+(0.25*EG3)</f>
        <v>0.39561246430113406</v>
      </c>
      <c r="EJ3" s="16">
        <v>126764</v>
      </c>
      <c r="EK3" s="16">
        <v>126764.36</v>
      </c>
      <c r="EL3" s="16">
        <v>241033</v>
      </c>
      <c r="EM3" s="12">
        <f t="shared" ref="EM3:EM14" si="34">(0.75*DK3)+(0.25*DR3)</f>
        <v>-0.84087204396370074</v>
      </c>
      <c r="EN3" s="12">
        <f>(0.75*CP3)+(0.25*DZ3)</f>
        <v>1.382767381159004</v>
      </c>
      <c r="EO3" s="16">
        <v>102764</v>
      </c>
      <c r="EP3" s="16">
        <v>144765</v>
      </c>
      <c r="EQ3" s="16">
        <f t="shared" ref="EQ3:EQ34" si="35">AB3*EP$74</f>
        <v>338060.78900000005</v>
      </c>
      <c r="ER3" s="16">
        <v>0</v>
      </c>
      <c r="ES3" s="16">
        <f>EO3+ER3</f>
        <v>102764</v>
      </c>
      <c r="ET3" s="16">
        <f t="shared" ref="ET3:ET34" si="36">AB3*ER$74</f>
        <v>0</v>
      </c>
      <c r="EU3" s="16">
        <f t="shared" ref="EU3:EU34" si="37">AB3*EO$72</f>
        <v>260383.06062819576</v>
      </c>
      <c r="EV3" s="16">
        <f>EP3-EQ3</f>
        <v>-193295.78900000005</v>
      </c>
      <c r="EW3" s="16">
        <f>ES3-ET3</f>
        <v>102764</v>
      </c>
      <c r="EX3" s="16">
        <f>EO3-EU3</f>
        <v>-157619.06062819576</v>
      </c>
      <c r="EY3" s="12">
        <f t="shared" ref="EY3:EY41" si="38">(EW3-EW$71)/EW$72</f>
        <v>-0.11363291404358429</v>
      </c>
      <c r="EZ3" s="17">
        <f t="shared" ref="EZ3:EZ41" si="39">(EX3-EX$71)/EX$72</f>
        <v>-0.72585117340231697</v>
      </c>
      <c r="FA3" s="17">
        <f t="shared" ref="FA3:FA41" si="40">(EV3-EV$71)/EV$72</f>
        <v>-0.79086300246240238</v>
      </c>
      <c r="FB3" s="17">
        <f>(0.6*ED3)+(0.4*EZ3)</f>
        <v>-0.52014909505098572</v>
      </c>
      <c r="FC3" s="16">
        <v>228564.07</v>
      </c>
      <c r="FD3">
        <f>EJ3-EL3</f>
        <v>-114269</v>
      </c>
      <c r="FE3" s="16">
        <f>EK3-FC3</f>
        <v>-101799.71</v>
      </c>
      <c r="FF3" s="12">
        <v>-0.60799999999999998</v>
      </c>
      <c r="FG3" s="12">
        <f>(FE3-FE$72)/FE$73</f>
        <v>-0.60363323562731908</v>
      </c>
      <c r="FH3" s="12">
        <f>(0.6*EB3)+(0.4*FA3)</f>
        <v>-0.48544427395151807</v>
      </c>
      <c r="FI3" s="12">
        <f>(0.6*EC3)+(0.4*EZ3)</f>
        <v>-0.4259607373404396</v>
      </c>
      <c r="FJ3" s="16">
        <v>1720</v>
      </c>
      <c r="FK3" s="16">
        <v>0</v>
      </c>
      <c r="FL3" s="16">
        <f>ER3+FJ3+FK3</f>
        <v>1720</v>
      </c>
      <c r="FM3" s="16">
        <f t="shared" ref="FM3:FM34" si="41">AE3*FM$73</f>
        <v>670528.40826052427</v>
      </c>
      <c r="FN3" s="16">
        <f>FL3-FM3</f>
        <v>-668808.40826052427</v>
      </c>
      <c r="FO3" s="12">
        <f t="shared" ref="FO3:FO34" si="42">(FN3-FN$74)/FN$75</f>
        <v>-1.5285988580637349</v>
      </c>
      <c r="FP3" s="12">
        <f t="shared" ref="FP3:FP34" si="43">(0.6*EM3)+(0.4*FO3)</f>
        <v>-1.1159627696037144</v>
      </c>
      <c r="FQ3" s="12">
        <f>(0.6*EN3)+(0.4*EY3)</f>
        <v>0.78420726307796862</v>
      </c>
    </row>
    <row r="4" spans="1:173" x14ac:dyDescent="0.35">
      <c r="A4" s="8" t="s">
        <v>149</v>
      </c>
      <c r="B4" s="8" t="s">
        <v>176</v>
      </c>
      <c r="C4" s="144">
        <f t="shared" si="0"/>
        <v>143</v>
      </c>
      <c r="D4" s="144">
        <v>131</v>
      </c>
      <c r="E4" s="144">
        <v>12</v>
      </c>
      <c r="F4" s="144">
        <v>0</v>
      </c>
      <c r="G4" s="144">
        <v>0</v>
      </c>
      <c r="H4" s="144">
        <v>0</v>
      </c>
      <c r="I4" s="144">
        <v>0</v>
      </c>
      <c r="J4" s="144">
        <v>0</v>
      </c>
      <c r="K4" s="144"/>
      <c r="L4" s="144">
        <v>45.5</v>
      </c>
      <c r="M4" s="149">
        <f t="shared" si="1"/>
        <v>0.31818181818181818</v>
      </c>
      <c r="N4" s="149">
        <f>M4/M73</f>
        <v>4.9878948115445942E-3</v>
      </c>
      <c r="O4" s="144">
        <v>21.5</v>
      </c>
      <c r="P4" s="149">
        <f t="shared" si="2"/>
        <v>0.15034965034965034</v>
      </c>
      <c r="Q4" s="147">
        <f>P4/P73</f>
        <v>1.0180819638646069E-2</v>
      </c>
      <c r="R4" s="149">
        <f t="shared" si="3"/>
        <v>0.27622377622377625</v>
      </c>
      <c r="S4" s="147">
        <f>R4/R73</f>
        <v>5.3599168954835555E-3</v>
      </c>
      <c r="T4" s="147">
        <f t="shared" si="4"/>
        <v>6.2861260183199631E-3</v>
      </c>
      <c r="U4" s="142">
        <v>0</v>
      </c>
      <c r="V4" s="142">
        <f t="shared" si="5"/>
        <v>0</v>
      </c>
      <c r="W4" s="142"/>
      <c r="X4" s="147">
        <f>V4/V73</f>
        <v>0</v>
      </c>
      <c r="Y4" s="147">
        <f t="shared" si="6"/>
        <v>3.7716756109919779E-3</v>
      </c>
      <c r="Z4" s="147">
        <v>-1.3959999999999999</v>
      </c>
      <c r="AA4" s="149">
        <v>-1.6930000000000001</v>
      </c>
      <c r="AB4" s="145">
        <v>131</v>
      </c>
      <c r="AC4" s="149">
        <v>-1.8900184001975542</v>
      </c>
      <c r="AD4" s="149">
        <f t="shared" si="7"/>
        <v>-1.7130877969618838</v>
      </c>
      <c r="AE4" s="142">
        <v>124</v>
      </c>
      <c r="AF4" s="209"/>
      <c r="AG4" s="209"/>
      <c r="AH4" s="20"/>
      <c r="AI4" s="20"/>
      <c r="AJ4" s="26"/>
      <c r="AK4" s="26"/>
      <c r="AL4" s="26"/>
      <c r="AM4" s="30"/>
      <c r="AN4" s="30"/>
      <c r="AO4" s="30"/>
      <c r="AP4" s="209"/>
      <c r="AQ4" s="209"/>
      <c r="AR4" s="30"/>
      <c r="AS4" s="30"/>
      <c r="AT4" s="30"/>
      <c r="AU4" s="12"/>
      <c r="AV4" s="12"/>
      <c r="AW4" s="12"/>
      <c r="AX4" s="12"/>
      <c r="AY4" s="19"/>
      <c r="AZ4">
        <v>872</v>
      </c>
      <c r="BA4" s="1" t="s">
        <v>299</v>
      </c>
      <c r="BB4" s="1"/>
      <c r="BC4" s="1"/>
      <c r="BD4" s="1"/>
      <c r="BE4" s="1"/>
      <c r="BF4" s="1"/>
      <c r="BG4" s="1"/>
      <c r="BK4" s="144"/>
      <c r="BL4">
        <v>98</v>
      </c>
      <c r="BM4">
        <v>98</v>
      </c>
      <c r="BN4">
        <f t="shared" si="8"/>
        <v>0</v>
      </c>
      <c r="BO4">
        <v>324</v>
      </c>
      <c r="BP4">
        <v>63</v>
      </c>
      <c r="BQ4" s="54">
        <v>326.00524000000001</v>
      </c>
      <c r="BR4">
        <f>BL4-BO4</f>
        <v>-226</v>
      </c>
      <c r="BS4">
        <v>111</v>
      </c>
      <c r="BT4">
        <v>48</v>
      </c>
      <c r="BU4" s="18"/>
      <c r="BV4" s="16"/>
      <c r="BW4" s="16"/>
      <c r="BX4" s="16"/>
      <c r="BY4" s="12"/>
      <c r="BZ4" s="12"/>
      <c r="CA4" s="149" t="s">
        <v>396</v>
      </c>
      <c r="CB4" s="211">
        <f>BU1/BY71</f>
        <v>63191.91005718935</v>
      </c>
      <c r="CC4">
        <v>44</v>
      </c>
      <c r="CD4">
        <f t="shared" ref="CD4:CD65" si="44">BT4+CC4</f>
        <v>92</v>
      </c>
      <c r="CE4" s="16">
        <f t="shared" si="9"/>
        <v>0</v>
      </c>
      <c r="CF4" s="54">
        <f t="shared" si="10"/>
        <v>285.00229000000002</v>
      </c>
      <c r="CG4" s="16">
        <f t="shared" si="11"/>
        <v>558.46806500000002</v>
      </c>
      <c r="CH4" s="54">
        <f t="shared" si="12"/>
        <v>429.3144631117604</v>
      </c>
      <c r="CI4" s="54">
        <v>410.82839999999999</v>
      </c>
      <c r="CJ4" s="54">
        <f t="shared" ref="CJ4:CJ12" si="45">BP4-CH4</f>
        <v>-366.3144631117604</v>
      </c>
      <c r="CK4" s="54">
        <f t="shared" ref="CK4:CK12" si="46">BP4-CI4</f>
        <v>-347.82839999999999</v>
      </c>
      <c r="CL4" s="54">
        <f t="shared" ref="CL4:CL23" si="47">BM4-BQ4</f>
        <v>-228.00524000000001</v>
      </c>
      <c r="CM4" s="12">
        <v>-2.0910000000000002</v>
      </c>
      <c r="CN4" s="16">
        <f t="shared" ref="CN4:CN65" si="48">CD4-CE4</f>
        <v>92</v>
      </c>
      <c r="CO4" s="54">
        <f t="shared" ref="CO4:CO65" si="49">BT4-CF4</f>
        <v>-237.00229000000002</v>
      </c>
      <c r="CP4" s="12">
        <f t="shared" si="13"/>
        <v>-0.35978959943322608</v>
      </c>
      <c r="CQ4" s="12">
        <f t="shared" si="14"/>
        <v>-2.2357507867332673</v>
      </c>
      <c r="CR4" s="16">
        <f t="shared" ref="CR4:CR65" si="50">BS4-CG4</f>
        <v>-447.46806500000002</v>
      </c>
      <c r="CS4" s="12">
        <f t="shared" si="15"/>
        <v>-2.3693248653211278</v>
      </c>
      <c r="CT4" s="12">
        <f t="shared" si="16"/>
        <v>-2.4537139386669398</v>
      </c>
      <c r="CU4" s="12">
        <f t="shared" si="17"/>
        <v>-1.5723229425618401</v>
      </c>
      <c r="CV4" s="12">
        <f>(CL4-CL$72)/CL$73</f>
        <v>-2.0810805577103766</v>
      </c>
      <c r="CW4" s="54">
        <v>23</v>
      </c>
      <c r="CX4" s="54">
        <f t="shared" si="18"/>
        <v>410.83735299999995</v>
      </c>
      <c r="CY4" s="54">
        <f t="shared" ref="CY4:CY62" si="51">BP4-CX4</f>
        <v>-347.83735299999995</v>
      </c>
      <c r="CZ4" s="12">
        <f t="shared" si="19"/>
        <v>-2.3783473015367065</v>
      </c>
      <c r="DA4" s="12">
        <f t="shared" si="20"/>
        <v>-2.6552469694656486</v>
      </c>
      <c r="DB4" s="12">
        <f t="shared" si="21"/>
        <v>-0.9442326320154113</v>
      </c>
      <c r="DC4" s="54">
        <v>18</v>
      </c>
      <c r="DD4" s="54">
        <v>32</v>
      </c>
      <c r="DE4" s="54">
        <f t="shared" si="22"/>
        <v>76.157020299999999</v>
      </c>
      <c r="DF4" s="54">
        <v>40</v>
      </c>
      <c r="DG4" s="54">
        <v>44.5</v>
      </c>
      <c r="DH4" s="54">
        <f t="shared" ref="DH4:DH67" si="52">CC4+DF4+DG4</f>
        <v>128.5</v>
      </c>
      <c r="DI4" s="54">
        <f t="shared" si="23"/>
        <v>607.81864972200162</v>
      </c>
      <c r="DJ4" s="16">
        <f t="shared" ref="DJ4:DJ67" si="53">DH4-DI4</f>
        <v>-479.31864972200162</v>
      </c>
      <c r="DK4" s="12">
        <f t="shared" si="24"/>
        <v>-2.4861202298519633</v>
      </c>
      <c r="DL4" s="54">
        <v>4</v>
      </c>
      <c r="DM4" s="54">
        <v>2</v>
      </c>
      <c r="DN4" s="54">
        <v>28.1</v>
      </c>
      <c r="DO4" s="54">
        <f t="shared" ref="DO4:DO67" si="54">DL4+DM4+DN4</f>
        <v>34.1</v>
      </c>
      <c r="DP4" s="54">
        <f t="shared" si="25"/>
        <v>65.447180301826847</v>
      </c>
      <c r="DQ4" s="16">
        <f t="shared" ref="DQ4:DQ67" si="55">DO4-DP4</f>
        <v>-31.347180301826846</v>
      </c>
      <c r="DR4" s="12">
        <f t="shared" si="26"/>
        <v>-1.5728944722957494</v>
      </c>
      <c r="DS4" s="54">
        <f t="shared" ref="DS4:DS65" si="56">DC4+DL4</f>
        <v>22</v>
      </c>
      <c r="DT4" s="54">
        <f t="shared" si="27"/>
        <v>0</v>
      </c>
      <c r="DU4" s="54">
        <f t="shared" si="28"/>
        <v>57.031409788166542</v>
      </c>
      <c r="DV4" s="54">
        <f t="shared" ref="DV4:DV65" si="57">DD4-DE4</f>
        <v>-44.157020299999999</v>
      </c>
      <c r="DW4" s="54">
        <f t="shared" ref="DW4:DW65" si="58">DS4-DT4</f>
        <v>22</v>
      </c>
      <c r="DX4" s="54">
        <f t="shared" si="29"/>
        <v>-39.031409788166542</v>
      </c>
      <c r="DY4" s="12">
        <f t="shared" si="30"/>
        <v>-1.4602084144727649</v>
      </c>
      <c r="DZ4" s="12">
        <f t="shared" si="31"/>
        <v>-5.0321000983343184E-3</v>
      </c>
      <c r="EA4" s="12">
        <f t="shared" si="32"/>
        <v>-1.9916043557365208</v>
      </c>
      <c r="EB4" s="12">
        <f t="shared" ref="EB4:EB65" si="59">(0.75*CS4)+(0.25*DY4)</f>
        <v>-2.1420457526090373</v>
      </c>
      <c r="EC4" s="12">
        <f t="shared" ref="EC4:EC65" si="60">(0.75*CQ4)+(0.25*EA4)</f>
        <v>-2.1747141789840807</v>
      </c>
      <c r="ED4" s="12">
        <f t="shared" si="33"/>
        <v>-2.3381865429343351</v>
      </c>
      <c r="EE4" s="54">
        <v>46</v>
      </c>
      <c r="EF4" s="54">
        <f>CW4-EE4</f>
        <v>-23</v>
      </c>
      <c r="EG4" s="12">
        <v>-1.0780000000000001</v>
      </c>
      <c r="EH4" s="12">
        <v>-1.8380000000000001</v>
      </c>
      <c r="EI4" s="12">
        <f>(0.75*CV4)+(0.25*EG4)</f>
        <v>-1.8303104182827825</v>
      </c>
      <c r="EJ4" s="16">
        <v>0</v>
      </c>
      <c r="EK4" s="16">
        <v>0</v>
      </c>
      <c r="EL4" s="16">
        <v>273977</v>
      </c>
      <c r="EM4" s="12">
        <f t="shared" si="34"/>
        <v>-2.2578137904629099</v>
      </c>
      <c r="EN4" s="12">
        <f t="shared" ref="EN4:EN65" si="61">(0.75*CP4)+(0.25*DZ4)</f>
        <v>-0.27110022459950311</v>
      </c>
      <c r="EO4" s="16">
        <v>0</v>
      </c>
      <c r="EP4" s="16">
        <v>0</v>
      </c>
      <c r="EQ4" s="16">
        <f t="shared" si="35"/>
        <v>323255.20700000005</v>
      </c>
      <c r="ER4" s="16">
        <v>0</v>
      </c>
      <c r="ES4" s="16">
        <f t="shared" ref="ES4:ES65" si="62">EO4+ER4</f>
        <v>0</v>
      </c>
      <c r="ET4" s="16">
        <f t="shared" si="36"/>
        <v>0</v>
      </c>
      <c r="EU4" s="16">
        <f t="shared" si="37"/>
        <v>248979.42293644996</v>
      </c>
      <c r="EV4" s="16">
        <f t="shared" ref="EV4:EV65" si="63">EP4-EQ4</f>
        <v>-323255.20700000005</v>
      </c>
      <c r="EW4" s="16">
        <f t="shared" ref="EW4:EW65" si="64">ES4-ET4</f>
        <v>0</v>
      </c>
      <c r="EX4" s="16">
        <f t="shared" ref="EX4:EX62" si="65">EO4-EU4</f>
        <v>-248979.42293644996</v>
      </c>
      <c r="EY4" s="12">
        <f t="shared" si="38"/>
        <v>-0.34982366135262349</v>
      </c>
      <c r="EZ4" s="17">
        <f t="shared" si="39"/>
        <v>-1.1465745676390957</v>
      </c>
      <c r="FA4" s="17">
        <f t="shared" si="40"/>
        <v>-1.3104528227409709</v>
      </c>
      <c r="FB4" s="17">
        <f t="shared" ref="FB4:FB12" si="66">(0.6*ED4)+(0.4*EZ4)</f>
        <v>-1.8615417528162395</v>
      </c>
      <c r="FC4" s="16">
        <v>260754.72</v>
      </c>
      <c r="FD4">
        <f>EJ4-EL4</f>
        <v>-273977</v>
      </c>
      <c r="FE4" s="16">
        <f t="shared" ref="FE4:FE23" si="67">EK4-FC4</f>
        <v>-260754.72</v>
      </c>
      <c r="FF4" s="12">
        <v>-1.4750000000000001</v>
      </c>
      <c r="FG4" s="12">
        <f>(FE4-FE$72)/FE$73</f>
        <v>-1.5372538649805363</v>
      </c>
      <c r="FH4" s="12">
        <f t="shared" ref="FH4:FH65" si="68">(0.6*EB4)+(0.4*FA4)</f>
        <v>-1.8094085806618105</v>
      </c>
      <c r="FI4" s="12">
        <f t="shared" ref="FI4:FI65" si="69">(0.6*EC4)+(0.4*EZ4)</f>
        <v>-1.7634583344460868</v>
      </c>
      <c r="FJ4">
        <v>0</v>
      </c>
      <c r="FK4">
        <v>0</v>
      </c>
      <c r="FL4" s="16">
        <f t="shared" ref="FL4:FL67" si="70">ER4+FJ4+FK4</f>
        <v>0</v>
      </c>
      <c r="FM4" s="16">
        <f t="shared" si="41"/>
        <v>602503.78713264491</v>
      </c>
      <c r="FN4" s="16">
        <f t="shared" ref="FN4:FN67" si="71">FL4-FM4</f>
        <v>-602503.78713264491</v>
      </c>
      <c r="FO4" s="12">
        <f t="shared" si="42"/>
        <v>-1.377055954462941</v>
      </c>
      <c r="FP4" s="12">
        <f t="shared" si="43"/>
        <v>-1.9055106560629222</v>
      </c>
      <c r="FQ4" s="12">
        <f t="shared" ref="FQ4:FQ65" si="72">(0.6*EN4)+(0.4*EY4)</f>
        <v>-0.30258959930075124</v>
      </c>
    </row>
    <row r="5" spans="1:173" x14ac:dyDescent="0.35">
      <c r="A5" s="8" t="s">
        <v>149</v>
      </c>
      <c r="B5" s="8" t="s">
        <v>119</v>
      </c>
      <c r="C5" s="144">
        <f t="shared" si="0"/>
        <v>88</v>
      </c>
      <c r="D5" s="144">
        <v>14</v>
      </c>
      <c r="E5" s="144">
        <v>74</v>
      </c>
      <c r="F5" s="144">
        <v>0</v>
      </c>
      <c r="G5" s="144">
        <v>0</v>
      </c>
      <c r="H5" s="144">
        <v>0</v>
      </c>
      <c r="I5" s="144">
        <v>0</v>
      </c>
      <c r="J5" s="144">
        <v>0</v>
      </c>
      <c r="K5" s="144"/>
      <c r="L5" s="144">
        <v>41</v>
      </c>
      <c r="M5" s="149">
        <f t="shared" si="1"/>
        <v>0.46590909090909088</v>
      </c>
      <c r="N5" s="149">
        <f>M5/M73</f>
        <v>7.303703116904584E-3</v>
      </c>
      <c r="O5" s="144">
        <v>8.5</v>
      </c>
      <c r="P5" s="149">
        <f t="shared" si="2"/>
        <v>9.6590909090909088E-2</v>
      </c>
      <c r="Q5" s="147">
        <f>P5/P73</f>
        <v>6.5405847097115737E-3</v>
      </c>
      <c r="R5" s="149">
        <f t="shared" si="3"/>
        <v>0.37357954545454547</v>
      </c>
      <c r="S5" s="147">
        <f>R5/R73</f>
        <v>7.2490331747065958E-3</v>
      </c>
      <c r="T5" s="147">
        <f t="shared" si="4"/>
        <v>7.112923515106331E-3</v>
      </c>
      <c r="U5" s="142">
        <v>270290</v>
      </c>
      <c r="V5" s="154">
        <f t="shared" si="5"/>
        <v>3071.4772727272725</v>
      </c>
      <c r="W5" s="154"/>
      <c r="X5" s="147">
        <f>V5/V73</f>
        <v>3.9442080821156349E-2</v>
      </c>
      <c r="Y5" s="155">
        <f t="shared" si="6"/>
        <v>2.0044586437526338E-2</v>
      </c>
      <c r="Z5" s="155">
        <v>0.36199999999999999</v>
      </c>
      <c r="AA5" s="150">
        <v>0.53400000000000003</v>
      </c>
      <c r="AB5" s="145">
        <v>71</v>
      </c>
      <c r="AC5" s="149">
        <v>-0.33443807131019843</v>
      </c>
      <c r="AD5" s="149">
        <f t="shared" si="7"/>
        <v>-0.32037874655465443</v>
      </c>
      <c r="AE5" s="142">
        <v>67</v>
      </c>
      <c r="AF5" s="209"/>
      <c r="AG5" s="209"/>
      <c r="AH5" s="12">
        <f>C5*BA5</f>
        <v>3.3462935270241401</v>
      </c>
      <c r="AI5" s="12"/>
      <c r="AJ5" s="23"/>
      <c r="AK5" s="34" t="e">
        <f>SUM(AL5:AM5)</f>
        <v>#DIV/0!</v>
      </c>
      <c r="AL5" s="23"/>
      <c r="AM5" s="34" t="e">
        <f>AX5*BK$26</f>
        <v>#DIV/0!</v>
      </c>
      <c r="AN5" s="30"/>
      <c r="AO5" s="30"/>
      <c r="AP5" s="209"/>
      <c r="AQ5" s="142">
        <v>0</v>
      </c>
      <c r="AR5" s="24"/>
      <c r="AS5" s="24"/>
      <c r="AT5" s="24"/>
      <c r="AU5" s="16"/>
      <c r="AV5" s="16"/>
      <c r="AW5" s="16"/>
      <c r="AX5" s="16" t="e">
        <f>AB5*BD5</f>
        <v>#DIV/0!</v>
      </c>
      <c r="AY5" s="16"/>
      <c r="AZ5" s="16"/>
      <c r="BA5" s="16">
        <f>AA5/BH$2</f>
        <v>3.8026062807092503E-2</v>
      </c>
      <c r="BB5" s="16"/>
      <c r="BC5" s="16"/>
      <c r="BD5" s="16" t="e">
        <f>FA5/BK$21</f>
        <v>#DIV/0!</v>
      </c>
      <c r="BE5" s="16"/>
      <c r="BF5" s="16"/>
      <c r="BG5" s="16"/>
      <c r="BH5" s="16"/>
      <c r="BI5" s="16"/>
      <c r="BJ5" s="16"/>
      <c r="BK5" s="16"/>
      <c r="BL5" s="16">
        <v>126</v>
      </c>
      <c r="BM5" s="16">
        <v>125</v>
      </c>
      <c r="BN5" s="16">
        <f t="shared" si="8"/>
        <v>1</v>
      </c>
      <c r="BO5" s="16">
        <v>199</v>
      </c>
      <c r="BP5" s="16">
        <v>138</v>
      </c>
      <c r="BQ5" s="16">
        <v>200.61860999999999</v>
      </c>
      <c r="BR5" s="16">
        <f>BL5-BO5</f>
        <v>-73</v>
      </c>
      <c r="BS5" s="16">
        <v>178</v>
      </c>
      <c r="BT5" s="16">
        <v>118</v>
      </c>
      <c r="BU5" s="16">
        <v>0</v>
      </c>
      <c r="BV5" s="285">
        <f>BY5*CB$4</f>
        <v>160588.51411203222</v>
      </c>
      <c r="BW5" s="16">
        <f>AVERAGE(AQ5,BU5,BV5)</f>
        <v>53529.504704010738</v>
      </c>
      <c r="BX5" s="285">
        <f>BW5-(BZ5*BW$72)</f>
        <v>55080.230927720193</v>
      </c>
      <c r="BY5" s="12">
        <f>AE5*BZ5</f>
        <v>2.5412827997555052</v>
      </c>
      <c r="BZ5" s="12">
        <f>FP5/CB3</f>
        <v>3.7929594026201573E-2</v>
      </c>
      <c r="CC5">
        <v>98</v>
      </c>
      <c r="CD5">
        <f t="shared" si="44"/>
        <v>216</v>
      </c>
      <c r="CE5" s="16">
        <f t="shared" si="9"/>
        <v>0</v>
      </c>
      <c r="CF5" s="54">
        <f t="shared" si="10"/>
        <v>154.46689000000001</v>
      </c>
      <c r="CG5" s="16">
        <f t="shared" si="11"/>
        <v>302.68116500000002</v>
      </c>
      <c r="CH5" s="54">
        <f t="shared" si="12"/>
        <v>232.68188458729</v>
      </c>
      <c r="CI5" s="54">
        <v>222.66272000000001</v>
      </c>
      <c r="CJ5" s="54">
        <f t="shared" si="45"/>
        <v>-94.68188458729</v>
      </c>
      <c r="CK5" s="54">
        <f t="shared" si="46"/>
        <v>-84.662720000000007</v>
      </c>
      <c r="CL5" s="54">
        <f t="shared" si="47"/>
        <v>-75.61860999999999</v>
      </c>
      <c r="CM5" s="12">
        <v>-0.72399999999999998</v>
      </c>
      <c r="CN5" s="16">
        <f t="shared" si="48"/>
        <v>216</v>
      </c>
      <c r="CO5" s="54">
        <f t="shared" si="49"/>
        <v>-36.466890000000006</v>
      </c>
      <c r="CP5" s="12">
        <f t="shared" si="13"/>
        <v>0.26372562628459667</v>
      </c>
      <c r="CQ5" s="12">
        <f t="shared" si="14"/>
        <v>-0.37278017794689877</v>
      </c>
      <c r="CR5" s="16">
        <f t="shared" si="50"/>
        <v>-124.68116500000002</v>
      </c>
      <c r="CS5" s="12">
        <f t="shared" si="15"/>
        <v>-0.66572710114696543</v>
      </c>
      <c r="CT5" s="12">
        <f t="shared" si="16"/>
        <v>-0.63421536233530529</v>
      </c>
      <c r="CU5" s="12">
        <f t="shared" si="17"/>
        <v>-0.54736401610512275</v>
      </c>
      <c r="CV5" s="12">
        <f>(CL5-CL$72)/CL$73</f>
        <v>-0.71972319982884059</v>
      </c>
      <c r="CW5" s="54">
        <v>20</v>
      </c>
      <c r="CX5" s="54">
        <f t="shared" si="18"/>
        <v>222.66757299999998</v>
      </c>
      <c r="CY5" s="54">
        <f t="shared" si="51"/>
        <v>-84.667572999999976</v>
      </c>
      <c r="CZ5" s="12">
        <f t="shared" si="19"/>
        <v>-0.60824888023608126</v>
      </c>
      <c r="DA5" s="12">
        <f t="shared" si="20"/>
        <v>-1.1925010281690138</v>
      </c>
      <c r="DB5" s="12">
        <f t="shared" si="21"/>
        <v>-0.44214399876418897</v>
      </c>
      <c r="DC5" s="54">
        <v>7</v>
      </c>
      <c r="DD5" s="54">
        <v>22</v>
      </c>
      <c r="DE5" s="54">
        <f t="shared" si="22"/>
        <v>41.275942300000004</v>
      </c>
      <c r="DF5" s="54">
        <v>104</v>
      </c>
      <c r="DG5" s="54">
        <v>184.5</v>
      </c>
      <c r="DH5" s="54">
        <f t="shared" si="52"/>
        <v>386.5</v>
      </c>
      <c r="DI5" s="54">
        <f t="shared" si="23"/>
        <v>328.41814138204927</v>
      </c>
      <c r="DJ5" s="16">
        <f t="shared" si="53"/>
        <v>58.081858617950729</v>
      </c>
      <c r="DK5" s="14">
        <f t="shared" si="24"/>
        <v>0.30125780372042288</v>
      </c>
      <c r="DL5" s="54">
        <v>2</v>
      </c>
      <c r="DM5" s="54">
        <v>2</v>
      </c>
      <c r="DN5" s="54">
        <v>42.2</v>
      </c>
      <c r="DO5" s="54">
        <f t="shared" si="54"/>
        <v>46.2</v>
      </c>
      <c r="DP5" s="54">
        <f t="shared" si="25"/>
        <v>35.362589356632249</v>
      </c>
      <c r="DQ5" s="16">
        <f t="shared" si="55"/>
        <v>10.837410643367754</v>
      </c>
      <c r="DR5" s="14">
        <f t="shared" si="26"/>
        <v>0.54378426164087401</v>
      </c>
      <c r="DS5" s="54">
        <f t="shared" si="56"/>
        <v>9</v>
      </c>
      <c r="DT5" s="54">
        <f t="shared" si="27"/>
        <v>0</v>
      </c>
      <c r="DU5" s="54">
        <f t="shared" si="28"/>
        <v>30.910153396639881</v>
      </c>
      <c r="DV5" s="54">
        <f t="shared" si="57"/>
        <v>-19.275942300000004</v>
      </c>
      <c r="DW5" s="54">
        <f t="shared" si="58"/>
        <v>9</v>
      </c>
      <c r="DX5" s="54">
        <f t="shared" si="29"/>
        <v>-23.910153396639881</v>
      </c>
      <c r="DY5" s="12">
        <f t="shared" si="30"/>
        <v>-0.69080785616479023</v>
      </c>
      <c r="DZ5" s="12">
        <f t="shared" si="31"/>
        <v>-0.44332801866325605</v>
      </c>
      <c r="EA5" s="12">
        <f t="shared" si="32"/>
        <v>-1.2200319155654367</v>
      </c>
      <c r="EB5" s="12">
        <f t="shared" si="59"/>
        <v>-0.6719972899014216</v>
      </c>
      <c r="EC5" s="12">
        <f t="shared" si="60"/>
        <v>-0.58459311235153333</v>
      </c>
      <c r="ED5" s="12">
        <f t="shared" si="33"/>
        <v>-0.78066950064283813</v>
      </c>
      <c r="EE5" s="54">
        <v>28</v>
      </c>
      <c r="EF5" s="54">
        <f>CW5-EE5</f>
        <v>-8</v>
      </c>
      <c r="EG5" s="12">
        <v>-0.48099999999999998</v>
      </c>
      <c r="EH5" s="12">
        <v>-0.66300000000000003</v>
      </c>
      <c r="EI5" s="12">
        <f>(0.75*CV5)+(0.25*EG5)</f>
        <v>-0.66004239987163038</v>
      </c>
      <c r="EJ5" s="16">
        <v>603938</v>
      </c>
      <c r="EK5" s="16">
        <v>199647.05</v>
      </c>
      <c r="EL5" s="16">
        <v>177107</v>
      </c>
      <c r="EM5" s="14">
        <f t="shared" si="34"/>
        <v>0.36188941820053566</v>
      </c>
      <c r="EN5" s="12">
        <f t="shared" si="61"/>
        <v>8.6962215047633504E-2</v>
      </c>
      <c r="EO5" s="16">
        <v>193790</v>
      </c>
      <c r="EP5" s="16">
        <v>193790</v>
      </c>
      <c r="EQ5" s="16">
        <f t="shared" si="35"/>
        <v>175199.38700000002</v>
      </c>
      <c r="ER5" s="16">
        <v>220730</v>
      </c>
      <c r="ES5" s="16">
        <f t="shared" si="62"/>
        <v>414520</v>
      </c>
      <c r="ET5" s="16">
        <f t="shared" si="36"/>
        <v>0</v>
      </c>
      <c r="EU5" s="16">
        <f t="shared" si="37"/>
        <v>134943.04601899197</v>
      </c>
      <c r="EV5" s="16">
        <f t="shared" si="63"/>
        <v>18590.612999999983</v>
      </c>
      <c r="EW5" s="16">
        <f t="shared" si="64"/>
        <v>414520</v>
      </c>
      <c r="EX5" s="16">
        <f t="shared" si="65"/>
        <v>58846.953981008031</v>
      </c>
      <c r="EY5" s="12">
        <f t="shared" si="38"/>
        <v>0.60290091704587134</v>
      </c>
      <c r="EZ5" s="17">
        <f t="shared" si="39"/>
        <v>0.27099597236545059</v>
      </c>
      <c r="FA5" s="109">
        <f t="shared" si="40"/>
        <v>5.6278507009828047E-2</v>
      </c>
      <c r="FB5" s="17">
        <f t="shared" si="66"/>
        <v>-0.36000331143952258</v>
      </c>
      <c r="FC5" s="16">
        <v>166475.9</v>
      </c>
      <c r="FD5">
        <f>EJ5-EL5</f>
        <v>426831</v>
      </c>
      <c r="FE5" s="16">
        <f t="shared" si="67"/>
        <v>33171.149999999994</v>
      </c>
      <c r="FF5" s="12">
        <v>2.3290000000000002</v>
      </c>
      <c r="FG5" s="12">
        <f>(FE5-FE$72)/FE$73</f>
        <v>0.18911673342080951</v>
      </c>
      <c r="FH5" s="12">
        <f t="shared" si="68"/>
        <v>-0.38068697113692174</v>
      </c>
      <c r="FI5" s="12">
        <f t="shared" si="69"/>
        <v>-0.24235747846473971</v>
      </c>
      <c r="FJ5" s="16">
        <v>261665</v>
      </c>
      <c r="FK5" s="16">
        <v>148095</v>
      </c>
      <c r="FL5" s="16">
        <f t="shared" si="70"/>
        <v>630490</v>
      </c>
      <c r="FM5" s="16">
        <f t="shared" si="41"/>
        <v>325546.40111199365</v>
      </c>
      <c r="FN5" s="16">
        <f t="shared" si="71"/>
        <v>304943.59888800635</v>
      </c>
      <c r="FO5" s="14">
        <f t="shared" si="42"/>
        <v>0.69696557530789249</v>
      </c>
      <c r="FP5" s="14">
        <f t="shared" si="43"/>
        <v>0.49591988104347839</v>
      </c>
      <c r="FQ5" s="12">
        <f t="shared" si="72"/>
        <v>0.29333769584692865</v>
      </c>
    </row>
    <row r="6" spans="1:173" x14ac:dyDescent="0.35">
      <c r="A6" s="8" t="s">
        <v>149</v>
      </c>
      <c r="B6" s="8" t="s">
        <v>70</v>
      </c>
      <c r="C6" s="144">
        <f t="shared" si="0"/>
        <v>76</v>
      </c>
      <c r="D6" s="144">
        <v>0</v>
      </c>
      <c r="E6" s="144">
        <v>2</v>
      </c>
      <c r="F6" s="144">
        <v>1</v>
      </c>
      <c r="G6" s="144">
        <v>73</v>
      </c>
      <c r="H6" s="144">
        <v>0</v>
      </c>
      <c r="I6" s="144">
        <v>0</v>
      </c>
      <c r="J6" s="144">
        <v>0</v>
      </c>
      <c r="K6" s="144"/>
      <c r="L6" s="144">
        <v>101</v>
      </c>
      <c r="M6" s="150">
        <f t="shared" si="1"/>
        <v>1.3289473684210527</v>
      </c>
      <c r="N6" s="149">
        <f>M6/M73</f>
        <v>2.0832899006112949E-2</v>
      </c>
      <c r="O6" s="144">
        <v>18</v>
      </c>
      <c r="P6" s="149">
        <f t="shared" si="2"/>
        <v>0.23684210526315788</v>
      </c>
      <c r="Q6" s="147">
        <f>P6/P73</f>
        <v>1.603759470616584E-2</v>
      </c>
      <c r="R6" s="149">
        <f t="shared" si="3"/>
        <v>1.055921052631579</v>
      </c>
      <c r="S6" s="156">
        <f>R6/R73</f>
        <v>2.0489362529428849E-2</v>
      </c>
      <c r="T6" s="156">
        <f t="shared" si="4"/>
        <v>1.9634072931126172E-2</v>
      </c>
      <c r="U6" s="142">
        <v>83924</v>
      </c>
      <c r="V6" s="154">
        <f t="shared" si="5"/>
        <v>1104.2631578947369</v>
      </c>
      <c r="W6" s="154"/>
      <c r="X6" s="147">
        <f>V6/V73</f>
        <v>1.4180289435394726E-2</v>
      </c>
      <c r="Y6" s="155">
        <f t="shared" si="6"/>
        <v>1.7452559532833593E-2</v>
      </c>
      <c r="Z6" s="155">
        <v>0.48799999999999999</v>
      </c>
      <c r="AA6" s="150">
        <v>1.7889999999999999</v>
      </c>
      <c r="AB6" s="145">
        <v>74</v>
      </c>
      <c r="AC6" s="150">
        <v>1.9912856127363732</v>
      </c>
      <c r="AD6" s="150">
        <f t="shared" si="7"/>
        <v>1.8518633480491953</v>
      </c>
      <c r="AE6" s="142">
        <v>80</v>
      </c>
      <c r="AF6" s="209">
        <v>587831.66009551694</v>
      </c>
      <c r="AG6" s="209">
        <f>AT6*BK$32</f>
        <v>809933.80122217396</v>
      </c>
      <c r="AH6" s="12">
        <f>C6*BA6</f>
        <v>9.6819767855871248</v>
      </c>
      <c r="AI6" s="35" t="e">
        <f>AU6*BK$9</f>
        <v>#DIV/0!</v>
      </c>
      <c r="AJ6" s="34" t="e">
        <f>AV6*BK$16</f>
        <v>#DIV/0!</v>
      </c>
      <c r="AK6" s="34" t="e">
        <f>SUM(AL6:AM6)</f>
        <v>#DIV/0!</v>
      </c>
      <c r="AL6" s="34" t="e">
        <f>AW6*BK$24</f>
        <v>#DIV/0!</v>
      </c>
      <c r="AM6" s="34" t="e">
        <f>AX6*BK$26</f>
        <v>#DIV/0!</v>
      </c>
      <c r="AN6" s="30">
        <f>AS6*BK$35</f>
        <v>647863.57251636032</v>
      </c>
      <c r="AO6" s="30">
        <f>AVERAGE(AF6,AR6,AN6)</f>
        <v>652198.29498813872</v>
      </c>
      <c r="AP6" s="209">
        <f>AVERAGE(AF6:AG6)</f>
        <v>698882.73065884551</v>
      </c>
      <c r="AQ6" s="154">
        <f>AO6-(AO$72*BE6)</f>
        <v>699510.87943715404</v>
      </c>
      <c r="AR6" s="130">
        <f>AP6+(AP$72*BF6)</f>
        <v>720899.65235253912</v>
      </c>
      <c r="AS6" s="24">
        <f>AB6*BE6</f>
        <v>13.244401714075282</v>
      </c>
      <c r="AT6" s="24">
        <f>AB6*BF6</f>
        <v>14.35601763849384</v>
      </c>
      <c r="AU6" s="16" t="e">
        <f>AB6*BG6</f>
        <v>#DIV/0!</v>
      </c>
      <c r="AV6" s="16" t="e">
        <f>AB6*BB6</f>
        <v>#DIV/0!</v>
      </c>
      <c r="AW6" s="16" t="e">
        <f>AB6*BC6</f>
        <v>#DIV/0!</v>
      </c>
      <c r="AX6" s="16" t="e">
        <f>AB6*BD6</f>
        <v>#DIV/0!</v>
      </c>
      <c r="AY6" s="16"/>
      <c r="AZ6" s="16"/>
      <c r="BA6" s="16">
        <f>AA6/BH$2</f>
        <v>0.12739443138930429</v>
      </c>
      <c r="BB6" s="16" t="e">
        <f>FH6/BK$14</f>
        <v>#DIV/0!</v>
      </c>
      <c r="BC6" s="16" t="e">
        <f>EB6/BK$19</f>
        <v>#DIV/0!</v>
      </c>
      <c r="BD6" s="16" t="e">
        <f>FA6/BK$21</f>
        <v>#DIV/0!</v>
      </c>
      <c r="BE6" s="142">
        <f>FQ6/BK$26</f>
        <v>0.17897840154155786</v>
      </c>
      <c r="BF6" s="16">
        <f>FI6/BK$29</f>
        <v>0.19400023835802488</v>
      </c>
      <c r="BG6" s="142" t="e">
        <f>AC6/BK$5</f>
        <v>#DIV/0!</v>
      </c>
      <c r="BH6" s="16"/>
      <c r="BI6" s="16"/>
      <c r="BJ6" s="16"/>
      <c r="BK6" s="16"/>
      <c r="BL6" s="16">
        <v>572</v>
      </c>
      <c r="BM6" s="16">
        <v>579</v>
      </c>
      <c r="BN6" s="16">
        <f t="shared" si="8"/>
        <v>-7</v>
      </c>
      <c r="BO6" s="16">
        <v>172</v>
      </c>
      <c r="BP6" s="16">
        <v>891</v>
      </c>
      <c r="BQ6" s="16">
        <v>173.26152999999999</v>
      </c>
      <c r="BR6" s="16">
        <f>BL6-BO6</f>
        <v>400</v>
      </c>
      <c r="BS6" s="16">
        <v>1057</v>
      </c>
      <c r="BT6" s="16">
        <v>717</v>
      </c>
      <c r="BU6" s="211">
        <v>601741.73684678599</v>
      </c>
      <c r="BV6" s="285">
        <f>BY6*CB$4</f>
        <v>578737.66513231397</v>
      </c>
      <c r="BW6" s="16">
        <f>AVERAGE(AQ6,BU6,BV6)</f>
        <v>626663.42713875137</v>
      </c>
      <c r="BX6" s="285">
        <f>BW6-(BZ6*BW$72)</f>
        <v>631343.87287987536</v>
      </c>
      <c r="BY6" s="12">
        <f>AE6*BZ6</f>
        <v>9.1584138635554808</v>
      </c>
      <c r="BZ6" s="12">
        <f>FP6/CB3</f>
        <v>0.1144801732944435</v>
      </c>
      <c r="CC6">
        <v>462</v>
      </c>
      <c r="CD6">
        <f t="shared" si="44"/>
        <v>1179</v>
      </c>
      <c r="CE6" s="16">
        <f t="shared" si="9"/>
        <v>0</v>
      </c>
      <c r="CF6" s="54">
        <f t="shared" si="10"/>
        <v>160.99366000000001</v>
      </c>
      <c r="CG6" s="16">
        <f t="shared" si="11"/>
        <v>315.47050999999999</v>
      </c>
      <c r="CH6" s="54">
        <f t="shared" si="12"/>
        <v>242.51351351351352</v>
      </c>
      <c r="CI6" s="54">
        <v>232.071</v>
      </c>
      <c r="CJ6" s="54">
        <f t="shared" si="45"/>
        <v>648.48648648648646</v>
      </c>
      <c r="CK6" s="54">
        <f t="shared" si="46"/>
        <v>658.92899999999997</v>
      </c>
      <c r="CL6" s="54">
        <f t="shared" si="47"/>
        <v>405.73847000000001</v>
      </c>
      <c r="CM6" s="12">
        <v>3.5019999999999998</v>
      </c>
      <c r="CN6" s="16">
        <f t="shared" si="48"/>
        <v>1179</v>
      </c>
      <c r="CO6" s="54">
        <f t="shared" si="49"/>
        <v>556.00634000000002</v>
      </c>
      <c r="CP6" s="14">
        <f t="shared" si="13"/>
        <v>5.1060253227867207</v>
      </c>
      <c r="CQ6" s="14">
        <f t="shared" si="14"/>
        <v>5.1312865054552637</v>
      </c>
      <c r="CR6" s="16">
        <f t="shared" si="50"/>
        <v>741.52949000000001</v>
      </c>
      <c r="CS6" s="14">
        <f t="shared" si="15"/>
        <v>3.9059408790648611</v>
      </c>
      <c r="CT6" s="14">
        <f t="shared" si="16"/>
        <v>4.3438097349805593</v>
      </c>
      <c r="CU6" s="14">
        <f t="shared" si="17"/>
        <v>2.6902640878770976</v>
      </c>
      <c r="CV6" s="12">
        <f>(CL6-CL$72)/CL$73</f>
        <v>3.580516280671326</v>
      </c>
      <c r="CW6" s="54">
        <v>38</v>
      </c>
      <c r="CX6" s="54">
        <f t="shared" si="18"/>
        <v>232.07606199999998</v>
      </c>
      <c r="CY6" s="54">
        <f t="shared" si="51"/>
        <v>658.92393800000002</v>
      </c>
      <c r="CZ6" s="14">
        <f t="shared" si="19"/>
        <v>4.3931998412457185</v>
      </c>
      <c r="DA6" s="12">
        <f t="shared" si="20"/>
        <v>8.9043775405405405</v>
      </c>
      <c r="DB6" s="14">
        <f t="shared" si="21"/>
        <v>3.02361708629007</v>
      </c>
      <c r="DC6" s="54">
        <v>26</v>
      </c>
      <c r="DD6" s="54">
        <v>55</v>
      </c>
      <c r="DE6" s="54">
        <f t="shared" si="22"/>
        <v>43.019996200000001</v>
      </c>
      <c r="DF6" s="54">
        <v>354</v>
      </c>
      <c r="DG6" s="54">
        <v>365.5</v>
      </c>
      <c r="DH6" s="54">
        <f t="shared" si="52"/>
        <v>1181.5</v>
      </c>
      <c r="DI6" s="54">
        <f t="shared" si="23"/>
        <v>392.14106433677523</v>
      </c>
      <c r="DJ6" s="16">
        <f t="shared" si="53"/>
        <v>789.35893566322477</v>
      </c>
      <c r="DK6" s="14">
        <f t="shared" si="24"/>
        <v>4.0942308831608099</v>
      </c>
      <c r="DL6" s="54">
        <v>9</v>
      </c>
      <c r="DM6" s="54">
        <v>4</v>
      </c>
      <c r="DN6" s="54">
        <v>18.5</v>
      </c>
      <c r="DO6" s="54">
        <f t="shared" si="54"/>
        <v>31.5</v>
      </c>
      <c r="DP6" s="54">
        <f t="shared" si="25"/>
        <v>42.223987291501189</v>
      </c>
      <c r="DQ6" s="16">
        <f t="shared" si="55"/>
        <v>-10.723987291501189</v>
      </c>
      <c r="DR6" s="12">
        <f t="shared" si="26"/>
        <v>-0.5380930651293403</v>
      </c>
      <c r="DS6" s="54">
        <f t="shared" si="56"/>
        <v>35</v>
      </c>
      <c r="DT6" s="54">
        <f t="shared" si="27"/>
        <v>0</v>
      </c>
      <c r="DU6" s="54">
        <f t="shared" si="28"/>
        <v>32.216216216216218</v>
      </c>
      <c r="DV6" s="54">
        <f t="shared" si="57"/>
        <v>11.980003799999999</v>
      </c>
      <c r="DW6" s="54">
        <f t="shared" si="58"/>
        <v>35</v>
      </c>
      <c r="DX6" s="54">
        <f t="shared" si="29"/>
        <v>-6.2162162162162176</v>
      </c>
      <c r="DY6" s="12">
        <f t="shared" si="30"/>
        <v>0.27572351276480228</v>
      </c>
      <c r="DZ6" s="12">
        <f t="shared" si="31"/>
        <v>0.43326381846658746</v>
      </c>
      <c r="EA6" s="12">
        <f t="shared" si="32"/>
        <v>-0.31718668015341911</v>
      </c>
      <c r="EB6" s="14">
        <f t="shared" si="59"/>
        <v>2.9983865374898464</v>
      </c>
      <c r="EC6" s="14">
        <f t="shared" si="60"/>
        <v>3.7691682090530927</v>
      </c>
      <c r="ED6" s="14">
        <f t="shared" si="33"/>
        <v>3.1785606311970644</v>
      </c>
      <c r="EE6" s="54">
        <v>24</v>
      </c>
      <c r="EF6" s="54">
        <f>CW6-EE6</f>
        <v>14</v>
      </c>
      <c r="EG6" s="12">
        <v>0.39500000000000002</v>
      </c>
      <c r="EH6" s="12">
        <v>2.726</v>
      </c>
      <c r="EI6" s="12">
        <f>(0.75*CV6)+(0.25*EG6)</f>
        <v>2.7841372105034945</v>
      </c>
      <c r="EJ6" s="16">
        <v>223557</v>
      </c>
      <c r="EK6" s="16">
        <v>223556.28</v>
      </c>
      <c r="EL6" s="16">
        <v>155246</v>
      </c>
      <c r="EM6" s="14">
        <f t="shared" si="34"/>
        <v>2.9361498960882724</v>
      </c>
      <c r="EN6" s="14">
        <f t="shared" si="61"/>
        <v>3.9378349467066873</v>
      </c>
      <c r="EO6" s="16">
        <v>158274</v>
      </c>
      <c r="EP6" s="16">
        <v>303358</v>
      </c>
      <c r="EQ6" s="16">
        <f t="shared" si="35"/>
        <v>182602.17800000001</v>
      </c>
      <c r="ER6" s="16">
        <v>36368</v>
      </c>
      <c r="ES6" s="16">
        <f t="shared" si="62"/>
        <v>194642</v>
      </c>
      <c r="ET6" s="16">
        <f t="shared" si="36"/>
        <v>0</v>
      </c>
      <c r="EU6" s="16">
        <f t="shared" si="37"/>
        <v>140644.86486486485</v>
      </c>
      <c r="EV6" s="16">
        <f t="shared" si="63"/>
        <v>120755.82199999999</v>
      </c>
      <c r="EW6" s="16">
        <f t="shared" si="64"/>
        <v>194642</v>
      </c>
      <c r="EX6" s="16">
        <f t="shared" si="65"/>
        <v>17629.135135135148</v>
      </c>
      <c r="EY6" s="12">
        <f t="shared" si="38"/>
        <v>9.7537665938315046E-2</v>
      </c>
      <c r="EZ6" s="17">
        <f t="shared" si="39"/>
        <v>8.1183889644478771E-2</v>
      </c>
      <c r="FA6" s="109">
        <f t="shared" si="40"/>
        <v>0.46474449893226333</v>
      </c>
      <c r="FB6" s="109">
        <f t="shared" si="66"/>
        <v>1.93960993457603</v>
      </c>
      <c r="FC6" s="16">
        <v>145380.23000000001</v>
      </c>
      <c r="FD6">
        <f>EJ6-EL6</f>
        <v>68311</v>
      </c>
      <c r="FE6" s="16">
        <f t="shared" si="67"/>
        <v>78176.049999999988</v>
      </c>
      <c r="FF6" s="12">
        <v>0.38300000000000001</v>
      </c>
      <c r="FG6" s="12">
        <f>(FE6-FE$72)/FE$73</f>
        <v>0.45345255436774662</v>
      </c>
      <c r="FH6" s="14">
        <f t="shared" si="68"/>
        <v>1.9849297220668132</v>
      </c>
      <c r="FI6" s="14">
        <f t="shared" si="69"/>
        <v>2.2939744812896468</v>
      </c>
      <c r="FJ6" s="16">
        <v>62600</v>
      </c>
      <c r="FK6" s="16">
        <v>0</v>
      </c>
      <c r="FL6" s="16">
        <f t="shared" si="70"/>
        <v>98968</v>
      </c>
      <c r="FM6" s="16">
        <f t="shared" si="41"/>
        <v>388712.12073073868</v>
      </c>
      <c r="FN6" s="16">
        <f t="shared" si="71"/>
        <v>-289744.12073073868</v>
      </c>
      <c r="FO6" s="12">
        <f t="shared" si="42"/>
        <v>-0.66222632163314854</v>
      </c>
      <c r="FP6" s="14">
        <f t="shared" si="43"/>
        <v>1.4967994089997039</v>
      </c>
      <c r="FQ6" s="14">
        <f t="shared" si="72"/>
        <v>2.4017160343993385</v>
      </c>
    </row>
    <row r="7" spans="1:173" x14ac:dyDescent="0.35">
      <c r="A7" s="8" t="s">
        <v>149</v>
      </c>
      <c r="B7" s="8" t="s">
        <v>8</v>
      </c>
      <c r="C7" s="144">
        <f t="shared" si="0"/>
        <v>20</v>
      </c>
      <c r="D7" s="144">
        <v>13</v>
      </c>
      <c r="E7" s="144">
        <v>0</v>
      </c>
      <c r="F7" s="144">
        <v>0</v>
      </c>
      <c r="G7" s="144">
        <v>0</v>
      </c>
      <c r="H7" s="144">
        <v>7</v>
      </c>
      <c r="I7" s="144">
        <v>0</v>
      </c>
      <c r="J7" s="144">
        <v>0</v>
      </c>
      <c r="K7" s="144"/>
      <c r="L7" s="144">
        <v>29</v>
      </c>
      <c r="M7" s="150">
        <f t="shared" si="1"/>
        <v>1.45</v>
      </c>
      <c r="N7" s="149">
        <f>M7/M73</f>
        <v>2.2730549212610366E-2</v>
      </c>
      <c r="O7" s="144">
        <v>0.5</v>
      </c>
      <c r="P7" s="149">
        <f t="shared" si="2"/>
        <v>2.5000000000000001E-2</v>
      </c>
      <c r="Q7" s="147">
        <f>P7/P73</f>
        <v>1.692857218984172E-3</v>
      </c>
      <c r="R7" s="149">
        <f t="shared" si="3"/>
        <v>1.09375</v>
      </c>
      <c r="S7" s="156">
        <f>R7/R73</f>
        <v>2.1223405112258856E-2</v>
      </c>
      <c r="T7" s="156">
        <f t="shared" si="4"/>
        <v>1.7471126214203818E-2</v>
      </c>
      <c r="U7" s="142">
        <v>0</v>
      </c>
      <c r="V7" s="142">
        <f t="shared" si="5"/>
        <v>0</v>
      </c>
      <c r="W7" s="142"/>
      <c r="X7" s="147">
        <f>V7/V73</f>
        <v>0</v>
      </c>
      <c r="Y7" s="147">
        <f t="shared" si="6"/>
        <v>1.048267572852229E-2</v>
      </c>
      <c r="Z7" s="147">
        <v>-0.48599999999999999</v>
      </c>
      <c r="AA7" s="149">
        <v>1.4E-2</v>
      </c>
      <c r="AB7" s="145">
        <v>24</v>
      </c>
      <c r="AC7" s="149">
        <v>-6.686104493762611E-2</v>
      </c>
      <c r="AD7" s="149">
        <f t="shared" si="7"/>
        <v>2.686875358981794E-2</v>
      </c>
      <c r="AE7" s="142">
        <v>23</v>
      </c>
      <c r="AF7" s="209"/>
      <c r="AG7" s="209"/>
      <c r="AH7" s="12"/>
      <c r="AI7" s="12"/>
      <c r="AJ7" s="23"/>
      <c r="AK7" s="30"/>
      <c r="AL7" s="23"/>
      <c r="AM7" s="30"/>
      <c r="AN7" s="30"/>
      <c r="AO7" s="30"/>
      <c r="AP7" s="209"/>
      <c r="AQ7" s="142"/>
      <c r="AR7" s="24"/>
      <c r="AS7" s="24"/>
      <c r="AT7" s="24"/>
      <c r="AU7" s="16"/>
      <c r="AV7" s="16"/>
      <c r="AW7" s="16"/>
      <c r="AX7" s="16"/>
      <c r="AY7" s="24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>
        <v>94</v>
      </c>
      <c r="BM7" s="16">
        <v>96</v>
      </c>
      <c r="BN7" s="16">
        <f t="shared" si="8"/>
        <v>-2</v>
      </c>
      <c r="BO7" s="16">
        <v>45</v>
      </c>
      <c r="BP7" s="16">
        <v>108</v>
      </c>
      <c r="BQ7" s="16">
        <v>45.595140000000001</v>
      </c>
      <c r="BR7" s="16">
        <f>BL7-BO7</f>
        <v>49</v>
      </c>
      <c r="BS7" s="16">
        <v>162</v>
      </c>
      <c r="BT7" s="16">
        <v>54</v>
      </c>
      <c r="BU7" s="16"/>
      <c r="BV7" s="16"/>
      <c r="BW7" s="16"/>
      <c r="BX7" s="16"/>
      <c r="BY7" s="12"/>
      <c r="BZ7" s="12"/>
      <c r="CC7">
        <v>20</v>
      </c>
      <c r="CD7">
        <f t="shared" si="44"/>
        <v>74</v>
      </c>
      <c r="CE7" s="16">
        <f t="shared" si="9"/>
        <v>0</v>
      </c>
      <c r="CF7" s="54">
        <f t="shared" si="10"/>
        <v>52.214160000000007</v>
      </c>
      <c r="CG7" s="16">
        <f t="shared" si="11"/>
        <v>102.31476000000001</v>
      </c>
      <c r="CH7" s="54">
        <f t="shared" si="12"/>
        <v>78.65303140978817</v>
      </c>
      <c r="CI7" s="54">
        <v>75.266270000000006</v>
      </c>
      <c r="CJ7" s="54">
        <f t="shared" si="45"/>
        <v>29.34696859021183</v>
      </c>
      <c r="CK7" s="54">
        <f t="shared" si="46"/>
        <v>32.733729999999994</v>
      </c>
      <c r="CL7" s="54">
        <f t="shared" si="47"/>
        <v>50.404859999999999</v>
      </c>
      <c r="CM7" s="12">
        <v>0.36599999999999999</v>
      </c>
      <c r="CN7" s="16">
        <f t="shared" si="48"/>
        <v>74</v>
      </c>
      <c r="CO7" s="54">
        <f t="shared" si="49"/>
        <v>1.7858399999999932</v>
      </c>
      <c r="CP7" s="12">
        <f t="shared" si="13"/>
        <v>-0.45029987413420036</v>
      </c>
      <c r="CQ7" s="12">
        <f t="shared" si="14"/>
        <v>-1.7412937570184396E-2</v>
      </c>
      <c r="CR7" s="16">
        <f t="shared" si="50"/>
        <v>59.685239999999993</v>
      </c>
      <c r="CS7" s="14">
        <f t="shared" si="15"/>
        <v>0.30731794915349037</v>
      </c>
      <c r="CT7" s="14">
        <f t="shared" si="16"/>
        <v>0.19657718473827793</v>
      </c>
      <c r="CU7" s="14">
        <f t="shared" si="17"/>
        <v>0.30027517979776114</v>
      </c>
      <c r="CV7" s="12">
        <f>(CL7-CL$72)/CL$73</f>
        <v>0.40611689618393298</v>
      </c>
      <c r="CW7" s="54">
        <v>1</v>
      </c>
      <c r="CX7" s="54">
        <f t="shared" si="18"/>
        <v>75.267911999999995</v>
      </c>
      <c r="CY7" s="54">
        <f t="shared" si="51"/>
        <v>32.732088000000005</v>
      </c>
      <c r="CZ7" s="14">
        <f t="shared" si="19"/>
        <v>0.18138948400668464</v>
      </c>
      <c r="DA7" s="12">
        <f t="shared" si="20"/>
        <v>1.3638370000000002</v>
      </c>
      <c r="DB7" s="14">
        <f t="shared" si="21"/>
        <v>0.43532093240065395</v>
      </c>
      <c r="DC7" s="54">
        <v>1</v>
      </c>
      <c r="DD7" s="54">
        <v>2</v>
      </c>
      <c r="DE7" s="54">
        <f t="shared" si="22"/>
        <v>13.952431199999999</v>
      </c>
      <c r="DF7" s="54">
        <v>19</v>
      </c>
      <c r="DG7" s="54">
        <v>31.5</v>
      </c>
      <c r="DH7" s="54">
        <f t="shared" si="52"/>
        <v>70.5</v>
      </c>
      <c r="DI7" s="54">
        <f t="shared" si="23"/>
        <v>112.74055599682288</v>
      </c>
      <c r="DJ7" s="16">
        <f t="shared" si="53"/>
        <v>-42.240555996822877</v>
      </c>
      <c r="DK7" s="12">
        <f t="shared" si="24"/>
        <v>-0.21909245727201179</v>
      </c>
      <c r="DL7" s="54">
        <v>1</v>
      </c>
      <c r="DM7" s="54">
        <v>0</v>
      </c>
      <c r="DN7" s="54">
        <v>1</v>
      </c>
      <c r="DO7" s="54">
        <f t="shared" si="54"/>
        <v>2</v>
      </c>
      <c r="DP7" s="54">
        <f t="shared" si="25"/>
        <v>12.139396346306592</v>
      </c>
      <c r="DQ7" s="16">
        <f t="shared" si="55"/>
        <v>-10.139396346306592</v>
      </c>
      <c r="DR7" s="12">
        <f t="shared" si="26"/>
        <v>-0.5087602875909043</v>
      </c>
      <c r="DS7" s="54">
        <f t="shared" si="56"/>
        <v>2</v>
      </c>
      <c r="DT7" s="54">
        <f t="shared" si="27"/>
        <v>0</v>
      </c>
      <c r="DU7" s="54">
        <f t="shared" si="28"/>
        <v>10.448502556610665</v>
      </c>
      <c r="DV7" s="54">
        <f t="shared" si="57"/>
        <v>-11.952431199999999</v>
      </c>
      <c r="DW7" s="54">
        <f t="shared" si="58"/>
        <v>2</v>
      </c>
      <c r="DX7" s="54">
        <f t="shared" si="29"/>
        <v>-9.4485025566106646</v>
      </c>
      <c r="DY7" s="12">
        <f t="shared" si="30"/>
        <v>-0.46434204430910403</v>
      </c>
      <c r="DZ7" s="12">
        <f t="shared" si="31"/>
        <v>-0.67933351327513702</v>
      </c>
      <c r="EA7" s="12">
        <f t="shared" si="32"/>
        <v>-0.48211629938712991</v>
      </c>
      <c r="EB7" s="12">
        <f t="shared" si="59"/>
        <v>0.11440295078784178</v>
      </c>
      <c r="EC7" s="12">
        <f t="shared" si="60"/>
        <v>-0.13358877802442076</v>
      </c>
      <c r="ED7" s="12">
        <f t="shared" si="33"/>
        <v>2.6903813706925975E-2</v>
      </c>
      <c r="EE7" s="54">
        <v>6</v>
      </c>
      <c r="EF7" s="54">
        <f>CW7-EE7</f>
        <v>-5</v>
      </c>
      <c r="EG7" s="12">
        <v>-0.36099999999999999</v>
      </c>
      <c r="EH7" s="12">
        <v>0.184</v>
      </c>
      <c r="EI7" s="12">
        <f>(0.75*CV7)+(0.25*EG7)</f>
        <v>0.21433767213794974</v>
      </c>
      <c r="EJ7" s="16">
        <v>0</v>
      </c>
      <c r="EK7" s="16">
        <v>0</v>
      </c>
      <c r="EL7" s="16">
        <v>46774</v>
      </c>
      <c r="EM7" s="12">
        <f t="shared" si="34"/>
        <v>-0.29150941485173493</v>
      </c>
      <c r="EN7" s="12">
        <f t="shared" si="61"/>
        <v>-0.50755828391943458</v>
      </c>
      <c r="EO7" s="16">
        <v>0</v>
      </c>
      <c r="EP7" s="16">
        <v>0</v>
      </c>
      <c r="EQ7" s="16">
        <f t="shared" si="35"/>
        <v>59222.328000000009</v>
      </c>
      <c r="ER7" s="16">
        <v>138231</v>
      </c>
      <c r="ES7" s="16">
        <f t="shared" si="62"/>
        <v>138231</v>
      </c>
      <c r="ET7" s="16">
        <f t="shared" si="36"/>
        <v>0</v>
      </c>
      <c r="EU7" s="16">
        <f t="shared" si="37"/>
        <v>45614.5507669832</v>
      </c>
      <c r="EV7" s="16">
        <f t="shared" si="63"/>
        <v>-59222.328000000009</v>
      </c>
      <c r="EW7" s="16">
        <f t="shared" si="64"/>
        <v>138231</v>
      </c>
      <c r="EX7" s="16">
        <f t="shared" si="65"/>
        <v>-45614.5507669832</v>
      </c>
      <c r="EY7" s="12">
        <f t="shared" si="38"/>
        <v>-3.211626195910243E-2</v>
      </c>
      <c r="EZ7" s="17">
        <f t="shared" si="39"/>
        <v>-0.21005946277357487</v>
      </c>
      <c r="FA7" s="17">
        <f t="shared" si="40"/>
        <v>-0.25482485626882911</v>
      </c>
      <c r="FB7" s="17">
        <f t="shared" si="66"/>
        <v>-6.7881496885274367E-2</v>
      </c>
      <c r="FC7" s="16">
        <v>42329.34</v>
      </c>
      <c r="FD7">
        <f>EJ7-EL7</f>
        <v>-46774</v>
      </c>
      <c r="FE7" s="16">
        <f t="shared" si="67"/>
        <v>-42329.34</v>
      </c>
      <c r="FF7" s="12">
        <v>-0.24099999999999999</v>
      </c>
      <c r="FG7" s="12">
        <f>(FE7-FE$72)/FE$73</f>
        <v>-0.25433462423237974</v>
      </c>
      <c r="FH7" s="12">
        <f t="shared" si="68"/>
        <v>-3.3288172034826591E-2</v>
      </c>
      <c r="FI7" s="12">
        <f t="shared" si="69"/>
        <v>-0.16417705192408241</v>
      </c>
      <c r="FJ7" s="16">
        <v>0</v>
      </c>
      <c r="FK7" s="16">
        <v>0</v>
      </c>
      <c r="FL7" s="16">
        <f t="shared" si="70"/>
        <v>138231</v>
      </c>
      <c r="FM7" s="16">
        <f t="shared" si="41"/>
        <v>111754.73471008737</v>
      </c>
      <c r="FN7" s="16">
        <f t="shared" si="71"/>
        <v>26476.265289912626</v>
      </c>
      <c r="FO7" s="14">
        <f t="shared" si="42"/>
        <v>6.051297858711701E-2</v>
      </c>
      <c r="FP7" s="12">
        <f t="shared" si="43"/>
        <v>-0.15070045747619415</v>
      </c>
      <c r="FQ7" s="12">
        <f t="shared" si="72"/>
        <v>-0.31738147513530168</v>
      </c>
    </row>
    <row r="8" spans="1:173" x14ac:dyDescent="0.35">
      <c r="A8" s="8" t="s">
        <v>149</v>
      </c>
      <c r="B8" s="141" t="s">
        <v>526</v>
      </c>
      <c r="C8" s="144">
        <v>0</v>
      </c>
      <c r="D8" s="144"/>
      <c r="E8" s="144"/>
      <c r="F8" s="144"/>
      <c r="G8" s="144"/>
      <c r="H8" s="144"/>
      <c r="I8" s="144"/>
      <c r="J8" s="144"/>
      <c r="K8" s="144"/>
      <c r="L8" s="144"/>
      <c r="M8" s="150"/>
      <c r="N8" s="149"/>
      <c r="O8" s="144"/>
      <c r="P8" s="149"/>
      <c r="Q8" s="147"/>
      <c r="R8" s="149"/>
      <c r="S8" s="156"/>
      <c r="T8" s="156"/>
      <c r="U8" s="142"/>
      <c r="V8" s="142"/>
      <c r="W8" s="142"/>
      <c r="X8" s="147"/>
      <c r="Y8" s="147"/>
      <c r="Z8" s="147"/>
      <c r="AA8" s="149"/>
      <c r="AB8" s="145">
        <v>8</v>
      </c>
      <c r="AC8" s="149">
        <v>-0.13279385507688707</v>
      </c>
      <c r="AD8" s="149"/>
      <c r="AE8" s="142">
        <v>15</v>
      </c>
      <c r="AF8" s="209"/>
      <c r="AG8" s="209"/>
      <c r="AH8" s="12"/>
      <c r="AI8" s="12"/>
      <c r="AJ8" s="23"/>
      <c r="AK8" s="30"/>
      <c r="AL8" s="23"/>
      <c r="AM8" s="30"/>
      <c r="AN8" s="30"/>
      <c r="AO8" s="30"/>
      <c r="AP8" s="209"/>
      <c r="AQ8" s="142"/>
      <c r="AR8" s="24"/>
      <c r="AS8" s="24"/>
      <c r="AT8" s="24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25"/>
      <c r="BL8" s="16"/>
      <c r="BM8" s="16"/>
      <c r="BN8" s="16"/>
      <c r="BO8" s="16"/>
      <c r="BP8" s="16">
        <v>1</v>
      </c>
      <c r="BQ8" s="16"/>
      <c r="BR8" s="16"/>
      <c r="BS8" s="16">
        <v>2</v>
      </c>
      <c r="BT8" s="16">
        <v>1</v>
      </c>
      <c r="BU8" s="16"/>
      <c r="BV8" s="16"/>
      <c r="BW8" s="16"/>
      <c r="BX8" s="16"/>
      <c r="BY8" s="12"/>
      <c r="BZ8" s="12"/>
      <c r="CC8">
        <v>8</v>
      </c>
      <c r="CD8">
        <f t="shared" si="44"/>
        <v>9</v>
      </c>
      <c r="CE8" s="16">
        <f t="shared" si="9"/>
        <v>0</v>
      </c>
      <c r="CF8" s="54">
        <f t="shared" si="10"/>
        <v>17.404720000000001</v>
      </c>
      <c r="CG8" s="16">
        <f t="shared" si="11"/>
        <v>34.10492</v>
      </c>
      <c r="CH8" s="54">
        <f t="shared" si="12"/>
        <v>26.217677136596055</v>
      </c>
      <c r="CI8" s="54">
        <v>25.088760000000001</v>
      </c>
      <c r="CJ8" s="54">
        <f t="shared" si="45"/>
        <v>-25.217677136596055</v>
      </c>
      <c r="CK8" s="54">
        <f t="shared" si="46"/>
        <v>-24.088760000000001</v>
      </c>
      <c r="CL8" s="54"/>
      <c r="CM8" s="12"/>
      <c r="CN8" s="16">
        <f t="shared" si="48"/>
        <v>9</v>
      </c>
      <c r="CO8" s="54">
        <f t="shared" si="49"/>
        <v>-16.404720000000001</v>
      </c>
      <c r="CP8" s="12">
        <f t="shared" si="13"/>
        <v>-0.7771425327766075</v>
      </c>
      <c r="CQ8" s="12">
        <f t="shared" si="14"/>
        <v>-0.18640294450843545</v>
      </c>
      <c r="CR8" s="16">
        <f t="shared" si="50"/>
        <v>-32.10492</v>
      </c>
      <c r="CS8" s="12">
        <f t="shared" si="15"/>
        <v>-0.17713018473666639</v>
      </c>
      <c r="CT8" s="12">
        <f t="shared" si="16"/>
        <v>-0.16891761620667992</v>
      </c>
      <c r="CU8" s="12">
        <f t="shared" si="17"/>
        <v>-3.8750043043646439E-2</v>
      </c>
      <c r="CV8" s="12"/>
      <c r="CW8" s="54"/>
      <c r="CX8" s="54">
        <f t="shared" si="18"/>
        <v>25.089303999999998</v>
      </c>
      <c r="CY8" s="54">
        <f t="shared" si="51"/>
        <v>-24.089303999999998</v>
      </c>
      <c r="CZ8" s="12">
        <f t="shared" si="19"/>
        <v>-0.20079518885090555</v>
      </c>
      <c r="DA8" s="12">
        <f t="shared" si="20"/>
        <v>-3.0111629999999998</v>
      </c>
      <c r="DB8" s="12">
        <f t="shared" si="21"/>
        <v>-1.0664010744482679</v>
      </c>
      <c r="DC8" s="54">
        <v>0</v>
      </c>
      <c r="DD8" s="54">
        <v>1</v>
      </c>
      <c r="DE8" s="54">
        <f t="shared" si="22"/>
        <v>4.6508104000000001</v>
      </c>
      <c r="DF8" s="54">
        <v>5</v>
      </c>
      <c r="DG8" s="54">
        <v>1.33</v>
      </c>
      <c r="DH8" s="54">
        <f t="shared" si="52"/>
        <v>14.33</v>
      </c>
      <c r="DI8" s="54">
        <f t="shared" si="23"/>
        <v>73.526449563145349</v>
      </c>
      <c r="DJ8" s="16">
        <f t="shared" si="53"/>
        <v>-59.19644956314535</v>
      </c>
      <c r="DK8" s="12">
        <f t="shared" si="24"/>
        <v>-0.30703894138002646</v>
      </c>
      <c r="DL8" s="54">
        <v>0</v>
      </c>
      <c r="DM8" s="54">
        <v>0</v>
      </c>
      <c r="DN8" s="54">
        <v>0</v>
      </c>
      <c r="DO8" s="54">
        <f t="shared" si="54"/>
        <v>0</v>
      </c>
      <c r="DP8" s="54">
        <f t="shared" si="25"/>
        <v>7.9169976171564729</v>
      </c>
      <c r="DQ8" s="16">
        <f t="shared" si="55"/>
        <v>-7.9169976171564729</v>
      </c>
      <c r="DR8" s="12">
        <f t="shared" si="26"/>
        <v>-0.39724790776407809</v>
      </c>
      <c r="DS8" s="54">
        <f t="shared" si="56"/>
        <v>0</v>
      </c>
      <c r="DT8" s="54">
        <f t="shared" si="27"/>
        <v>0</v>
      </c>
      <c r="DU8" s="54">
        <f t="shared" si="28"/>
        <v>3.4828341855368881</v>
      </c>
      <c r="DV8" s="54">
        <f t="shared" si="57"/>
        <v>-3.6508104000000001</v>
      </c>
      <c r="DW8" s="54">
        <f t="shared" si="58"/>
        <v>0</v>
      </c>
      <c r="DX8" s="54">
        <f t="shared" si="29"/>
        <v>-3.4828341855368881</v>
      </c>
      <c r="DY8" s="12">
        <f t="shared" si="30"/>
        <v>-0.20763002892210608</v>
      </c>
      <c r="DZ8" s="12">
        <f t="shared" si="31"/>
        <v>-0.74676365459281735</v>
      </c>
      <c r="EA8" s="12">
        <f t="shared" si="32"/>
        <v>-0.17771399423871939</v>
      </c>
      <c r="EB8" s="12">
        <f t="shared" si="59"/>
        <v>-0.18475514578302632</v>
      </c>
      <c r="EC8" s="12">
        <f t="shared" si="60"/>
        <v>-0.18423070694100643</v>
      </c>
      <c r="ED8" s="12">
        <f t="shared" si="33"/>
        <v>-0.17111671071468978</v>
      </c>
      <c r="EE8" s="54"/>
      <c r="EF8" s="54"/>
      <c r="EG8" s="12"/>
      <c r="EH8" s="12"/>
      <c r="EI8" s="12"/>
      <c r="EJ8" s="16"/>
      <c r="EK8" s="16"/>
      <c r="EL8" s="16"/>
      <c r="EM8" s="12">
        <f t="shared" si="34"/>
        <v>-0.32959118297603934</v>
      </c>
      <c r="EN8" s="12">
        <f t="shared" si="61"/>
        <v>-0.76954781323066002</v>
      </c>
      <c r="EO8" s="16">
        <v>0</v>
      </c>
      <c r="EP8" s="16">
        <v>0</v>
      </c>
      <c r="EQ8" s="16">
        <f t="shared" si="35"/>
        <v>19740.776000000002</v>
      </c>
      <c r="ER8" s="16">
        <v>0</v>
      </c>
      <c r="ES8" s="16">
        <f t="shared" si="62"/>
        <v>0</v>
      </c>
      <c r="ET8" s="16">
        <f t="shared" si="36"/>
        <v>0</v>
      </c>
      <c r="EU8" s="16">
        <f t="shared" si="37"/>
        <v>15204.850255661066</v>
      </c>
      <c r="EV8" s="16">
        <f t="shared" si="63"/>
        <v>-19740.776000000002</v>
      </c>
      <c r="EW8" s="16">
        <f t="shared" si="64"/>
        <v>0</v>
      </c>
      <c r="EX8" s="16">
        <f t="shared" si="65"/>
        <v>-15204.850255661066</v>
      </c>
      <c r="EY8" s="12">
        <f t="shared" si="38"/>
        <v>-0.34982366135262349</v>
      </c>
      <c r="EZ8" s="17">
        <f t="shared" si="39"/>
        <v>-7.0019820924524981E-2</v>
      </c>
      <c r="FA8" s="17">
        <f t="shared" si="40"/>
        <v>-9.6973945394490141E-2</v>
      </c>
      <c r="FB8" s="17">
        <f t="shared" si="66"/>
        <v>-0.13067795479862387</v>
      </c>
      <c r="FC8" s="16"/>
      <c r="FE8" s="16"/>
      <c r="FF8" s="12"/>
      <c r="FG8" s="12"/>
      <c r="FH8" s="12">
        <f t="shared" si="68"/>
        <v>-0.14964266562761186</v>
      </c>
      <c r="FI8" s="12">
        <f t="shared" si="69"/>
        <v>-0.13854635253441386</v>
      </c>
      <c r="FJ8" s="16">
        <v>0</v>
      </c>
      <c r="FK8" s="16">
        <v>0</v>
      </c>
      <c r="FL8" s="16">
        <f t="shared" si="70"/>
        <v>0</v>
      </c>
      <c r="FM8" s="16">
        <f t="shared" si="41"/>
        <v>72883.522637013506</v>
      </c>
      <c r="FN8" s="16">
        <f t="shared" si="71"/>
        <v>-72883.522637013506</v>
      </c>
      <c r="FO8" s="12">
        <f t="shared" si="42"/>
        <v>-0.16657934933019455</v>
      </c>
      <c r="FP8" s="12">
        <f t="shared" si="43"/>
        <v>-0.26438644951770141</v>
      </c>
      <c r="FQ8" s="12">
        <f t="shared" si="72"/>
        <v>-0.60165815247944543</v>
      </c>
    </row>
    <row r="9" spans="1:173" x14ac:dyDescent="0.35">
      <c r="A9" s="8" t="s">
        <v>149</v>
      </c>
      <c r="B9" s="141" t="s">
        <v>55</v>
      </c>
      <c r="C9" s="144">
        <f t="shared" si="0"/>
        <v>6</v>
      </c>
      <c r="D9" s="144">
        <v>0</v>
      </c>
      <c r="E9" s="144">
        <v>0</v>
      </c>
      <c r="F9" s="144">
        <v>0</v>
      </c>
      <c r="G9" s="144">
        <v>0</v>
      </c>
      <c r="H9" s="144">
        <v>6</v>
      </c>
      <c r="I9" s="144">
        <v>0</v>
      </c>
      <c r="J9" s="144">
        <v>0</v>
      </c>
      <c r="K9" s="144"/>
      <c r="L9" s="144">
        <v>14.5</v>
      </c>
      <c r="M9" s="150">
        <f t="shared" si="1"/>
        <v>2.4166666666666665</v>
      </c>
      <c r="N9" s="149">
        <f>M9/M73</f>
        <v>3.788424868768394E-2</v>
      </c>
      <c r="O9" s="144">
        <v>4.5</v>
      </c>
      <c r="P9" s="149">
        <f t="shared" si="2"/>
        <v>0.75</v>
      </c>
      <c r="Q9" s="147">
        <f>P9/P73</f>
        <v>5.0785716569525158E-2</v>
      </c>
      <c r="R9" s="149">
        <f t="shared" si="3"/>
        <v>2</v>
      </c>
      <c r="S9" s="156">
        <f>R9/R73</f>
        <v>3.8808512205273336E-2</v>
      </c>
      <c r="T9" s="156">
        <f t="shared" si="4"/>
        <v>4.1109615658144243E-2</v>
      </c>
      <c r="U9" s="142">
        <v>0</v>
      </c>
      <c r="V9" s="142">
        <f t="shared" si="5"/>
        <v>0</v>
      </c>
      <c r="W9" s="142"/>
      <c r="X9" s="147">
        <f>V9/V73</f>
        <v>0</v>
      </c>
      <c r="Y9" s="155">
        <f t="shared" si="6"/>
        <v>2.4665769394886544E-2</v>
      </c>
      <c r="Z9" s="147">
        <v>-0.36899999999999999</v>
      </c>
      <c r="AA9" s="149">
        <v>2.5000000000000001E-2</v>
      </c>
      <c r="AB9" s="145">
        <v>6</v>
      </c>
      <c r="AC9" s="149">
        <v>2.7573061139211531E-2</v>
      </c>
      <c r="AD9" s="149">
        <f t="shared" si="7"/>
        <v>2.8706007761101729E-2</v>
      </c>
      <c r="AE9" s="142">
        <v>6</v>
      </c>
      <c r="AF9" s="144"/>
      <c r="AG9" s="144"/>
      <c r="AH9" s="12"/>
      <c r="AI9" s="12"/>
      <c r="AJ9" s="23"/>
      <c r="AK9" s="30"/>
      <c r="AL9" s="23"/>
      <c r="AM9" s="30"/>
      <c r="AN9" s="30"/>
      <c r="AO9" s="30"/>
      <c r="AP9" s="209"/>
      <c r="AQ9" s="142"/>
      <c r="AR9" s="24"/>
      <c r="AS9" s="24"/>
      <c r="AT9" s="24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25"/>
      <c r="BL9" s="16">
        <v>43</v>
      </c>
      <c r="BM9" s="16">
        <v>42</v>
      </c>
      <c r="BN9" s="16">
        <f t="shared" si="8"/>
        <v>1</v>
      </c>
      <c r="BO9" s="16">
        <v>14</v>
      </c>
      <c r="BP9" s="16">
        <v>42</v>
      </c>
      <c r="BQ9" s="16">
        <v>13.67854</v>
      </c>
      <c r="BR9" s="16">
        <f t="shared" ref="BR9:BR13" si="73">BL9-BO9</f>
        <v>29</v>
      </c>
      <c r="BS9" s="16">
        <v>70</v>
      </c>
      <c r="BT9" s="16">
        <v>17</v>
      </c>
      <c r="BU9" s="16"/>
      <c r="BV9" s="16"/>
      <c r="BW9" s="16"/>
      <c r="BX9" s="16"/>
      <c r="BY9" s="12"/>
      <c r="BZ9" s="12"/>
      <c r="CC9">
        <v>1</v>
      </c>
      <c r="CD9">
        <f t="shared" si="44"/>
        <v>18</v>
      </c>
      <c r="CE9" s="16">
        <f t="shared" si="9"/>
        <v>0</v>
      </c>
      <c r="CF9" s="54">
        <f t="shared" si="10"/>
        <v>13.053540000000002</v>
      </c>
      <c r="CG9" s="16">
        <f t="shared" si="11"/>
        <v>25.578690000000002</v>
      </c>
      <c r="CH9" s="54">
        <f t="shared" si="12"/>
        <v>19.663257852447042</v>
      </c>
      <c r="CI9" s="54">
        <v>18.816569999999999</v>
      </c>
      <c r="CJ9" s="54">
        <f t="shared" si="45"/>
        <v>22.336742147552958</v>
      </c>
      <c r="CK9" s="54">
        <f t="shared" si="46"/>
        <v>23.183430000000001</v>
      </c>
      <c r="CL9" s="54">
        <f t="shared" si="47"/>
        <v>28.321460000000002</v>
      </c>
      <c r="CM9" s="12">
        <v>0.188</v>
      </c>
      <c r="CN9" s="16">
        <f t="shared" si="48"/>
        <v>18</v>
      </c>
      <c r="CO9" s="54">
        <f t="shared" si="49"/>
        <v>3.9464599999999983</v>
      </c>
      <c r="CP9" s="12">
        <f t="shared" si="13"/>
        <v>-0.73188739542612036</v>
      </c>
      <c r="CQ9" s="12">
        <f t="shared" si="14"/>
        <v>2.6591871357578589E-3</v>
      </c>
      <c r="CR9" s="16">
        <f t="shared" si="50"/>
        <v>44.421309999999998</v>
      </c>
      <c r="CS9" s="12">
        <f t="shared" si="15"/>
        <v>0.22675830741923497</v>
      </c>
      <c r="CT9" s="12">
        <f t="shared" si="16"/>
        <v>0.14962001523575769</v>
      </c>
      <c r="CU9" s="14">
        <f t="shared" si="17"/>
        <v>0.15174129623780402</v>
      </c>
      <c r="CV9" s="12">
        <f t="shared" ref="CV9:CV24" si="74">(CL9-CL$72)/CL$73</f>
        <v>0.2088331904084256</v>
      </c>
      <c r="CW9" s="54">
        <v>1</v>
      </c>
      <c r="CX9" s="54">
        <f t="shared" si="18"/>
        <v>18.816977999999999</v>
      </c>
      <c r="CY9" s="54">
        <f t="shared" si="51"/>
        <v>23.183022000000001</v>
      </c>
      <c r="CZ9" s="12">
        <f t="shared" si="19"/>
        <v>0.11716179551032506</v>
      </c>
      <c r="DA9" s="12">
        <f t="shared" si="20"/>
        <v>3.8638370000000002</v>
      </c>
      <c r="DB9" s="12">
        <f t="shared" si="21"/>
        <v>1.2934477934571806</v>
      </c>
      <c r="DC9" s="54">
        <v>0</v>
      </c>
      <c r="DD9" s="54">
        <v>0</v>
      </c>
      <c r="DE9" s="54">
        <f t="shared" si="22"/>
        <v>3.4881077999999999</v>
      </c>
      <c r="DF9" s="54">
        <v>0</v>
      </c>
      <c r="DG9" s="54">
        <v>20.100000000000001</v>
      </c>
      <c r="DH9" s="54">
        <f t="shared" si="52"/>
        <v>21.1</v>
      </c>
      <c r="DI9" s="54">
        <f t="shared" si="23"/>
        <v>29.410579825258139</v>
      </c>
      <c r="DJ9" s="16">
        <f t="shared" si="53"/>
        <v>-8.310579825258138</v>
      </c>
      <c r="DK9" s="12">
        <f t="shared" si="24"/>
        <v>-4.3105146518619762E-2</v>
      </c>
      <c r="DL9" s="54">
        <v>0</v>
      </c>
      <c r="DM9" s="54">
        <v>1</v>
      </c>
      <c r="DN9" s="54">
        <v>3.2</v>
      </c>
      <c r="DO9" s="54">
        <f t="shared" si="54"/>
        <v>4.2</v>
      </c>
      <c r="DP9" s="54">
        <f t="shared" si="25"/>
        <v>3.1667990468625895</v>
      </c>
      <c r="DQ9" s="16">
        <f t="shared" si="55"/>
        <v>1.0332009531374107</v>
      </c>
      <c r="DR9" s="12">
        <f t="shared" si="26"/>
        <v>5.1842495953801124E-2</v>
      </c>
      <c r="DS9" s="54">
        <f t="shared" si="56"/>
        <v>0</v>
      </c>
      <c r="DT9" s="54">
        <f t="shared" si="27"/>
        <v>0</v>
      </c>
      <c r="DU9" s="54">
        <f t="shared" si="28"/>
        <v>2.6121256391526662</v>
      </c>
      <c r="DV9" s="54">
        <f t="shared" si="57"/>
        <v>-3.4881077999999999</v>
      </c>
      <c r="DW9" s="54">
        <f t="shared" si="58"/>
        <v>0</v>
      </c>
      <c r="DX9" s="54">
        <f t="shared" si="29"/>
        <v>-2.6121256391526662</v>
      </c>
      <c r="DY9" s="12">
        <f t="shared" si="30"/>
        <v>-0.20259875691378879</v>
      </c>
      <c r="DZ9" s="12">
        <f t="shared" si="31"/>
        <v>-0.74676365459281735</v>
      </c>
      <c r="EA9" s="12">
        <f t="shared" si="32"/>
        <v>-0.13328549567903955</v>
      </c>
      <c r="EB9" s="12">
        <f t="shared" si="59"/>
        <v>0.11941904133597903</v>
      </c>
      <c r="EC9" s="12">
        <f t="shared" si="60"/>
        <v>-3.1326983567941495E-2</v>
      </c>
      <c r="ED9" s="12">
        <f t="shared" si="33"/>
        <v>7.8893637507058384E-2</v>
      </c>
      <c r="EE9" s="54">
        <v>2</v>
      </c>
      <c r="EF9" s="54">
        <f t="shared" ref="EF9:EF24" si="75">CW9-EE9</f>
        <v>-1</v>
      </c>
      <c r="EG9" s="12">
        <v>-0.20200000000000001</v>
      </c>
      <c r="EH9" s="12">
        <v>0.09</v>
      </c>
      <c r="EI9" s="12">
        <f t="shared" ref="EI9:EI24" si="76">(0.75*CV9)+(0.25*EG9)</f>
        <v>0.10612489280631919</v>
      </c>
      <c r="EJ9" s="16">
        <v>0</v>
      </c>
      <c r="EK9" s="16">
        <v>0</v>
      </c>
      <c r="EL9" s="16">
        <v>15854</v>
      </c>
      <c r="EM9" s="12">
        <f t="shared" si="34"/>
        <v>-1.9368235900514539E-2</v>
      </c>
      <c r="EN9" s="12">
        <f t="shared" si="61"/>
        <v>-0.73560646021779463</v>
      </c>
      <c r="EO9" s="16">
        <v>0</v>
      </c>
      <c r="EP9" s="16">
        <v>0</v>
      </c>
      <c r="EQ9" s="16">
        <f t="shared" si="35"/>
        <v>14805.582000000002</v>
      </c>
      <c r="ER9" s="16">
        <v>0</v>
      </c>
      <c r="ES9" s="16">
        <f t="shared" si="62"/>
        <v>0</v>
      </c>
      <c r="ET9" s="16">
        <f t="shared" si="36"/>
        <v>0</v>
      </c>
      <c r="EU9" s="16">
        <f t="shared" si="37"/>
        <v>11403.6376917458</v>
      </c>
      <c r="EV9" s="16">
        <f t="shared" si="63"/>
        <v>-14805.582000000002</v>
      </c>
      <c r="EW9" s="16">
        <f t="shared" si="64"/>
        <v>0</v>
      </c>
      <c r="EX9" s="16">
        <f t="shared" si="65"/>
        <v>-11403.6376917458</v>
      </c>
      <c r="EY9" s="12">
        <f t="shared" si="38"/>
        <v>-0.34982366135262349</v>
      </c>
      <c r="EZ9" s="17">
        <f t="shared" si="39"/>
        <v>-5.251486569339376E-2</v>
      </c>
      <c r="FA9" s="17">
        <f t="shared" si="40"/>
        <v>-7.7242581535197766E-2</v>
      </c>
      <c r="FB9" s="17">
        <f t="shared" si="66"/>
        <v>2.633023622687752E-2</v>
      </c>
      <c r="FC9" s="16">
        <v>13911.43</v>
      </c>
      <c r="FD9">
        <f t="shared" ref="FD9:FD13" si="77">EJ9-EL9</f>
        <v>-15854</v>
      </c>
      <c r="FE9" s="16">
        <f t="shared" si="67"/>
        <v>-13911.43</v>
      </c>
      <c r="FF9" s="12">
        <v>-7.3999999999999996E-2</v>
      </c>
      <c r="FG9" s="12">
        <f t="shared" ref="FG9:FG24" si="78">(FE9-FE$72)/FE$73</f>
        <v>-8.7422319806724449E-2</v>
      </c>
      <c r="FH9" s="12">
        <f t="shared" si="68"/>
        <v>4.0754392187508301E-2</v>
      </c>
      <c r="FI9" s="12">
        <f t="shared" si="69"/>
        <v>-3.98021364181224E-2</v>
      </c>
      <c r="FJ9" s="16">
        <v>0</v>
      </c>
      <c r="FK9" s="16">
        <v>0</v>
      </c>
      <c r="FL9" s="16">
        <f t="shared" si="70"/>
        <v>0</v>
      </c>
      <c r="FM9" s="16">
        <f t="shared" si="41"/>
        <v>29153.409054805401</v>
      </c>
      <c r="FN9" s="16">
        <f t="shared" si="71"/>
        <v>-29153.409054805401</v>
      </c>
      <c r="FO9" s="12">
        <f t="shared" si="42"/>
        <v>-6.6631739732077838E-2</v>
      </c>
      <c r="FP9" s="12">
        <f t="shared" si="43"/>
        <v>-3.8273637433139857E-2</v>
      </c>
      <c r="FQ9" s="12">
        <f t="shared" si="72"/>
        <v>-0.58129334067172622</v>
      </c>
    </row>
    <row r="10" spans="1:173" x14ac:dyDescent="0.35">
      <c r="A10" s="7" t="s">
        <v>149</v>
      </c>
      <c r="B10" s="7" t="s">
        <v>72</v>
      </c>
      <c r="C10" s="144">
        <f t="shared" si="0"/>
        <v>18</v>
      </c>
      <c r="D10" s="144">
        <v>0</v>
      </c>
      <c r="E10" s="144">
        <v>0</v>
      </c>
      <c r="F10" s="144">
        <v>0</v>
      </c>
      <c r="G10" s="144">
        <v>0</v>
      </c>
      <c r="H10" s="144">
        <v>18</v>
      </c>
      <c r="I10" s="144">
        <v>0</v>
      </c>
      <c r="J10" s="144">
        <v>0</v>
      </c>
      <c r="K10" s="144"/>
      <c r="L10" s="144">
        <v>98</v>
      </c>
      <c r="M10" s="150">
        <f t="shared" si="1"/>
        <v>5.4444444444444446</v>
      </c>
      <c r="N10" s="149">
        <f>M10/M73</f>
        <v>8.5348422330874169E-2</v>
      </c>
      <c r="O10" s="144">
        <v>6</v>
      </c>
      <c r="P10" s="149">
        <f t="shared" si="2"/>
        <v>0.33333333333333331</v>
      </c>
      <c r="Q10" s="147">
        <f>P10/P73</f>
        <v>2.2571429586455624E-2</v>
      </c>
      <c r="R10" s="149">
        <f t="shared" si="3"/>
        <v>4.166666666666667</v>
      </c>
      <c r="S10" s="156">
        <f>R10/R73</f>
        <v>8.0851067094319454E-2</v>
      </c>
      <c r="T10" s="156">
        <f t="shared" si="4"/>
        <v>6.9654174144769543E-2</v>
      </c>
      <c r="U10" s="142">
        <v>79552</v>
      </c>
      <c r="V10" s="154">
        <f t="shared" si="5"/>
        <v>4419.5555555555557</v>
      </c>
      <c r="W10" s="154"/>
      <c r="X10" s="147">
        <f>V10/V73</f>
        <v>5.675329879977626E-2</v>
      </c>
      <c r="Y10" s="155">
        <f t="shared" si="6"/>
        <v>6.4493824006772227E-2</v>
      </c>
      <c r="Z10" s="155">
        <v>0.70199999999999996</v>
      </c>
      <c r="AA10" s="150">
        <v>0.746</v>
      </c>
      <c r="AB10" s="145">
        <v>59</v>
      </c>
      <c r="AC10" s="150">
        <v>0.23455525422604628</v>
      </c>
      <c r="AD10" s="150">
        <f t="shared" si="7"/>
        <v>0.76729753038866455</v>
      </c>
      <c r="AE10" s="142">
        <v>59</v>
      </c>
      <c r="AF10" s="209">
        <v>57625.936423126652</v>
      </c>
      <c r="AG10" s="209">
        <f>AT10*BK$32</f>
        <v>76046.37230871903</v>
      </c>
      <c r="AH10" s="12">
        <f>C10*BA10</f>
        <v>0.95620593890194416</v>
      </c>
      <c r="AI10" s="35" t="e">
        <f>AU10*BK$9</f>
        <v>#DIV/0!</v>
      </c>
      <c r="AJ10" s="34" t="e">
        <f>AV10*BK$16</f>
        <v>#DIV/0!</v>
      </c>
      <c r="AK10" s="34" t="e">
        <f>SUM(AL10:AM10)</f>
        <v>#DIV/0!</v>
      </c>
      <c r="AL10" s="34" t="e">
        <f>AW10*BK$24</f>
        <v>#DIV/0!</v>
      </c>
      <c r="AM10" s="30"/>
      <c r="AN10" s="30">
        <v>0</v>
      </c>
      <c r="AO10" s="30">
        <f>AVERAGE(AF10,AR10,AN10)</f>
        <v>42351.622831027773</v>
      </c>
      <c r="AP10" s="209">
        <f>AVERAGE(AF10:AG10)</f>
        <v>66836.154365922848</v>
      </c>
      <c r="AQ10" s="154">
        <f>AO10-(AO$72*BE10)</f>
        <v>42351.622831027773</v>
      </c>
      <c r="AR10" s="130">
        <f>AP10+(AP$72*BF10)</f>
        <v>69428.93206995666</v>
      </c>
      <c r="AS10" s="24"/>
      <c r="AT10" s="24">
        <f>AB10*BF10</f>
        <v>1.3479164106499217</v>
      </c>
      <c r="AU10" s="16" t="e">
        <f>AB10*BG10</f>
        <v>#DIV/0!</v>
      </c>
      <c r="AV10" s="16" t="e">
        <f t="shared" ref="AV10:AV11" si="79">AB10*BB10</f>
        <v>#DIV/0!</v>
      </c>
      <c r="AW10" s="16" t="e">
        <f t="shared" ref="AW10:AW11" si="80">AB10*BC10</f>
        <v>#DIV/0!</v>
      </c>
      <c r="AX10" s="16"/>
      <c r="AY10" s="16"/>
      <c r="AZ10" s="16"/>
      <c r="BA10" s="16">
        <f>AA10/BH$2</f>
        <v>5.3122552161219118E-2</v>
      </c>
      <c r="BB10" s="16" t="e">
        <f>FH10/BK$14</f>
        <v>#DIV/0!</v>
      </c>
      <c r="BC10" s="16" t="e">
        <f>EB10/BK$19</f>
        <v>#DIV/0!</v>
      </c>
      <c r="BD10" s="16"/>
      <c r="BE10" s="16"/>
      <c r="BF10" s="16">
        <f>FI10/BK$29</f>
        <v>2.2846040858473249E-2</v>
      </c>
      <c r="BG10" s="142" t="e">
        <f>AC10/BK$5</f>
        <v>#DIV/0!</v>
      </c>
      <c r="BH10" s="16"/>
      <c r="BI10" s="16">
        <v>4410034.2724348782</v>
      </c>
      <c r="BJ10" s="16"/>
      <c r="BK10" s="16"/>
      <c r="BL10" s="16">
        <v>209</v>
      </c>
      <c r="BM10" s="16">
        <v>209</v>
      </c>
      <c r="BN10" s="16">
        <f t="shared" si="8"/>
        <v>0</v>
      </c>
      <c r="BO10" s="16">
        <v>41</v>
      </c>
      <c r="BP10" s="16">
        <v>365</v>
      </c>
      <c r="BQ10" s="16">
        <v>41.035629999999998</v>
      </c>
      <c r="BR10" s="16">
        <f t="shared" si="73"/>
        <v>168</v>
      </c>
      <c r="BS10" s="16">
        <v>477</v>
      </c>
      <c r="BT10" s="16">
        <v>267</v>
      </c>
      <c r="BU10" s="211">
        <v>37260.184966994806</v>
      </c>
      <c r="BV10" s="285">
        <v>0</v>
      </c>
      <c r="BW10" s="16">
        <f>AVERAGE(AQ10,BU10,BV10)</f>
        <v>26537.269266007526</v>
      </c>
      <c r="BX10" s="285">
        <f>BW10-(BZ10*BW$72)</f>
        <v>26537.269266007526</v>
      </c>
      <c r="BY10" s="12"/>
      <c r="BZ10" s="12"/>
      <c r="CC10">
        <v>115</v>
      </c>
      <c r="CD10">
        <f t="shared" si="44"/>
        <v>382</v>
      </c>
      <c r="CE10" s="16">
        <f t="shared" si="9"/>
        <v>0</v>
      </c>
      <c r="CF10" s="54">
        <f t="shared" si="10"/>
        <v>128.35981000000001</v>
      </c>
      <c r="CG10" s="16">
        <f t="shared" si="11"/>
        <v>251.523785</v>
      </c>
      <c r="CH10" s="54">
        <f t="shared" si="12"/>
        <v>193.35536888239591</v>
      </c>
      <c r="CI10" s="54">
        <v>185.02958000000001</v>
      </c>
      <c r="CJ10" s="54">
        <f t="shared" si="45"/>
        <v>171.64463111760409</v>
      </c>
      <c r="CK10" s="54">
        <f t="shared" si="46"/>
        <v>179.97041999999999</v>
      </c>
      <c r="CL10" s="54">
        <f t="shared" si="47"/>
        <v>167.96437</v>
      </c>
      <c r="CM10" s="12">
        <v>1.43</v>
      </c>
      <c r="CN10" s="16">
        <f t="shared" si="48"/>
        <v>382</v>
      </c>
      <c r="CO10" s="54">
        <f t="shared" si="49"/>
        <v>138.64018999999999</v>
      </c>
      <c r="CP10" s="14">
        <f t="shared" si="13"/>
        <v>1.0984314929713594</v>
      </c>
      <c r="CQ10" s="14">
        <f t="shared" si="14"/>
        <v>1.2539617510611631</v>
      </c>
      <c r="CR10" s="16">
        <f t="shared" si="50"/>
        <v>225.476215</v>
      </c>
      <c r="CS10" s="14">
        <f t="shared" si="15"/>
        <v>1.1823259941833675</v>
      </c>
      <c r="CT10" s="14">
        <f t="shared" si="16"/>
        <v>1.1497411821878154</v>
      </c>
      <c r="CU10" s="14">
        <f t="shared" si="17"/>
        <v>1.0909854223195474</v>
      </c>
      <c r="CV10" s="12">
        <f t="shared" si="74"/>
        <v>1.4563435724182459</v>
      </c>
      <c r="CW10" s="54">
        <v>13</v>
      </c>
      <c r="CX10" s="54">
        <f t="shared" si="18"/>
        <v>185.03361699999999</v>
      </c>
      <c r="CY10" s="54">
        <f t="shared" si="51"/>
        <v>179.96638300000001</v>
      </c>
      <c r="CZ10" s="14">
        <f t="shared" si="19"/>
        <v>1.1716976916618742</v>
      </c>
      <c r="DA10" s="12">
        <f t="shared" si="20"/>
        <v>3.0502776779661018</v>
      </c>
      <c r="DB10" s="14">
        <f t="shared" si="21"/>
        <v>1.0141929505370906</v>
      </c>
      <c r="DC10" s="54">
        <v>8</v>
      </c>
      <c r="DD10" s="54">
        <v>16</v>
      </c>
      <c r="DE10" s="54">
        <f t="shared" si="22"/>
        <v>34.299726700000001</v>
      </c>
      <c r="DF10" s="54">
        <v>111</v>
      </c>
      <c r="DG10" s="54">
        <v>70.819999999999993</v>
      </c>
      <c r="DH10" s="54">
        <f t="shared" si="52"/>
        <v>296.82</v>
      </c>
      <c r="DI10" s="54">
        <f t="shared" si="23"/>
        <v>289.20403494837171</v>
      </c>
      <c r="DJ10" s="16">
        <f t="shared" si="53"/>
        <v>7.6159650516282795</v>
      </c>
      <c r="DK10" s="12">
        <f t="shared" si="24"/>
        <v>3.9502332729344433E-2</v>
      </c>
      <c r="DL10" s="54">
        <v>1</v>
      </c>
      <c r="DM10" s="54">
        <v>0</v>
      </c>
      <c r="DN10" s="54">
        <v>7</v>
      </c>
      <c r="DO10" s="54">
        <f t="shared" si="54"/>
        <v>8</v>
      </c>
      <c r="DP10" s="54">
        <f t="shared" si="25"/>
        <v>31.140190627482127</v>
      </c>
      <c r="DQ10" s="16">
        <f t="shared" si="55"/>
        <v>-23.140190627482127</v>
      </c>
      <c r="DR10" s="12">
        <f t="shared" si="26"/>
        <v>-1.1610957532826454</v>
      </c>
      <c r="DS10" s="54">
        <f t="shared" si="56"/>
        <v>9</v>
      </c>
      <c r="DT10" s="54">
        <f t="shared" si="27"/>
        <v>0</v>
      </c>
      <c r="DU10" s="54">
        <f t="shared" si="28"/>
        <v>25.68590211833455</v>
      </c>
      <c r="DV10" s="54">
        <f t="shared" si="57"/>
        <v>-18.299726700000001</v>
      </c>
      <c r="DW10" s="54">
        <f t="shared" si="58"/>
        <v>9</v>
      </c>
      <c r="DX10" s="54">
        <f t="shared" si="29"/>
        <v>-17.68590211833455</v>
      </c>
      <c r="DY10" s="12">
        <f t="shared" si="30"/>
        <v>-0.66062022411488641</v>
      </c>
      <c r="DZ10" s="12">
        <f t="shared" si="31"/>
        <v>-0.44332801866325605</v>
      </c>
      <c r="EA10" s="12">
        <f t="shared" si="32"/>
        <v>-0.90243524087832927</v>
      </c>
      <c r="EB10" s="14">
        <f t="shared" si="59"/>
        <v>0.72158943960880406</v>
      </c>
      <c r="EC10" s="14">
        <f t="shared" si="60"/>
        <v>0.71486250307629007</v>
      </c>
      <c r="ED10" s="14">
        <f t="shared" si="33"/>
        <v>0.63669707642127915</v>
      </c>
      <c r="EE10" s="54">
        <v>6</v>
      </c>
      <c r="EF10" s="54">
        <f t="shared" si="75"/>
        <v>7</v>
      </c>
      <c r="EG10" s="12">
        <v>0.11700000000000001</v>
      </c>
      <c r="EH10" s="12">
        <v>1.101</v>
      </c>
      <c r="EI10" s="12">
        <f t="shared" si="76"/>
        <v>1.1215076793136844</v>
      </c>
      <c r="EJ10" s="16">
        <v>79552</v>
      </c>
      <c r="EK10" s="16">
        <v>79552</v>
      </c>
      <c r="EL10" s="16">
        <v>42549</v>
      </c>
      <c r="EM10" s="12">
        <f t="shared" si="34"/>
        <v>-0.260647188773653</v>
      </c>
      <c r="EN10" s="14">
        <f t="shared" si="61"/>
        <v>0.71299161506270559</v>
      </c>
      <c r="EO10" s="16">
        <v>25942</v>
      </c>
      <c r="EP10" s="16">
        <v>105494</v>
      </c>
      <c r="EQ10" s="16">
        <f t="shared" si="35"/>
        <v>145588.223</v>
      </c>
      <c r="ER10" s="16">
        <v>0</v>
      </c>
      <c r="ES10" s="16">
        <f t="shared" si="62"/>
        <v>25942</v>
      </c>
      <c r="ET10" s="16">
        <f t="shared" si="36"/>
        <v>0</v>
      </c>
      <c r="EU10" s="16">
        <f t="shared" si="37"/>
        <v>112135.77063550036</v>
      </c>
      <c r="EV10" s="16">
        <f t="shared" si="63"/>
        <v>-40094.222999999998</v>
      </c>
      <c r="EW10" s="16">
        <f t="shared" si="64"/>
        <v>25942</v>
      </c>
      <c r="EX10" s="16">
        <f t="shared" si="65"/>
        <v>-86193.770635500361</v>
      </c>
      <c r="EY10" s="12">
        <f t="shared" si="38"/>
        <v>-0.29019908108432824</v>
      </c>
      <c r="EZ10" s="17">
        <f t="shared" si="39"/>
        <v>-0.39693073481340341</v>
      </c>
      <c r="FA10" s="17">
        <f t="shared" si="40"/>
        <v>-0.17834891637796568</v>
      </c>
      <c r="FB10" s="109">
        <f t="shared" si="66"/>
        <v>0.22324595192740612</v>
      </c>
      <c r="FC10" s="16">
        <v>38401.68</v>
      </c>
      <c r="FD10">
        <f t="shared" si="77"/>
        <v>37003</v>
      </c>
      <c r="FE10" s="16">
        <f t="shared" si="67"/>
        <v>41150.32</v>
      </c>
      <c r="FF10" s="12">
        <v>0.21299999999999999</v>
      </c>
      <c r="FG10" s="12">
        <f t="shared" si="78"/>
        <v>0.23598230700113462</v>
      </c>
      <c r="FH10" s="14">
        <f t="shared" si="68"/>
        <v>0.36161409721409615</v>
      </c>
      <c r="FI10" s="14">
        <f t="shared" si="69"/>
        <v>0.27014520792041263</v>
      </c>
      <c r="FJ10" s="16">
        <v>79455</v>
      </c>
      <c r="FK10" s="16">
        <v>0</v>
      </c>
      <c r="FL10" s="16">
        <f t="shared" si="70"/>
        <v>79455</v>
      </c>
      <c r="FM10" s="16">
        <f t="shared" si="41"/>
        <v>286675.18903891975</v>
      </c>
      <c r="FN10" s="16">
        <f t="shared" si="71"/>
        <v>-207220.18903891975</v>
      </c>
      <c r="FO10" s="12">
        <f t="shared" si="42"/>
        <v>-0.47361328060525265</v>
      </c>
      <c r="FP10" s="12">
        <f t="shared" si="43"/>
        <v>-0.34583362550629287</v>
      </c>
      <c r="FQ10" s="12">
        <f t="shared" si="72"/>
        <v>0.311715336603892</v>
      </c>
    </row>
    <row r="11" spans="1:173" x14ac:dyDescent="0.35">
      <c r="A11" s="7" t="s">
        <v>149</v>
      </c>
      <c r="B11" s="7" t="s">
        <v>74</v>
      </c>
      <c r="C11" s="144">
        <f t="shared" si="0"/>
        <v>42</v>
      </c>
      <c r="D11" s="144">
        <v>0</v>
      </c>
      <c r="E11" s="144">
        <v>36</v>
      </c>
      <c r="F11" s="144">
        <v>0</v>
      </c>
      <c r="G11" s="144">
        <v>6</v>
      </c>
      <c r="H11" s="144">
        <v>0</v>
      </c>
      <c r="I11" s="144">
        <v>0</v>
      </c>
      <c r="J11" s="144">
        <v>0</v>
      </c>
      <c r="K11" s="144"/>
      <c r="L11" s="144">
        <v>90</v>
      </c>
      <c r="M11" s="150">
        <f t="shared" si="1"/>
        <v>2.1428571428571428</v>
      </c>
      <c r="N11" s="149">
        <f>M11/M73</f>
        <v>3.3591944649177884E-2</v>
      </c>
      <c r="O11" s="144">
        <v>13.5</v>
      </c>
      <c r="P11" s="149">
        <f t="shared" si="2"/>
        <v>0.32142857142857145</v>
      </c>
      <c r="Q11" s="147">
        <f>P11/P73</f>
        <v>2.1765307101225071E-2</v>
      </c>
      <c r="R11" s="149">
        <f t="shared" si="3"/>
        <v>1.6875</v>
      </c>
      <c r="S11" s="156">
        <f>R11/R73</f>
        <v>3.2744682173199376E-2</v>
      </c>
      <c r="T11" s="156">
        <f t="shared" si="4"/>
        <v>3.0635285262189678E-2</v>
      </c>
      <c r="U11" s="142">
        <v>253546</v>
      </c>
      <c r="V11" s="154">
        <f t="shared" si="5"/>
        <v>6036.8095238095239</v>
      </c>
      <c r="W11" s="154"/>
      <c r="X11" s="147">
        <f>V11/V73</f>
        <v>7.7521110526922579E-2</v>
      </c>
      <c r="Y11" s="155">
        <f t="shared" si="6"/>
        <v>4.938961536808284E-2</v>
      </c>
      <c r="Z11" s="155">
        <v>1.407</v>
      </c>
      <c r="AA11" s="150">
        <v>0.75900000000000001</v>
      </c>
      <c r="AB11" s="145">
        <v>48</v>
      </c>
      <c r="AC11" s="150">
        <v>0.59580927200390454</v>
      </c>
      <c r="AD11" s="150">
        <f t="shared" si="7"/>
        <v>0.80280097883055834</v>
      </c>
      <c r="AE11" s="142">
        <v>52</v>
      </c>
      <c r="AF11" s="209">
        <v>141600.92111442008</v>
      </c>
      <c r="AG11" s="209">
        <f>AT11*BK$32</f>
        <v>155536.18906658181</v>
      </c>
      <c r="AH11" s="12">
        <f>C11*BA11</f>
        <v>2.2700277718436235</v>
      </c>
      <c r="AI11" s="35" t="e">
        <f>AU11*BK$9</f>
        <v>#DIV/0!</v>
      </c>
      <c r="AJ11" s="34" t="e">
        <f>AV11*BK$16</f>
        <v>#DIV/0!</v>
      </c>
      <c r="AK11" s="34" t="e">
        <f>SUM(AL11:AM11)</f>
        <v>#DIV/0!</v>
      </c>
      <c r="AL11" s="34" t="e">
        <f>AW11*BK$24</f>
        <v>#DIV/0!</v>
      </c>
      <c r="AM11" s="34" t="e">
        <f>AX11*BK$26</f>
        <v>#DIV/0!</v>
      </c>
      <c r="AN11" s="30">
        <f>AS11*BK$35</f>
        <v>185015.08906255101</v>
      </c>
      <c r="AO11" s="30">
        <f>AVERAGE(AF11,AR11,AN11)</f>
        <v>160567.59506651622</v>
      </c>
      <c r="AP11" s="209">
        <f>AVERAGE(AF11:AG11)</f>
        <v>148568.55509050094</v>
      </c>
      <c r="AQ11" s="154">
        <f>AO11-(AO$72*BE11)</f>
        <v>181397.66566878671</v>
      </c>
      <c r="AR11" s="130">
        <f>AP11+(AP$72*BF11)</f>
        <v>155086.77502257758</v>
      </c>
      <c r="AS11" s="24">
        <f>AB11*BE11</f>
        <v>3.7822996486624687</v>
      </c>
      <c r="AT11" s="24">
        <f>AB11*BF11</f>
        <v>2.7568676233719218</v>
      </c>
      <c r="AU11" s="16" t="e">
        <f>AB11*BG11</f>
        <v>#DIV/0!</v>
      </c>
      <c r="AV11" s="16" t="e">
        <f t="shared" si="79"/>
        <v>#DIV/0!</v>
      </c>
      <c r="AW11" s="16" t="e">
        <f t="shared" si="80"/>
        <v>#DIV/0!</v>
      </c>
      <c r="AX11" s="16" t="e">
        <f>AB11*BD11</f>
        <v>#DIV/0!</v>
      </c>
      <c r="AY11" s="16"/>
      <c r="AZ11" s="16"/>
      <c r="BA11" s="16">
        <f>AA11/BH$2</f>
        <v>5.4048280281991032E-2</v>
      </c>
      <c r="BB11" s="16" t="e">
        <f>FH11/BK$14</f>
        <v>#DIV/0!</v>
      </c>
      <c r="BC11" s="16" t="e">
        <f>EB11/BK$19</f>
        <v>#DIV/0!</v>
      </c>
      <c r="BD11" s="16" t="e">
        <f>FA11/BK$21</f>
        <v>#DIV/0!</v>
      </c>
      <c r="BE11" s="142">
        <f>FQ11/BK$26</f>
        <v>7.8797909347134765E-2</v>
      </c>
      <c r="BF11" s="16">
        <f>FI11/BK$29</f>
        <v>5.7434742153581707E-2</v>
      </c>
      <c r="BG11" s="142" t="e">
        <f>AC11/BK$5</f>
        <v>#DIV/0!</v>
      </c>
      <c r="BH11" s="16"/>
      <c r="BI11" s="16"/>
      <c r="BJ11" s="16"/>
      <c r="BK11" s="16"/>
      <c r="BL11" s="16">
        <v>197</v>
      </c>
      <c r="BM11" s="16">
        <v>197</v>
      </c>
      <c r="BN11" s="16">
        <f t="shared" si="8"/>
        <v>0</v>
      </c>
      <c r="BO11" s="16">
        <v>95</v>
      </c>
      <c r="BP11" s="16">
        <v>333</v>
      </c>
      <c r="BQ11" s="16">
        <v>95.749790000000004</v>
      </c>
      <c r="BR11" s="16">
        <f t="shared" si="73"/>
        <v>102</v>
      </c>
      <c r="BS11" s="16">
        <v>424</v>
      </c>
      <c r="BT11" s="16">
        <v>259</v>
      </c>
      <c r="BU11" s="211">
        <v>224096.88593042735</v>
      </c>
      <c r="BV11" s="285">
        <f>BY11*CB$4</f>
        <v>427448.26803086232</v>
      </c>
      <c r="BW11" s="16">
        <f>AVERAGE(AQ11,BU11,BV11)</f>
        <v>277647.60654335882</v>
      </c>
      <c r="BX11" s="285">
        <f>BW11-(BZ11*BW$72)</f>
        <v>282965.94132661761</v>
      </c>
      <c r="BY11" s="12">
        <f>AE11*BZ11</f>
        <v>6.7642878280466139</v>
      </c>
      <c r="BZ11" s="12">
        <f>FP11/CB3</f>
        <v>0.13008245823166564</v>
      </c>
      <c r="CC11">
        <v>317</v>
      </c>
      <c r="CD11">
        <f t="shared" si="44"/>
        <v>576</v>
      </c>
      <c r="CE11" s="16">
        <f t="shared" si="9"/>
        <v>0</v>
      </c>
      <c r="CF11" s="54">
        <f t="shared" si="10"/>
        <v>104.42832000000001</v>
      </c>
      <c r="CG11" s="16">
        <f t="shared" si="11"/>
        <v>204.62952000000001</v>
      </c>
      <c r="CH11" s="54">
        <f t="shared" si="12"/>
        <v>157.30606281957634</v>
      </c>
      <c r="CI11" s="54">
        <v>150.53254000000001</v>
      </c>
      <c r="CJ11" s="54">
        <f t="shared" si="45"/>
        <v>175.69393718042366</v>
      </c>
      <c r="CK11" s="54">
        <f t="shared" si="46"/>
        <v>182.46745999999999</v>
      </c>
      <c r="CL11" s="54">
        <f t="shared" si="47"/>
        <v>101.25021</v>
      </c>
      <c r="CM11" s="12">
        <v>0.84</v>
      </c>
      <c r="CN11" s="16">
        <f t="shared" si="48"/>
        <v>576</v>
      </c>
      <c r="CO11" s="54">
        <f t="shared" si="49"/>
        <v>154.57167999999999</v>
      </c>
      <c r="CP11" s="14">
        <f t="shared" si="13"/>
        <v>2.0739311203040822</v>
      </c>
      <c r="CQ11" s="14">
        <f t="shared" si="14"/>
        <v>1.4019650343925547</v>
      </c>
      <c r="CR11" s="16">
        <f t="shared" si="50"/>
        <v>219.37047999999999</v>
      </c>
      <c r="CS11" s="14">
        <f t="shared" si="15"/>
        <v>1.1501012772117682</v>
      </c>
      <c r="CT11" s="14">
        <f t="shared" si="16"/>
        <v>1.1768649780758242</v>
      </c>
      <c r="CU11" s="14">
        <f t="shared" si="17"/>
        <v>0.64226315703248338</v>
      </c>
      <c r="CV11" s="12">
        <f t="shared" si="74"/>
        <v>0.86034763372673417</v>
      </c>
      <c r="CW11" s="54">
        <v>28</v>
      </c>
      <c r="CX11" s="54">
        <f t="shared" si="18"/>
        <v>150.53582399999999</v>
      </c>
      <c r="CY11" s="54">
        <f t="shared" si="51"/>
        <v>182.46417600000001</v>
      </c>
      <c r="CZ11" s="14">
        <f t="shared" si="19"/>
        <v>1.1884980227866551</v>
      </c>
      <c r="DA11" s="12">
        <f t="shared" si="20"/>
        <v>3.8013370000000002</v>
      </c>
      <c r="DB11" s="14">
        <f t="shared" si="21"/>
        <v>1.2719946219307676</v>
      </c>
      <c r="DC11" s="54">
        <v>26</v>
      </c>
      <c r="DD11" s="54">
        <v>52</v>
      </c>
      <c r="DE11" s="54">
        <f t="shared" si="22"/>
        <v>27.904862399999999</v>
      </c>
      <c r="DF11" s="54">
        <v>245</v>
      </c>
      <c r="DG11" s="54">
        <v>373</v>
      </c>
      <c r="DH11" s="54">
        <f t="shared" si="52"/>
        <v>935</v>
      </c>
      <c r="DI11" s="54">
        <f t="shared" si="23"/>
        <v>254.89169181890389</v>
      </c>
      <c r="DJ11" s="16">
        <f t="shared" si="53"/>
        <v>680.10830818109616</v>
      </c>
      <c r="DK11" s="14">
        <f t="shared" si="24"/>
        <v>3.5275719491408815</v>
      </c>
      <c r="DL11" s="54">
        <v>5</v>
      </c>
      <c r="DM11" s="54">
        <v>5</v>
      </c>
      <c r="DN11" s="54">
        <v>2</v>
      </c>
      <c r="DO11" s="54">
        <f t="shared" si="54"/>
        <v>12</v>
      </c>
      <c r="DP11" s="54">
        <f t="shared" si="25"/>
        <v>27.445591739475773</v>
      </c>
      <c r="DQ11" s="16">
        <f t="shared" si="55"/>
        <v>-15.445591739475773</v>
      </c>
      <c r="DR11" s="12">
        <f t="shared" si="26"/>
        <v>-0.77500705436471151</v>
      </c>
      <c r="DS11" s="54">
        <f t="shared" si="56"/>
        <v>31</v>
      </c>
      <c r="DT11" s="54">
        <f t="shared" si="27"/>
        <v>0</v>
      </c>
      <c r="DU11" s="54">
        <f t="shared" si="28"/>
        <v>20.897005113221329</v>
      </c>
      <c r="DV11" s="54">
        <f t="shared" si="57"/>
        <v>24.095137600000001</v>
      </c>
      <c r="DW11" s="54">
        <f t="shared" si="58"/>
        <v>31</v>
      </c>
      <c r="DX11" s="54">
        <f t="shared" si="29"/>
        <v>5.1029948867786707</v>
      </c>
      <c r="DY11" s="12">
        <f t="shared" si="30"/>
        <v>0.65036124790215522</v>
      </c>
      <c r="DZ11" s="12">
        <f t="shared" si="31"/>
        <v>0.29840353583122692</v>
      </c>
      <c r="EA11" s="12">
        <f t="shared" si="32"/>
        <v>0.26038380112241899</v>
      </c>
      <c r="EB11" s="14">
        <f t="shared" si="59"/>
        <v>1.0251662698843649</v>
      </c>
      <c r="EC11" s="14">
        <f t="shared" si="60"/>
        <v>1.1165697260750207</v>
      </c>
      <c r="ED11" s="14">
        <f t="shared" si="33"/>
        <v>0.94774468383747301</v>
      </c>
      <c r="EE11" s="54">
        <v>13</v>
      </c>
      <c r="EF11" s="54">
        <f t="shared" si="75"/>
        <v>15</v>
      </c>
      <c r="EG11" s="12">
        <v>0.435</v>
      </c>
      <c r="EH11" s="12">
        <v>0.73899999999999999</v>
      </c>
      <c r="EI11" s="12">
        <f t="shared" si="76"/>
        <v>0.75401072529505064</v>
      </c>
      <c r="EJ11" s="16">
        <v>234148</v>
      </c>
      <c r="EK11" s="16">
        <v>234148.61</v>
      </c>
      <c r="EL11" s="16">
        <v>91109</v>
      </c>
      <c r="EM11" s="14">
        <f t="shared" si="34"/>
        <v>2.451927198264483</v>
      </c>
      <c r="EN11" s="14">
        <f t="shared" si="61"/>
        <v>1.6300492241858684</v>
      </c>
      <c r="EO11" s="16">
        <v>96224</v>
      </c>
      <c r="EP11" s="16">
        <v>296401</v>
      </c>
      <c r="EQ11" s="16">
        <f t="shared" si="35"/>
        <v>118444.65600000002</v>
      </c>
      <c r="ER11" s="16">
        <v>142304</v>
      </c>
      <c r="ES11" s="16">
        <f t="shared" si="62"/>
        <v>238528</v>
      </c>
      <c r="ET11" s="16">
        <f t="shared" si="36"/>
        <v>0</v>
      </c>
      <c r="EU11" s="16">
        <f t="shared" si="37"/>
        <v>91229.101533966401</v>
      </c>
      <c r="EV11" s="16">
        <f t="shared" si="63"/>
        <v>177956.34399999998</v>
      </c>
      <c r="EW11" s="16">
        <f t="shared" si="64"/>
        <v>238528</v>
      </c>
      <c r="EX11" s="16">
        <f t="shared" si="65"/>
        <v>4994.8984660335991</v>
      </c>
      <c r="EY11" s="12">
        <f t="shared" si="38"/>
        <v>0.19840438129003837</v>
      </c>
      <c r="EZ11" s="17">
        <f t="shared" si="39"/>
        <v>2.3001995432190475E-2</v>
      </c>
      <c r="FA11" s="109">
        <f t="shared" si="40"/>
        <v>0.69343749712513236</v>
      </c>
      <c r="FB11" s="109">
        <f t="shared" si="66"/>
        <v>0.57784760847535999</v>
      </c>
      <c r="FC11" s="16">
        <v>84033.42</v>
      </c>
      <c r="FD11">
        <f t="shared" si="77"/>
        <v>143039</v>
      </c>
      <c r="FE11" s="16">
        <f t="shared" si="67"/>
        <v>150115.19</v>
      </c>
      <c r="FF11" s="12">
        <v>0.78900000000000003</v>
      </c>
      <c r="FG11" s="12">
        <f t="shared" si="78"/>
        <v>0.87598635913381995</v>
      </c>
      <c r="FH11" s="14">
        <f t="shared" si="68"/>
        <v>0.89247476078067178</v>
      </c>
      <c r="FI11" s="14">
        <f t="shared" si="69"/>
        <v>0.67914263381788864</v>
      </c>
      <c r="FJ11" s="16">
        <v>216859</v>
      </c>
      <c r="FK11" s="16">
        <v>144685</v>
      </c>
      <c r="FL11" s="16">
        <f t="shared" si="70"/>
        <v>503848</v>
      </c>
      <c r="FM11" s="16">
        <f t="shared" si="41"/>
        <v>252662.87847498013</v>
      </c>
      <c r="FN11" s="16">
        <f t="shared" si="71"/>
        <v>251185.12152501987</v>
      </c>
      <c r="FO11" s="14">
        <f t="shared" si="42"/>
        <v>0.5740975818835391</v>
      </c>
      <c r="FP11" s="14">
        <f t="shared" si="43"/>
        <v>1.7007953517121055</v>
      </c>
      <c r="FQ11" s="14">
        <f t="shared" si="72"/>
        <v>1.0573912870275364</v>
      </c>
    </row>
    <row r="12" spans="1:173" x14ac:dyDescent="0.35">
      <c r="A12" s="7" t="s">
        <v>180</v>
      </c>
      <c r="B12" s="7" t="s">
        <v>76</v>
      </c>
      <c r="C12" s="144">
        <f t="shared" si="0"/>
        <v>19</v>
      </c>
      <c r="D12" s="144">
        <v>1</v>
      </c>
      <c r="E12" s="144">
        <v>0</v>
      </c>
      <c r="F12" s="144">
        <v>0</v>
      </c>
      <c r="G12" s="144">
        <v>18</v>
      </c>
      <c r="H12" s="144">
        <v>0</v>
      </c>
      <c r="I12" s="144">
        <v>0</v>
      </c>
      <c r="J12" s="144">
        <v>0</v>
      </c>
      <c r="K12" s="144"/>
      <c r="L12" s="144">
        <v>13</v>
      </c>
      <c r="M12" s="149">
        <f t="shared" si="1"/>
        <v>0.68421052631578949</v>
      </c>
      <c r="N12" s="149">
        <f>M12/M73</f>
        <v>1.0725848993246271E-2</v>
      </c>
      <c r="O12" s="144">
        <v>1.5</v>
      </c>
      <c r="P12" s="149">
        <f t="shared" si="2"/>
        <v>7.8947368421052627E-2</v>
      </c>
      <c r="Q12" s="147">
        <f>P12/P73</f>
        <v>5.3458649020552799E-3</v>
      </c>
      <c r="R12" s="149">
        <f t="shared" si="3"/>
        <v>0.53289473684210531</v>
      </c>
      <c r="S12" s="147">
        <f>R12/R73</f>
        <v>1.0340425949431383E-2</v>
      </c>
      <c r="T12" s="147">
        <f t="shared" si="4"/>
        <v>9.3808529704485222E-3</v>
      </c>
      <c r="U12" s="142">
        <v>235749</v>
      </c>
      <c r="V12" s="154">
        <f t="shared" si="5"/>
        <v>12407.842105263158</v>
      </c>
      <c r="W12" s="154"/>
      <c r="X12" s="147">
        <f>V12/V73</f>
        <v>0.15933411439420767</v>
      </c>
      <c r="Y12" s="155">
        <f t="shared" si="6"/>
        <v>6.9362157539952188E-2</v>
      </c>
      <c r="Z12" s="155">
        <v>0.51300000000000001</v>
      </c>
      <c r="AA12" s="150">
        <v>1.087</v>
      </c>
      <c r="AB12" s="145">
        <v>19</v>
      </c>
      <c r="AC12" s="150">
        <v>0.30711347277277168</v>
      </c>
      <c r="AD12" s="150">
        <f t="shared" si="7"/>
        <v>0.75939604151314266</v>
      </c>
      <c r="AE12" s="142">
        <v>18</v>
      </c>
      <c r="AF12" s="209">
        <v>61504.644774458429</v>
      </c>
      <c r="AG12" s="209">
        <f>AT12*BK$32</f>
        <v>28772.184938289265</v>
      </c>
      <c r="AH12" s="12">
        <f>C12*BA12</f>
        <v>1.4706971444847967</v>
      </c>
      <c r="AI12" s="35" t="e">
        <f>AU12*BK$9</f>
        <v>#DIV/0!</v>
      </c>
      <c r="AJ12" s="34" t="e">
        <f>AV12*BK$16</f>
        <v>#DIV/0!</v>
      </c>
      <c r="AK12" s="34" t="e">
        <f>SUM(AL12:AM12)</f>
        <v>#DIV/0!</v>
      </c>
      <c r="AL12" s="30"/>
      <c r="AM12" s="34" t="e">
        <f>AX12*BK$26</f>
        <v>#DIV/0!</v>
      </c>
      <c r="AN12" s="30">
        <v>0</v>
      </c>
      <c r="AO12" s="30">
        <f>AVERAGE(AF12,AR12,AN12)</f>
        <v>36563.085659903918</v>
      </c>
      <c r="AP12" s="209">
        <f>AVERAGE(AF12:AG12)</f>
        <v>45138.414856373849</v>
      </c>
      <c r="AQ12" s="154">
        <f>AO12-(AO$72*BE12)</f>
        <v>36563.085659903918</v>
      </c>
      <c r="AR12" s="130">
        <f>AP12+(AP$72*BF12)</f>
        <v>48184.612205253317</v>
      </c>
      <c r="AS12" s="24"/>
      <c r="AT12" s="24">
        <f>AB12*BF12</f>
        <v>0.50998488252842056</v>
      </c>
      <c r="AU12" s="16" t="e">
        <f>AB12*BG12</f>
        <v>#DIV/0!</v>
      </c>
      <c r="AV12" s="16" t="e">
        <f>AB12*BB12</f>
        <v>#DIV/0!</v>
      </c>
      <c r="AW12" s="16"/>
      <c r="AX12" s="16" t="e">
        <f>AB12*BD12</f>
        <v>#DIV/0!</v>
      </c>
      <c r="AY12" s="24"/>
      <c r="AZ12" s="16"/>
      <c r="BA12" s="16">
        <f>AA12/BH$2</f>
        <v>7.7405112867620876E-2</v>
      </c>
      <c r="BB12" s="16" t="e">
        <f>FH12/BK$14</f>
        <v>#DIV/0!</v>
      </c>
      <c r="BC12" s="16"/>
      <c r="BD12" s="16" t="e">
        <f>FA12/BK$21</f>
        <v>#DIV/0!</v>
      </c>
      <c r="BE12" s="16"/>
      <c r="BF12" s="16">
        <f>FI12/BK$29</f>
        <v>2.6841309606758977E-2</v>
      </c>
      <c r="BG12" s="142" t="e">
        <f>AC12/BK$5</f>
        <v>#DIV/0!</v>
      </c>
      <c r="BH12" s="16"/>
      <c r="BI12" s="16"/>
      <c r="BJ12" s="16"/>
      <c r="BK12" s="16"/>
      <c r="BL12" s="16">
        <v>22</v>
      </c>
      <c r="BM12" s="16">
        <v>22</v>
      </c>
      <c r="BN12" s="16">
        <f t="shared" si="8"/>
        <v>0</v>
      </c>
      <c r="BO12" s="16">
        <v>43</v>
      </c>
      <c r="BP12" s="16">
        <v>38</v>
      </c>
      <c r="BQ12" s="16">
        <v>43.315379999999998</v>
      </c>
      <c r="BR12" s="16">
        <f t="shared" si="73"/>
        <v>-21</v>
      </c>
      <c r="BS12" s="16">
        <v>60</v>
      </c>
      <c r="BT12" s="16">
        <v>32</v>
      </c>
      <c r="BU12" s="211">
        <v>28249.232621719082</v>
      </c>
      <c r="BV12" s="285">
        <v>0</v>
      </c>
      <c r="BW12" s="16">
        <f>AVERAGE(AQ12,BU12,BV12)</f>
        <v>21604.106093874332</v>
      </c>
      <c r="BX12" s="285">
        <f>BW12-(BZ12*BW$72)</f>
        <v>21604.106093874332</v>
      </c>
      <c r="BY12" s="12"/>
      <c r="BZ12" s="12"/>
      <c r="CC12">
        <v>15</v>
      </c>
      <c r="CD12">
        <f t="shared" si="44"/>
        <v>47</v>
      </c>
      <c r="CE12" s="16">
        <f t="shared" si="9"/>
        <v>0</v>
      </c>
      <c r="CF12" s="54">
        <f t="shared" si="10"/>
        <v>41.336210000000001</v>
      </c>
      <c r="CG12" s="16">
        <f t="shared" si="11"/>
        <v>80.999184999999997</v>
      </c>
      <c r="CH12" s="54">
        <f t="shared" si="12"/>
        <v>62.266983199415634</v>
      </c>
      <c r="CI12" s="54">
        <v>59.585799999999999</v>
      </c>
      <c r="CJ12" s="54">
        <f t="shared" si="45"/>
        <v>-24.266983199415634</v>
      </c>
      <c r="CK12" s="54">
        <f t="shared" si="46"/>
        <v>-21.585799999999999</v>
      </c>
      <c r="CL12" s="54">
        <f t="shared" si="47"/>
        <v>-21.315379999999998</v>
      </c>
      <c r="CM12" s="12">
        <v>-0.25900000000000001</v>
      </c>
      <c r="CN12" s="16">
        <f t="shared" si="48"/>
        <v>47</v>
      </c>
      <c r="CO12" s="54">
        <f t="shared" si="49"/>
        <v>-9.3362100000000012</v>
      </c>
      <c r="CP12" s="12">
        <f t="shared" si="13"/>
        <v>-0.58606528618566178</v>
      </c>
      <c r="CQ12" s="12">
        <f t="shared" si="14"/>
        <v>-0.12073660141932235</v>
      </c>
      <c r="CR12" s="16">
        <f t="shared" si="50"/>
        <v>-20.999184999999997</v>
      </c>
      <c r="CS12" s="12">
        <f t="shared" si="15"/>
        <v>-0.11851657521437554</v>
      </c>
      <c r="CT12" s="12">
        <f t="shared" si="16"/>
        <v>-0.16254950574429269</v>
      </c>
      <c r="CU12" s="12">
        <f t="shared" si="17"/>
        <v>-0.18211819156046172</v>
      </c>
      <c r="CV12" s="12">
        <f t="shared" si="74"/>
        <v>-0.2346012326507925</v>
      </c>
      <c r="CW12" s="54">
        <v>1</v>
      </c>
      <c r="CX12" s="54">
        <f t="shared" si="18"/>
        <v>59.587097</v>
      </c>
      <c r="CY12" s="54">
        <f t="shared" si="51"/>
        <v>-21.587097</v>
      </c>
      <c r="CZ12" s="12">
        <f t="shared" si="19"/>
        <v>-0.18396516885215278</v>
      </c>
      <c r="DA12" s="12">
        <f t="shared" si="20"/>
        <v>-1.136163</v>
      </c>
      <c r="DB12" s="12">
        <f t="shared" si="21"/>
        <v>-0.42280592865587296</v>
      </c>
      <c r="DC12" s="54">
        <v>0</v>
      </c>
      <c r="DD12" s="54">
        <v>1</v>
      </c>
      <c r="DE12" s="54">
        <f t="shared" si="22"/>
        <v>11.045674700000001</v>
      </c>
      <c r="DF12" s="54">
        <v>7</v>
      </c>
      <c r="DG12" s="54">
        <v>20</v>
      </c>
      <c r="DH12" s="54">
        <f t="shared" si="52"/>
        <v>42</v>
      </c>
      <c r="DI12" s="54">
        <f t="shared" si="23"/>
        <v>88.231739475774418</v>
      </c>
      <c r="DJ12" s="16">
        <f t="shared" si="53"/>
        <v>-46.231739475774418</v>
      </c>
      <c r="DK12" s="12">
        <f t="shared" si="24"/>
        <v>-0.23979384661671457</v>
      </c>
      <c r="DL12" s="54">
        <v>0</v>
      </c>
      <c r="DM12" s="54">
        <v>0</v>
      </c>
      <c r="DN12" s="54">
        <v>2</v>
      </c>
      <c r="DO12" s="54">
        <f t="shared" si="54"/>
        <v>2</v>
      </c>
      <c r="DP12" s="54">
        <f t="shared" si="25"/>
        <v>9.5003971405877685</v>
      </c>
      <c r="DQ12" s="16">
        <f t="shared" si="55"/>
        <v>-7.5003971405877685</v>
      </c>
      <c r="DR12" s="12">
        <f t="shared" si="26"/>
        <v>-0.37634431833621168</v>
      </c>
      <c r="DS12" s="54">
        <f t="shared" si="56"/>
        <v>0</v>
      </c>
      <c r="DT12" s="54">
        <f t="shared" si="27"/>
        <v>0</v>
      </c>
      <c r="DU12" s="54">
        <f t="shared" si="28"/>
        <v>8.2717311906501099</v>
      </c>
      <c r="DV12" s="54">
        <f t="shared" si="57"/>
        <v>-10.045674700000001</v>
      </c>
      <c r="DW12" s="54">
        <f t="shared" si="58"/>
        <v>0</v>
      </c>
      <c r="DX12" s="54">
        <f t="shared" si="29"/>
        <v>-8.2717311906501099</v>
      </c>
      <c r="DY12" s="12">
        <f t="shared" si="30"/>
        <v>-0.40537918443392662</v>
      </c>
      <c r="DZ12" s="12">
        <f t="shared" si="31"/>
        <v>-0.74676365459281735</v>
      </c>
      <c r="EA12" s="12">
        <f t="shared" si="32"/>
        <v>-0.42207073631695857</v>
      </c>
      <c r="EB12" s="12">
        <f t="shared" si="59"/>
        <v>-0.19023222751926333</v>
      </c>
      <c r="EC12" s="12">
        <f t="shared" si="60"/>
        <v>-0.19607013514373139</v>
      </c>
      <c r="ED12" s="12">
        <f t="shared" si="33"/>
        <v>-0.22742981338745916</v>
      </c>
      <c r="EE12" s="54">
        <v>6</v>
      </c>
      <c r="EF12" s="54">
        <f t="shared" si="75"/>
        <v>-5</v>
      </c>
      <c r="EG12" s="12">
        <v>-0.36099999999999999</v>
      </c>
      <c r="EH12" s="12">
        <v>-0.28499999999999998</v>
      </c>
      <c r="EI12" s="12">
        <f t="shared" si="76"/>
        <v>-0.2662009244880944</v>
      </c>
      <c r="EJ12" s="16">
        <v>621555</v>
      </c>
      <c r="EK12" s="16">
        <v>432556.23</v>
      </c>
      <c r="EL12" s="16">
        <v>44667</v>
      </c>
      <c r="EM12" s="12">
        <f t="shared" si="34"/>
        <v>-0.27393146454658884</v>
      </c>
      <c r="EN12" s="12">
        <f t="shared" si="61"/>
        <v>-0.62623987828745065</v>
      </c>
      <c r="EO12" s="16">
        <v>272279</v>
      </c>
      <c r="EP12" s="16">
        <v>328068</v>
      </c>
      <c r="EQ12" s="16">
        <f t="shared" si="35"/>
        <v>46884.343000000001</v>
      </c>
      <c r="ER12" s="16">
        <v>23600</v>
      </c>
      <c r="ES12" s="16">
        <f t="shared" si="62"/>
        <v>295879</v>
      </c>
      <c r="ET12" s="16">
        <f t="shared" si="36"/>
        <v>0</v>
      </c>
      <c r="EU12" s="16">
        <f t="shared" si="37"/>
        <v>36111.519357195029</v>
      </c>
      <c r="EV12" s="16">
        <f t="shared" si="63"/>
        <v>281183.65700000001</v>
      </c>
      <c r="EW12" s="16">
        <f t="shared" si="64"/>
        <v>295879</v>
      </c>
      <c r="EX12" s="16">
        <f t="shared" si="65"/>
        <v>236167.48064280496</v>
      </c>
      <c r="EY12" s="12">
        <f t="shared" si="38"/>
        <v>0.33021878661603488</v>
      </c>
      <c r="EZ12" s="17">
        <f t="shared" si="39"/>
        <v>1.08757432166414</v>
      </c>
      <c r="FA12" s="109">
        <f t="shared" si="40"/>
        <v>1.106149879459051</v>
      </c>
      <c r="FB12" s="109">
        <f t="shared" si="66"/>
        <v>0.29857184063318054</v>
      </c>
      <c r="FC12" s="16">
        <v>40369.43</v>
      </c>
      <c r="FD12">
        <f t="shared" si="77"/>
        <v>576888</v>
      </c>
      <c r="FE12" s="16">
        <f t="shared" si="67"/>
        <v>392186.8</v>
      </c>
      <c r="FF12" s="12">
        <v>3.1440000000000001</v>
      </c>
      <c r="FG12" s="12">
        <f t="shared" si="78"/>
        <v>2.2977914905149981</v>
      </c>
      <c r="FH12" s="14">
        <f t="shared" si="68"/>
        <v>0.32832061527206241</v>
      </c>
      <c r="FI12" s="14">
        <f t="shared" si="69"/>
        <v>0.31738764757941718</v>
      </c>
      <c r="FJ12" s="16">
        <v>40320</v>
      </c>
      <c r="FK12" s="16">
        <v>0</v>
      </c>
      <c r="FL12" s="16">
        <f t="shared" si="70"/>
        <v>63920</v>
      </c>
      <c r="FM12" s="16">
        <f t="shared" si="41"/>
        <v>87460.227164416196</v>
      </c>
      <c r="FN12" s="16">
        <f t="shared" si="71"/>
        <v>-23540.227164416196</v>
      </c>
      <c r="FO12" s="12">
        <f t="shared" si="42"/>
        <v>-5.380249996508818E-2</v>
      </c>
      <c r="FP12" s="12">
        <f t="shared" si="43"/>
        <v>-0.18587987871398856</v>
      </c>
      <c r="FQ12" s="12">
        <f t="shared" si="72"/>
        <v>-0.24365641232605642</v>
      </c>
    </row>
    <row r="13" spans="1:173" x14ac:dyDescent="0.35">
      <c r="A13" s="8" t="s">
        <v>180</v>
      </c>
      <c r="B13" s="8" t="s">
        <v>183</v>
      </c>
      <c r="C13" s="144">
        <f t="shared" si="0"/>
        <v>7</v>
      </c>
      <c r="D13" s="144">
        <v>0</v>
      </c>
      <c r="E13" s="144">
        <v>0</v>
      </c>
      <c r="F13" s="144">
        <v>0</v>
      </c>
      <c r="G13" s="144">
        <v>0</v>
      </c>
      <c r="H13" s="144">
        <v>7</v>
      </c>
      <c r="I13" s="144">
        <v>0</v>
      </c>
      <c r="J13" s="144">
        <v>0</v>
      </c>
      <c r="K13" s="144"/>
      <c r="L13" s="144">
        <v>6</v>
      </c>
      <c r="M13" s="149">
        <f t="shared" si="1"/>
        <v>0.8571428571428571</v>
      </c>
      <c r="N13" s="149">
        <f>M13/M73</f>
        <v>1.3436777859671152E-2</v>
      </c>
      <c r="O13" s="144">
        <v>1</v>
      </c>
      <c r="P13" s="149">
        <f t="shared" si="2"/>
        <v>0.14285714285714285</v>
      </c>
      <c r="Q13" s="147">
        <f>P13/P73</f>
        <v>9.6734698227666956E-3</v>
      </c>
      <c r="R13" s="149">
        <f t="shared" si="3"/>
        <v>0.67857142857142849</v>
      </c>
      <c r="S13" s="147">
        <f>R13/R73</f>
        <v>1.3167173783932022E-2</v>
      </c>
      <c r="T13" s="147">
        <f t="shared" si="4"/>
        <v>1.249595085044504E-2</v>
      </c>
      <c r="U13" s="142">
        <v>0</v>
      </c>
      <c r="V13" s="142">
        <f t="shared" si="5"/>
        <v>0</v>
      </c>
      <c r="W13" s="142"/>
      <c r="X13" s="147">
        <f>V13/V73</f>
        <v>0</v>
      </c>
      <c r="Y13" s="147">
        <f t="shared" si="6"/>
        <v>7.4975705102670234E-3</v>
      </c>
      <c r="Z13" s="147">
        <v>-0.58599999999999997</v>
      </c>
      <c r="AA13" s="149">
        <v>-0.105</v>
      </c>
      <c r="AB13" s="145">
        <v>6</v>
      </c>
      <c r="AC13" s="149">
        <v>-4.1679723248819842E-2</v>
      </c>
      <c r="AD13" s="149">
        <f t="shared" si="7"/>
        <v>-9.8026483376654969E-2</v>
      </c>
      <c r="AE13" s="142">
        <v>9</v>
      </c>
      <c r="AF13" s="209"/>
      <c r="AG13" s="209"/>
      <c r="AH13" s="12"/>
      <c r="AI13" s="12"/>
      <c r="AJ13" s="23"/>
      <c r="AK13" s="30"/>
      <c r="AL13" s="23"/>
      <c r="AM13" s="30"/>
      <c r="AN13" s="30"/>
      <c r="AO13" s="30"/>
      <c r="AP13" s="209"/>
      <c r="AQ13" s="142"/>
      <c r="AR13" s="24"/>
      <c r="AS13" s="24"/>
      <c r="AT13" s="24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42"/>
      <c r="BL13" s="16">
        <v>14</v>
      </c>
      <c r="BM13" s="16">
        <v>14</v>
      </c>
      <c r="BN13" s="16">
        <f t="shared" si="8"/>
        <v>0</v>
      </c>
      <c r="BO13" s="16">
        <v>16</v>
      </c>
      <c r="BP13" s="16">
        <v>17</v>
      </c>
      <c r="BQ13" s="16">
        <v>15.958299999999999</v>
      </c>
      <c r="BR13" s="16">
        <f t="shared" si="73"/>
        <v>-2</v>
      </c>
      <c r="BS13" s="16">
        <v>27</v>
      </c>
      <c r="BT13" s="16">
        <v>10</v>
      </c>
      <c r="BU13" s="16"/>
      <c r="BV13" s="16"/>
      <c r="BW13" s="16"/>
      <c r="BX13" s="16"/>
      <c r="BY13" s="12"/>
      <c r="BZ13" s="12"/>
      <c r="CC13">
        <v>0</v>
      </c>
      <c r="CD13">
        <f t="shared" si="44"/>
        <v>10</v>
      </c>
      <c r="CE13" s="16">
        <f t="shared" si="9"/>
        <v>0</v>
      </c>
      <c r="CF13" s="54">
        <f t="shared" si="10"/>
        <v>13.053540000000002</v>
      </c>
      <c r="CG13" s="16">
        <f t="shared" si="11"/>
        <v>25.578690000000002</v>
      </c>
      <c r="CH13" s="54">
        <f t="shared" si="12"/>
        <v>19.663257852447042</v>
      </c>
      <c r="CI13">
        <v>19</v>
      </c>
      <c r="CJ13" s="54">
        <f>BP13-CH13</f>
        <v>-2.6632578524470425</v>
      </c>
      <c r="CK13" s="54">
        <f>BP13-CI13</f>
        <v>-2</v>
      </c>
      <c r="CL13" s="54">
        <f t="shared" si="47"/>
        <v>-1.9582999999999995</v>
      </c>
      <c r="CM13" s="12">
        <v>-8.8999999999999996E-2</v>
      </c>
      <c r="CN13" s="16">
        <f t="shared" si="48"/>
        <v>10</v>
      </c>
      <c r="CO13" s="54">
        <f t="shared" si="49"/>
        <v>-3.0535400000000017</v>
      </c>
      <c r="CP13" s="12">
        <f t="shared" si="13"/>
        <v>-0.77211418418210886</v>
      </c>
      <c r="CQ13" s="12">
        <f t="shared" si="14"/>
        <v>-6.2370699166134871E-2</v>
      </c>
      <c r="CR13" s="16">
        <f t="shared" si="50"/>
        <v>1.4213099999999983</v>
      </c>
      <c r="CS13" s="12">
        <f t="shared" si="15"/>
        <v>-1.8616851671221692E-4</v>
      </c>
      <c r="CT13" s="12">
        <f t="shared" si="16"/>
        <v>-1.7839516516222693E-2</v>
      </c>
      <c r="CU13" s="12">
        <f t="shared" si="17"/>
        <v>-5.192165177126374E-2</v>
      </c>
      <c r="CV13" s="12">
        <f t="shared" si="74"/>
        <v>-6.1673310528612094E-2</v>
      </c>
      <c r="CW13" s="54">
        <v>1</v>
      </c>
      <c r="CX13" s="54">
        <f t="shared" si="18"/>
        <v>18.816977999999999</v>
      </c>
      <c r="CY13" s="54">
        <f t="shared" si="51"/>
        <v>-1.8169779999999989</v>
      </c>
      <c r="CZ13" s="12">
        <f t="shared" si="19"/>
        <v>-5.0989960107343635E-2</v>
      </c>
      <c r="DA13" s="12">
        <f t="shared" si="20"/>
        <v>-0.3028296666666665</v>
      </c>
      <c r="DB13" s="12">
        <f t="shared" si="21"/>
        <v>-0.13676364163703064</v>
      </c>
      <c r="DC13" s="54">
        <v>1</v>
      </c>
      <c r="DD13" s="54">
        <v>2</v>
      </c>
      <c r="DE13" s="54">
        <f t="shared" si="22"/>
        <v>3.4881077999999999</v>
      </c>
      <c r="DF13" s="54">
        <v>5</v>
      </c>
      <c r="DG13" s="54">
        <v>12</v>
      </c>
      <c r="DH13" s="54">
        <f t="shared" si="52"/>
        <v>17</v>
      </c>
      <c r="DI13" s="54">
        <f t="shared" si="23"/>
        <v>44.115869737887209</v>
      </c>
      <c r="DJ13" s="16">
        <f t="shared" si="53"/>
        <v>-27.115869737887209</v>
      </c>
      <c r="DK13" s="12">
        <f t="shared" si="24"/>
        <v>-0.14064404200523153</v>
      </c>
      <c r="DL13" s="54">
        <v>0</v>
      </c>
      <c r="DM13" s="54">
        <v>0</v>
      </c>
      <c r="DN13" s="54">
        <v>0</v>
      </c>
      <c r="DO13" s="54">
        <f t="shared" si="54"/>
        <v>0</v>
      </c>
      <c r="DP13" s="54">
        <f t="shared" si="25"/>
        <v>4.7501985702938843</v>
      </c>
      <c r="DQ13" s="16">
        <f t="shared" si="55"/>
        <v>-4.7501985702938843</v>
      </c>
      <c r="DR13" s="12">
        <f t="shared" si="26"/>
        <v>-0.23834874465844688</v>
      </c>
      <c r="DS13" s="54">
        <f t="shared" si="56"/>
        <v>1</v>
      </c>
      <c r="DT13" s="54">
        <f t="shared" si="27"/>
        <v>0</v>
      </c>
      <c r="DU13" s="54">
        <f t="shared" si="28"/>
        <v>2.6121256391526662</v>
      </c>
      <c r="DV13" s="54">
        <f t="shared" si="57"/>
        <v>-1.4881077999999999</v>
      </c>
      <c r="DW13" s="54">
        <f t="shared" si="58"/>
        <v>1</v>
      </c>
      <c r="DX13" s="54">
        <f t="shared" si="29"/>
        <v>-1.6121256391526662</v>
      </c>
      <c r="DY13" s="12">
        <f t="shared" si="30"/>
        <v>-0.14075251710794318</v>
      </c>
      <c r="DZ13" s="12">
        <f t="shared" si="31"/>
        <v>-0.71304858393397719</v>
      </c>
      <c r="EA13" s="12">
        <f t="shared" si="32"/>
        <v>-8.2259812350011258E-2</v>
      </c>
      <c r="EB13" s="12">
        <f t="shared" si="59"/>
        <v>-3.5327755664519955E-2</v>
      </c>
      <c r="EC13" s="12">
        <f t="shared" si="60"/>
        <v>-6.7342977462103965E-2</v>
      </c>
      <c r="ED13" s="12">
        <f t="shared" si="33"/>
        <v>-3.3944590474669835E-2</v>
      </c>
      <c r="EE13" s="54">
        <v>2</v>
      </c>
      <c r="EF13" s="54">
        <f t="shared" si="75"/>
        <v>-1</v>
      </c>
      <c r="EG13" s="12">
        <v>-0.20200000000000001</v>
      </c>
      <c r="EH13" s="12">
        <v>-0.11799999999999999</v>
      </c>
      <c r="EI13" s="12">
        <f t="shared" si="76"/>
        <v>-9.6754982896459077E-2</v>
      </c>
      <c r="EJ13" s="16">
        <v>0</v>
      </c>
      <c r="EK13" s="16">
        <v>0</v>
      </c>
      <c r="EL13" s="16">
        <v>18209</v>
      </c>
      <c r="EM13" s="12">
        <f t="shared" si="34"/>
        <v>-0.16507021766853539</v>
      </c>
      <c r="EN13" s="12">
        <f t="shared" si="61"/>
        <v>-0.75734778412007597</v>
      </c>
      <c r="EO13" s="16">
        <v>0</v>
      </c>
      <c r="EP13" s="16">
        <v>0</v>
      </c>
      <c r="EQ13" s="16">
        <f t="shared" si="35"/>
        <v>14805.582000000002</v>
      </c>
      <c r="ER13" s="16">
        <v>0</v>
      </c>
      <c r="ES13" s="16">
        <f t="shared" si="62"/>
        <v>0</v>
      </c>
      <c r="ET13" s="16">
        <f t="shared" si="36"/>
        <v>0</v>
      </c>
      <c r="EU13" s="16">
        <f t="shared" si="37"/>
        <v>11403.6376917458</v>
      </c>
      <c r="EV13" s="16">
        <f t="shared" si="63"/>
        <v>-14805.582000000002</v>
      </c>
      <c r="EW13" s="16">
        <f t="shared" si="64"/>
        <v>0</v>
      </c>
      <c r="EX13" s="16">
        <f t="shared" si="65"/>
        <v>-11403.6376917458</v>
      </c>
      <c r="EY13" s="12">
        <f t="shared" si="38"/>
        <v>-0.34982366135262349</v>
      </c>
      <c r="EZ13" s="17">
        <f t="shared" si="39"/>
        <v>-5.251486569339376E-2</v>
      </c>
      <c r="FA13" s="17">
        <f t="shared" si="40"/>
        <v>-7.7242581535197766E-2</v>
      </c>
      <c r="FB13" s="17">
        <f>(0.6*ED13)+(0.4*EZ13)</f>
        <v>-4.1372700562159408E-2</v>
      </c>
      <c r="FC13" s="16">
        <v>16041.58</v>
      </c>
      <c r="FD13">
        <f t="shared" si="77"/>
        <v>-18209</v>
      </c>
      <c r="FE13" s="16">
        <f t="shared" si="67"/>
        <v>-16041.58</v>
      </c>
      <c r="FF13" s="12">
        <v>-8.5999999999999993E-2</v>
      </c>
      <c r="FG13" s="12">
        <f t="shared" si="78"/>
        <v>-9.9933734096948806E-2</v>
      </c>
      <c r="FH13" s="12">
        <f t="shared" si="68"/>
        <v>-5.2093686012791081E-2</v>
      </c>
      <c r="FI13" s="12">
        <f t="shared" si="69"/>
        <v>-6.1411732754619877E-2</v>
      </c>
      <c r="FJ13" s="16">
        <v>0</v>
      </c>
      <c r="FK13" s="16">
        <v>0</v>
      </c>
      <c r="FL13" s="16">
        <f t="shared" si="70"/>
        <v>0</v>
      </c>
      <c r="FM13" s="16">
        <f t="shared" si="41"/>
        <v>43730.113582208098</v>
      </c>
      <c r="FN13" s="16">
        <f t="shared" si="71"/>
        <v>-43730.113582208098</v>
      </c>
      <c r="FO13" s="12">
        <f t="shared" si="42"/>
        <v>-9.9947609598116743E-2</v>
      </c>
      <c r="FP13" s="12">
        <f t="shared" si="43"/>
        <v>-0.13902117444036793</v>
      </c>
      <c r="FQ13" s="12">
        <f t="shared" si="72"/>
        <v>-0.59433813501309496</v>
      </c>
    </row>
    <row r="14" spans="1:173" x14ac:dyDescent="0.35">
      <c r="A14" s="8" t="s">
        <v>180</v>
      </c>
      <c r="B14" s="8" t="s">
        <v>34</v>
      </c>
      <c r="C14" s="144">
        <f t="shared" si="0"/>
        <v>12</v>
      </c>
      <c r="D14" s="144">
        <v>4</v>
      </c>
      <c r="E14" s="144">
        <v>0</v>
      </c>
      <c r="F14" s="144">
        <v>0</v>
      </c>
      <c r="G14" s="144">
        <v>0</v>
      </c>
      <c r="H14" s="144">
        <v>8</v>
      </c>
      <c r="I14" s="144">
        <v>0</v>
      </c>
      <c r="J14" s="144">
        <v>0</v>
      </c>
      <c r="K14" s="144"/>
      <c r="L14" s="144">
        <v>4.5</v>
      </c>
      <c r="M14" s="149">
        <f t="shared" si="1"/>
        <v>0.375</v>
      </c>
      <c r="N14" s="149">
        <f>M14/M73</f>
        <v>5.8785903136061293E-3</v>
      </c>
      <c r="O14" s="144">
        <v>0</v>
      </c>
      <c r="P14" s="149">
        <f t="shared" si="2"/>
        <v>0</v>
      </c>
      <c r="Q14" s="147">
        <f>P14/P73</f>
        <v>0</v>
      </c>
      <c r="R14" s="149">
        <f t="shared" si="3"/>
        <v>0.28125</v>
      </c>
      <c r="S14" s="147">
        <f>R14/R73</f>
        <v>5.4574470288665626E-3</v>
      </c>
      <c r="T14" s="147">
        <f t="shared" si="4"/>
        <v>4.4089427352045968E-3</v>
      </c>
      <c r="U14" s="142">
        <v>0</v>
      </c>
      <c r="V14" s="142">
        <f t="shared" si="5"/>
        <v>0</v>
      </c>
      <c r="W14" s="142"/>
      <c r="X14" s="147">
        <f>V14/V73</f>
        <v>0</v>
      </c>
      <c r="Y14" s="147">
        <f t="shared" si="6"/>
        <v>2.645365641122758E-3</v>
      </c>
      <c r="Z14" s="147">
        <v>-0.74</v>
      </c>
      <c r="AA14" s="149">
        <v>-0.156</v>
      </c>
      <c r="AB14" s="145">
        <v>7</v>
      </c>
      <c r="AC14" s="149">
        <v>-1.7430159900870407E-3</v>
      </c>
      <c r="AD14" s="149">
        <f>(0.6*EI14)+(0.4*FG14)</f>
        <v>-0.15000504701288886</v>
      </c>
      <c r="AE14" s="142">
        <v>5</v>
      </c>
      <c r="AF14" s="209"/>
      <c r="AG14" s="209"/>
      <c r="AH14" s="12"/>
      <c r="AI14" s="12"/>
      <c r="AJ14" s="23"/>
      <c r="AK14" s="30"/>
      <c r="AL14" s="23"/>
      <c r="AM14" s="30"/>
      <c r="AN14" s="30"/>
      <c r="AO14" s="30"/>
      <c r="AP14" s="209"/>
      <c r="AQ14" s="142"/>
      <c r="AR14" s="24"/>
      <c r="AS14" s="24"/>
      <c r="AT14" s="24"/>
      <c r="AU14" s="16"/>
      <c r="AV14" s="16"/>
      <c r="AW14" s="16"/>
      <c r="AX14" s="16"/>
      <c r="AY14" s="24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>
        <v>23</v>
      </c>
      <c r="BM14" s="16">
        <v>23</v>
      </c>
      <c r="BN14" s="16">
        <f>BL14-BM14</f>
        <v>0</v>
      </c>
      <c r="BO14" s="16">
        <v>27</v>
      </c>
      <c r="BP14" s="16">
        <v>38</v>
      </c>
      <c r="BQ14" s="16">
        <v>27.35708</v>
      </c>
      <c r="BR14" s="16">
        <f t="shared" ref="BR14:BR23" si="81">BL14-BO14</f>
        <v>-4</v>
      </c>
      <c r="BS14" s="16">
        <v>39</v>
      </c>
      <c r="BT14" s="16">
        <v>18</v>
      </c>
      <c r="BU14" s="16"/>
      <c r="BV14" s="16"/>
      <c r="BW14" s="16"/>
      <c r="BX14" s="16"/>
      <c r="BY14" s="12"/>
      <c r="BZ14" s="12"/>
      <c r="CC14">
        <v>0</v>
      </c>
      <c r="CD14">
        <f t="shared" si="44"/>
        <v>18</v>
      </c>
      <c r="CE14" s="16">
        <f t="shared" si="9"/>
        <v>0</v>
      </c>
      <c r="CF14" s="54">
        <f t="shared" si="10"/>
        <v>15.229130000000001</v>
      </c>
      <c r="CG14" s="16">
        <f t="shared" si="11"/>
        <v>29.841805000000001</v>
      </c>
      <c r="CH14" s="54">
        <f t="shared" si="12"/>
        <v>22.940467494521549</v>
      </c>
      <c r="CI14" s="54">
        <v>21.952660000000002</v>
      </c>
      <c r="CJ14" s="54">
        <f t="shared" ref="CJ14:CJ23" si="82">BP14-CH14</f>
        <v>15.059532505478451</v>
      </c>
      <c r="CK14" s="54">
        <f t="shared" ref="CK14:CK23" si="83">BP14-CI14</f>
        <v>16.047339999999998</v>
      </c>
      <c r="CL14" s="54">
        <f t="shared" si="47"/>
        <v>-4.3570799999999998</v>
      </c>
      <c r="CM14" s="12">
        <v>-0.107</v>
      </c>
      <c r="CN14" s="16">
        <f t="shared" si="48"/>
        <v>18</v>
      </c>
      <c r="CO14" s="54">
        <f t="shared" si="49"/>
        <v>2.7708699999999986</v>
      </c>
      <c r="CP14" s="12">
        <f t="shared" si="13"/>
        <v>-0.73188739542612036</v>
      </c>
      <c r="CQ14" s="12">
        <f t="shared" si="14"/>
        <v>-8.2620248696195775E-3</v>
      </c>
      <c r="CR14" s="16">
        <f t="shared" si="50"/>
        <v>9.1581949999999992</v>
      </c>
      <c r="CS14" s="12">
        <f t="shared" si="15"/>
        <v>4.0647396871699201E-2</v>
      </c>
      <c r="CT14" s="12">
        <f t="shared" si="16"/>
        <v>0.10087449047084596</v>
      </c>
      <c r="CU14" s="12">
        <f t="shared" si="17"/>
        <v>-6.8055947631772265E-2</v>
      </c>
      <c r="CV14" s="12">
        <f t="shared" si="74"/>
        <v>-8.3102991091395531E-2</v>
      </c>
      <c r="CW14" s="54">
        <v>0</v>
      </c>
      <c r="CX14" s="54">
        <f t="shared" si="18"/>
        <v>21.953140999999999</v>
      </c>
      <c r="CY14" s="54">
        <f t="shared" si="51"/>
        <v>16.046859000000001</v>
      </c>
      <c r="CZ14" s="12">
        <f t="shared" si="19"/>
        <v>6.9163462037371087E-2</v>
      </c>
      <c r="DA14" s="12">
        <f t="shared" si="20"/>
        <v>2.2924084285714286</v>
      </c>
      <c r="DB14" s="14">
        <f t="shared" si="21"/>
        <v>0.75405376650736378</v>
      </c>
      <c r="DC14" s="54">
        <v>0</v>
      </c>
      <c r="DD14" s="54">
        <v>0</v>
      </c>
      <c r="DE14" s="54">
        <f t="shared" si="22"/>
        <v>4.0694591000000004</v>
      </c>
      <c r="DF14" s="54">
        <v>0</v>
      </c>
      <c r="DG14" s="54">
        <v>1</v>
      </c>
      <c r="DH14" s="54">
        <f t="shared" si="52"/>
        <v>1</v>
      </c>
      <c r="DI14" s="54">
        <f t="shared" si="23"/>
        <v>24.508816521048452</v>
      </c>
      <c r="DJ14" s="16">
        <f t="shared" si="53"/>
        <v>-23.508816521048452</v>
      </c>
      <c r="DK14" s="12">
        <f t="shared" si="24"/>
        <v>-0.12193505169630761</v>
      </c>
      <c r="DL14" s="54">
        <v>0</v>
      </c>
      <c r="DM14" s="54">
        <v>0</v>
      </c>
      <c r="DN14" s="54">
        <v>0</v>
      </c>
      <c r="DO14" s="54">
        <f t="shared" si="54"/>
        <v>0</v>
      </c>
      <c r="DP14" s="54">
        <f t="shared" si="25"/>
        <v>2.6389992057188243</v>
      </c>
      <c r="DQ14" s="16">
        <f t="shared" si="55"/>
        <v>-2.6389992057188243</v>
      </c>
      <c r="DR14" s="12">
        <f t="shared" si="26"/>
        <v>-0.13241596925469271</v>
      </c>
      <c r="DS14" s="54">
        <f t="shared" si="56"/>
        <v>0</v>
      </c>
      <c r="DT14" s="54">
        <f t="shared" si="27"/>
        <v>0</v>
      </c>
      <c r="DU14" s="54">
        <f t="shared" si="28"/>
        <v>3.0474799123447771</v>
      </c>
      <c r="DV14" s="54">
        <f t="shared" si="57"/>
        <v>-4.0694591000000004</v>
      </c>
      <c r="DW14" s="54">
        <f t="shared" si="58"/>
        <v>0</v>
      </c>
      <c r="DX14" s="54">
        <f t="shared" si="29"/>
        <v>-3.0474799123447771</v>
      </c>
      <c r="DY14" s="12">
        <f t="shared" si="30"/>
        <v>-0.22057595286940884</v>
      </c>
      <c r="DZ14" s="12">
        <f t="shared" si="31"/>
        <v>-0.74676365459281735</v>
      </c>
      <c r="EA14" s="12">
        <f t="shared" si="32"/>
        <v>-0.15549974495887947</v>
      </c>
      <c r="EB14" s="12">
        <f t="shared" si="59"/>
        <v>-2.465844056357781E-2</v>
      </c>
      <c r="EC14" s="12">
        <f t="shared" si="60"/>
        <v>-4.5071454891934551E-2</v>
      </c>
      <c r="ED14" s="12">
        <f t="shared" si="33"/>
        <v>3.67809316134146E-2</v>
      </c>
      <c r="EE14" s="54">
        <v>4</v>
      </c>
      <c r="EF14" s="54">
        <f t="shared" si="75"/>
        <v>-4</v>
      </c>
      <c r="EG14" s="12">
        <v>-0.32200000000000001</v>
      </c>
      <c r="EH14" s="12">
        <v>-0.161</v>
      </c>
      <c r="EI14" s="12">
        <f t="shared" si="76"/>
        <v>-0.14282724331854665</v>
      </c>
      <c r="EJ14" s="16">
        <v>0</v>
      </c>
      <c r="EK14" s="16">
        <v>0</v>
      </c>
      <c r="EL14" s="16">
        <v>29556</v>
      </c>
      <c r="EM14" s="12">
        <f t="shared" si="34"/>
        <v>-0.12455528108590389</v>
      </c>
      <c r="EN14" s="12">
        <f t="shared" si="61"/>
        <v>-0.73560646021779463</v>
      </c>
      <c r="EO14" s="16">
        <v>0</v>
      </c>
      <c r="EP14" s="16">
        <v>0</v>
      </c>
      <c r="EQ14" s="16">
        <f t="shared" si="35"/>
        <v>17273.179</v>
      </c>
      <c r="ER14" s="16">
        <v>0</v>
      </c>
      <c r="ES14" s="16">
        <f t="shared" si="62"/>
        <v>0</v>
      </c>
      <c r="ET14" s="16">
        <f t="shared" si="36"/>
        <v>0</v>
      </c>
      <c r="EU14" s="16">
        <f t="shared" si="37"/>
        <v>13304.243973703433</v>
      </c>
      <c r="EV14" s="16">
        <f t="shared" si="63"/>
        <v>-17273.179</v>
      </c>
      <c r="EW14" s="16">
        <f t="shared" si="64"/>
        <v>0</v>
      </c>
      <c r="EX14" s="16">
        <f t="shared" si="65"/>
        <v>-13304.243973703433</v>
      </c>
      <c r="EY14" s="12">
        <f t="shared" si="38"/>
        <v>-0.34982366135262349</v>
      </c>
      <c r="EZ14" s="17">
        <f t="shared" si="39"/>
        <v>-6.1267343308959374E-2</v>
      </c>
      <c r="FA14" s="17">
        <f t="shared" si="40"/>
        <v>-8.7108263464843946E-2</v>
      </c>
      <c r="FB14" s="17">
        <f t="shared" ref="FB14:FB23" si="84">(0.6*ED14)+(0.4*EZ14)</f>
        <v>-2.4383783555349918E-3</v>
      </c>
      <c r="FC14" s="16">
        <v>26399.65</v>
      </c>
      <c r="FD14">
        <f t="shared" ref="FD14:FD23" si="85">EJ14-EL14</f>
        <v>-29556</v>
      </c>
      <c r="FE14" s="16">
        <f t="shared" si="67"/>
        <v>-26399.65</v>
      </c>
      <c r="FF14" s="12">
        <v>-0.14799999999999999</v>
      </c>
      <c r="FG14" s="12">
        <f t="shared" si="78"/>
        <v>-0.16077175255440215</v>
      </c>
      <c r="FH14" s="12">
        <f t="shared" si="68"/>
        <v>-4.9638369724084266E-2</v>
      </c>
      <c r="FI14" s="12">
        <f t="shared" si="69"/>
        <v>-5.1549810258744479E-2</v>
      </c>
      <c r="FJ14" s="16">
        <v>0</v>
      </c>
      <c r="FK14" s="16">
        <v>0</v>
      </c>
      <c r="FL14" s="16">
        <f t="shared" si="70"/>
        <v>0</v>
      </c>
      <c r="FM14" s="16">
        <f t="shared" si="41"/>
        <v>24294.507545671167</v>
      </c>
      <c r="FN14" s="16">
        <f t="shared" si="71"/>
        <v>-24294.507545671167</v>
      </c>
      <c r="FO14" s="12">
        <f t="shared" si="42"/>
        <v>-5.5526449776731539E-2</v>
      </c>
      <c r="FP14" s="12">
        <f t="shared" si="43"/>
        <v>-9.6943748562234935E-2</v>
      </c>
      <c r="FQ14" s="12">
        <f t="shared" si="72"/>
        <v>-0.58129334067172622</v>
      </c>
    </row>
    <row r="15" spans="1:173" x14ac:dyDescent="0.35">
      <c r="A15" s="8" t="s">
        <v>180</v>
      </c>
      <c r="B15" s="8" t="s">
        <v>13</v>
      </c>
      <c r="C15" s="144">
        <f t="shared" si="0"/>
        <v>11</v>
      </c>
      <c r="D15" s="144">
        <v>5</v>
      </c>
      <c r="E15" s="144">
        <v>0</v>
      </c>
      <c r="F15" s="144">
        <v>0</v>
      </c>
      <c r="G15" s="144">
        <v>0</v>
      </c>
      <c r="H15" s="144">
        <v>6</v>
      </c>
      <c r="I15" s="144">
        <v>0</v>
      </c>
      <c r="J15" s="144">
        <v>0</v>
      </c>
      <c r="K15" s="144"/>
      <c r="L15" s="144">
        <v>1</v>
      </c>
      <c r="M15" s="149">
        <f t="shared" si="1"/>
        <v>9.0909090909090912E-2</v>
      </c>
      <c r="N15" s="149">
        <f>M15/M73</f>
        <v>1.4251128032984556E-3</v>
      </c>
      <c r="O15" s="144">
        <v>0</v>
      </c>
      <c r="P15" s="149">
        <f t="shared" si="2"/>
        <v>0</v>
      </c>
      <c r="Q15" s="147">
        <f>P15/P73</f>
        <v>0</v>
      </c>
      <c r="R15" s="149">
        <f t="shared" si="3"/>
        <v>6.8181818181818177E-2</v>
      </c>
      <c r="S15" s="147">
        <f>R15/R73</f>
        <v>1.3230174615434091E-3</v>
      </c>
      <c r="T15" s="147">
        <f t="shared" si="4"/>
        <v>1.0688346024738417E-3</v>
      </c>
      <c r="U15" s="142">
        <v>0</v>
      </c>
      <c r="V15" s="142">
        <f t="shared" si="5"/>
        <v>0</v>
      </c>
      <c r="W15" s="142"/>
      <c r="X15" s="147">
        <f>V15/V73</f>
        <v>0</v>
      </c>
      <c r="Y15" s="147">
        <f t="shared" si="6"/>
        <v>6.41300761484305E-4</v>
      </c>
      <c r="Z15" s="147">
        <v>-0.57199999999999995</v>
      </c>
      <c r="AA15" s="149">
        <v>-0.219</v>
      </c>
      <c r="AB15" s="145">
        <v>5</v>
      </c>
      <c r="AC15" s="149">
        <v>-7.5674339433688786E-2</v>
      </c>
      <c r="AD15" s="149">
        <f>(0.6*EI15)+(0.4*FG15)</f>
        <v>-0.21242966563161403</v>
      </c>
      <c r="AE15" s="142">
        <v>6</v>
      </c>
      <c r="AF15" s="209"/>
      <c r="AG15" s="209"/>
      <c r="AH15" s="12"/>
      <c r="AI15" s="12"/>
      <c r="AJ15" s="23"/>
      <c r="AK15" s="30"/>
      <c r="AL15" s="23"/>
      <c r="AM15" s="30"/>
      <c r="AN15" s="30"/>
      <c r="AO15" s="30"/>
      <c r="AP15" s="209"/>
      <c r="AQ15" s="142"/>
      <c r="AR15" s="24"/>
      <c r="AS15" s="24"/>
      <c r="AT15" s="24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25"/>
      <c r="BL15" s="16">
        <v>4</v>
      </c>
      <c r="BM15" s="16">
        <v>4</v>
      </c>
      <c r="BN15" s="16">
        <f>BL15-BM15</f>
        <v>0</v>
      </c>
      <c r="BO15" s="16">
        <v>25</v>
      </c>
      <c r="BP15" s="16">
        <v>3</v>
      </c>
      <c r="BQ15" s="16">
        <v>25.07733</v>
      </c>
      <c r="BR15" s="16">
        <f t="shared" si="81"/>
        <v>-21</v>
      </c>
      <c r="BS15" s="16">
        <v>5</v>
      </c>
      <c r="BT15" s="16">
        <v>3</v>
      </c>
      <c r="BU15" s="16"/>
      <c r="BV15" s="16"/>
      <c r="BW15" s="16"/>
      <c r="BX15" s="16"/>
      <c r="BY15" s="12"/>
      <c r="BZ15" s="12"/>
      <c r="CC15">
        <v>6</v>
      </c>
      <c r="CD15">
        <f t="shared" si="44"/>
        <v>9</v>
      </c>
      <c r="CE15" s="16">
        <f t="shared" si="9"/>
        <v>0</v>
      </c>
      <c r="CF15" s="54">
        <f t="shared" si="10"/>
        <v>10.87795</v>
      </c>
      <c r="CG15" s="16">
        <f t="shared" si="11"/>
        <v>21.315574999999999</v>
      </c>
      <c r="CH15" s="54">
        <f t="shared" si="12"/>
        <v>16.386048210372536</v>
      </c>
      <c r="CI15">
        <v>16</v>
      </c>
      <c r="CJ15" s="54">
        <f t="shared" si="82"/>
        <v>-13.386048210372536</v>
      </c>
      <c r="CK15" s="54">
        <f t="shared" si="83"/>
        <v>-13</v>
      </c>
      <c r="CL15" s="54">
        <f t="shared" si="47"/>
        <v>-21.07733</v>
      </c>
      <c r="CM15" s="12">
        <v>-0.25900000000000001</v>
      </c>
      <c r="CN15" s="16">
        <f t="shared" si="48"/>
        <v>9</v>
      </c>
      <c r="CO15" s="54">
        <f t="shared" si="49"/>
        <v>-7.8779500000000002</v>
      </c>
      <c r="CP15" s="12">
        <f t="shared" si="13"/>
        <v>-0.7771425327766075</v>
      </c>
      <c r="CQ15" s="12">
        <f t="shared" si="14"/>
        <v>-0.10718938970523689</v>
      </c>
      <c r="CR15" s="16">
        <f t="shared" si="50"/>
        <v>-16.315574999999999</v>
      </c>
      <c r="CS15" s="12">
        <f t="shared" si="15"/>
        <v>-9.379751900650668E-2</v>
      </c>
      <c r="CT15" s="12">
        <f t="shared" si="16"/>
        <v>-8.9664854612736822E-2</v>
      </c>
      <c r="CU15" s="12">
        <f t="shared" si="17"/>
        <v>-0.18051705717982072</v>
      </c>
      <c r="CV15" s="12">
        <f t="shared" si="74"/>
        <v>-0.23247459516925165</v>
      </c>
      <c r="CW15" s="54">
        <v>0</v>
      </c>
      <c r="CX15" s="54">
        <f t="shared" si="18"/>
        <v>15.680814999999999</v>
      </c>
      <c r="CY15" s="54">
        <f t="shared" si="51"/>
        <v>-12.680814999999999</v>
      </c>
      <c r="CZ15" s="12">
        <f t="shared" si="19"/>
        <v>-0.12406089067911111</v>
      </c>
      <c r="DA15" s="12">
        <f t="shared" si="20"/>
        <v>-2.5361629999999997</v>
      </c>
      <c r="DB15" s="12">
        <f t="shared" si="21"/>
        <v>-0.90335697084752786</v>
      </c>
      <c r="DC15" s="54">
        <v>0</v>
      </c>
      <c r="DD15" s="54">
        <v>0</v>
      </c>
      <c r="DE15" s="54">
        <f t="shared" si="22"/>
        <v>2.9067565000000002</v>
      </c>
      <c r="DF15" s="54">
        <v>0</v>
      </c>
      <c r="DG15" s="54">
        <v>0.5</v>
      </c>
      <c r="DH15" s="54">
        <f t="shared" si="52"/>
        <v>6.5</v>
      </c>
      <c r="DI15" s="54">
        <f t="shared" si="23"/>
        <v>29.410579825258139</v>
      </c>
      <c r="DJ15" s="16">
        <f t="shared" si="53"/>
        <v>-22.910579825258139</v>
      </c>
      <c r="DK15" s="12">
        <f t="shared" si="24"/>
        <v>-0.11883212976221075</v>
      </c>
      <c r="DL15" s="54">
        <v>0</v>
      </c>
      <c r="DM15" s="54">
        <v>0</v>
      </c>
      <c r="DN15" s="54">
        <v>0</v>
      </c>
      <c r="DO15" s="54">
        <f t="shared" si="54"/>
        <v>0</v>
      </c>
      <c r="DP15" s="54">
        <f t="shared" si="25"/>
        <v>3.1667990468625895</v>
      </c>
      <c r="DQ15" s="16">
        <f t="shared" si="55"/>
        <v>-3.1667990468625895</v>
      </c>
      <c r="DR15" s="12">
        <f t="shared" si="26"/>
        <v>-0.15889916310563126</v>
      </c>
      <c r="DS15" s="54">
        <f t="shared" si="56"/>
        <v>0</v>
      </c>
      <c r="DT15" s="54">
        <f t="shared" si="27"/>
        <v>0</v>
      </c>
      <c r="DU15" s="54">
        <f t="shared" si="28"/>
        <v>2.1767713659605552</v>
      </c>
      <c r="DV15" s="54">
        <f t="shared" si="57"/>
        <v>-2.9067565000000002</v>
      </c>
      <c r="DW15" s="54">
        <f t="shared" si="58"/>
        <v>0</v>
      </c>
      <c r="DX15" s="54">
        <f t="shared" si="29"/>
        <v>-2.1767713659605552</v>
      </c>
      <c r="DY15" s="12">
        <f t="shared" si="30"/>
        <v>-0.18462156095816876</v>
      </c>
      <c r="DZ15" s="12">
        <f t="shared" si="31"/>
        <v>-0.74676365459281735</v>
      </c>
      <c r="EA15" s="12">
        <f t="shared" si="32"/>
        <v>-0.11107124639919963</v>
      </c>
      <c r="EB15" s="12">
        <f t="shared" si="59"/>
        <v>-0.11650352949442219</v>
      </c>
      <c r="EC15" s="12">
        <f t="shared" si="60"/>
        <v>-0.10815985387872758</v>
      </c>
      <c r="ED15" s="12">
        <f t="shared" si="33"/>
        <v>-9.5016452559352524E-2</v>
      </c>
      <c r="EE15" s="54">
        <v>4</v>
      </c>
      <c r="EF15" s="54">
        <f t="shared" si="75"/>
        <v>-4</v>
      </c>
      <c r="EG15" s="12">
        <v>-0.32200000000000001</v>
      </c>
      <c r="EH15" s="12">
        <v>-0.27500000000000002</v>
      </c>
      <c r="EI15" s="12">
        <f t="shared" si="76"/>
        <v>-0.25485594637693876</v>
      </c>
      <c r="EJ15" s="16">
        <v>0</v>
      </c>
      <c r="EK15" s="16">
        <v>0</v>
      </c>
      <c r="EL15" s="16">
        <v>27333</v>
      </c>
      <c r="EM15" s="12">
        <f t="shared" ref="EM15" si="86">(0.75*DK15)+(0.25*DR15)</f>
        <v>-0.12884888809806588</v>
      </c>
      <c r="EN15" s="12">
        <f t="shared" si="61"/>
        <v>-0.76954781323066002</v>
      </c>
      <c r="EO15" s="16">
        <v>0</v>
      </c>
      <c r="EP15" s="16">
        <v>0</v>
      </c>
      <c r="EQ15" s="16">
        <f t="shared" si="35"/>
        <v>12337.985000000001</v>
      </c>
      <c r="ER15" s="16">
        <v>0</v>
      </c>
      <c r="ES15" s="16">
        <f t="shared" si="62"/>
        <v>0</v>
      </c>
      <c r="ET15" s="16">
        <f t="shared" si="36"/>
        <v>0</v>
      </c>
      <c r="EU15" s="16">
        <f t="shared" si="37"/>
        <v>9503.0314097881655</v>
      </c>
      <c r="EV15" s="16">
        <f t="shared" si="63"/>
        <v>-12337.985000000001</v>
      </c>
      <c r="EW15" s="16">
        <f t="shared" si="64"/>
        <v>0</v>
      </c>
      <c r="EX15" s="16">
        <f t="shared" si="65"/>
        <v>-9503.0314097881655</v>
      </c>
      <c r="EY15" s="12">
        <f t="shared" si="38"/>
        <v>-0.34982366135262349</v>
      </c>
      <c r="EZ15" s="17">
        <f t="shared" si="39"/>
        <v>-4.3762388077828139E-2</v>
      </c>
      <c r="FA15" s="17">
        <f t="shared" si="40"/>
        <v>-6.7376899605551585E-2</v>
      </c>
      <c r="FB15" s="17">
        <f t="shared" si="84"/>
        <v>-7.4514826766742759E-2</v>
      </c>
      <c r="FC15" s="16">
        <v>24359.72</v>
      </c>
      <c r="FD15">
        <f t="shared" si="85"/>
        <v>-27333</v>
      </c>
      <c r="FE15" s="16">
        <f t="shared" si="67"/>
        <v>-24359.72</v>
      </c>
      <c r="FF15" s="12">
        <v>-0.13600000000000001</v>
      </c>
      <c r="FG15" s="12">
        <f t="shared" si="78"/>
        <v>-0.14879024451362691</v>
      </c>
      <c r="FH15" s="12">
        <f t="shared" si="68"/>
        <v>-9.6852877538873949E-2</v>
      </c>
      <c r="FI15" s="12">
        <f t="shared" si="69"/>
        <v>-8.2400867558367799E-2</v>
      </c>
      <c r="FJ15" s="16">
        <v>0</v>
      </c>
      <c r="FK15" s="16">
        <v>0</v>
      </c>
      <c r="FL15" s="16">
        <f t="shared" si="70"/>
        <v>0</v>
      </c>
      <c r="FM15" s="16">
        <f t="shared" si="41"/>
        <v>29153.409054805401</v>
      </c>
      <c r="FN15" s="16">
        <f t="shared" si="71"/>
        <v>-29153.409054805401</v>
      </c>
      <c r="FO15" s="12">
        <f t="shared" si="42"/>
        <v>-6.6631739732077838E-2</v>
      </c>
      <c r="FP15" s="12">
        <f t="shared" si="43"/>
        <v>-0.10396202875167065</v>
      </c>
      <c r="FQ15" s="12">
        <f t="shared" si="72"/>
        <v>-0.60165815247944543</v>
      </c>
    </row>
    <row r="16" spans="1:173" x14ac:dyDescent="0.35">
      <c r="A16" s="8" t="s">
        <v>186</v>
      </c>
      <c r="B16" s="8" t="s">
        <v>187</v>
      </c>
      <c r="C16" s="144">
        <f t="shared" si="0"/>
        <v>36</v>
      </c>
      <c r="D16" s="144">
        <v>0</v>
      </c>
      <c r="E16" s="144">
        <v>0</v>
      </c>
      <c r="F16" s="144">
        <v>0</v>
      </c>
      <c r="G16" s="144">
        <v>36</v>
      </c>
      <c r="H16" s="144">
        <v>0</v>
      </c>
      <c r="I16" s="144">
        <v>0</v>
      </c>
      <c r="J16" s="144">
        <v>0</v>
      </c>
      <c r="K16" s="144"/>
      <c r="L16" s="144">
        <v>61.5</v>
      </c>
      <c r="M16" s="150">
        <f t="shared" si="1"/>
        <v>1.7083333333333333</v>
      </c>
      <c r="N16" s="149">
        <f>M16/M73</f>
        <v>2.6780244761983478E-2</v>
      </c>
      <c r="O16" s="144">
        <v>0.5</v>
      </c>
      <c r="P16" s="149">
        <f t="shared" si="2"/>
        <v>1.3888888888888888E-2</v>
      </c>
      <c r="Q16" s="147">
        <f>P16/P73</f>
        <v>9.4047623276898441E-4</v>
      </c>
      <c r="R16" s="149">
        <f t="shared" si="3"/>
        <v>1.2847222222222223</v>
      </c>
      <c r="S16" s="156">
        <f>R16/R73</f>
        <v>2.4929079020748496E-2</v>
      </c>
      <c r="T16" s="156">
        <f t="shared" si="4"/>
        <v>2.0320302629679852E-2</v>
      </c>
      <c r="U16" s="142">
        <v>20288</v>
      </c>
      <c r="V16" s="142">
        <f t="shared" si="5"/>
        <v>563.55555555555554</v>
      </c>
      <c r="W16" s="142"/>
      <c r="X16" s="147">
        <f>V16/V73</f>
        <v>7.2368446176705849E-3</v>
      </c>
      <c r="Y16" s="147">
        <f t="shared" si="6"/>
        <v>1.5086919424876145E-2</v>
      </c>
      <c r="Z16" s="147">
        <v>-2.3E-2</v>
      </c>
      <c r="AA16" s="149">
        <v>-0.14499999999999999</v>
      </c>
      <c r="AB16" s="145">
        <v>35</v>
      </c>
      <c r="AC16" s="149">
        <v>-0.2177959493528194</v>
      </c>
      <c r="AD16" s="149">
        <f t="shared" ref="AD16:AD23" si="87">(0.6*EI16)+(0.4*FG16)</f>
        <v>-0.12756975393558706</v>
      </c>
      <c r="AE16" s="142">
        <v>34</v>
      </c>
      <c r="AF16" s="209"/>
      <c r="AG16" s="209"/>
      <c r="AH16" s="12"/>
      <c r="AI16" s="12"/>
      <c r="AJ16" s="23"/>
      <c r="AK16" s="30"/>
      <c r="AL16" s="23"/>
      <c r="AM16" s="30"/>
      <c r="AN16" s="30"/>
      <c r="AO16" s="30"/>
      <c r="AP16" s="209"/>
      <c r="AQ16" s="142"/>
      <c r="AR16" s="24"/>
      <c r="AS16" s="24"/>
      <c r="AT16" s="24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25"/>
      <c r="BL16" s="16">
        <v>104</v>
      </c>
      <c r="BM16" s="16">
        <v>106</v>
      </c>
      <c r="BN16" s="16">
        <f t="shared" ref="BN16:BN23" si="88">BL16-BM16</f>
        <v>-2</v>
      </c>
      <c r="BO16" s="16">
        <v>82</v>
      </c>
      <c r="BP16" s="16">
        <v>104</v>
      </c>
      <c r="BQ16" s="16">
        <v>82.071250000000006</v>
      </c>
      <c r="BR16" s="16">
        <f t="shared" si="81"/>
        <v>22</v>
      </c>
      <c r="BS16" s="16">
        <v>180</v>
      </c>
      <c r="BT16" s="16">
        <v>51</v>
      </c>
      <c r="BU16" s="16"/>
      <c r="BV16" s="16"/>
      <c r="BW16" s="16"/>
      <c r="BX16" s="16"/>
      <c r="BY16" s="12"/>
      <c r="BZ16" s="12"/>
      <c r="CC16">
        <v>37</v>
      </c>
      <c r="CD16">
        <f t="shared" si="44"/>
        <v>88</v>
      </c>
      <c r="CE16" s="16">
        <f t="shared" si="9"/>
        <v>0</v>
      </c>
      <c r="CF16" s="54">
        <f t="shared" si="10"/>
        <v>76.145650000000003</v>
      </c>
      <c r="CG16" s="16">
        <f t="shared" si="11"/>
        <v>149.209025</v>
      </c>
      <c r="CH16" s="54">
        <f t="shared" si="12"/>
        <v>114.70233747260774</v>
      </c>
      <c r="CI16" s="54">
        <v>109.76331</v>
      </c>
      <c r="CJ16" s="54">
        <f t="shared" si="82"/>
        <v>-10.702337472607738</v>
      </c>
      <c r="CK16" s="54">
        <f t="shared" si="83"/>
        <v>-5.7633100000000042</v>
      </c>
      <c r="CL16" s="54">
        <f t="shared" si="47"/>
        <v>23.928749999999994</v>
      </c>
      <c r="CM16" s="12">
        <v>0.125</v>
      </c>
      <c r="CN16" s="16">
        <f t="shared" si="48"/>
        <v>88</v>
      </c>
      <c r="CO16" s="54">
        <f t="shared" si="49"/>
        <v>-25.145650000000003</v>
      </c>
      <c r="CP16" s="12">
        <f t="shared" si="13"/>
        <v>-0.37990299381122039</v>
      </c>
      <c r="CQ16" s="12">
        <f t="shared" si="14"/>
        <v>-0.26760604223312162</v>
      </c>
      <c r="CR16" s="16">
        <f t="shared" si="50"/>
        <v>30.790975000000003</v>
      </c>
      <c r="CS16" s="12">
        <f t="shared" si="15"/>
        <v>0.15482041827024898</v>
      </c>
      <c r="CT16" s="12">
        <f t="shared" si="16"/>
        <v>-7.1688336872582623E-2</v>
      </c>
      <c r="CU16" s="14">
        <f t="shared" si="17"/>
        <v>0.12219574276086387</v>
      </c>
      <c r="CV16" s="12">
        <f t="shared" si="74"/>
        <v>0.16959058704132041</v>
      </c>
      <c r="CW16" s="54">
        <v>4</v>
      </c>
      <c r="CX16" s="54">
        <f t="shared" si="18"/>
        <v>109.765705</v>
      </c>
      <c r="CY16" s="54">
        <f t="shared" si="51"/>
        <v>-5.765704999999997</v>
      </c>
      <c r="CZ16" s="12">
        <f t="shared" si="19"/>
        <v>-7.7549375207539212E-2</v>
      </c>
      <c r="DA16" s="12">
        <f t="shared" si="20"/>
        <v>-0.16473442857142848</v>
      </c>
      <c r="DB16" s="12">
        <f t="shared" si="21"/>
        <v>-8.936234835962252E-2</v>
      </c>
      <c r="DC16" s="54">
        <v>3</v>
      </c>
      <c r="DD16" s="54">
        <v>5</v>
      </c>
      <c r="DE16" s="54">
        <f t="shared" si="22"/>
        <v>20.347295500000001</v>
      </c>
      <c r="DF16" s="54">
        <v>48</v>
      </c>
      <c r="DG16" s="54">
        <v>17.5</v>
      </c>
      <c r="DH16" s="54">
        <f t="shared" si="52"/>
        <v>102.5</v>
      </c>
      <c r="DI16" s="54">
        <f t="shared" si="23"/>
        <v>166.65995234312948</v>
      </c>
      <c r="DJ16" s="16">
        <f t="shared" si="53"/>
        <v>-64.159952343129476</v>
      </c>
      <c r="DK16" s="12">
        <f t="shared" si="24"/>
        <v>-0.33278353671217537</v>
      </c>
      <c r="DL16" s="54">
        <v>1</v>
      </c>
      <c r="DM16" s="54">
        <v>2</v>
      </c>
      <c r="DN16" s="54">
        <v>5.5</v>
      </c>
      <c r="DO16" s="54">
        <f t="shared" si="54"/>
        <v>8.5</v>
      </c>
      <c r="DP16" s="54">
        <f t="shared" si="25"/>
        <v>17.945194598888005</v>
      </c>
      <c r="DQ16" s="16">
        <f t="shared" si="55"/>
        <v>-9.4451945988880048</v>
      </c>
      <c r="DR16" s="12">
        <f t="shared" si="26"/>
        <v>-0.47392761426401142</v>
      </c>
      <c r="DS16" s="54">
        <f t="shared" si="56"/>
        <v>4</v>
      </c>
      <c r="DT16" s="54">
        <f t="shared" si="27"/>
        <v>0</v>
      </c>
      <c r="DU16" s="54">
        <f t="shared" si="28"/>
        <v>15.237399561723885</v>
      </c>
      <c r="DV16" s="54">
        <f t="shared" si="57"/>
        <v>-15.347295500000001</v>
      </c>
      <c r="DW16" s="54">
        <f t="shared" si="58"/>
        <v>4</v>
      </c>
      <c r="DX16" s="54">
        <f t="shared" si="29"/>
        <v>-12.237399561723885</v>
      </c>
      <c r="DY16" s="12">
        <f t="shared" si="30"/>
        <v>-0.56932184011215614</v>
      </c>
      <c r="DZ16" s="12">
        <f t="shared" si="31"/>
        <v>-0.6119033719574567</v>
      </c>
      <c r="EA16" s="12">
        <f t="shared" si="32"/>
        <v>-0.62442167480731248</v>
      </c>
      <c r="EB16" s="12">
        <f t="shared" si="59"/>
        <v>-2.6215146325352295E-2</v>
      </c>
      <c r="EC16" s="12">
        <f t="shared" si="60"/>
        <v>-0.35680995037666929</v>
      </c>
      <c r="ED16" s="12">
        <f t="shared" si="33"/>
        <v>-0.20987167135626508</v>
      </c>
      <c r="EE16" s="54">
        <v>12</v>
      </c>
      <c r="EF16" s="54">
        <f t="shared" si="75"/>
        <v>-8</v>
      </c>
      <c r="EG16" s="12">
        <v>-0.48099999999999998</v>
      </c>
      <c r="EH16" s="12">
        <v>-2.7E-2</v>
      </c>
      <c r="EI16" s="12">
        <f t="shared" si="76"/>
        <v>6.9429402809903229E-3</v>
      </c>
      <c r="EJ16" s="16">
        <v>17775</v>
      </c>
      <c r="EK16" s="16">
        <v>17775.38</v>
      </c>
      <c r="EL16" s="16">
        <v>79324</v>
      </c>
      <c r="EM16" s="12">
        <f t="shared" ref="EM16:EM47" si="89">(0.75*DK16)+(0.25*DR16)</f>
        <v>-0.36806955610013437</v>
      </c>
      <c r="EN16" s="12">
        <f t="shared" si="61"/>
        <v>-0.43790308834777947</v>
      </c>
      <c r="EO16" s="16">
        <v>17308</v>
      </c>
      <c r="EP16" s="16">
        <v>35084</v>
      </c>
      <c r="EQ16" s="16">
        <f t="shared" si="35"/>
        <v>86365.895000000004</v>
      </c>
      <c r="ER16" s="16">
        <v>53692</v>
      </c>
      <c r="ES16" s="16">
        <f t="shared" si="62"/>
        <v>71000</v>
      </c>
      <c r="ET16" s="16">
        <f t="shared" si="36"/>
        <v>0</v>
      </c>
      <c r="EU16" s="16">
        <f t="shared" si="37"/>
        <v>66521.219868517161</v>
      </c>
      <c r="EV16" s="16">
        <f t="shared" si="63"/>
        <v>-51281.895000000004</v>
      </c>
      <c r="EW16" s="16">
        <f t="shared" si="64"/>
        <v>71000</v>
      </c>
      <c r="EX16" s="16">
        <f t="shared" si="65"/>
        <v>-49213.219868517161</v>
      </c>
      <c r="EY16" s="12">
        <f t="shared" si="38"/>
        <v>-0.1866386640876106</v>
      </c>
      <c r="EZ16" s="17">
        <f t="shared" si="39"/>
        <v>-0.2266316855721659</v>
      </c>
      <c r="FA16" s="17">
        <f t="shared" si="40"/>
        <v>-0.22307826784224799</v>
      </c>
      <c r="FB16" s="17">
        <f t="shared" si="84"/>
        <v>-0.2165756770426254</v>
      </c>
      <c r="FC16" s="16">
        <v>72874.67</v>
      </c>
      <c r="FD16">
        <f t="shared" si="85"/>
        <v>-61549</v>
      </c>
      <c r="FE16" s="16">
        <f t="shared" si="67"/>
        <v>-55099.289999999994</v>
      </c>
      <c r="FF16" s="12">
        <v>-0.32200000000000001</v>
      </c>
      <c r="FG16" s="12">
        <f t="shared" si="78"/>
        <v>-0.32933879526045312</v>
      </c>
      <c r="FH16" s="12">
        <f t="shared" si="68"/>
        <v>-0.10496039493211057</v>
      </c>
      <c r="FI16" s="12">
        <f t="shared" si="69"/>
        <v>-0.30473864445486792</v>
      </c>
      <c r="FJ16" s="16">
        <v>86986</v>
      </c>
      <c r="FK16" s="16">
        <v>20839</v>
      </c>
      <c r="FL16" s="16">
        <f t="shared" si="70"/>
        <v>161517</v>
      </c>
      <c r="FM16" s="16">
        <f t="shared" si="41"/>
        <v>165202.65131056393</v>
      </c>
      <c r="FN16" s="16">
        <f t="shared" si="71"/>
        <v>-3685.6513105639315</v>
      </c>
      <c r="FO16" s="12">
        <f t="shared" si="42"/>
        <v>-8.4237612969042842E-3</v>
      </c>
      <c r="FP16" s="12">
        <f t="shared" si="43"/>
        <v>-0.22421123817884234</v>
      </c>
      <c r="FQ16" s="12">
        <f t="shared" si="72"/>
        <v>-0.33739731864371192</v>
      </c>
    </row>
    <row r="17" spans="1:173" x14ac:dyDescent="0.35">
      <c r="A17" s="8" t="s">
        <v>186</v>
      </c>
      <c r="B17" s="8" t="s">
        <v>79</v>
      </c>
      <c r="C17" s="144">
        <f t="shared" si="0"/>
        <v>82</v>
      </c>
      <c r="D17" s="144">
        <v>0</v>
      </c>
      <c r="E17" s="144">
        <v>0</v>
      </c>
      <c r="F17" s="144">
        <v>0</v>
      </c>
      <c r="G17" s="144">
        <v>82</v>
      </c>
      <c r="H17" s="144">
        <v>0</v>
      </c>
      <c r="I17" s="144">
        <v>0</v>
      </c>
      <c r="J17" s="144">
        <v>0</v>
      </c>
      <c r="K17" s="144"/>
      <c r="L17" s="144">
        <v>6</v>
      </c>
      <c r="M17" s="149">
        <f t="shared" si="1"/>
        <v>7.3170731707317069E-2</v>
      </c>
      <c r="N17" s="149">
        <f>M17/M73</f>
        <v>1.1470420124109521E-3</v>
      </c>
      <c r="O17" s="144">
        <v>52</v>
      </c>
      <c r="P17" s="149">
        <f t="shared" si="2"/>
        <v>0.63414634146341464</v>
      </c>
      <c r="Q17" s="147">
        <f>P17/P73</f>
        <v>4.2940768481549728E-2</v>
      </c>
      <c r="R17" s="149">
        <f t="shared" si="3"/>
        <v>0.21341463414634146</v>
      </c>
      <c r="S17" s="147">
        <f>R17/R73</f>
        <v>4.1411522170261179E-3</v>
      </c>
      <c r="T17" s="147">
        <f t="shared" si="4"/>
        <v>1.1595473629695647E-2</v>
      </c>
      <c r="U17" s="142">
        <v>383890</v>
      </c>
      <c r="V17" s="154">
        <f t="shared" si="5"/>
        <v>4681.5853658536589</v>
      </c>
      <c r="W17" s="154"/>
      <c r="X17" s="147">
        <f>V17/V73</f>
        <v>6.01181294781922E-2</v>
      </c>
      <c r="Y17" s="155">
        <f t="shared" si="6"/>
        <v>3.100453596909427E-2</v>
      </c>
      <c r="Z17" s="155">
        <v>0.79900000000000004</v>
      </c>
      <c r="AA17" s="150">
        <v>0.72799999999999998</v>
      </c>
      <c r="AB17" s="145">
        <v>75</v>
      </c>
      <c r="AC17" s="150">
        <v>0.69062276932696665</v>
      </c>
      <c r="AD17" s="150">
        <f t="shared" si="87"/>
        <v>0.80038005245813226</v>
      </c>
      <c r="AE17" s="142">
        <v>66</v>
      </c>
      <c r="AF17" s="209">
        <v>277698.7424232816</v>
      </c>
      <c r="AG17" s="209">
        <f>AT17*BK$32</f>
        <v>249016.92224896196</v>
      </c>
      <c r="AH17" s="12">
        <f>C17*BA17</f>
        <v>4.2509435305846326</v>
      </c>
      <c r="AI17" s="35" t="e">
        <f>AU17*BK$9</f>
        <v>#DIV/0!</v>
      </c>
      <c r="AJ17" s="34" t="e">
        <f>AV17*BK$16</f>
        <v>#DIV/0!</v>
      </c>
      <c r="AK17" s="34" t="e">
        <f>SUM(AL17:AM17)</f>
        <v>#DIV/0!</v>
      </c>
      <c r="AL17" s="34" t="e">
        <f>AW17*BK$24</f>
        <v>#DIV/0!</v>
      </c>
      <c r="AM17" s="34" t="e">
        <f>AX17*BK$26</f>
        <v>#DIV/0!</v>
      </c>
      <c r="AN17" s="30">
        <f>AS17*BK$35</f>
        <v>195645.6710173281</v>
      </c>
      <c r="AO17" s="30">
        <f>AVERAGE(AF17,AR17,AN17)</f>
        <v>247793.7226936236</v>
      </c>
      <c r="AP17" s="209">
        <f>AVERAGE(AF17:AG17)</f>
        <v>263357.83233612176</v>
      </c>
      <c r="AQ17" s="154">
        <f>AO17-(AO$72*BE17)</f>
        <v>261890.95348177137</v>
      </c>
      <c r="AR17" s="130">
        <f>AP17+(AP$72*BF17)</f>
        <v>270036.75464026118</v>
      </c>
      <c r="AS17" s="24">
        <f>AB17*BE17</f>
        <v>3.9996227145613652</v>
      </c>
      <c r="AT17" s="24">
        <f>AB17*BF17</f>
        <v>4.4138068107481221</v>
      </c>
      <c r="AU17" s="16" t="e">
        <f>AB17*BG17</f>
        <v>#DIV/0!</v>
      </c>
      <c r="AV17" s="16" t="e">
        <f t="shared" ref="AV17:AV18" si="90">AB17*BB17</f>
        <v>#DIV/0!</v>
      </c>
      <c r="AW17" s="16" t="e">
        <f t="shared" ref="AW17:AW18" si="91">AB17*BC17</f>
        <v>#DIV/0!</v>
      </c>
      <c r="AX17" s="16" t="e">
        <f>AB17*BD17</f>
        <v>#DIV/0!</v>
      </c>
      <c r="AY17" s="24" t="s">
        <v>400</v>
      </c>
      <c r="AZ17" s="16"/>
      <c r="BA17" s="16">
        <f>AA17/BH$2</f>
        <v>5.1840774763227231E-2</v>
      </c>
      <c r="BB17" s="16" t="e">
        <f>FH17/BK$14</f>
        <v>#DIV/0!</v>
      </c>
      <c r="BC17" s="16" t="e">
        <f>EB17/BK$19</f>
        <v>#DIV/0!</v>
      </c>
      <c r="BD17" s="16" t="e">
        <f>FA17/BK$21</f>
        <v>#DIV/0!</v>
      </c>
      <c r="BE17" s="142">
        <f>FQ17/BK$26</f>
        <v>5.3328302860818202E-2</v>
      </c>
      <c r="BF17" s="16">
        <f>FI17/BK$29</f>
        <v>5.8850757476641626E-2</v>
      </c>
      <c r="BG17" s="142" t="e">
        <f>AC17/BK$5</f>
        <v>#DIV/0!</v>
      </c>
      <c r="BH17" s="16"/>
      <c r="BI17" s="16"/>
      <c r="BJ17" s="16"/>
      <c r="BK17" s="16"/>
      <c r="BL17" s="16">
        <v>194</v>
      </c>
      <c r="BM17" s="16">
        <v>194</v>
      </c>
      <c r="BN17" s="16">
        <f t="shared" si="88"/>
        <v>0</v>
      </c>
      <c r="BO17" s="16">
        <v>186</v>
      </c>
      <c r="BP17" s="16">
        <v>284</v>
      </c>
      <c r="BQ17" s="16">
        <v>186.94006999999999</v>
      </c>
      <c r="BR17" s="16">
        <f t="shared" si="81"/>
        <v>8</v>
      </c>
      <c r="BS17" s="16">
        <v>372</v>
      </c>
      <c r="BT17" s="16">
        <v>201</v>
      </c>
      <c r="BU17" s="211">
        <v>163761.48662260934</v>
      </c>
      <c r="BV17" s="285">
        <v>0</v>
      </c>
      <c r="BW17" s="16">
        <f>AVERAGE(AQ17,BU17,BV17)</f>
        <v>141884.14670146024</v>
      </c>
      <c r="BX17" s="285">
        <f>BW17-(BZ17*BW$72)</f>
        <v>141884.14670146024</v>
      </c>
      <c r="BY17" s="12"/>
      <c r="BZ17" s="12"/>
      <c r="CC17">
        <v>88</v>
      </c>
      <c r="CD17">
        <f t="shared" si="44"/>
        <v>289</v>
      </c>
      <c r="CE17" s="16">
        <f t="shared" si="9"/>
        <v>0</v>
      </c>
      <c r="CF17" s="54">
        <f t="shared" si="10"/>
        <v>163.16925000000001</v>
      </c>
      <c r="CG17" s="16">
        <f t="shared" si="11"/>
        <v>319.73362500000002</v>
      </c>
      <c r="CH17" s="54">
        <f t="shared" si="12"/>
        <v>245.79072315558801</v>
      </c>
      <c r="CI17" s="54">
        <v>235.2071</v>
      </c>
      <c r="CJ17" s="54">
        <f t="shared" si="82"/>
        <v>38.209276844411988</v>
      </c>
      <c r="CK17" s="54">
        <f t="shared" si="83"/>
        <v>48.792900000000003</v>
      </c>
      <c r="CL17" s="54">
        <f t="shared" si="47"/>
        <v>7.0599300000000085</v>
      </c>
      <c r="CM17" s="12">
        <v>0</v>
      </c>
      <c r="CN17" s="16">
        <f t="shared" si="48"/>
        <v>289</v>
      </c>
      <c r="CO17" s="54">
        <f t="shared" si="49"/>
        <v>37.830749999999995</v>
      </c>
      <c r="CP17" s="12">
        <f t="shared" si="13"/>
        <v>0.63079507368299237</v>
      </c>
      <c r="CQ17" s="14">
        <f t="shared" si="14"/>
        <v>0.31744369086723795</v>
      </c>
      <c r="CR17" s="16">
        <f t="shared" si="50"/>
        <v>52.266374999999982</v>
      </c>
      <c r="CS17" s="14">
        <f t="shared" si="15"/>
        <v>0.26816282288687304</v>
      </c>
      <c r="CT17" s="14">
        <f t="shared" si="16"/>
        <v>0.25594030435788068</v>
      </c>
      <c r="CU17" s="12">
        <f t="shared" si="17"/>
        <v>8.7353451013606406E-3</v>
      </c>
      <c r="CV17" s="12">
        <f t="shared" si="74"/>
        <v>1.8891721755178253E-2</v>
      </c>
      <c r="CW17" s="54">
        <v>55</v>
      </c>
      <c r="CX17" s="54">
        <f t="shared" si="18"/>
        <v>235.21222499999999</v>
      </c>
      <c r="CY17" s="54">
        <f t="shared" si="51"/>
        <v>48.787775000000011</v>
      </c>
      <c r="CZ17" s="14">
        <f t="shared" si="19"/>
        <v>0.28938116227459587</v>
      </c>
      <c r="DA17" s="12">
        <f t="shared" si="20"/>
        <v>0.65050366666666681</v>
      </c>
      <c r="DB17" s="12">
        <f t="shared" si="21"/>
        <v>0.1904687347125249</v>
      </c>
      <c r="DC17" s="54">
        <v>48</v>
      </c>
      <c r="DD17" s="54">
        <v>88</v>
      </c>
      <c r="DE17" s="54">
        <f t="shared" si="22"/>
        <v>43.601347500000003</v>
      </c>
      <c r="DF17" s="54">
        <v>73</v>
      </c>
      <c r="DG17" s="54">
        <v>38.6</v>
      </c>
      <c r="DH17" s="54">
        <f t="shared" si="52"/>
        <v>199.6</v>
      </c>
      <c r="DI17" s="54">
        <f t="shared" si="23"/>
        <v>323.51637807783953</v>
      </c>
      <c r="DJ17" s="16">
        <f t="shared" si="53"/>
        <v>-123.91637807783954</v>
      </c>
      <c r="DK17" s="12">
        <f t="shared" si="24"/>
        <v>-0.64272695111692035</v>
      </c>
      <c r="DL17" s="54">
        <v>9</v>
      </c>
      <c r="DM17" s="54">
        <v>7</v>
      </c>
      <c r="DN17" s="54">
        <v>17.5</v>
      </c>
      <c r="DO17" s="54">
        <f t="shared" si="54"/>
        <v>33.5</v>
      </c>
      <c r="DP17" s="54">
        <f t="shared" si="25"/>
        <v>34.834789515488481</v>
      </c>
      <c r="DQ17" s="16">
        <f t="shared" si="55"/>
        <v>-1.334789515488481</v>
      </c>
      <c r="DR17" s="12">
        <f t="shared" si="26"/>
        <v>-6.6975180235518669E-2</v>
      </c>
      <c r="DS17" s="54">
        <f t="shared" si="56"/>
        <v>57</v>
      </c>
      <c r="DT17" s="54">
        <f t="shared" si="27"/>
        <v>0</v>
      </c>
      <c r="DU17" s="54">
        <f t="shared" si="28"/>
        <v>32.651570489408329</v>
      </c>
      <c r="DV17" s="54">
        <f t="shared" si="57"/>
        <v>44.398652499999997</v>
      </c>
      <c r="DW17" s="54">
        <f t="shared" si="58"/>
        <v>57</v>
      </c>
      <c r="DX17" s="54">
        <f t="shared" si="29"/>
        <v>15.348429510591671</v>
      </c>
      <c r="DY17" s="12">
        <f t="shared" si="30"/>
        <v>1.2782092736056347</v>
      </c>
      <c r="DZ17" s="12">
        <f t="shared" si="31"/>
        <v>1.1749953729610705</v>
      </c>
      <c r="EA17" s="12">
        <f t="shared" si="32"/>
        <v>0.78316410380536317</v>
      </c>
      <c r="EB17" s="14">
        <f t="shared" si="59"/>
        <v>0.52067443556656345</v>
      </c>
      <c r="EC17" s="14">
        <f t="shared" si="60"/>
        <v>0.43387379410176924</v>
      </c>
      <c r="ED17" s="14">
        <f t="shared" si="33"/>
        <v>0.38774625421975129</v>
      </c>
      <c r="EE17" s="54">
        <v>26</v>
      </c>
      <c r="EF17" s="54">
        <f t="shared" si="75"/>
        <v>29</v>
      </c>
      <c r="EG17" s="12">
        <v>0.99299999999999999</v>
      </c>
      <c r="EH17" s="12">
        <v>0.248</v>
      </c>
      <c r="EI17" s="12">
        <f t="shared" si="76"/>
        <v>0.26241879131638368</v>
      </c>
      <c r="EJ17" s="16">
        <v>430588</v>
      </c>
      <c r="EK17" s="16">
        <v>430587.17000000004</v>
      </c>
      <c r="EL17" s="16">
        <v>166217</v>
      </c>
      <c r="EM17" s="12">
        <f t="shared" si="89"/>
        <v>-0.49878900839656992</v>
      </c>
      <c r="EN17" s="14">
        <f t="shared" si="61"/>
        <v>0.76684514850251184</v>
      </c>
      <c r="EO17" s="16">
        <v>379002</v>
      </c>
      <c r="EP17" s="16">
        <v>489886</v>
      </c>
      <c r="EQ17" s="16">
        <f t="shared" si="35"/>
        <v>185069.77500000002</v>
      </c>
      <c r="ER17" s="16">
        <v>51123</v>
      </c>
      <c r="ES17" s="16">
        <f t="shared" si="62"/>
        <v>430125</v>
      </c>
      <c r="ET17" s="16">
        <f t="shared" si="36"/>
        <v>0</v>
      </c>
      <c r="EU17" s="16">
        <f t="shared" si="37"/>
        <v>142545.4711468225</v>
      </c>
      <c r="EV17" s="16">
        <f t="shared" si="63"/>
        <v>304816.22499999998</v>
      </c>
      <c r="EW17" s="16">
        <f t="shared" si="64"/>
        <v>430125</v>
      </c>
      <c r="EX17" s="16">
        <f t="shared" si="65"/>
        <v>236456.5288531775</v>
      </c>
      <c r="EY17" s="12">
        <f t="shared" si="38"/>
        <v>0.63876714074052665</v>
      </c>
      <c r="EZ17" s="17">
        <f t="shared" si="39"/>
        <v>1.0889054169125989</v>
      </c>
      <c r="FA17" s="109">
        <f t="shared" si="40"/>
        <v>1.2006350806765651</v>
      </c>
      <c r="FB17" s="109">
        <f t="shared" si="84"/>
        <v>0.66820991929689033</v>
      </c>
      <c r="FC17" s="16">
        <v>155957.32</v>
      </c>
      <c r="FD17">
        <f t="shared" si="85"/>
        <v>264371</v>
      </c>
      <c r="FE17" s="16">
        <f t="shared" si="67"/>
        <v>274629.85000000003</v>
      </c>
      <c r="FF17" s="12">
        <v>1.4470000000000001</v>
      </c>
      <c r="FG17" s="12">
        <f t="shared" si="78"/>
        <v>1.6073219441707549</v>
      </c>
      <c r="FH17" s="14">
        <f t="shared" si="68"/>
        <v>0.79265869361056418</v>
      </c>
      <c r="FI17" s="14">
        <f t="shared" si="69"/>
        <v>0.69588644322610116</v>
      </c>
      <c r="FJ17" s="16">
        <v>35000</v>
      </c>
      <c r="FK17" s="16">
        <v>151307</v>
      </c>
      <c r="FL17" s="16">
        <f t="shared" si="70"/>
        <v>237430</v>
      </c>
      <c r="FM17" s="16">
        <f t="shared" si="41"/>
        <v>320687.49960285943</v>
      </c>
      <c r="FN17" s="16">
        <f t="shared" si="71"/>
        <v>-83257.499602859432</v>
      </c>
      <c r="FO17" s="12">
        <f t="shared" si="42"/>
        <v>-0.19028965133554024</v>
      </c>
      <c r="FP17" s="12">
        <f t="shared" si="43"/>
        <v>-0.37538926557215802</v>
      </c>
      <c r="FQ17" s="14">
        <f t="shared" si="72"/>
        <v>0.71561394539771772</v>
      </c>
    </row>
    <row r="18" spans="1:173" x14ac:dyDescent="0.35">
      <c r="A18" s="7" t="s">
        <v>186</v>
      </c>
      <c r="B18" s="7" t="s">
        <v>81</v>
      </c>
      <c r="C18" s="144">
        <f t="shared" si="0"/>
        <v>73</v>
      </c>
      <c r="D18" s="144">
        <v>0</v>
      </c>
      <c r="E18" s="144">
        <v>0</v>
      </c>
      <c r="F18" s="144">
        <v>0</v>
      </c>
      <c r="G18" s="144">
        <v>73</v>
      </c>
      <c r="H18" s="144">
        <v>0</v>
      </c>
      <c r="I18" s="144">
        <v>0</v>
      </c>
      <c r="J18" s="144">
        <v>0</v>
      </c>
      <c r="K18" s="144"/>
      <c r="L18" s="144">
        <v>69</v>
      </c>
      <c r="M18" s="149">
        <f t="shared" si="1"/>
        <v>0.9452054794520548</v>
      </c>
      <c r="N18" s="149">
        <f>M18/M73</f>
        <v>1.4817268735664763E-2</v>
      </c>
      <c r="O18" s="144">
        <v>17.5</v>
      </c>
      <c r="P18" s="149">
        <f t="shared" si="2"/>
        <v>0.23972602739726026</v>
      </c>
      <c r="Q18" s="147">
        <f>P18/P73</f>
        <v>1.6232877442313977E-2</v>
      </c>
      <c r="R18" s="149">
        <f t="shared" si="3"/>
        <v>0.76883561643835618</v>
      </c>
      <c r="S18" s="147">
        <f>R18/R73</f>
        <v>1.4918683202198397E-2</v>
      </c>
      <c r="T18" s="147">
        <f t="shared" si="4"/>
        <v>1.5171170912327068E-2</v>
      </c>
      <c r="U18" s="142">
        <v>7597</v>
      </c>
      <c r="V18" s="142">
        <f t="shared" si="5"/>
        <v>104.06849315068493</v>
      </c>
      <c r="W18" s="142"/>
      <c r="X18" s="147">
        <f>V18/V73</f>
        <v>1.3363855738839907E-3</v>
      </c>
      <c r="Y18" s="147">
        <f t="shared" si="6"/>
        <v>9.6372567769498364E-3</v>
      </c>
      <c r="Z18" s="147">
        <v>-0.19500000000000001</v>
      </c>
      <c r="AA18" s="149">
        <v>-8.2000000000000003E-2</v>
      </c>
      <c r="AB18" s="145">
        <v>65</v>
      </c>
      <c r="AC18" s="150">
        <v>0.12774271297711218</v>
      </c>
      <c r="AD18" s="149">
        <f t="shared" si="87"/>
        <v>0.20422565134799822</v>
      </c>
      <c r="AE18" s="142">
        <v>66</v>
      </c>
      <c r="AF18" s="209">
        <v>0</v>
      </c>
      <c r="AG18" s="209">
        <v>0</v>
      </c>
      <c r="AH18" s="12"/>
      <c r="AI18" s="35" t="e">
        <f>AU18*BK$9</f>
        <v>#DIV/0!</v>
      </c>
      <c r="AJ18" s="34" t="e">
        <f>AV18*BK$16</f>
        <v>#DIV/0!</v>
      </c>
      <c r="AK18" s="34" t="e">
        <f>SUM(AL18:AM18)</f>
        <v>#DIV/0!</v>
      </c>
      <c r="AL18" s="34" t="e">
        <f>AW18*BK$24</f>
        <v>#DIV/0!</v>
      </c>
      <c r="AM18" s="30"/>
      <c r="AN18" s="30">
        <f>AS18*BK$35</f>
        <v>101588.59481784129</v>
      </c>
      <c r="AO18" s="30">
        <f>AVERAGE(AF18,AR18,AN18)</f>
        <v>33862.864939280429</v>
      </c>
      <c r="AP18" s="209"/>
      <c r="AQ18" s="154">
        <f>AO18-(AO$72*BE18)</f>
        <v>42308.968978422359</v>
      </c>
      <c r="AR18" s="24">
        <v>0</v>
      </c>
      <c r="AS18" s="24">
        <f>AB18*BE18</f>
        <v>2.0767955112986995</v>
      </c>
      <c r="AT18" s="24"/>
      <c r="AU18" s="16" t="e">
        <f>AB18*BG18</f>
        <v>#DIV/0!</v>
      </c>
      <c r="AV18" s="16" t="e">
        <f t="shared" si="90"/>
        <v>#DIV/0!</v>
      </c>
      <c r="AW18" s="16" t="e">
        <f t="shared" si="91"/>
        <v>#DIV/0!</v>
      </c>
      <c r="AX18" s="16"/>
      <c r="AY18" s="285">
        <v>3150486.5702092429</v>
      </c>
      <c r="AZ18" s="16"/>
      <c r="BA18" s="16"/>
      <c r="BB18" s="16" t="e">
        <f>FH18/BK$14</f>
        <v>#DIV/0!</v>
      </c>
      <c r="BC18" s="16" t="e">
        <f>EB18/BK$19</f>
        <v>#DIV/0!</v>
      </c>
      <c r="BD18" s="16"/>
      <c r="BE18" s="142">
        <f>FQ18/BK$26</f>
        <v>3.1950700173826146E-2</v>
      </c>
      <c r="BF18" s="16"/>
      <c r="BG18" s="142" t="e">
        <f>AC18/BK$5</f>
        <v>#DIV/0!</v>
      </c>
      <c r="BH18" s="16"/>
      <c r="BI18" s="16"/>
      <c r="BJ18" s="16"/>
      <c r="BK18" s="142"/>
      <c r="BL18" s="16">
        <v>191</v>
      </c>
      <c r="BM18" s="16">
        <v>191</v>
      </c>
      <c r="BN18" s="16">
        <f t="shared" si="88"/>
        <v>0</v>
      </c>
      <c r="BO18" s="16">
        <v>165</v>
      </c>
      <c r="BP18" s="16">
        <v>224</v>
      </c>
      <c r="BQ18" s="16">
        <v>166.42225999999999</v>
      </c>
      <c r="BR18" s="16">
        <f t="shared" si="81"/>
        <v>26</v>
      </c>
      <c r="BS18" s="16">
        <v>345</v>
      </c>
      <c r="BT18" s="16">
        <v>128</v>
      </c>
      <c r="BU18" s="211">
        <v>5431.4689706510462</v>
      </c>
      <c r="BV18" s="285">
        <v>0</v>
      </c>
      <c r="BW18" s="16">
        <f>AVERAGE(AQ18,BU18,BV18)</f>
        <v>15913.479316357802</v>
      </c>
      <c r="BX18" s="285">
        <f>BW18-(BZ18*BW$72)</f>
        <v>15913.479316357802</v>
      </c>
      <c r="BY18" s="12"/>
      <c r="BZ18" s="12"/>
      <c r="CC18">
        <v>115</v>
      </c>
      <c r="CD18">
        <f t="shared" si="44"/>
        <v>243</v>
      </c>
      <c r="CE18" s="16">
        <f t="shared" si="9"/>
        <v>0</v>
      </c>
      <c r="CF18" s="54">
        <f t="shared" si="10"/>
        <v>141.41335000000001</v>
      </c>
      <c r="CG18" s="16">
        <f t="shared" si="11"/>
        <v>277.10247500000003</v>
      </c>
      <c r="CH18" s="54">
        <f t="shared" si="12"/>
        <v>213.01862673484294</v>
      </c>
      <c r="CI18" s="54">
        <v>203.84614999999999</v>
      </c>
      <c r="CJ18" s="54">
        <f t="shared" si="82"/>
        <v>10.98137326515706</v>
      </c>
      <c r="CK18" s="54">
        <f t="shared" si="83"/>
        <v>20.153850000000006</v>
      </c>
      <c r="CL18" s="54">
        <f t="shared" si="47"/>
        <v>24.577740000000006</v>
      </c>
      <c r="CM18" s="12">
        <v>0.161</v>
      </c>
      <c r="CN18" s="16">
        <f t="shared" si="48"/>
        <v>243</v>
      </c>
      <c r="CO18" s="54">
        <f t="shared" si="49"/>
        <v>-13.413350000000008</v>
      </c>
      <c r="CP18" s="12">
        <f t="shared" si="13"/>
        <v>0.39949103833605809</v>
      </c>
      <c r="CQ18" s="12">
        <f t="shared" si="14"/>
        <v>-0.15861316579602225</v>
      </c>
      <c r="CR18" s="16">
        <f t="shared" si="50"/>
        <v>67.897524999999973</v>
      </c>
      <c r="CS18" s="14">
        <f t="shared" si="15"/>
        <v>0.35066057044562138</v>
      </c>
      <c r="CT18" s="12">
        <f t="shared" si="16"/>
        <v>7.3557424999076665E-2</v>
      </c>
      <c r="CU18" s="14">
        <f t="shared" si="17"/>
        <v>0.12656087698347354</v>
      </c>
      <c r="CV18" s="12">
        <f t="shared" si="74"/>
        <v>0.17538838775186538</v>
      </c>
      <c r="CW18" s="54">
        <v>40</v>
      </c>
      <c r="CX18" s="54">
        <f t="shared" si="18"/>
        <v>203.850595</v>
      </c>
      <c r="CY18" s="54">
        <f t="shared" si="51"/>
        <v>20.149405000000002</v>
      </c>
      <c r="CZ18" s="12">
        <f t="shared" si="19"/>
        <v>9.6757474533460855E-2</v>
      </c>
      <c r="DA18" s="12">
        <f t="shared" si="20"/>
        <v>0.3099908461538462</v>
      </c>
      <c r="DB18" s="12">
        <f t="shared" si="21"/>
        <v>7.3587455586056394E-2</v>
      </c>
      <c r="DC18" s="54">
        <v>54</v>
      </c>
      <c r="DD18" s="54">
        <v>65</v>
      </c>
      <c r="DE18" s="54">
        <f t="shared" si="22"/>
        <v>37.787834500000002</v>
      </c>
      <c r="DF18" s="54">
        <v>71</v>
      </c>
      <c r="DG18" s="54">
        <v>81.599999999999994</v>
      </c>
      <c r="DH18" s="54">
        <f t="shared" si="52"/>
        <v>267.60000000000002</v>
      </c>
      <c r="DI18" s="54">
        <f t="shared" si="23"/>
        <v>323.51637807783953</v>
      </c>
      <c r="DJ18" s="16">
        <f t="shared" si="53"/>
        <v>-55.916378077839511</v>
      </c>
      <c r="DK18" s="12">
        <f t="shared" si="24"/>
        <v>-0.29002593327005821</v>
      </c>
      <c r="DL18" s="54">
        <v>10</v>
      </c>
      <c r="DM18" s="54">
        <v>6</v>
      </c>
      <c r="DN18" s="54">
        <v>19.5</v>
      </c>
      <c r="DO18" s="54">
        <f t="shared" si="54"/>
        <v>35.5</v>
      </c>
      <c r="DP18" s="54">
        <f t="shared" si="25"/>
        <v>34.834789515488481</v>
      </c>
      <c r="DQ18" s="16">
        <f t="shared" si="55"/>
        <v>0.66521048451151898</v>
      </c>
      <c r="DR18" s="12">
        <f t="shared" si="26"/>
        <v>3.3377990745163406E-2</v>
      </c>
      <c r="DS18" s="54">
        <f t="shared" si="56"/>
        <v>64</v>
      </c>
      <c r="DT18" s="54">
        <f t="shared" si="27"/>
        <v>0</v>
      </c>
      <c r="DU18" s="54">
        <f t="shared" si="28"/>
        <v>28.298027757487215</v>
      </c>
      <c r="DV18" s="54">
        <f t="shared" si="57"/>
        <v>27.212165499999998</v>
      </c>
      <c r="DW18" s="54">
        <f t="shared" si="58"/>
        <v>64</v>
      </c>
      <c r="DX18" s="54">
        <f t="shared" si="29"/>
        <v>25.701972242512785</v>
      </c>
      <c r="DY18" s="12">
        <f t="shared" si="30"/>
        <v>0.74674947539461078</v>
      </c>
      <c r="DZ18" s="12">
        <f t="shared" si="31"/>
        <v>1.4110008675729515</v>
      </c>
      <c r="EA18" s="12">
        <f t="shared" si="32"/>
        <v>1.3114606965779323</v>
      </c>
      <c r="EB18" s="14">
        <f t="shared" si="59"/>
        <v>0.4496827966828687</v>
      </c>
      <c r="EC18" s="14">
        <f t="shared" si="60"/>
        <v>0.20890529979746639</v>
      </c>
      <c r="ED18" s="14">
        <f t="shared" si="33"/>
        <v>0.38303324289379059</v>
      </c>
      <c r="EE18" s="54">
        <v>23</v>
      </c>
      <c r="EF18" s="54">
        <f t="shared" si="75"/>
        <v>17</v>
      </c>
      <c r="EG18" s="12">
        <v>0.51500000000000001</v>
      </c>
      <c r="EH18" s="12">
        <v>0.249</v>
      </c>
      <c r="EI18" s="12">
        <f t="shared" si="76"/>
        <v>0.26029129081389901</v>
      </c>
      <c r="EJ18" s="16">
        <v>40800</v>
      </c>
      <c r="EK18" s="16">
        <v>161493.44</v>
      </c>
      <c r="EL18" s="16">
        <v>149727</v>
      </c>
      <c r="EM18" s="12">
        <f t="shared" si="89"/>
        <v>-0.20917495226625279</v>
      </c>
      <c r="EN18" s="14">
        <f t="shared" si="61"/>
        <v>0.65236849564528143</v>
      </c>
      <c r="EO18" s="16">
        <v>63175</v>
      </c>
      <c r="EP18" s="16">
        <v>70772</v>
      </c>
      <c r="EQ18" s="16">
        <f t="shared" si="35"/>
        <v>160393.80500000002</v>
      </c>
      <c r="ER18" s="16">
        <v>129630</v>
      </c>
      <c r="ES18" s="16">
        <f t="shared" si="62"/>
        <v>192805</v>
      </c>
      <c r="ET18" s="16">
        <f t="shared" si="36"/>
        <v>0</v>
      </c>
      <c r="EU18" s="16">
        <f t="shared" si="37"/>
        <v>123539.40832724616</v>
      </c>
      <c r="EV18" s="16">
        <f t="shared" si="63"/>
        <v>-89621.805000000022</v>
      </c>
      <c r="EW18" s="16">
        <f t="shared" si="64"/>
        <v>192805</v>
      </c>
      <c r="EX18" s="16">
        <f t="shared" si="65"/>
        <v>-60364.408327246158</v>
      </c>
      <c r="EY18" s="12">
        <f t="shared" si="38"/>
        <v>9.3315541431613233E-2</v>
      </c>
      <c r="EZ18" s="17">
        <f t="shared" si="39"/>
        <v>-0.27798399788350381</v>
      </c>
      <c r="FA18" s="17">
        <f t="shared" si="40"/>
        <v>-0.37636478799576628</v>
      </c>
      <c r="FB18" s="109">
        <f t="shared" si="84"/>
        <v>0.11862634658287281</v>
      </c>
      <c r="FC18" s="16">
        <v>140068.21</v>
      </c>
      <c r="FD18">
        <f t="shared" si="85"/>
        <v>-108927</v>
      </c>
      <c r="FE18" s="16">
        <f t="shared" si="67"/>
        <v>21425.23000000001</v>
      </c>
      <c r="FF18" s="12">
        <v>-0.57899999999999996</v>
      </c>
      <c r="FG18" s="12">
        <f t="shared" si="78"/>
        <v>0.12012719214914699</v>
      </c>
      <c r="FH18" s="14">
        <f t="shared" si="68"/>
        <v>0.11926376281141471</v>
      </c>
      <c r="FI18" s="12">
        <f t="shared" si="69"/>
        <v>1.4149580725078284E-2</v>
      </c>
      <c r="FJ18" s="16">
        <v>129671</v>
      </c>
      <c r="FK18" s="16">
        <v>57803</v>
      </c>
      <c r="FL18" s="16">
        <f t="shared" si="70"/>
        <v>317104</v>
      </c>
      <c r="FM18" s="16">
        <f t="shared" si="41"/>
        <v>320687.49960285943</v>
      </c>
      <c r="FN18" s="16">
        <f t="shared" si="71"/>
        <v>-3583.4996028594323</v>
      </c>
      <c r="FO18" s="12">
        <f t="shared" si="42"/>
        <v>-8.1902878808740049E-3</v>
      </c>
      <c r="FP18" s="12">
        <f t="shared" si="43"/>
        <v>-0.12878108651210127</v>
      </c>
      <c r="FQ18" s="14">
        <f t="shared" si="72"/>
        <v>0.42874731395981414</v>
      </c>
    </row>
    <row r="19" spans="1:173" x14ac:dyDescent="0.35">
      <c r="A19" s="7" t="s">
        <v>186</v>
      </c>
      <c r="B19" s="7" t="s">
        <v>84</v>
      </c>
      <c r="C19" s="144">
        <f t="shared" si="0"/>
        <v>90</v>
      </c>
      <c r="D19" s="144">
        <v>0</v>
      </c>
      <c r="E19" s="144">
        <v>0</v>
      </c>
      <c r="F19" s="144">
        <v>0</v>
      </c>
      <c r="G19" s="144">
        <v>90</v>
      </c>
      <c r="H19" s="144">
        <v>0</v>
      </c>
      <c r="I19" s="144">
        <v>0</v>
      </c>
      <c r="J19" s="144">
        <v>0</v>
      </c>
      <c r="K19" s="144"/>
      <c r="L19" s="144">
        <v>102.5</v>
      </c>
      <c r="M19" s="149">
        <f t="shared" si="1"/>
        <v>1.1388888888888888</v>
      </c>
      <c r="N19" s="149">
        <f>M19/M73</f>
        <v>1.7853496507988984E-2</v>
      </c>
      <c r="O19" s="144">
        <v>16</v>
      </c>
      <c r="P19" s="149">
        <f t="shared" si="2"/>
        <v>0.17777777777777778</v>
      </c>
      <c r="Q19" s="147">
        <f>P19/P73</f>
        <v>1.2038095779443E-2</v>
      </c>
      <c r="R19" s="149">
        <f t="shared" si="3"/>
        <v>0.89861111111111103</v>
      </c>
      <c r="S19" s="147">
        <f>R19/R73</f>
        <v>1.7436880136674892E-2</v>
      </c>
      <c r="T19" s="147">
        <f t="shared" si="4"/>
        <v>1.6399646325852488E-2</v>
      </c>
      <c r="U19" s="142">
        <v>132415</v>
      </c>
      <c r="V19" s="154">
        <f t="shared" si="5"/>
        <v>1471.2777777777778</v>
      </c>
      <c r="W19" s="154"/>
      <c r="X19" s="147">
        <f>V19/V73</f>
        <v>1.8893272477303834E-2</v>
      </c>
      <c r="Y19" s="147">
        <f t="shared" si="6"/>
        <v>1.7397096786433027E-2</v>
      </c>
      <c r="Z19" s="155">
        <v>0.89500000000000002</v>
      </c>
      <c r="AA19" s="149">
        <v>-0.246</v>
      </c>
      <c r="AB19" s="145">
        <v>92</v>
      </c>
      <c r="AC19" s="149">
        <v>-0.45636226569593985</v>
      </c>
      <c r="AD19" s="149">
        <f t="shared" si="87"/>
        <v>-0.18307730306464509</v>
      </c>
      <c r="AE19" s="142">
        <v>56</v>
      </c>
      <c r="AF19" s="209">
        <v>0</v>
      </c>
      <c r="AG19" s="209">
        <v>0</v>
      </c>
      <c r="AH19" s="12"/>
      <c r="AI19" s="12"/>
      <c r="AJ19" s="23"/>
      <c r="AK19" s="30"/>
      <c r="AL19" s="23"/>
      <c r="AM19" s="30"/>
      <c r="AN19" s="30">
        <f>AS19*BK$35</f>
        <v>583834.18313050049</v>
      </c>
      <c r="AO19" s="30">
        <f>AVERAGE(AF19,AR19,AN19)</f>
        <v>194611.39437683349</v>
      </c>
      <c r="AP19" s="209"/>
      <c r="AQ19" s="154">
        <f>AO19-(AO$72*BE19)</f>
        <v>228906.05598594292</v>
      </c>
      <c r="AR19" s="24">
        <v>0</v>
      </c>
      <c r="AS19" s="24">
        <f>AB19*BE19</f>
        <v>11.935436384786206</v>
      </c>
      <c r="AT19" s="24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42">
        <f>FQ19/BK$26</f>
        <v>0.12973300418245876</v>
      </c>
      <c r="BF19" s="16"/>
      <c r="BG19" s="16"/>
      <c r="BH19" s="16"/>
      <c r="BI19" s="16"/>
      <c r="BJ19" s="16"/>
      <c r="BK19" s="16"/>
      <c r="BL19" s="16">
        <v>197</v>
      </c>
      <c r="BM19" s="16">
        <v>197</v>
      </c>
      <c r="BN19" s="16">
        <f t="shared" si="88"/>
        <v>0</v>
      </c>
      <c r="BO19" s="16">
        <v>204</v>
      </c>
      <c r="BP19" s="16">
        <v>242</v>
      </c>
      <c r="BQ19" s="16">
        <v>205.17813000000001</v>
      </c>
      <c r="BR19" s="16">
        <f t="shared" si="81"/>
        <v>-7</v>
      </c>
      <c r="BS19" s="16">
        <v>324</v>
      </c>
      <c r="BT19" s="16">
        <v>182</v>
      </c>
      <c r="BU19" s="211">
        <v>229855.60643336023</v>
      </c>
      <c r="BV19" s="285">
        <f>BY19*CB$4</f>
        <v>544366.74976177176</v>
      </c>
      <c r="BW19" s="16">
        <f>AVERAGE(AQ19,BU19,BV19)</f>
        <v>334376.13739369164</v>
      </c>
      <c r="BX19" s="285">
        <f>BW19-(BZ19*BW$72)</f>
        <v>340665.38969729788</v>
      </c>
      <c r="BY19" s="12">
        <f>AE19*BZ19</f>
        <v>8.6145006420776653</v>
      </c>
      <c r="BZ19" s="12">
        <f>FP19/CB3</f>
        <v>0.15383036860852972</v>
      </c>
      <c r="CC19">
        <v>163</v>
      </c>
      <c r="CD19">
        <f t="shared" si="44"/>
        <v>345</v>
      </c>
      <c r="CE19" s="16">
        <f t="shared" si="9"/>
        <v>0</v>
      </c>
      <c r="CF19" s="54">
        <f t="shared" si="10"/>
        <v>200.15428</v>
      </c>
      <c r="CG19" s="16">
        <f t="shared" si="11"/>
        <v>392.20657999999997</v>
      </c>
      <c r="CH19" s="54">
        <f t="shared" si="12"/>
        <v>301.50328707085464</v>
      </c>
      <c r="CI19" s="54">
        <v>288.52071000000001</v>
      </c>
      <c r="CJ19" s="54">
        <f t="shared" si="82"/>
        <v>-59.50328707085464</v>
      </c>
      <c r="CK19" s="54">
        <f t="shared" si="83"/>
        <v>-46.520710000000008</v>
      </c>
      <c r="CL19" s="54">
        <f t="shared" si="47"/>
        <v>-8.1781300000000101</v>
      </c>
      <c r="CM19" s="12">
        <v>-0.13400000000000001</v>
      </c>
      <c r="CN19" s="16">
        <f t="shared" si="48"/>
        <v>345</v>
      </c>
      <c r="CO19" s="54">
        <f t="shared" si="49"/>
        <v>-18.15428</v>
      </c>
      <c r="CP19" s="12">
        <f t="shared" si="13"/>
        <v>0.91238259497491236</v>
      </c>
      <c r="CQ19" s="12">
        <f t="shared" si="14"/>
        <v>-0.20265632849105536</v>
      </c>
      <c r="CR19" s="16">
        <f t="shared" si="50"/>
        <v>-68.206579999999974</v>
      </c>
      <c r="CS19" s="12">
        <f t="shared" si="15"/>
        <v>-0.367666750064986</v>
      </c>
      <c r="CT19" s="12">
        <f t="shared" si="16"/>
        <v>-0.39857570362355954</v>
      </c>
      <c r="CU19" s="12">
        <f t="shared" si="17"/>
        <v>-9.3756491740776118E-2</v>
      </c>
      <c r="CV19" s="12">
        <f t="shared" si="74"/>
        <v>-0.1172386270873701</v>
      </c>
      <c r="CW19" s="54">
        <v>44</v>
      </c>
      <c r="CX19" s="54">
        <f t="shared" si="18"/>
        <v>288.526996</v>
      </c>
      <c r="CY19" s="54">
        <f t="shared" si="51"/>
        <v>-46.526995999999997</v>
      </c>
      <c r="CZ19" s="12">
        <f t="shared" si="19"/>
        <v>-0.35171268092324637</v>
      </c>
      <c r="DA19" s="12">
        <f t="shared" si="20"/>
        <v>-0.50572821739130436</v>
      </c>
      <c r="DB19" s="12">
        <f t="shared" si="21"/>
        <v>-0.20640872021553144</v>
      </c>
      <c r="DC19" s="54">
        <v>35</v>
      </c>
      <c r="DD19" s="54">
        <v>53</v>
      </c>
      <c r="DE19" s="54">
        <f t="shared" si="22"/>
        <v>53.484319599999999</v>
      </c>
      <c r="DF19" s="54">
        <v>124</v>
      </c>
      <c r="DG19" s="54">
        <v>133.80000000000001</v>
      </c>
      <c r="DH19" s="54">
        <f t="shared" si="52"/>
        <v>420.8</v>
      </c>
      <c r="DI19" s="54">
        <f t="shared" si="23"/>
        <v>274.49874503574267</v>
      </c>
      <c r="DJ19" s="16">
        <f t="shared" si="53"/>
        <v>146.30125496425734</v>
      </c>
      <c r="DK19" s="14">
        <f t="shared" si="24"/>
        <v>0.75883237556127703</v>
      </c>
      <c r="DL19" s="54">
        <v>7</v>
      </c>
      <c r="DM19" s="54">
        <v>4</v>
      </c>
      <c r="DN19" s="54">
        <v>11</v>
      </c>
      <c r="DO19" s="54">
        <f t="shared" si="54"/>
        <v>22</v>
      </c>
      <c r="DP19" s="54">
        <f t="shared" si="25"/>
        <v>29.556791104050834</v>
      </c>
      <c r="DQ19" s="16">
        <f t="shared" si="55"/>
        <v>-7.5567911040508342</v>
      </c>
      <c r="DR19" s="12">
        <f t="shared" si="26"/>
        <v>-0.37917397486505533</v>
      </c>
      <c r="DS19" s="54">
        <f t="shared" si="56"/>
        <v>42</v>
      </c>
      <c r="DT19" s="54">
        <f t="shared" si="27"/>
        <v>0</v>
      </c>
      <c r="DU19" s="54">
        <f t="shared" si="28"/>
        <v>40.052593133674215</v>
      </c>
      <c r="DV19" s="54">
        <f t="shared" si="57"/>
        <v>-0.48431959999999918</v>
      </c>
      <c r="DW19" s="54">
        <f t="shared" si="58"/>
        <v>42</v>
      </c>
      <c r="DX19" s="54">
        <f t="shared" si="29"/>
        <v>-5.0525931336742147</v>
      </c>
      <c r="DY19" s="12">
        <f t="shared" si="30"/>
        <v>-0.1097122542422041</v>
      </c>
      <c r="DZ19" s="12">
        <f t="shared" si="31"/>
        <v>0.66926931307846838</v>
      </c>
      <c r="EA19" s="12">
        <f t="shared" si="32"/>
        <v>-0.25781201722928315</v>
      </c>
      <c r="EB19" s="12">
        <f t="shared" si="59"/>
        <v>-0.30317812610929051</v>
      </c>
      <c r="EC19" s="12">
        <f t="shared" si="60"/>
        <v>-0.21644525067561229</v>
      </c>
      <c r="ED19" s="12">
        <f t="shared" si="33"/>
        <v>-0.36338478202499047</v>
      </c>
      <c r="EE19" s="54">
        <v>29</v>
      </c>
      <c r="EF19" s="54">
        <f t="shared" si="75"/>
        <v>15</v>
      </c>
      <c r="EG19" s="12">
        <v>0.435</v>
      </c>
      <c r="EH19" s="12">
        <v>8.0000000000000002E-3</v>
      </c>
      <c r="EI19" s="12">
        <f t="shared" si="76"/>
        <v>2.0821029684472428E-2</v>
      </c>
      <c r="EJ19" s="16">
        <v>62700</v>
      </c>
      <c r="EK19" s="16">
        <v>87700</v>
      </c>
      <c r="EL19" s="16">
        <v>180720</v>
      </c>
      <c r="EM19" s="14">
        <f t="shared" si="89"/>
        <v>0.47433078795469391</v>
      </c>
      <c r="EN19" s="12">
        <f t="shared" si="61"/>
        <v>0.85160427450080134</v>
      </c>
      <c r="EO19" s="16">
        <v>45940</v>
      </c>
      <c r="EP19" s="16">
        <v>108640</v>
      </c>
      <c r="EQ19" s="16">
        <f t="shared" si="35"/>
        <v>227018.92400000003</v>
      </c>
      <c r="ER19" s="16">
        <v>1444085</v>
      </c>
      <c r="ES19" s="16">
        <f t="shared" si="62"/>
        <v>1490025</v>
      </c>
      <c r="ET19" s="16">
        <f t="shared" si="36"/>
        <v>0</v>
      </c>
      <c r="EU19" s="16">
        <f t="shared" si="37"/>
        <v>174855.77794010224</v>
      </c>
      <c r="EV19" s="16">
        <f t="shared" si="63"/>
        <v>-118378.92400000003</v>
      </c>
      <c r="EW19" s="16">
        <f t="shared" si="64"/>
        <v>1490025</v>
      </c>
      <c r="EX19" s="16">
        <f t="shared" si="65"/>
        <v>-128915.77794010224</v>
      </c>
      <c r="EY19" s="12">
        <f t="shared" si="38"/>
        <v>3.0748203604755568</v>
      </c>
      <c r="EZ19" s="17">
        <f t="shared" si="39"/>
        <v>-0.59366975234438613</v>
      </c>
      <c r="FA19" s="17">
        <f t="shared" si="40"/>
        <v>-0.49133841994092786</v>
      </c>
      <c r="FB19" s="17">
        <f t="shared" si="84"/>
        <v>-0.45549877015274876</v>
      </c>
      <c r="FC19" s="16">
        <v>169969.85</v>
      </c>
      <c r="FD19">
        <f t="shared" si="85"/>
        <v>-118020</v>
      </c>
      <c r="FE19" s="16">
        <f t="shared" si="67"/>
        <v>-82269.850000000006</v>
      </c>
      <c r="FF19" s="12">
        <v>-0.628</v>
      </c>
      <c r="FG19" s="12">
        <f t="shared" si="78"/>
        <v>-0.48892480218832135</v>
      </c>
      <c r="FH19" s="12">
        <f t="shared" si="68"/>
        <v>-0.37844224364194545</v>
      </c>
      <c r="FI19" s="12">
        <f t="shared" si="69"/>
        <v>-0.36733505134312183</v>
      </c>
      <c r="FJ19" s="16">
        <v>325309</v>
      </c>
      <c r="FK19" s="16">
        <v>391408</v>
      </c>
      <c r="FL19" s="16">
        <f t="shared" si="70"/>
        <v>2160802</v>
      </c>
      <c r="FM19" s="16">
        <f t="shared" si="41"/>
        <v>272098.4845115171</v>
      </c>
      <c r="FN19" s="16">
        <f t="shared" si="71"/>
        <v>1888703.515488483</v>
      </c>
      <c r="FO19" s="14">
        <f t="shared" si="42"/>
        <v>4.3167370525521891</v>
      </c>
      <c r="FP19" s="14">
        <f t="shared" si="43"/>
        <v>2.0112932937936918</v>
      </c>
      <c r="FQ19" s="14">
        <f t="shared" si="72"/>
        <v>1.7408907088907035</v>
      </c>
    </row>
    <row r="20" spans="1:173" x14ac:dyDescent="0.35">
      <c r="A20" s="8" t="s">
        <v>186</v>
      </c>
      <c r="B20" s="8" t="s">
        <v>188</v>
      </c>
      <c r="C20" s="144">
        <f t="shared" si="0"/>
        <v>65</v>
      </c>
      <c r="D20" s="144">
        <v>0</v>
      </c>
      <c r="E20" s="144">
        <v>0</v>
      </c>
      <c r="F20" s="144">
        <v>0</v>
      </c>
      <c r="G20" s="144">
        <v>65</v>
      </c>
      <c r="H20" s="144">
        <v>0</v>
      </c>
      <c r="I20" s="144">
        <v>0</v>
      </c>
      <c r="J20" s="144">
        <v>0</v>
      </c>
      <c r="K20" s="144"/>
      <c r="L20" s="144">
        <v>16.5</v>
      </c>
      <c r="M20" s="149">
        <f t="shared" si="1"/>
        <v>0.25384615384615383</v>
      </c>
      <c r="N20" s="149">
        <f>M20/M73</f>
        <v>3.9793534430564567E-3</v>
      </c>
      <c r="O20" s="144">
        <v>10</v>
      </c>
      <c r="P20" s="149">
        <f t="shared" si="2"/>
        <v>0.15384615384615385</v>
      </c>
      <c r="Q20" s="147">
        <f>P20/P73</f>
        <v>1.0417582886056443E-2</v>
      </c>
      <c r="R20" s="149">
        <f t="shared" si="3"/>
        <v>0.22884615384615384</v>
      </c>
      <c r="S20" s="147">
        <f>R20/R73</f>
        <v>4.4405893773341604E-3</v>
      </c>
      <c r="T20" s="147">
        <f t="shared" si="4"/>
        <v>5.5889108038064527E-3</v>
      </c>
      <c r="U20" s="142">
        <v>0</v>
      </c>
      <c r="V20" s="142">
        <f t="shared" si="5"/>
        <v>0</v>
      </c>
      <c r="W20" s="142"/>
      <c r="X20" s="147">
        <f>V20/V73</f>
        <v>0</v>
      </c>
      <c r="Y20" s="147">
        <f t="shared" si="6"/>
        <v>3.3533464822838714E-3</v>
      </c>
      <c r="Z20" s="147">
        <v>-0.68500000000000005</v>
      </c>
      <c r="AA20" s="149">
        <v>-0.66600000000000004</v>
      </c>
      <c r="AB20" s="145">
        <v>59</v>
      </c>
      <c r="AC20" s="149">
        <v>-0.64930158711375185</v>
      </c>
      <c r="AD20" s="149">
        <f t="shared" si="87"/>
        <v>-0.6683751747185781</v>
      </c>
      <c r="AE20" s="142">
        <v>67</v>
      </c>
      <c r="AF20" s="209"/>
      <c r="AG20" s="209"/>
      <c r="AH20" s="12"/>
      <c r="AI20" s="12"/>
      <c r="AJ20" s="23"/>
      <c r="AK20" s="30"/>
      <c r="AL20" s="23"/>
      <c r="AM20" s="30"/>
      <c r="AN20" s="30"/>
      <c r="AO20" s="30"/>
      <c r="AP20" s="209"/>
      <c r="AQ20" s="142"/>
      <c r="AR20" s="24"/>
      <c r="AS20" s="24"/>
      <c r="AT20" s="24"/>
      <c r="AU20" s="16"/>
      <c r="AV20" s="16"/>
      <c r="AW20" s="16"/>
      <c r="AX20" s="16"/>
      <c r="AY20" s="24" t="s">
        <v>402</v>
      </c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42"/>
      <c r="BL20" s="16">
        <v>70</v>
      </c>
      <c r="BM20" s="16">
        <v>70</v>
      </c>
      <c r="BN20" s="16">
        <f t="shared" si="88"/>
        <v>0</v>
      </c>
      <c r="BO20" s="16">
        <v>147</v>
      </c>
      <c r="BP20" s="16">
        <v>84</v>
      </c>
      <c r="BQ20" s="16">
        <v>148.1842</v>
      </c>
      <c r="BR20" s="16">
        <f t="shared" si="81"/>
        <v>-77</v>
      </c>
      <c r="BS20" s="16">
        <v>120</v>
      </c>
      <c r="BT20" s="16">
        <v>51</v>
      </c>
      <c r="BU20" s="16"/>
      <c r="BV20" s="16"/>
      <c r="BW20" s="16"/>
      <c r="BX20" s="16"/>
      <c r="BY20" s="12"/>
      <c r="BZ20" s="12"/>
      <c r="CC20">
        <v>68</v>
      </c>
      <c r="CD20">
        <f t="shared" si="44"/>
        <v>119</v>
      </c>
      <c r="CE20" s="16">
        <f t="shared" si="9"/>
        <v>0</v>
      </c>
      <c r="CF20" s="54">
        <f t="shared" si="10"/>
        <v>128.35981000000001</v>
      </c>
      <c r="CG20" s="16">
        <f t="shared" si="11"/>
        <v>251.523785</v>
      </c>
      <c r="CH20" s="54">
        <f t="shared" si="12"/>
        <v>193.35536888239591</v>
      </c>
      <c r="CI20" s="54">
        <v>185.02958000000001</v>
      </c>
      <c r="CJ20" s="54">
        <f t="shared" si="82"/>
        <v>-109.35536888239591</v>
      </c>
      <c r="CK20" s="54">
        <f t="shared" si="83"/>
        <v>-101.02958000000001</v>
      </c>
      <c r="CL20" s="54">
        <f t="shared" si="47"/>
        <v>-78.184200000000004</v>
      </c>
      <c r="CM20" s="12">
        <v>-0.76</v>
      </c>
      <c r="CN20" s="16">
        <f t="shared" si="48"/>
        <v>119</v>
      </c>
      <c r="CO20" s="54">
        <f t="shared" si="49"/>
        <v>-77.35981000000001</v>
      </c>
      <c r="CP20" s="12">
        <f t="shared" si="13"/>
        <v>-0.22402418738176469</v>
      </c>
      <c r="CQ20" s="12">
        <f t="shared" si="14"/>
        <v>-0.7526747405400982</v>
      </c>
      <c r="CR20" s="16">
        <f t="shared" si="50"/>
        <v>-131.523785</v>
      </c>
      <c r="CS20" s="12">
        <f t="shared" si="15"/>
        <v>-0.70184093393600788</v>
      </c>
      <c r="CT20" s="12">
        <f t="shared" si="16"/>
        <v>-0.73250395470444418</v>
      </c>
      <c r="CU20" s="12">
        <f t="shared" si="17"/>
        <v>-0.56462028308949075</v>
      </c>
      <c r="CV20" s="12">
        <f t="shared" si="74"/>
        <v>-0.74264309000429296</v>
      </c>
      <c r="CW20" s="54">
        <v>19</v>
      </c>
      <c r="CX20" s="54">
        <f t="shared" si="18"/>
        <v>185.03361699999999</v>
      </c>
      <c r="CY20" s="54">
        <f t="shared" si="51"/>
        <v>-101.03361699999999</v>
      </c>
      <c r="CZ20" s="12">
        <f t="shared" si="19"/>
        <v>-0.71832804148072182</v>
      </c>
      <c r="DA20" s="12">
        <f t="shared" si="20"/>
        <v>-1.7124341864406778</v>
      </c>
      <c r="DB20" s="12">
        <f t="shared" si="21"/>
        <v>-0.62061144239093669</v>
      </c>
      <c r="DC20" s="54">
        <v>12</v>
      </c>
      <c r="DD20" s="54">
        <v>16</v>
      </c>
      <c r="DE20" s="54">
        <f t="shared" si="22"/>
        <v>34.299726700000001</v>
      </c>
      <c r="DF20" s="54">
        <v>39</v>
      </c>
      <c r="DG20" s="54">
        <v>41.5</v>
      </c>
      <c r="DH20" s="54">
        <f t="shared" si="52"/>
        <v>148.5</v>
      </c>
      <c r="DI20" s="54">
        <f t="shared" si="23"/>
        <v>328.41814138204927</v>
      </c>
      <c r="DJ20" s="16">
        <f t="shared" si="53"/>
        <v>-179.91814138204927</v>
      </c>
      <c r="DK20" s="12">
        <f t="shared" si="24"/>
        <v>-0.93319575874359417</v>
      </c>
      <c r="DL20" s="54">
        <v>8</v>
      </c>
      <c r="DM20" s="54">
        <v>1</v>
      </c>
      <c r="DN20" s="54">
        <v>7</v>
      </c>
      <c r="DO20" s="54">
        <f t="shared" si="54"/>
        <v>16</v>
      </c>
      <c r="DP20" s="54">
        <f t="shared" si="25"/>
        <v>35.362589356632249</v>
      </c>
      <c r="DQ20" s="16">
        <f t="shared" si="55"/>
        <v>-19.362589356632249</v>
      </c>
      <c r="DR20" s="12">
        <f t="shared" si="26"/>
        <v>-0.9715486201674256</v>
      </c>
      <c r="DS20" s="54">
        <f t="shared" si="56"/>
        <v>20</v>
      </c>
      <c r="DT20" s="54">
        <f t="shared" si="27"/>
        <v>0</v>
      </c>
      <c r="DU20" s="54">
        <f t="shared" si="28"/>
        <v>25.68590211833455</v>
      </c>
      <c r="DV20" s="54">
        <f t="shared" si="57"/>
        <v>-18.299726700000001</v>
      </c>
      <c r="DW20" s="54">
        <f t="shared" si="58"/>
        <v>20</v>
      </c>
      <c r="DX20" s="54">
        <f t="shared" si="29"/>
        <v>-13.68590211833455</v>
      </c>
      <c r="DY20" s="12">
        <f t="shared" si="30"/>
        <v>-0.66062022411488641</v>
      </c>
      <c r="DZ20" s="12">
        <f t="shared" si="31"/>
        <v>-7.2462241416014594E-2</v>
      </c>
      <c r="EA20" s="12">
        <f t="shared" si="32"/>
        <v>-0.6983325075622161</v>
      </c>
      <c r="EB20" s="12">
        <f t="shared" si="59"/>
        <v>-0.69153575648072751</v>
      </c>
      <c r="EC20" s="12">
        <f t="shared" si="60"/>
        <v>-0.73908918229562759</v>
      </c>
      <c r="ED20" s="12">
        <f t="shared" si="33"/>
        <v>-0.72396109291888711</v>
      </c>
      <c r="EE20" s="54">
        <v>21</v>
      </c>
      <c r="EF20" s="54">
        <f t="shared" si="75"/>
        <v>-2</v>
      </c>
      <c r="EG20" s="12">
        <v>-0.24199999999999999</v>
      </c>
      <c r="EH20" s="12">
        <v>-0.63</v>
      </c>
      <c r="EI20" s="12">
        <f t="shared" si="76"/>
        <v>-0.61748231750321969</v>
      </c>
      <c r="EJ20" s="16">
        <v>0</v>
      </c>
      <c r="EK20" s="16">
        <v>0</v>
      </c>
      <c r="EL20" s="16">
        <v>134897</v>
      </c>
      <c r="EM20" s="12">
        <f t="shared" si="89"/>
        <v>-0.94278397409955206</v>
      </c>
      <c r="EN20" s="12">
        <f t="shared" si="61"/>
        <v>-0.18613370089032716</v>
      </c>
      <c r="EO20" s="16">
        <v>0</v>
      </c>
      <c r="EP20" s="16">
        <v>0</v>
      </c>
      <c r="EQ20" s="16">
        <f t="shared" si="35"/>
        <v>145588.223</v>
      </c>
      <c r="ER20" s="16">
        <v>0</v>
      </c>
      <c r="ES20" s="16">
        <f t="shared" si="62"/>
        <v>0</v>
      </c>
      <c r="ET20" s="16">
        <f t="shared" si="36"/>
        <v>0</v>
      </c>
      <c r="EU20" s="16">
        <f t="shared" si="37"/>
        <v>112135.77063550036</v>
      </c>
      <c r="EV20" s="16">
        <f t="shared" si="63"/>
        <v>-145588.223</v>
      </c>
      <c r="EW20" s="16">
        <f t="shared" si="64"/>
        <v>0</v>
      </c>
      <c r="EX20" s="16">
        <f t="shared" si="65"/>
        <v>-112135.77063550036</v>
      </c>
      <c r="EY20" s="12">
        <f t="shared" si="38"/>
        <v>-0.34982366135262349</v>
      </c>
      <c r="EZ20" s="17">
        <f t="shared" si="39"/>
        <v>-0.51639617931837145</v>
      </c>
      <c r="FA20" s="17">
        <f t="shared" si="40"/>
        <v>-0.60012372380644552</v>
      </c>
      <c r="FB20" s="17">
        <f t="shared" si="84"/>
        <v>-0.64093512747868087</v>
      </c>
      <c r="FC20" s="16">
        <v>125819.71</v>
      </c>
      <c r="FD20">
        <f t="shared" si="85"/>
        <v>-134897</v>
      </c>
      <c r="FE20" s="16">
        <f t="shared" si="67"/>
        <v>-125819.71</v>
      </c>
      <c r="FF20" s="12">
        <v>-0.72</v>
      </c>
      <c r="FG20" s="12">
        <f t="shared" si="78"/>
        <v>-0.74471446054161572</v>
      </c>
      <c r="FH20" s="12">
        <f t="shared" si="68"/>
        <v>-0.65497094341101469</v>
      </c>
      <c r="FI20" s="12">
        <f t="shared" si="69"/>
        <v>-0.65001198110472513</v>
      </c>
      <c r="FJ20" s="16">
        <v>0</v>
      </c>
      <c r="FK20" s="16">
        <v>2128</v>
      </c>
      <c r="FL20" s="16">
        <f t="shared" si="70"/>
        <v>2128</v>
      </c>
      <c r="FM20" s="16">
        <f t="shared" si="41"/>
        <v>325546.40111199365</v>
      </c>
      <c r="FN20" s="16">
        <f t="shared" si="71"/>
        <v>-323418.40111199365</v>
      </c>
      <c r="FO20" s="12">
        <f t="shared" si="42"/>
        <v>-0.7391907645156508</v>
      </c>
      <c r="FP20" s="12">
        <f t="shared" si="43"/>
        <v>-0.86134669026599142</v>
      </c>
      <c r="FQ20" s="12">
        <f t="shared" si="72"/>
        <v>-0.25160968507524573</v>
      </c>
    </row>
    <row r="21" spans="1:173" x14ac:dyDescent="0.35">
      <c r="A21" s="8" t="s">
        <v>186</v>
      </c>
      <c r="B21" s="8" t="s">
        <v>190</v>
      </c>
      <c r="C21" s="144">
        <f t="shared" si="0"/>
        <v>27</v>
      </c>
      <c r="D21" s="144">
        <v>0</v>
      </c>
      <c r="E21" s="144">
        <v>0</v>
      </c>
      <c r="F21" s="144">
        <v>0</v>
      </c>
      <c r="G21" s="144">
        <v>27</v>
      </c>
      <c r="H21" s="144">
        <v>0</v>
      </c>
      <c r="I21" s="144">
        <v>0</v>
      </c>
      <c r="J21" s="144">
        <v>0</v>
      </c>
      <c r="K21" s="144"/>
      <c r="L21" s="144">
        <v>12.5</v>
      </c>
      <c r="M21" s="149">
        <f t="shared" si="1"/>
        <v>0.46296296296296297</v>
      </c>
      <c r="N21" s="149">
        <f>M21/M73</f>
        <v>7.2575189056865797E-3</v>
      </c>
      <c r="O21" s="144">
        <v>0.5</v>
      </c>
      <c r="P21" s="149">
        <f t="shared" si="2"/>
        <v>1.8518518518518517E-2</v>
      </c>
      <c r="Q21" s="147">
        <f>P21/P73</f>
        <v>1.2539683103586457E-3</v>
      </c>
      <c r="R21" s="149">
        <f t="shared" si="3"/>
        <v>0.35185185185185186</v>
      </c>
      <c r="S21" s="147">
        <f>R21/R73</f>
        <v>6.827423443520309E-3</v>
      </c>
      <c r="T21" s="147">
        <f t="shared" si="4"/>
        <v>5.7566312568545965E-3</v>
      </c>
      <c r="U21" s="142">
        <v>133821</v>
      </c>
      <c r="V21" s="154">
        <f t="shared" si="5"/>
        <v>4956.333333333333</v>
      </c>
      <c r="W21" s="154"/>
      <c r="X21" s="147">
        <f>V21/V73</f>
        <v>6.3646279152293331E-2</v>
      </c>
      <c r="Y21" s="155">
        <f t="shared" si="6"/>
        <v>2.8912490415030093E-2</v>
      </c>
      <c r="Z21" s="147">
        <v>9.9000000000000005E-2</v>
      </c>
      <c r="AA21" s="149">
        <v>-0.312</v>
      </c>
      <c r="AB21" s="145">
        <v>26</v>
      </c>
      <c r="AC21" s="149">
        <v>-0.19483368088349801</v>
      </c>
      <c r="AD21" s="149">
        <f t="shared" si="87"/>
        <v>-0.30480996866106314</v>
      </c>
      <c r="AE21" s="142">
        <v>27</v>
      </c>
      <c r="AF21" s="209"/>
      <c r="AG21" s="209"/>
      <c r="AH21" s="12"/>
      <c r="AI21" s="12"/>
      <c r="AJ21" s="23"/>
      <c r="AK21" s="30"/>
      <c r="AL21" s="23"/>
      <c r="AM21" s="30"/>
      <c r="AN21" s="30"/>
      <c r="AO21" s="30"/>
      <c r="AP21" s="209"/>
      <c r="AQ21" s="142"/>
      <c r="AR21" s="24"/>
      <c r="AS21" s="24"/>
      <c r="AT21" s="24"/>
      <c r="AU21" s="16"/>
      <c r="AV21" s="16"/>
      <c r="AW21" s="16"/>
      <c r="AX21" s="16"/>
      <c r="AY21" s="127">
        <v>3433519.4389791251</v>
      </c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>
        <v>26</v>
      </c>
      <c r="BM21" s="16">
        <v>26</v>
      </c>
      <c r="BN21" s="16">
        <f t="shared" si="88"/>
        <v>0</v>
      </c>
      <c r="BO21" s="16">
        <v>61</v>
      </c>
      <c r="BP21" s="16">
        <v>42</v>
      </c>
      <c r="BQ21" s="16">
        <v>61.553440000000002</v>
      </c>
      <c r="BR21" s="16">
        <f t="shared" si="81"/>
        <v>-35</v>
      </c>
      <c r="BS21" s="16">
        <v>57</v>
      </c>
      <c r="BT21" s="16">
        <v>33</v>
      </c>
      <c r="BU21" s="16"/>
      <c r="BV21" s="16"/>
      <c r="BW21" s="16"/>
      <c r="BX21" s="16"/>
      <c r="BY21" s="12"/>
      <c r="BZ21" s="12"/>
      <c r="CC21">
        <v>27</v>
      </c>
      <c r="CD21">
        <f t="shared" si="44"/>
        <v>60</v>
      </c>
      <c r="CE21" s="16">
        <f t="shared" si="9"/>
        <v>0</v>
      </c>
      <c r="CF21" s="54">
        <f t="shared" si="10"/>
        <v>56.565340000000006</v>
      </c>
      <c r="CG21" s="16">
        <f t="shared" si="11"/>
        <v>110.84099000000001</v>
      </c>
      <c r="CH21" s="54">
        <f t="shared" si="12"/>
        <v>85.207450693937176</v>
      </c>
      <c r="CI21" s="54">
        <v>81.538460000000001</v>
      </c>
      <c r="CJ21" s="54">
        <f t="shared" si="82"/>
        <v>-43.207450693937176</v>
      </c>
      <c r="CK21" s="54">
        <f t="shared" si="83"/>
        <v>-39.538460000000001</v>
      </c>
      <c r="CL21" s="54">
        <f t="shared" si="47"/>
        <v>-35.553440000000002</v>
      </c>
      <c r="CM21" s="12">
        <v>-0.38400000000000001</v>
      </c>
      <c r="CN21" s="16">
        <f t="shared" si="48"/>
        <v>60</v>
      </c>
      <c r="CO21" s="54">
        <f t="shared" si="49"/>
        <v>-23.565340000000006</v>
      </c>
      <c r="CP21" s="12">
        <f t="shared" si="13"/>
        <v>-0.52069675445718033</v>
      </c>
      <c r="CQ21" s="12">
        <f t="shared" si="14"/>
        <v>-0.25292498800144392</v>
      </c>
      <c r="CR21" s="16">
        <f t="shared" si="50"/>
        <v>-53.840990000000005</v>
      </c>
      <c r="CS21" s="12">
        <f t="shared" si="15"/>
        <v>-0.29184834787752839</v>
      </c>
      <c r="CT21" s="12">
        <f t="shared" si="16"/>
        <v>-0.28941997845614004</v>
      </c>
      <c r="CU21" s="12">
        <f t="shared" si="17"/>
        <v>-0.27788398605586023</v>
      </c>
      <c r="CV21" s="12">
        <f t="shared" si="74"/>
        <v>-0.36179800669165679</v>
      </c>
      <c r="CW21" s="54">
        <v>5</v>
      </c>
      <c r="CX21" s="54">
        <f t="shared" si="18"/>
        <v>81.540237999999988</v>
      </c>
      <c r="CY21" s="54">
        <f t="shared" si="51"/>
        <v>-39.540237999999988</v>
      </c>
      <c r="CZ21" s="12">
        <f t="shared" si="19"/>
        <v>-0.30471925597221461</v>
      </c>
      <c r="DA21" s="12">
        <f t="shared" si="20"/>
        <v>-1.5207783846153842</v>
      </c>
      <c r="DB21" s="12">
        <f t="shared" si="21"/>
        <v>-0.55482544574149228</v>
      </c>
      <c r="DC21" s="54">
        <v>15</v>
      </c>
      <c r="DD21" s="54">
        <v>17</v>
      </c>
      <c r="DE21" s="54">
        <f t="shared" si="22"/>
        <v>15.115133800000001</v>
      </c>
      <c r="DF21" s="54">
        <v>18</v>
      </c>
      <c r="DG21" s="54">
        <v>3.5</v>
      </c>
      <c r="DH21" s="54">
        <f t="shared" si="52"/>
        <v>48.5</v>
      </c>
      <c r="DI21" s="54">
        <f t="shared" si="23"/>
        <v>132.34760921366163</v>
      </c>
      <c r="DJ21" s="16">
        <f t="shared" si="53"/>
        <v>-83.847609213661627</v>
      </c>
      <c r="DK21" s="12">
        <f t="shared" si="24"/>
        <v>-0.43489907520124094</v>
      </c>
      <c r="DL21" s="54">
        <v>2</v>
      </c>
      <c r="DM21" s="54">
        <v>3</v>
      </c>
      <c r="DN21" s="54">
        <v>2</v>
      </c>
      <c r="DO21" s="54">
        <f t="shared" si="54"/>
        <v>7</v>
      </c>
      <c r="DP21" s="54">
        <f t="shared" si="25"/>
        <v>14.250595710881651</v>
      </c>
      <c r="DQ21" s="16">
        <f t="shared" si="55"/>
        <v>-7.250595710881651</v>
      </c>
      <c r="DR21" s="12">
        <f t="shared" si="26"/>
        <v>-0.36381013554295322</v>
      </c>
      <c r="DS21" s="54">
        <f t="shared" si="56"/>
        <v>17</v>
      </c>
      <c r="DT21" s="54">
        <f t="shared" si="27"/>
        <v>0</v>
      </c>
      <c r="DU21" s="54">
        <f t="shared" si="28"/>
        <v>11.319211102994887</v>
      </c>
      <c r="DV21" s="54">
        <f t="shared" si="57"/>
        <v>1.8848661999999994</v>
      </c>
      <c r="DW21" s="54">
        <f t="shared" si="58"/>
        <v>17</v>
      </c>
      <c r="DX21" s="54">
        <f t="shared" si="29"/>
        <v>3.6807888970051135</v>
      </c>
      <c r="DY21" s="12">
        <f t="shared" si="30"/>
        <v>-3.6449637676502049E-2</v>
      </c>
      <c r="DZ21" s="12">
        <f t="shared" si="31"/>
        <v>-0.173607453392535</v>
      </c>
      <c r="EA21" s="12">
        <f t="shared" si="32"/>
        <v>0.18781476865958621</v>
      </c>
      <c r="EB21" s="12">
        <f t="shared" si="59"/>
        <v>-0.22799867032727178</v>
      </c>
      <c r="EC21" s="12">
        <f t="shared" si="60"/>
        <v>-0.14274004883618638</v>
      </c>
      <c r="ED21" s="12">
        <f t="shared" si="33"/>
        <v>-0.17011129167720848</v>
      </c>
      <c r="EE21" s="54">
        <v>9</v>
      </c>
      <c r="EF21" s="54">
        <f t="shared" si="75"/>
        <v>-4</v>
      </c>
      <c r="EG21" s="12">
        <v>-0.32200000000000001</v>
      </c>
      <c r="EH21" s="12">
        <v>-0.36899999999999999</v>
      </c>
      <c r="EI21" s="12">
        <f t="shared" si="76"/>
        <v>-0.3518485050187426</v>
      </c>
      <c r="EJ21" s="16">
        <v>16950</v>
      </c>
      <c r="EK21" s="16">
        <v>16950</v>
      </c>
      <c r="EL21" s="16">
        <v>61253</v>
      </c>
      <c r="EM21" s="12">
        <f t="shared" si="89"/>
        <v>-0.41712684028666902</v>
      </c>
      <c r="EN21" s="12">
        <f t="shared" si="61"/>
        <v>-0.43392442919101898</v>
      </c>
      <c r="EO21" s="16">
        <v>0</v>
      </c>
      <c r="EP21" s="16">
        <v>16950</v>
      </c>
      <c r="EQ21" s="16">
        <f t="shared" si="35"/>
        <v>64157.522000000004</v>
      </c>
      <c r="ER21" s="16">
        <v>41382</v>
      </c>
      <c r="ES21" s="16">
        <f t="shared" si="62"/>
        <v>41382</v>
      </c>
      <c r="ET21" s="16">
        <f t="shared" si="36"/>
        <v>0</v>
      </c>
      <c r="EU21" s="16">
        <f t="shared" si="37"/>
        <v>49415.763330898466</v>
      </c>
      <c r="EV21" s="16">
        <f t="shared" si="63"/>
        <v>-47207.522000000004</v>
      </c>
      <c r="EW21" s="16">
        <f t="shared" si="64"/>
        <v>41382</v>
      </c>
      <c r="EX21" s="16">
        <f t="shared" si="65"/>
        <v>-49415.763330898466</v>
      </c>
      <c r="EY21" s="12">
        <f t="shared" si="38"/>
        <v>-0.25471209012979584</v>
      </c>
      <c r="EZ21" s="17">
        <f t="shared" si="39"/>
        <v>-0.22756441800470609</v>
      </c>
      <c r="FA21" s="17">
        <f t="shared" si="40"/>
        <v>-0.20678854627071977</v>
      </c>
      <c r="FB21" s="17">
        <f t="shared" si="84"/>
        <v>-0.19309254220820754</v>
      </c>
      <c r="FC21" s="16">
        <v>55860.17</v>
      </c>
      <c r="FD21">
        <f t="shared" si="85"/>
        <v>-44303</v>
      </c>
      <c r="FE21" s="16">
        <f t="shared" si="67"/>
        <v>-38910.17</v>
      </c>
      <c r="FF21" s="12">
        <v>-0.22800000000000001</v>
      </c>
      <c r="FG21" s="12">
        <f t="shared" si="78"/>
        <v>-0.23425216412454397</v>
      </c>
      <c r="FH21" s="12">
        <f t="shared" si="68"/>
        <v>-0.219514620704651</v>
      </c>
      <c r="FI21" s="12">
        <f t="shared" si="69"/>
        <v>-0.17666979650359427</v>
      </c>
      <c r="FJ21" s="16">
        <v>83663</v>
      </c>
      <c r="FK21" s="16">
        <v>22718</v>
      </c>
      <c r="FL21" s="16">
        <f t="shared" si="70"/>
        <v>147763</v>
      </c>
      <c r="FM21" s="16">
        <f t="shared" si="41"/>
        <v>131190.34074662431</v>
      </c>
      <c r="FN21" s="16">
        <f t="shared" si="71"/>
        <v>16572.659253375692</v>
      </c>
      <c r="FO21" s="14">
        <f t="shared" si="42"/>
        <v>3.7877735532178561E-2</v>
      </c>
      <c r="FP21" s="12">
        <f t="shared" si="43"/>
        <v>-0.23512500995912999</v>
      </c>
      <c r="FQ21" s="12">
        <f t="shared" si="72"/>
        <v>-0.36223949356652974</v>
      </c>
    </row>
    <row r="22" spans="1:173" x14ac:dyDescent="0.35">
      <c r="A22" s="7" t="s">
        <v>191</v>
      </c>
      <c r="B22" s="7" t="s">
        <v>86</v>
      </c>
      <c r="C22" s="144">
        <f t="shared" si="0"/>
        <v>107</v>
      </c>
      <c r="D22" s="144">
        <v>0</v>
      </c>
      <c r="E22" s="144">
        <v>0</v>
      </c>
      <c r="F22" s="144">
        <v>0</v>
      </c>
      <c r="G22" s="144">
        <v>107</v>
      </c>
      <c r="H22" s="144">
        <v>0</v>
      </c>
      <c r="I22" s="144">
        <v>0</v>
      </c>
      <c r="J22" s="144">
        <v>0</v>
      </c>
      <c r="K22" s="144"/>
      <c r="L22" s="144">
        <v>56.5</v>
      </c>
      <c r="M22" s="149">
        <f t="shared" si="1"/>
        <v>0.5280373831775701</v>
      </c>
      <c r="N22" s="149">
        <f>M22/M73</f>
        <v>8.2776411892522446E-3</v>
      </c>
      <c r="O22" s="144">
        <v>12</v>
      </c>
      <c r="P22" s="149">
        <f t="shared" si="2"/>
        <v>0.11214953271028037</v>
      </c>
      <c r="Q22" s="147">
        <f>P22/P73</f>
        <v>7.594125842171986E-3</v>
      </c>
      <c r="R22" s="149">
        <f t="shared" si="3"/>
        <v>0.4240654205607477</v>
      </c>
      <c r="S22" s="147">
        <f>R22/R73</f>
        <v>8.2286740248330732E-3</v>
      </c>
      <c r="T22" s="147">
        <f t="shared" si="4"/>
        <v>8.1067623524821806E-3</v>
      </c>
      <c r="U22" s="142">
        <v>160731</v>
      </c>
      <c r="V22" s="154">
        <f t="shared" si="5"/>
        <v>1502.1588785046729</v>
      </c>
      <c r="W22" s="154"/>
      <c r="X22" s="147">
        <f>V22/V73</f>
        <v>1.9289829170570507E-2</v>
      </c>
      <c r="Y22" s="147">
        <f t="shared" si="6"/>
        <v>1.2579989079717512E-2</v>
      </c>
      <c r="Z22" s="147">
        <v>0.01</v>
      </c>
      <c r="AA22" s="149">
        <v>-0.39500000000000002</v>
      </c>
      <c r="AB22" s="145">
        <v>90</v>
      </c>
      <c r="AC22" s="150">
        <v>0.20800861556756889</v>
      </c>
      <c r="AD22" s="149">
        <f t="shared" si="87"/>
        <v>-0.3757612402370204</v>
      </c>
      <c r="AE22" s="142">
        <v>74</v>
      </c>
      <c r="AF22" s="209"/>
      <c r="AG22" s="209"/>
      <c r="AH22" s="12"/>
      <c r="AI22" s="35" t="e">
        <f>AU22*BK$9</f>
        <v>#DIV/0!</v>
      </c>
      <c r="AJ22" s="34" t="e">
        <f>AV22*BK$16</f>
        <v>#DIV/0!</v>
      </c>
      <c r="AK22" s="34" t="e">
        <f>SUM(AL22:AM22)</f>
        <v>#DIV/0!</v>
      </c>
      <c r="AL22" s="30"/>
      <c r="AM22" s="34" t="e">
        <f>AX22*BK$26</f>
        <v>#DIV/0!</v>
      </c>
      <c r="AN22" s="30"/>
      <c r="AO22" s="30"/>
      <c r="AP22" s="209"/>
      <c r="AQ22" s="142">
        <v>0</v>
      </c>
      <c r="AR22" s="24">
        <v>0</v>
      </c>
      <c r="AS22" s="24"/>
      <c r="AT22" s="24"/>
      <c r="AU22" s="16" t="e">
        <f>AB22*BG22</f>
        <v>#DIV/0!</v>
      </c>
      <c r="AV22" s="16" t="e">
        <f t="shared" ref="AV22:AV24" si="92">AB22*BB22</f>
        <v>#DIV/0!</v>
      </c>
      <c r="AW22" s="16"/>
      <c r="AX22" s="16" t="e">
        <f>AB22*BD22</f>
        <v>#DIV/0!</v>
      </c>
      <c r="AY22" s="16"/>
      <c r="AZ22" s="16"/>
      <c r="BA22" s="16"/>
      <c r="BB22" s="16" t="e">
        <f>FH22/BK$14</f>
        <v>#DIV/0!</v>
      </c>
      <c r="BC22" s="16"/>
      <c r="BD22" s="16" t="e">
        <f>FA22/BK$21</f>
        <v>#DIV/0!</v>
      </c>
      <c r="BE22" s="16"/>
      <c r="BF22" s="16"/>
      <c r="BG22" s="142" t="e">
        <f>AC22/BK$5</f>
        <v>#DIV/0!</v>
      </c>
      <c r="BH22" s="16"/>
      <c r="BI22" s="16"/>
      <c r="BJ22" s="16"/>
      <c r="BK22" s="16"/>
      <c r="BL22" s="16">
        <v>227</v>
      </c>
      <c r="BM22" s="16">
        <v>227</v>
      </c>
      <c r="BN22" s="16">
        <f t="shared" si="88"/>
        <v>0</v>
      </c>
      <c r="BO22" s="16">
        <v>242</v>
      </c>
      <c r="BP22" s="16">
        <v>353</v>
      </c>
      <c r="BQ22" s="16">
        <v>243.93398999999999</v>
      </c>
      <c r="BR22" s="16">
        <f t="shared" si="81"/>
        <v>-15</v>
      </c>
      <c r="BS22" s="16">
        <v>422</v>
      </c>
      <c r="BT22" s="16">
        <v>202</v>
      </c>
      <c r="BU22" s="211">
        <v>34494.7685550065</v>
      </c>
      <c r="BV22" s="285">
        <f>BY22*CB$4</f>
        <v>107969.12826143832</v>
      </c>
      <c r="BW22" s="16">
        <f>AVERAGE(AQ22,BU22,BV22)</f>
        <v>47487.965605481608</v>
      </c>
      <c r="BX22" s="285">
        <f>BW22-(BZ22*BW$72)</f>
        <v>48431.946771107774</v>
      </c>
      <c r="BY22" s="12">
        <f>AE22*BZ22</f>
        <v>1.7085909915323831</v>
      </c>
      <c r="BZ22" s="12">
        <f>FP22/CB3</f>
        <v>2.3089067453140311E-2</v>
      </c>
      <c r="CC22">
        <v>146</v>
      </c>
      <c r="CD22">
        <f t="shared" si="44"/>
        <v>348</v>
      </c>
      <c r="CE22" s="16">
        <f t="shared" si="9"/>
        <v>0</v>
      </c>
      <c r="CF22" s="54">
        <f t="shared" si="10"/>
        <v>195.8031</v>
      </c>
      <c r="CG22" s="16">
        <f t="shared" si="11"/>
        <v>383.68034999999998</v>
      </c>
      <c r="CH22" s="54">
        <f t="shared" si="12"/>
        <v>294.94886778670565</v>
      </c>
      <c r="CI22" s="54">
        <v>282.24851999999998</v>
      </c>
      <c r="CJ22" s="54">
        <f t="shared" si="82"/>
        <v>58.051132213294352</v>
      </c>
      <c r="CK22" s="54">
        <f t="shared" si="83"/>
        <v>70.751480000000015</v>
      </c>
      <c r="CL22" s="54">
        <f t="shared" si="47"/>
        <v>-16.933989999999994</v>
      </c>
      <c r="CM22" s="12">
        <v>-0.20599999999999999</v>
      </c>
      <c r="CN22" s="16">
        <f t="shared" si="48"/>
        <v>348</v>
      </c>
      <c r="CO22" s="54">
        <f t="shared" si="49"/>
        <v>6.1968999999999994</v>
      </c>
      <c r="CP22" s="12">
        <f t="shared" si="13"/>
        <v>0.92746764075840804</v>
      </c>
      <c r="CQ22" s="12">
        <f t="shared" si="14"/>
        <v>2.3565738182790934E-2</v>
      </c>
      <c r="CR22" s="16">
        <f t="shared" si="50"/>
        <v>38.319650000000024</v>
      </c>
      <c r="CS22" s="12">
        <f t="shared" si="15"/>
        <v>0.1945550973950646</v>
      </c>
      <c r="CT22" s="14">
        <f t="shared" si="16"/>
        <v>0.38884861672442306</v>
      </c>
      <c r="CU22" s="12">
        <f t="shared" si="17"/>
        <v>-0.15264877688288667</v>
      </c>
      <c r="CV22" s="12">
        <f t="shared" si="74"/>
        <v>-0.19545975735044244</v>
      </c>
      <c r="CW22" s="54">
        <v>7</v>
      </c>
      <c r="CX22" s="54">
        <f t="shared" si="18"/>
        <v>282.25466999999998</v>
      </c>
      <c r="CY22" s="54">
        <f t="shared" si="51"/>
        <v>70.745330000000024</v>
      </c>
      <c r="CZ22" s="14">
        <f t="shared" si="19"/>
        <v>0.43706921916745672</v>
      </c>
      <c r="DA22" s="12">
        <f t="shared" si="20"/>
        <v>0.78605922222222246</v>
      </c>
      <c r="DB22" s="12">
        <f t="shared" si="21"/>
        <v>0.23699828006758994</v>
      </c>
      <c r="DC22" s="54">
        <v>20</v>
      </c>
      <c r="DD22" s="54">
        <v>23</v>
      </c>
      <c r="DE22" s="54">
        <f t="shared" si="22"/>
        <v>52.321617000000003</v>
      </c>
      <c r="DF22" s="54">
        <v>96</v>
      </c>
      <c r="DG22" s="54">
        <v>66.5</v>
      </c>
      <c r="DH22" s="54">
        <f t="shared" si="52"/>
        <v>308.5</v>
      </c>
      <c r="DI22" s="54">
        <f t="shared" si="23"/>
        <v>362.73048451151709</v>
      </c>
      <c r="DJ22" s="16">
        <f t="shared" si="53"/>
        <v>-54.230484511517091</v>
      </c>
      <c r="DK22" s="12">
        <f t="shared" si="24"/>
        <v>-0.28128157478736127</v>
      </c>
      <c r="DL22" s="54">
        <v>8</v>
      </c>
      <c r="DM22" s="54">
        <v>9</v>
      </c>
      <c r="DN22" s="54">
        <v>5</v>
      </c>
      <c r="DO22" s="54">
        <f t="shared" si="54"/>
        <v>22</v>
      </c>
      <c r="DP22" s="54">
        <f t="shared" si="25"/>
        <v>39.057188244638603</v>
      </c>
      <c r="DQ22" s="16">
        <f t="shared" si="55"/>
        <v>-17.057188244638603</v>
      </c>
      <c r="DR22" s="12">
        <f t="shared" si="26"/>
        <v>-0.85587146418194904</v>
      </c>
      <c r="DS22" s="54">
        <f t="shared" si="56"/>
        <v>28</v>
      </c>
      <c r="DT22" s="54">
        <f t="shared" si="27"/>
        <v>0</v>
      </c>
      <c r="DU22" s="54">
        <f t="shared" si="28"/>
        <v>39.181884587289993</v>
      </c>
      <c r="DV22" s="54">
        <f t="shared" si="57"/>
        <v>-29.321617000000003</v>
      </c>
      <c r="DW22" s="54">
        <f t="shared" si="58"/>
        <v>28</v>
      </c>
      <c r="DX22" s="54">
        <f t="shared" si="29"/>
        <v>-19.181884587289993</v>
      </c>
      <c r="DY22" s="12">
        <f t="shared" si="30"/>
        <v>-1.0014514594186483</v>
      </c>
      <c r="DZ22" s="12">
        <f t="shared" si="31"/>
        <v>0.19725832385470649</v>
      </c>
      <c r="EA22" s="12">
        <f t="shared" si="32"/>
        <v>-0.97876876860502759</v>
      </c>
      <c r="EB22" s="12">
        <f t="shared" si="59"/>
        <v>-0.10444654180836363</v>
      </c>
      <c r="EC22" s="12">
        <f t="shared" si="60"/>
        <v>-0.22701788851416371</v>
      </c>
      <c r="ED22" s="12">
        <f t="shared" si="33"/>
        <v>4.6944270392060422E-2</v>
      </c>
      <c r="EE22" s="54">
        <v>34</v>
      </c>
      <c r="EF22" s="54">
        <f t="shared" si="75"/>
        <v>-27</v>
      </c>
      <c r="EG22" s="12">
        <v>-1.238</v>
      </c>
      <c r="EH22" s="12">
        <v>-0.46400000000000002</v>
      </c>
      <c r="EI22" s="12">
        <f t="shared" si="76"/>
        <v>-0.4560948180128318</v>
      </c>
      <c r="EJ22" s="16">
        <v>154957</v>
      </c>
      <c r="EK22" s="16">
        <v>156957</v>
      </c>
      <c r="EL22" s="16">
        <v>211120</v>
      </c>
      <c r="EM22" s="12">
        <f t="shared" si="89"/>
        <v>-0.42492904713600821</v>
      </c>
      <c r="EN22" s="12">
        <f t="shared" si="61"/>
        <v>0.74491531153248258</v>
      </c>
      <c r="EO22" s="16">
        <v>261294</v>
      </c>
      <c r="EP22" s="16">
        <v>331823</v>
      </c>
      <c r="EQ22" s="16">
        <f t="shared" si="35"/>
        <v>222083.73</v>
      </c>
      <c r="ER22" s="16">
        <v>273053</v>
      </c>
      <c r="ES22" s="16">
        <f t="shared" si="62"/>
        <v>534347</v>
      </c>
      <c r="ET22" s="16">
        <f t="shared" si="36"/>
        <v>0</v>
      </c>
      <c r="EU22" s="16">
        <f t="shared" si="37"/>
        <v>171054.56537618698</v>
      </c>
      <c r="EV22" s="16">
        <f t="shared" si="63"/>
        <v>109739.26999999999</v>
      </c>
      <c r="EW22" s="16">
        <f t="shared" si="64"/>
        <v>534347</v>
      </c>
      <c r="EX22" s="16">
        <f t="shared" si="65"/>
        <v>90239.434623813024</v>
      </c>
      <c r="EY22" s="12">
        <f t="shared" si="38"/>
        <v>0.87830892644410663</v>
      </c>
      <c r="EZ22" s="17">
        <f t="shared" si="39"/>
        <v>0.41556141273652075</v>
      </c>
      <c r="FA22" s="109">
        <f t="shared" si="40"/>
        <v>0.42069930111697684</v>
      </c>
      <c r="FB22" s="109">
        <f t="shared" si="84"/>
        <v>0.19439112732984457</v>
      </c>
      <c r="FC22" s="16">
        <v>199444.04</v>
      </c>
      <c r="FD22">
        <f t="shared" si="85"/>
        <v>-56163</v>
      </c>
      <c r="FE22" s="16">
        <f t="shared" si="67"/>
        <v>-42487.040000000008</v>
      </c>
      <c r="FF22" s="12">
        <v>-0.29199999999999998</v>
      </c>
      <c r="FG22" s="12">
        <f t="shared" si="78"/>
        <v>-0.2552608735733034</v>
      </c>
      <c r="FH22" s="14">
        <f t="shared" si="68"/>
        <v>0.10561179536177256</v>
      </c>
      <c r="FI22" s="12">
        <f t="shared" si="69"/>
        <v>3.0013831986110101E-2</v>
      </c>
      <c r="FJ22" s="16">
        <v>294669</v>
      </c>
      <c r="FK22" s="16">
        <v>400924</v>
      </c>
      <c r="FL22" s="16">
        <f t="shared" si="70"/>
        <v>968646</v>
      </c>
      <c r="FM22" s="16">
        <f t="shared" si="41"/>
        <v>359558.71167593327</v>
      </c>
      <c r="FN22" s="16">
        <f t="shared" si="71"/>
        <v>609087.28832406667</v>
      </c>
      <c r="FO22" s="14">
        <f t="shared" si="42"/>
        <v>1.3921029130223324</v>
      </c>
      <c r="FP22" s="14">
        <f t="shared" si="43"/>
        <v>0.30188373692732812</v>
      </c>
      <c r="FQ22" s="12">
        <f t="shared" si="72"/>
        <v>0.79827275749713222</v>
      </c>
    </row>
    <row r="23" spans="1:173" x14ac:dyDescent="0.35">
      <c r="A23" s="8" t="s">
        <v>191</v>
      </c>
      <c r="B23" s="8" t="s">
        <v>87</v>
      </c>
      <c r="C23" s="144">
        <f t="shared" si="0"/>
        <v>24</v>
      </c>
      <c r="D23" s="144">
        <v>0</v>
      </c>
      <c r="E23" s="144">
        <v>0</v>
      </c>
      <c r="F23" s="144">
        <v>0</v>
      </c>
      <c r="G23" s="144">
        <v>24</v>
      </c>
      <c r="H23" s="144">
        <v>0</v>
      </c>
      <c r="I23" s="144">
        <v>0</v>
      </c>
      <c r="J23" s="144">
        <v>0</v>
      </c>
      <c r="K23" s="144"/>
      <c r="L23" s="144">
        <v>30.5</v>
      </c>
      <c r="M23" s="150">
        <f t="shared" si="1"/>
        <v>1.2708333333333333</v>
      </c>
      <c r="N23" s="149">
        <f>M23/M73</f>
        <v>1.9921889396109661E-2</v>
      </c>
      <c r="O23" s="144">
        <v>13</v>
      </c>
      <c r="P23" s="149">
        <f t="shared" si="2"/>
        <v>0.54166666666666663</v>
      </c>
      <c r="Q23" s="147">
        <f>P23/P73</f>
        <v>3.6678573077990391E-2</v>
      </c>
      <c r="R23" s="149">
        <f t="shared" si="3"/>
        <v>1.0885416666666667</v>
      </c>
      <c r="S23" s="156">
        <f>R23/R73</f>
        <v>2.1122341278390955E-2</v>
      </c>
      <c r="T23" s="156">
        <f t="shared" si="4"/>
        <v>2.4111060316579842E-2</v>
      </c>
      <c r="U23" s="142">
        <v>204898</v>
      </c>
      <c r="V23" s="154">
        <f t="shared" si="5"/>
        <v>8537.4166666666661</v>
      </c>
      <c r="W23" s="154"/>
      <c r="X23" s="147">
        <f>V23/V73</f>
        <v>0.10963241732586756</v>
      </c>
      <c r="Y23" s="155">
        <f t="shared" si="6"/>
        <v>5.8319603120294931E-2</v>
      </c>
      <c r="Z23" s="155">
        <v>0.75800000000000001</v>
      </c>
      <c r="AA23" s="150">
        <v>1.1439999999999999</v>
      </c>
      <c r="AB23" s="145">
        <v>29</v>
      </c>
      <c r="AC23" s="150">
        <v>0.63824115331818809</v>
      </c>
      <c r="AD23" s="150">
        <f t="shared" si="87"/>
        <v>1.2782138439459916</v>
      </c>
      <c r="AE23" s="142">
        <v>27</v>
      </c>
      <c r="AF23" s="209">
        <v>130326.9630330787</v>
      </c>
      <c r="AG23" s="209">
        <f>AT23*BK$32</f>
        <v>90018.29398048704</v>
      </c>
      <c r="AH23" s="12">
        <f>C23*BA23</f>
        <v>1.9551377910702841</v>
      </c>
      <c r="AI23" s="35" t="e">
        <f>AU23*BK$9</f>
        <v>#DIV/0!</v>
      </c>
      <c r="AJ23" s="34" t="e">
        <f>AV23*BK$16</f>
        <v>#DIV/0!</v>
      </c>
      <c r="AK23" s="34" t="e">
        <f>SUM(AL23:AM23)</f>
        <v>#DIV/0!</v>
      </c>
      <c r="AL23" s="30"/>
      <c r="AM23" s="34" t="e">
        <f>AX23*BK$26</f>
        <v>#DIV/0!</v>
      </c>
      <c r="AN23" s="30">
        <f>AS23*BK$35</f>
        <v>13753.195467703563</v>
      </c>
      <c r="AO23" s="30">
        <f>AVERAGE(AF23,AR23,AN23)</f>
        <v>86832.303931392264</v>
      </c>
      <c r="AP23" s="209">
        <f>AVERAGE(AF23:AG23)</f>
        <v>110172.62850678287</v>
      </c>
      <c r="AQ23" s="154">
        <f>AO23-(AO$72*BE23)</f>
        <v>89395.196771447343</v>
      </c>
      <c r="AR23" s="130">
        <f>AP23+(AP$72*BF23)</f>
        <v>116416.7532933945</v>
      </c>
      <c r="AS23" s="24">
        <f>AB23*BE23</f>
        <v>0.28115926462567953</v>
      </c>
      <c r="AT23" s="24">
        <f>AB23*BF23</f>
        <v>1.5955677046950436</v>
      </c>
      <c r="AU23" s="16" t="e">
        <f>AB23*BG23</f>
        <v>#DIV/0!</v>
      </c>
      <c r="AV23" s="16" t="e">
        <f t="shared" si="92"/>
        <v>#DIV/0!</v>
      </c>
      <c r="AW23" s="16"/>
      <c r="AX23" s="16" t="e">
        <f>AB23*BD23</f>
        <v>#DIV/0!</v>
      </c>
      <c r="AY23" s="16"/>
      <c r="AZ23" s="16"/>
      <c r="BA23" s="16">
        <f>AA23/BH$2</f>
        <v>8.1464074627928498E-2</v>
      </c>
      <c r="BB23" s="16" t="e">
        <f>FH23/BK$14</f>
        <v>#DIV/0!</v>
      </c>
      <c r="BC23" s="16"/>
      <c r="BD23" s="16" t="e">
        <f>FA23/BK$21</f>
        <v>#DIV/0!</v>
      </c>
      <c r="BE23" s="142">
        <f>FQ23/BK$26</f>
        <v>9.6951470560579147E-3</v>
      </c>
      <c r="BF23" s="16">
        <f>FI23/BK$29</f>
        <v>5.5019576023967023E-2</v>
      </c>
      <c r="BG23" s="142" t="e">
        <f>AC23/BK$5</f>
        <v>#DIV/0!</v>
      </c>
      <c r="BH23" s="16"/>
      <c r="BI23" s="16"/>
      <c r="BJ23" s="16"/>
      <c r="BK23" s="25"/>
      <c r="BL23" s="16">
        <v>61</v>
      </c>
      <c r="BM23" s="16">
        <v>61</v>
      </c>
      <c r="BN23" s="16">
        <f t="shared" si="88"/>
        <v>0</v>
      </c>
      <c r="BO23" s="16">
        <v>54</v>
      </c>
      <c r="BP23" s="16">
        <v>40</v>
      </c>
      <c r="BQ23" s="16">
        <v>54.714170000000003</v>
      </c>
      <c r="BR23" s="16">
        <f t="shared" si="81"/>
        <v>7</v>
      </c>
      <c r="BS23" s="16">
        <v>91</v>
      </c>
      <c r="BT23" s="16">
        <v>34</v>
      </c>
      <c r="BU23" s="211">
        <v>73335.494628503613</v>
      </c>
      <c r="BV23" s="285">
        <v>0</v>
      </c>
      <c r="BW23" s="16">
        <f>AVERAGE(AQ23,BU23,BV23)</f>
        <v>54243.563799983647</v>
      </c>
      <c r="BX23" s="285">
        <f>BW23-(BZ23*BW$72)</f>
        <v>54243.563799983647</v>
      </c>
      <c r="BY23" s="12"/>
      <c r="BZ23" s="12"/>
      <c r="CC23">
        <v>48</v>
      </c>
      <c r="CD23">
        <f t="shared" si="44"/>
        <v>82</v>
      </c>
      <c r="CE23" s="16">
        <f t="shared" si="9"/>
        <v>0</v>
      </c>
      <c r="CF23" s="54">
        <f t="shared" si="10"/>
        <v>63.092110000000005</v>
      </c>
      <c r="CG23" s="16">
        <f t="shared" si="11"/>
        <v>123.630335</v>
      </c>
      <c r="CH23" s="54">
        <f t="shared" si="12"/>
        <v>95.039079620160706</v>
      </c>
      <c r="CI23" s="54">
        <v>90.946749999999994</v>
      </c>
      <c r="CJ23" s="54">
        <f t="shared" si="82"/>
        <v>-55.039079620160706</v>
      </c>
      <c r="CK23" s="54">
        <f t="shared" si="83"/>
        <v>-50.946749999999994</v>
      </c>
      <c r="CL23" s="54">
        <f t="shared" si="47"/>
        <v>6.2858299999999971</v>
      </c>
      <c r="CM23" s="12">
        <v>-8.9999999999999993E-3</v>
      </c>
      <c r="CN23" s="16">
        <f t="shared" si="48"/>
        <v>82</v>
      </c>
      <c r="CO23" s="54">
        <f t="shared" si="49"/>
        <v>-29.092110000000005</v>
      </c>
      <c r="CP23" s="12">
        <f t="shared" si="13"/>
        <v>-0.4100730853782118</v>
      </c>
      <c r="CQ23" s="12">
        <f t="shared" si="14"/>
        <v>-0.30426859153240271</v>
      </c>
      <c r="CR23" s="16">
        <f t="shared" si="50"/>
        <v>-32.630335000000002</v>
      </c>
      <c r="CS23" s="12">
        <f t="shared" si="15"/>
        <v>-0.17990320873257074</v>
      </c>
      <c r="CT23" s="12">
        <f t="shared" si="16"/>
        <v>-0.36867274005008316</v>
      </c>
      <c r="CU23" s="12">
        <f t="shared" si="17"/>
        <v>3.5287157207505673E-3</v>
      </c>
      <c r="CV23" s="12">
        <f t="shared" si="74"/>
        <v>1.1976241501194603E-2</v>
      </c>
      <c r="CW23" s="54">
        <v>16</v>
      </c>
      <c r="CX23" s="54">
        <f t="shared" si="18"/>
        <v>90.948726999999991</v>
      </c>
      <c r="CY23" s="54">
        <f t="shared" si="51"/>
        <v>-50.948726999999991</v>
      </c>
      <c r="CZ23" s="12">
        <f t="shared" si="19"/>
        <v>-0.38145355414400911</v>
      </c>
      <c r="DA23" s="12">
        <f t="shared" si="20"/>
        <v>-1.7568526551724135</v>
      </c>
      <c r="DB23" s="12">
        <f t="shared" si="21"/>
        <v>-0.63585811484921739</v>
      </c>
      <c r="DC23" s="54">
        <v>10</v>
      </c>
      <c r="DD23" s="54">
        <v>18</v>
      </c>
      <c r="DE23" s="54">
        <f t="shared" si="22"/>
        <v>16.8591877</v>
      </c>
      <c r="DF23" s="54">
        <v>24</v>
      </c>
      <c r="DG23" s="54">
        <v>28</v>
      </c>
      <c r="DH23" s="54">
        <f t="shared" si="52"/>
        <v>100</v>
      </c>
      <c r="DI23" s="54">
        <f t="shared" si="23"/>
        <v>132.34760921366163</v>
      </c>
      <c r="DJ23" s="16">
        <f t="shared" si="53"/>
        <v>-32.347609213661627</v>
      </c>
      <c r="DK23" s="12">
        <f t="shared" si="24"/>
        <v>-0.16777992197898514</v>
      </c>
      <c r="DL23" s="54">
        <v>1</v>
      </c>
      <c r="DM23" s="54">
        <v>0</v>
      </c>
      <c r="DN23" s="54">
        <v>3</v>
      </c>
      <c r="DO23" s="54">
        <f t="shared" si="54"/>
        <v>4</v>
      </c>
      <c r="DP23" s="54">
        <f t="shared" si="25"/>
        <v>14.250595710881651</v>
      </c>
      <c r="DQ23" s="16">
        <f t="shared" si="55"/>
        <v>-10.250595710881651</v>
      </c>
      <c r="DR23" s="12">
        <f t="shared" si="26"/>
        <v>-0.51433989201397634</v>
      </c>
      <c r="DS23" s="54">
        <f t="shared" si="56"/>
        <v>11</v>
      </c>
      <c r="DT23" s="54">
        <f t="shared" si="27"/>
        <v>0</v>
      </c>
      <c r="DU23" s="54">
        <f t="shared" si="28"/>
        <v>12.625273922571219</v>
      </c>
      <c r="DV23" s="54">
        <f t="shared" si="57"/>
        <v>1.1408123000000003</v>
      </c>
      <c r="DW23" s="54">
        <f t="shared" si="58"/>
        <v>11</v>
      </c>
      <c r="DX23" s="54">
        <f t="shared" si="29"/>
        <v>-2.6252739225712194</v>
      </c>
      <c r="DY23" s="12">
        <f t="shared" si="30"/>
        <v>-5.9458105640439358E-2</v>
      </c>
      <c r="DZ23" s="12">
        <f t="shared" si="31"/>
        <v>-0.37589787734557578</v>
      </c>
      <c r="EA23" s="12">
        <f t="shared" si="32"/>
        <v>-0.13395639582507496</v>
      </c>
      <c r="EB23" s="12">
        <f t="shared" si="59"/>
        <v>-0.14979193295953791</v>
      </c>
      <c r="EC23" s="12">
        <f t="shared" si="60"/>
        <v>-0.26169054260557079</v>
      </c>
      <c r="ED23" s="12">
        <f t="shared" si="33"/>
        <v>-0.30999365399383111</v>
      </c>
      <c r="EE23" s="54">
        <v>8</v>
      </c>
      <c r="EF23" s="54">
        <f t="shared" si="75"/>
        <v>8</v>
      </c>
      <c r="EG23" s="12">
        <v>0.156</v>
      </c>
      <c r="EH23" s="12">
        <v>3.2000000000000001E-2</v>
      </c>
      <c r="EI23" s="12">
        <f t="shared" si="76"/>
        <v>4.7982181125895952E-2</v>
      </c>
      <c r="EJ23" s="16">
        <v>571008</v>
      </c>
      <c r="EK23" s="16">
        <v>582878</v>
      </c>
      <c r="EL23" s="16">
        <v>55101</v>
      </c>
      <c r="EM23" s="12">
        <f t="shared" si="89"/>
        <v>-0.25441991448773293</v>
      </c>
      <c r="EN23" s="12">
        <f t="shared" si="61"/>
        <v>-0.40152928337005278</v>
      </c>
      <c r="EO23" s="16">
        <v>493544</v>
      </c>
      <c r="EP23" s="16">
        <v>623905</v>
      </c>
      <c r="EQ23" s="16">
        <f t="shared" si="35"/>
        <v>71560.313000000009</v>
      </c>
      <c r="ER23" s="16">
        <v>62224</v>
      </c>
      <c r="ES23" s="16">
        <f t="shared" si="62"/>
        <v>555768</v>
      </c>
      <c r="ET23" s="16">
        <f t="shared" si="36"/>
        <v>0</v>
      </c>
      <c r="EU23" s="16">
        <f t="shared" si="37"/>
        <v>55117.582176771364</v>
      </c>
      <c r="EV23" s="16">
        <f t="shared" si="63"/>
        <v>552344.68700000003</v>
      </c>
      <c r="EW23" s="16">
        <f t="shared" si="64"/>
        <v>555768</v>
      </c>
      <c r="EX23" s="16">
        <f t="shared" si="65"/>
        <v>438426.41782322864</v>
      </c>
      <c r="EY23" s="12">
        <f t="shared" si="38"/>
        <v>0.92754252963303396</v>
      </c>
      <c r="EZ23" s="17">
        <f t="shared" si="39"/>
        <v>2.0189964878564814</v>
      </c>
      <c r="FA23" s="109">
        <f t="shared" si="40"/>
        <v>2.1902768554989986</v>
      </c>
      <c r="FB23" s="109">
        <f t="shared" si="84"/>
        <v>0.62160240274629386</v>
      </c>
      <c r="FC23" s="16">
        <v>50098.49</v>
      </c>
      <c r="FD23">
        <f t="shared" si="85"/>
        <v>515907</v>
      </c>
      <c r="FE23" s="16">
        <f t="shared" si="67"/>
        <v>532779.51</v>
      </c>
      <c r="FF23" s="12">
        <v>2.8130000000000002</v>
      </c>
      <c r="FG23" s="12">
        <f t="shared" si="78"/>
        <v>3.1235613381761347</v>
      </c>
      <c r="FH23" s="14">
        <f t="shared" si="68"/>
        <v>0.7862355824238767</v>
      </c>
      <c r="FI23" s="14">
        <f t="shared" si="69"/>
        <v>0.65058426957925009</v>
      </c>
      <c r="FJ23" s="16">
        <v>83655</v>
      </c>
      <c r="FK23" s="16">
        <v>232134</v>
      </c>
      <c r="FL23" s="16">
        <f t="shared" si="70"/>
        <v>378013</v>
      </c>
      <c r="FM23" s="16">
        <f t="shared" si="41"/>
        <v>131190.34074662431</v>
      </c>
      <c r="FN23" s="16">
        <f t="shared" si="71"/>
        <v>246822.65925337569</v>
      </c>
      <c r="FO23" s="14">
        <f t="shared" si="42"/>
        <v>0.56412693144849879</v>
      </c>
      <c r="FP23" s="12">
        <f t="shared" si="43"/>
        <v>7.2998823886759767E-2</v>
      </c>
      <c r="FQ23" s="14">
        <f t="shared" si="72"/>
        <v>0.13009944183118197</v>
      </c>
    </row>
    <row r="24" spans="1:173" x14ac:dyDescent="0.35">
      <c r="A24" s="8" t="s">
        <v>195</v>
      </c>
      <c r="B24" s="8" t="s">
        <v>38</v>
      </c>
      <c r="C24" s="144">
        <f t="shared" si="0"/>
        <v>31</v>
      </c>
      <c r="D24" s="144">
        <v>0</v>
      </c>
      <c r="E24" s="144">
        <v>0</v>
      </c>
      <c r="F24" s="144">
        <v>0</v>
      </c>
      <c r="G24" s="144">
        <v>20</v>
      </c>
      <c r="H24" s="144">
        <v>0</v>
      </c>
      <c r="I24" s="144">
        <v>0</v>
      </c>
      <c r="J24" s="144">
        <v>11</v>
      </c>
      <c r="K24" s="144"/>
      <c r="L24" s="144">
        <v>34.5</v>
      </c>
      <c r="M24" s="149">
        <f t="shared" si="1"/>
        <v>1.1129032258064515</v>
      </c>
      <c r="N24" s="149">
        <f>M24/M73</f>
        <v>1.7446138995218189E-2</v>
      </c>
      <c r="O24" s="144">
        <v>3</v>
      </c>
      <c r="P24" s="149">
        <f t="shared" si="2"/>
        <v>9.6774193548387094E-2</v>
      </c>
      <c r="Q24" s="147">
        <f>P24/P73</f>
        <v>6.5529956863903428E-3</v>
      </c>
      <c r="R24" s="149">
        <f t="shared" si="3"/>
        <v>0.85887096774193539</v>
      </c>
      <c r="S24" s="147">
        <f>R24/R73</f>
        <v>1.6665752217183909E-2</v>
      </c>
      <c r="T24" s="147">
        <f t="shared" si="4"/>
        <v>1.4722853168011227E-2</v>
      </c>
      <c r="U24" s="142">
        <v>0</v>
      </c>
      <c r="V24" s="142">
        <f t="shared" si="5"/>
        <v>0</v>
      </c>
      <c r="W24" s="142"/>
      <c r="X24" s="147">
        <f>V24/V73</f>
        <v>0</v>
      </c>
      <c r="Y24" s="147">
        <f t="shared" si="6"/>
        <v>8.8337119008067358E-3</v>
      </c>
      <c r="Z24" s="147">
        <v>-7.4999999999999997E-2</v>
      </c>
      <c r="AA24" s="150">
        <v>0.50800000000000001</v>
      </c>
      <c r="AB24" s="145">
        <v>32</v>
      </c>
      <c r="AC24" s="150">
        <v>0.49774503204087517</v>
      </c>
      <c r="AD24" s="150">
        <f t="shared" ref="AD24:AD64" si="93">(0.6*EI24)+(0.4*FG24)</f>
        <v>0.51939899931384703</v>
      </c>
      <c r="AE24" s="142">
        <v>30</v>
      </c>
      <c r="AF24" s="209">
        <v>66523.900112528776</v>
      </c>
      <c r="AG24" s="209">
        <f>AT24*BK$32</f>
        <v>57592.663798040696</v>
      </c>
      <c r="AH24" s="12">
        <f>C24*BA24</f>
        <v>1.121412803532009</v>
      </c>
      <c r="AI24" s="35" t="e">
        <f>AU24*BK$9</f>
        <v>#DIV/0!</v>
      </c>
      <c r="AJ24" s="34" t="e">
        <f>AV24*BK$16</f>
        <v>#DIV/0!</v>
      </c>
      <c r="AK24" s="34" t="e">
        <f>SUM(AL24:AM24)</f>
        <v>#DIV/0!</v>
      </c>
      <c r="AL24" s="34" t="e">
        <f>AW24*BK$24</f>
        <v>#DIV/0!</v>
      </c>
      <c r="AM24" s="30"/>
      <c r="AN24" s="30">
        <f>AS24*BK$35</f>
        <v>31405.546879535788</v>
      </c>
      <c r="AO24" s="30">
        <f>AVERAGE(AF24,AR24,AN24)</f>
        <v>54536.041385325232</v>
      </c>
      <c r="AP24" s="209">
        <f>AVERAGE(AF24:AG24)</f>
        <v>62058.281955284736</v>
      </c>
      <c r="AQ24" s="154">
        <f>AO24-(AO$72*BE24)</f>
        <v>59839.769006555711</v>
      </c>
      <c r="AR24" s="130">
        <f>AP24+(AP$72*BF24)</f>
        <v>65678.677163911154</v>
      </c>
      <c r="AS24" s="24">
        <f>AB24*BE24</f>
        <v>0.64202973676574726</v>
      </c>
      <c r="AT24" s="24">
        <f>AB24*BF24</f>
        <v>1.0208257712974704</v>
      </c>
      <c r="AU24" s="16" t="e">
        <f>AB24*BG24</f>
        <v>#DIV/0!</v>
      </c>
      <c r="AV24" s="16" t="e">
        <f t="shared" si="92"/>
        <v>#DIV/0!</v>
      </c>
      <c r="AW24" s="16" t="e">
        <f>AB24*BC24</f>
        <v>#DIV/0!</v>
      </c>
      <c r="AX24" s="16"/>
      <c r="AY24" s="16"/>
      <c r="AZ24" s="16"/>
      <c r="BA24" s="16">
        <f>AA24/BH$2</f>
        <v>3.6174606565548675E-2</v>
      </c>
      <c r="BB24" s="16" t="e">
        <f>FH24/BK$14</f>
        <v>#DIV/0!</v>
      </c>
      <c r="BC24" s="16" t="e">
        <f>EB24/BK$19</f>
        <v>#DIV/0!</v>
      </c>
      <c r="BD24" s="16"/>
      <c r="BE24" s="142">
        <f>FQ24/BK$26</f>
        <v>2.0063429273929602E-2</v>
      </c>
      <c r="BF24" s="16">
        <f>FI24/BK$29</f>
        <v>3.1900805353045951E-2</v>
      </c>
      <c r="BG24" s="142" t="e">
        <f>AC24/BK$5</f>
        <v>#DIV/0!</v>
      </c>
      <c r="BH24" s="16"/>
      <c r="BI24" s="16"/>
      <c r="BJ24" s="16"/>
      <c r="BK24" s="25"/>
      <c r="BL24" s="16">
        <v>251</v>
      </c>
      <c r="BM24" s="16">
        <v>253</v>
      </c>
      <c r="BN24" s="16">
        <f t="shared" ref="BN24:BN64" si="94">BL24-BM24</f>
        <v>-2</v>
      </c>
      <c r="BO24" s="16">
        <v>70</v>
      </c>
      <c r="BP24" s="16">
        <v>320</v>
      </c>
      <c r="BQ24" s="16">
        <v>70.672470000000004</v>
      </c>
      <c r="BR24" s="16">
        <f>BL24-BO24</f>
        <v>181</v>
      </c>
      <c r="BS24" s="16">
        <v>456</v>
      </c>
      <c r="BT24" s="16">
        <v>203</v>
      </c>
      <c r="BU24" s="211">
        <v>66068.039286114261</v>
      </c>
      <c r="BV24" s="285">
        <f>BY24*CB$4</f>
        <v>54440.47587854258</v>
      </c>
      <c r="BW24" s="16">
        <f>AVERAGE(AQ24,BU24,BV24)</f>
        <v>60116.094723737515</v>
      </c>
      <c r="BX24" s="285">
        <f>BW24-(BZ24*BW$72)</f>
        <v>61290.170458205714</v>
      </c>
      <c r="BY24" s="12">
        <f>AE24*BZ24</f>
        <v>0.86151021276732054</v>
      </c>
      <c r="BZ24" s="12">
        <f>FP24/CB3</f>
        <v>2.8717007092244017E-2</v>
      </c>
      <c r="CC24">
        <v>173</v>
      </c>
      <c r="CD24">
        <f t="shared" si="44"/>
        <v>376</v>
      </c>
      <c r="CE24" s="16">
        <f t="shared" si="9"/>
        <v>0</v>
      </c>
      <c r="CF24" s="54">
        <f t="shared" si="10"/>
        <v>69.618880000000004</v>
      </c>
      <c r="CG24" s="16">
        <f t="shared" si="11"/>
        <v>136.41968</v>
      </c>
      <c r="CH24" s="54">
        <f t="shared" si="12"/>
        <v>104.87070854638422</v>
      </c>
      <c r="CI24" s="54">
        <v>100.35503</v>
      </c>
      <c r="CJ24" s="54">
        <f>BP24-CH24</f>
        <v>215.12929145361579</v>
      </c>
      <c r="CK24" s="54">
        <f>BP24-CI24</f>
        <v>219.64497</v>
      </c>
      <c r="CL24" s="54">
        <f>BM24-BQ24</f>
        <v>182.32753</v>
      </c>
      <c r="CM24" s="12">
        <v>1.546</v>
      </c>
      <c r="CN24" s="16">
        <f t="shared" si="48"/>
        <v>376</v>
      </c>
      <c r="CO24" s="54">
        <f t="shared" si="49"/>
        <v>133.38112000000001</v>
      </c>
      <c r="CP24" s="14">
        <f t="shared" si="13"/>
        <v>1.0682614014043681</v>
      </c>
      <c r="CQ24" s="14">
        <f t="shared" si="14"/>
        <v>1.2051050761820641</v>
      </c>
      <c r="CR24" s="16">
        <f t="shared" si="50"/>
        <v>319.58032000000003</v>
      </c>
      <c r="CS24" s="14">
        <f t="shared" si="15"/>
        <v>1.6789866172681667</v>
      </c>
      <c r="CT24" s="14">
        <f t="shared" si="16"/>
        <v>1.4410180165183126</v>
      </c>
      <c r="CU24" s="14">
        <f t="shared" si="17"/>
        <v>1.1875926447125227</v>
      </c>
      <c r="CV24" s="12">
        <f t="shared" si="74"/>
        <v>1.5846579366668008</v>
      </c>
      <c r="CW24" s="54">
        <v>7</v>
      </c>
      <c r="CX24" s="54">
        <f t="shared" si="18"/>
        <v>100.35721599999999</v>
      </c>
      <c r="CY24" s="54">
        <f t="shared" si="51"/>
        <v>219.64278400000001</v>
      </c>
      <c r="CZ24" s="14">
        <f t="shared" si="19"/>
        <v>1.4385639510514991</v>
      </c>
      <c r="DA24" s="12">
        <f t="shared" si="20"/>
        <v>6.8638370000000002</v>
      </c>
      <c r="DB24" s="14">
        <f t="shared" si="21"/>
        <v>2.3232000267250128</v>
      </c>
      <c r="DC24" s="54">
        <v>7</v>
      </c>
      <c r="DD24" s="54">
        <v>12</v>
      </c>
      <c r="DE24" s="54">
        <f t="shared" si="22"/>
        <v>18.6032416</v>
      </c>
      <c r="DF24" s="54">
        <v>56</v>
      </c>
      <c r="DG24" s="54">
        <v>164.5</v>
      </c>
      <c r="DH24" s="54">
        <f t="shared" si="52"/>
        <v>393.5</v>
      </c>
      <c r="DI24" s="54">
        <f t="shared" si="23"/>
        <v>147.0528991262907</v>
      </c>
      <c r="DJ24" s="16">
        <f t="shared" si="53"/>
        <v>246.4471008737093</v>
      </c>
      <c r="DK24" s="14">
        <f t="shared" si="24"/>
        <v>1.2782668135818462</v>
      </c>
      <c r="DL24" s="54">
        <v>1</v>
      </c>
      <c r="DM24" s="54">
        <v>4</v>
      </c>
      <c r="DN24" s="54">
        <v>2</v>
      </c>
      <c r="DO24" s="54">
        <f t="shared" si="54"/>
        <v>7</v>
      </c>
      <c r="DP24" s="54">
        <f t="shared" si="25"/>
        <v>15.833995234312946</v>
      </c>
      <c r="DQ24" s="16">
        <f t="shared" si="55"/>
        <v>-8.8339952343129458</v>
      </c>
      <c r="DR24" s="12">
        <f t="shared" si="26"/>
        <v>-0.44325971709576883</v>
      </c>
      <c r="DS24" s="54">
        <f t="shared" si="56"/>
        <v>8</v>
      </c>
      <c r="DT24" s="54">
        <f t="shared" si="27"/>
        <v>0</v>
      </c>
      <c r="DU24" s="54">
        <f t="shared" si="28"/>
        <v>13.931336742147552</v>
      </c>
      <c r="DV24" s="54">
        <f t="shared" si="57"/>
        <v>-6.6032416000000005</v>
      </c>
      <c r="DW24" s="54">
        <f t="shared" si="58"/>
        <v>8</v>
      </c>
      <c r="DX24" s="54">
        <f t="shared" si="29"/>
        <v>-6.9313367421475522</v>
      </c>
      <c r="DY24" s="12">
        <f t="shared" si="30"/>
        <v>-0.29892841292483635</v>
      </c>
      <c r="DZ24" s="12">
        <f t="shared" si="31"/>
        <v>-0.47704308932209621</v>
      </c>
      <c r="EA24" s="12">
        <f t="shared" si="32"/>
        <v>-0.35367619365167957</v>
      </c>
      <c r="EB24" s="14">
        <f t="shared" si="59"/>
        <v>1.1845078597199159</v>
      </c>
      <c r="EC24" s="14">
        <f t="shared" si="60"/>
        <v>0.8154097587236282</v>
      </c>
      <c r="ED24" s="14">
        <f t="shared" si="33"/>
        <v>0.99234446397581455</v>
      </c>
      <c r="EE24" s="54">
        <v>10</v>
      </c>
      <c r="EF24" s="54">
        <f t="shared" si="75"/>
        <v>-3</v>
      </c>
      <c r="EG24" s="12">
        <v>-0.28199999999999997</v>
      </c>
      <c r="EH24" s="12">
        <v>1.089</v>
      </c>
      <c r="EI24" s="12">
        <f t="shared" si="76"/>
        <v>1.1179934525001005</v>
      </c>
      <c r="EJ24" s="16">
        <v>0</v>
      </c>
      <c r="EK24" s="16">
        <v>0</v>
      </c>
      <c r="EL24" s="16">
        <v>69350</v>
      </c>
      <c r="EM24" s="14">
        <f t="shared" si="89"/>
        <v>0.84788518091244247</v>
      </c>
      <c r="EN24" s="14">
        <f t="shared" si="61"/>
        <v>0.68193527872275206</v>
      </c>
      <c r="EO24" s="16">
        <v>0</v>
      </c>
      <c r="EP24" s="16">
        <v>0</v>
      </c>
      <c r="EQ24" s="16">
        <f t="shared" si="35"/>
        <v>78963.104000000007</v>
      </c>
      <c r="ER24" s="16">
        <v>0</v>
      </c>
      <c r="ES24" s="16">
        <f t="shared" si="62"/>
        <v>0</v>
      </c>
      <c r="ET24" s="16">
        <f t="shared" si="36"/>
        <v>0</v>
      </c>
      <c r="EU24" s="16">
        <f t="shared" si="37"/>
        <v>60819.401022644262</v>
      </c>
      <c r="EV24" s="16">
        <f t="shared" si="63"/>
        <v>-78963.104000000007</v>
      </c>
      <c r="EW24" s="16">
        <f t="shared" si="64"/>
        <v>0</v>
      </c>
      <c r="EX24" s="16">
        <f t="shared" si="65"/>
        <v>-60819.401022644262</v>
      </c>
      <c r="EY24" s="12">
        <f t="shared" si="38"/>
        <v>-0.34982366135262349</v>
      </c>
      <c r="EZ24" s="17">
        <f t="shared" si="39"/>
        <v>-0.28007928369809976</v>
      </c>
      <c r="FA24" s="17">
        <f t="shared" si="40"/>
        <v>-0.33375031170599856</v>
      </c>
      <c r="FB24" s="109">
        <f>(0.6*ED24)+(0.4*EZ24)</f>
        <v>0.48337496490624876</v>
      </c>
      <c r="FC24" s="16">
        <v>63468.06</v>
      </c>
      <c r="FD24">
        <f>EJ24-EL24</f>
        <v>-69350</v>
      </c>
      <c r="FE24" s="16">
        <f>EK24-FC24</f>
        <v>-63468.06</v>
      </c>
      <c r="FF24" s="12">
        <v>-0.36399999999999999</v>
      </c>
      <c r="FG24" s="12">
        <f t="shared" si="78"/>
        <v>-0.37849268046553303</v>
      </c>
      <c r="FH24" s="14">
        <f t="shared" si="68"/>
        <v>0.57720459114955003</v>
      </c>
      <c r="FI24" s="14">
        <f t="shared" si="69"/>
        <v>0.377214141754937</v>
      </c>
      <c r="FJ24" s="16">
        <v>0</v>
      </c>
      <c r="FK24" s="16">
        <v>0</v>
      </c>
      <c r="FL24" s="16">
        <f t="shared" si="70"/>
        <v>0</v>
      </c>
      <c r="FM24" s="16">
        <f t="shared" si="41"/>
        <v>145767.04527402701</v>
      </c>
      <c r="FN24" s="16">
        <f t="shared" si="71"/>
        <v>-145767.04527402701</v>
      </c>
      <c r="FO24" s="12">
        <f t="shared" si="42"/>
        <v>-0.33315869866038911</v>
      </c>
      <c r="FP24" s="14">
        <f t="shared" si="43"/>
        <v>0.37546762908330988</v>
      </c>
      <c r="FQ24" s="14">
        <f t="shared" si="72"/>
        <v>0.26923170269260177</v>
      </c>
    </row>
    <row r="25" spans="1:173" x14ac:dyDescent="0.35">
      <c r="A25" s="141" t="s">
        <v>527</v>
      </c>
      <c r="B25" s="141" t="s">
        <v>205</v>
      </c>
      <c r="C25" s="144">
        <v>0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9"/>
      <c r="N25" s="149"/>
      <c r="O25" s="144"/>
      <c r="P25" s="149"/>
      <c r="Q25" s="147"/>
      <c r="R25" s="149"/>
      <c r="S25" s="147"/>
      <c r="T25" s="147"/>
      <c r="U25" s="142"/>
      <c r="V25" s="142"/>
      <c r="W25" s="142"/>
      <c r="X25" s="147"/>
      <c r="Y25" s="147"/>
      <c r="Z25" s="147"/>
      <c r="AA25" s="150"/>
      <c r="AB25" s="145">
        <v>9</v>
      </c>
      <c r="AC25" s="149">
        <v>-0.15286131748277637</v>
      </c>
      <c r="AD25" s="149"/>
      <c r="AE25" s="142">
        <v>10</v>
      </c>
      <c r="AF25" s="209"/>
      <c r="AG25" s="209"/>
      <c r="AH25" s="12"/>
      <c r="AI25" s="12"/>
      <c r="AJ25" s="23"/>
      <c r="AK25" s="30"/>
      <c r="AL25" s="23"/>
      <c r="AM25" s="30"/>
      <c r="AN25" s="30"/>
      <c r="AO25" s="30"/>
      <c r="AP25" s="209"/>
      <c r="AQ25" s="142"/>
      <c r="AR25" s="24"/>
      <c r="AS25" s="24"/>
      <c r="AT25" s="24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42"/>
      <c r="BF25" s="16"/>
      <c r="BG25" s="16"/>
      <c r="BH25" s="16"/>
      <c r="BI25" s="16"/>
      <c r="BJ25" s="16"/>
      <c r="BK25" s="142" t="s">
        <v>436</v>
      </c>
      <c r="BL25" s="16"/>
      <c r="BM25" s="16"/>
      <c r="BN25" s="16"/>
      <c r="BO25" s="16"/>
      <c r="BP25" s="16">
        <v>0</v>
      </c>
      <c r="BQ25" s="16"/>
      <c r="BR25" s="16"/>
      <c r="BS25" s="16">
        <v>0</v>
      </c>
      <c r="BT25" s="16">
        <v>0</v>
      </c>
      <c r="BU25" s="16"/>
      <c r="BV25" s="16"/>
      <c r="BW25" s="16"/>
      <c r="BX25" s="16"/>
      <c r="BY25" s="12"/>
      <c r="BZ25" s="12"/>
      <c r="CC25">
        <v>0</v>
      </c>
      <c r="CD25">
        <f t="shared" si="44"/>
        <v>0</v>
      </c>
      <c r="CE25" s="16">
        <f t="shared" si="9"/>
        <v>0</v>
      </c>
      <c r="CF25" s="54">
        <f t="shared" si="10"/>
        <v>19.580310000000001</v>
      </c>
      <c r="CG25" s="16">
        <f t="shared" si="11"/>
        <v>38.368034999999999</v>
      </c>
      <c r="CH25" s="54">
        <f t="shared" si="12"/>
        <v>29.494886778670562</v>
      </c>
      <c r="CI25" s="54">
        <v>28.22485</v>
      </c>
      <c r="CJ25" s="54">
        <f t="shared" ref="CJ25:CJ70" si="95">BP25-CH25</f>
        <v>-29.494886778670562</v>
      </c>
      <c r="CK25" s="54">
        <f t="shared" ref="CK25:CK70" si="96">BP25-CI25</f>
        <v>-28.22485</v>
      </c>
      <c r="CL25" s="54"/>
      <c r="CM25" s="12"/>
      <c r="CN25" s="16">
        <f t="shared" si="48"/>
        <v>0</v>
      </c>
      <c r="CO25" s="54">
        <f t="shared" si="49"/>
        <v>-19.580310000000001</v>
      </c>
      <c r="CP25" s="12">
        <f t="shared" si="13"/>
        <v>-0.82239767012709464</v>
      </c>
      <c r="CQ25" s="12">
        <f t="shared" si="14"/>
        <v>-0.21590412402863937</v>
      </c>
      <c r="CR25" s="16">
        <f t="shared" si="50"/>
        <v>-38.368034999999999</v>
      </c>
      <c r="CS25" s="12">
        <f t="shared" si="15"/>
        <v>-0.21018551849019126</v>
      </c>
      <c r="CT25" s="12">
        <f t="shared" si="16"/>
        <v>-0.19756799716135401</v>
      </c>
      <c r="CU25" s="12">
        <f t="shared" si="17"/>
        <v>-3.8750043043646439E-2</v>
      </c>
      <c r="CV25" s="12"/>
      <c r="CW25" s="54"/>
      <c r="CX25" s="54">
        <f t="shared" si="18"/>
        <v>28.225466999999998</v>
      </c>
      <c r="CY25" s="54">
        <f t="shared" si="51"/>
        <v>-28.225466999999998</v>
      </c>
      <c r="CZ25" s="12">
        <f t="shared" si="19"/>
        <v>-0.22861531164973931</v>
      </c>
      <c r="DA25" s="12">
        <f t="shared" si="20"/>
        <v>-3.1361629999999998</v>
      </c>
      <c r="DB25" s="12">
        <f t="shared" si="21"/>
        <v>-1.1093074175010944</v>
      </c>
      <c r="DC25" s="54">
        <v>0</v>
      </c>
      <c r="DD25" s="54">
        <v>0</v>
      </c>
      <c r="DE25" s="54">
        <f t="shared" si="22"/>
        <v>5.2321616999999998</v>
      </c>
      <c r="DF25" s="54">
        <v>0</v>
      </c>
      <c r="DG25" s="54">
        <v>0</v>
      </c>
      <c r="DH25" s="54">
        <f t="shared" si="52"/>
        <v>0</v>
      </c>
      <c r="DI25" s="54">
        <f t="shared" si="23"/>
        <v>49.017633042096904</v>
      </c>
      <c r="DJ25" s="16">
        <f t="shared" si="53"/>
        <v>-49.017633042096904</v>
      </c>
      <c r="DK25" s="12">
        <f t="shared" si="24"/>
        <v>-0.25424366274105231</v>
      </c>
      <c r="DL25" s="54">
        <v>0</v>
      </c>
      <c r="DM25" s="54">
        <v>0</v>
      </c>
      <c r="DN25" s="54">
        <v>0</v>
      </c>
      <c r="DO25" s="54">
        <f t="shared" si="54"/>
        <v>0</v>
      </c>
      <c r="DP25" s="54">
        <f t="shared" si="25"/>
        <v>5.2779984114376486</v>
      </c>
      <c r="DQ25" s="16">
        <f t="shared" si="55"/>
        <v>-5.2779984114376486</v>
      </c>
      <c r="DR25" s="12">
        <f t="shared" si="26"/>
        <v>-0.26483193850938536</v>
      </c>
      <c r="DS25" s="54">
        <f t="shared" si="56"/>
        <v>0</v>
      </c>
      <c r="DT25" s="54">
        <f t="shared" si="27"/>
        <v>0</v>
      </c>
      <c r="DU25" s="54">
        <f t="shared" si="28"/>
        <v>3.918188458728999</v>
      </c>
      <c r="DV25" s="54">
        <f t="shared" si="57"/>
        <v>-5.2321616999999998</v>
      </c>
      <c r="DW25" s="54">
        <f t="shared" si="58"/>
        <v>0</v>
      </c>
      <c r="DX25" s="54">
        <f t="shared" si="29"/>
        <v>-3.918188458728999</v>
      </c>
      <c r="DY25" s="12">
        <f t="shared" si="30"/>
        <v>-0.2565303447806489</v>
      </c>
      <c r="DZ25" s="12">
        <f t="shared" si="31"/>
        <v>-0.74676365459281735</v>
      </c>
      <c r="EA25" s="12">
        <f t="shared" si="32"/>
        <v>-0.19992824351855931</v>
      </c>
      <c r="EB25" s="12">
        <f t="shared" si="59"/>
        <v>-0.22177172506280568</v>
      </c>
      <c r="EC25" s="12">
        <f t="shared" si="60"/>
        <v>-0.21191015390111936</v>
      </c>
      <c r="ED25" s="12">
        <f t="shared" si="33"/>
        <v>-0.19815805875065534</v>
      </c>
      <c r="EE25" s="54"/>
      <c r="EF25" s="54"/>
      <c r="EG25" s="12"/>
      <c r="EH25" s="12"/>
      <c r="EI25" s="12"/>
      <c r="EJ25" s="16"/>
      <c r="EK25" s="16"/>
      <c r="EL25" s="16"/>
      <c r="EM25" s="12">
        <f t="shared" si="89"/>
        <v>-0.25689073168313559</v>
      </c>
      <c r="EN25" s="12">
        <f t="shared" si="61"/>
        <v>-0.80348916624352529</v>
      </c>
      <c r="EO25" s="16">
        <v>0</v>
      </c>
      <c r="EP25" s="16">
        <v>0</v>
      </c>
      <c r="EQ25" s="16">
        <f t="shared" si="35"/>
        <v>22208.373000000003</v>
      </c>
      <c r="ER25" s="16">
        <v>0</v>
      </c>
      <c r="ES25" s="16">
        <f t="shared" si="62"/>
        <v>0</v>
      </c>
      <c r="ET25" s="16">
        <f t="shared" si="36"/>
        <v>0</v>
      </c>
      <c r="EU25" s="16">
        <f t="shared" si="37"/>
        <v>17105.456537618698</v>
      </c>
      <c r="EV25" s="16">
        <f t="shared" si="63"/>
        <v>-22208.373000000003</v>
      </c>
      <c r="EW25" s="16">
        <f t="shared" si="64"/>
        <v>0</v>
      </c>
      <c r="EX25" s="16">
        <f t="shared" si="65"/>
        <v>-17105.456537618698</v>
      </c>
      <c r="EY25" s="12">
        <f t="shared" si="38"/>
        <v>-0.34982366135262349</v>
      </c>
      <c r="EZ25" s="17">
        <f t="shared" si="39"/>
        <v>-7.8772298540090588E-2</v>
      </c>
      <c r="FA25" s="17">
        <f t="shared" si="40"/>
        <v>-0.10683962732413632</v>
      </c>
      <c r="FB25" s="17">
        <f t="shared" ref="FB25:FB70" si="97">(0.6*ED25)+(0.4*EZ25)</f>
        <v>-0.15040375466642944</v>
      </c>
      <c r="FC25" s="16"/>
      <c r="FE25" s="16"/>
      <c r="FF25" s="12"/>
      <c r="FG25" s="12"/>
      <c r="FH25" s="12">
        <f t="shared" si="68"/>
        <v>-0.17579888596733795</v>
      </c>
      <c r="FI25" s="12">
        <f t="shared" si="69"/>
        <v>-0.15865501175670785</v>
      </c>
      <c r="FJ25" s="16">
        <v>0</v>
      </c>
      <c r="FK25" s="16">
        <v>0</v>
      </c>
      <c r="FL25" s="16">
        <f t="shared" si="70"/>
        <v>0</v>
      </c>
      <c r="FM25" s="16">
        <f t="shared" si="41"/>
        <v>48589.015091342335</v>
      </c>
      <c r="FN25" s="16">
        <f t="shared" si="71"/>
        <v>-48589.015091342335</v>
      </c>
      <c r="FO25" s="12">
        <f t="shared" si="42"/>
        <v>-0.11105289955346305</v>
      </c>
      <c r="FP25" s="12">
        <f t="shared" si="43"/>
        <v>-0.19855559883126658</v>
      </c>
      <c r="FQ25" s="12">
        <f t="shared" si="72"/>
        <v>-0.62202296428716453</v>
      </c>
    </row>
    <row r="26" spans="1:173" x14ac:dyDescent="0.35">
      <c r="A26" s="7" t="s">
        <v>207</v>
      </c>
      <c r="B26" s="7" t="s">
        <v>44</v>
      </c>
      <c r="C26" s="144">
        <f t="shared" si="0"/>
        <v>10</v>
      </c>
      <c r="D26" s="144">
        <v>0</v>
      </c>
      <c r="E26" s="144">
        <v>0</v>
      </c>
      <c r="F26" s="144">
        <v>0</v>
      </c>
      <c r="G26" s="144">
        <v>10</v>
      </c>
      <c r="H26" s="144">
        <v>0</v>
      </c>
      <c r="I26" s="144">
        <v>0</v>
      </c>
      <c r="J26" s="144">
        <v>0</v>
      </c>
      <c r="K26" s="144"/>
      <c r="L26" s="144">
        <v>26</v>
      </c>
      <c r="M26" s="150">
        <f t="shared" si="1"/>
        <v>2.6</v>
      </c>
      <c r="N26" s="149">
        <f>M26/M73</f>
        <v>4.0758226174335832E-2</v>
      </c>
      <c r="O26" s="144">
        <v>1</v>
      </c>
      <c r="P26" s="149">
        <f t="shared" si="2"/>
        <v>0.1</v>
      </c>
      <c r="Q26" s="147">
        <f>P26/P73</f>
        <v>6.7714288759366881E-3</v>
      </c>
      <c r="R26" s="149">
        <f t="shared" si="3"/>
        <v>1.9750000000000001</v>
      </c>
      <c r="S26" s="156">
        <f>R26/R73</f>
        <v>3.8323405802707419E-2</v>
      </c>
      <c r="T26" s="156">
        <f t="shared" si="4"/>
        <v>3.2261526849736044E-2</v>
      </c>
      <c r="U26" s="142">
        <v>0</v>
      </c>
      <c r="V26" s="142">
        <f t="shared" si="5"/>
        <v>0</v>
      </c>
      <c r="W26" s="142"/>
      <c r="X26" s="147">
        <f>V26/V73</f>
        <v>0</v>
      </c>
      <c r="Y26" s="155">
        <f t="shared" si="6"/>
        <v>1.9356916109841627E-2</v>
      </c>
      <c r="Z26" s="147">
        <v>-0.15</v>
      </c>
      <c r="AA26" s="149">
        <v>7.0000000000000001E-3</v>
      </c>
      <c r="AB26" s="145">
        <v>23</v>
      </c>
      <c r="AC26" s="149">
        <v>-0.11153388559560135</v>
      </c>
      <c r="AD26" s="149">
        <f t="shared" si="93"/>
        <v>1.4566450507364562E-2</v>
      </c>
      <c r="AE26" s="142">
        <v>16</v>
      </c>
      <c r="AF26" s="209"/>
      <c r="AG26" s="209"/>
      <c r="AH26" s="12"/>
      <c r="AI26" s="12"/>
      <c r="AJ26" s="23"/>
      <c r="AK26" s="30"/>
      <c r="AL26" s="23"/>
      <c r="AM26" s="30"/>
      <c r="AN26" s="30"/>
      <c r="AO26" s="30"/>
      <c r="AP26" s="209"/>
      <c r="AQ26" s="142">
        <v>0</v>
      </c>
      <c r="AR26" s="24">
        <v>0</v>
      </c>
      <c r="AS26" s="24"/>
      <c r="AT26" s="24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300">
        <f>SUM(FQ6,FQ11,FQ17,FQ18,FQ19,FQ23,FQ24,FQ27,FQ32,FQ38,FQ40,FQ43,FQ44,FQ47,FQ54,FQ55,FQ60,FQ70)</f>
        <v>13.419027177095849</v>
      </c>
      <c r="BL26" s="16">
        <v>54</v>
      </c>
      <c r="BM26" s="16">
        <v>54</v>
      </c>
      <c r="BN26" s="16">
        <f t="shared" si="94"/>
        <v>0</v>
      </c>
      <c r="BO26" s="16">
        <v>23</v>
      </c>
      <c r="BP26" s="16">
        <v>88</v>
      </c>
      <c r="BQ26" s="16">
        <v>22.79757</v>
      </c>
      <c r="BR26" s="16">
        <f>BL26-BO26</f>
        <v>31</v>
      </c>
      <c r="BS26" s="16">
        <v>117</v>
      </c>
      <c r="BT26" s="16">
        <v>31</v>
      </c>
      <c r="BU26" s="211">
        <v>3990.6920385674489</v>
      </c>
      <c r="BV26" s="16">
        <f>BY26*CB$4</f>
        <v>0</v>
      </c>
      <c r="BW26" s="16">
        <f>AVERAGE(AQ26,AR26,BV26)</f>
        <v>0</v>
      </c>
      <c r="BX26" s="16"/>
      <c r="BY26" s="12"/>
      <c r="BZ26" s="12"/>
      <c r="CC26">
        <v>63</v>
      </c>
      <c r="CD26">
        <f t="shared" si="44"/>
        <v>94</v>
      </c>
      <c r="CE26" s="16">
        <f t="shared" si="9"/>
        <v>0</v>
      </c>
      <c r="CF26" s="54">
        <f t="shared" si="10"/>
        <v>50.03857</v>
      </c>
      <c r="CG26" s="16">
        <f t="shared" si="11"/>
        <v>98.051644999999994</v>
      </c>
      <c r="CH26" s="54">
        <f t="shared" si="12"/>
        <v>75.37582176771366</v>
      </c>
      <c r="CI26">
        <v>72</v>
      </c>
      <c r="CJ26" s="54">
        <f t="shared" si="95"/>
        <v>12.62417823228634</v>
      </c>
      <c r="CK26" s="54">
        <f t="shared" si="96"/>
        <v>16</v>
      </c>
      <c r="CL26" s="54">
        <f>BM26-BQ26</f>
        <v>31.20243</v>
      </c>
      <c r="CM26" s="12">
        <v>0.20499999999999999</v>
      </c>
      <c r="CN26" s="16">
        <f t="shared" si="48"/>
        <v>94</v>
      </c>
      <c r="CO26" s="54">
        <f t="shared" si="49"/>
        <v>-19.03857</v>
      </c>
      <c r="CP26" s="12">
        <f t="shared" si="13"/>
        <v>-0.34973290224422893</v>
      </c>
      <c r="CQ26" s="12">
        <f t="shared" si="14"/>
        <v>-0.21087136822789831</v>
      </c>
      <c r="CR26" s="16">
        <f t="shared" si="50"/>
        <v>18.948355000000006</v>
      </c>
      <c r="CS26" s="12">
        <f t="shared" si="15"/>
        <v>9.231769293051488E-2</v>
      </c>
      <c r="CT26" s="12">
        <f t="shared" si="16"/>
        <v>8.4561559021288535E-2</v>
      </c>
      <c r="CU26" s="14">
        <f t="shared" si="17"/>
        <v>0.17111882245748619</v>
      </c>
      <c r="CV26" s="12">
        <f>(CL26-CL$72)/CL$73</f>
        <v>0.23457055140483299</v>
      </c>
      <c r="CW26" s="54">
        <v>1</v>
      </c>
      <c r="CX26" s="54">
        <f t="shared" si="18"/>
        <v>72.131748999999999</v>
      </c>
      <c r="CY26" s="54">
        <f t="shared" si="51"/>
        <v>15.868251000000001</v>
      </c>
      <c r="CZ26" s="12">
        <f t="shared" si="19"/>
        <v>6.796213208667666E-2</v>
      </c>
      <c r="DA26" s="12">
        <f t="shared" si="20"/>
        <v>0.68992395652173921</v>
      </c>
      <c r="DB26" s="12">
        <f t="shared" si="21"/>
        <v>0.20399977855063359</v>
      </c>
      <c r="DC26" s="54">
        <v>1</v>
      </c>
      <c r="DD26" s="54">
        <v>1</v>
      </c>
      <c r="DE26" s="54">
        <f t="shared" si="22"/>
        <v>13.3710799</v>
      </c>
      <c r="DF26" s="54">
        <v>39</v>
      </c>
      <c r="DG26" s="54">
        <v>3.5</v>
      </c>
      <c r="DH26" s="54">
        <f t="shared" si="52"/>
        <v>105.5</v>
      </c>
      <c r="DI26" s="54">
        <f t="shared" si="23"/>
        <v>78.428212867355043</v>
      </c>
      <c r="DJ26" s="16">
        <f t="shared" si="53"/>
        <v>27.071787132644957</v>
      </c>
      <c r="DK26" s="12">
        <f t="shared" si="24"/>
        <v>0.14041539524437435</v>
      </c>
      <c r="DL26" s="54">
        <v>0</v>
      </c>
      <c r="DM26" s="54">
        <v>0</v>
      </c>
      <c r="DN26" s="54">
        <v>1</v>
      </c>
      <c r="DO26" s="54">
        <f t="shared" si="54"/>
        <v>1</v>
      </c>
      <c r="DP26" s="54">
        <f t="shared" si="25"/>
        <v>8.4447974583002381</v>
      </c>
      <c r="DQ26" s="16">
        <f t="shared" si="55"/>
        <v>-7.4447974583002381</v>
      </c>
      <c r="DR26" s="12">
        <f t="shared" si="26"/>
        <v>-0.37355451612467561</v>
      </c>
      <c r="DS26" s="54">
        <f t="shared" si="56"/>
        <v>1</v>
      </c>
      <c r="DT26" s="54">
        <f t="shared" si="27"/>
        <v>0</v>
      </c>
      <c r="DU26" s="54">
        <f t="shared" si="28"/>
        <v>10.013148283418554</v>
      </c>
      <c r="DV26" s="54">
        <f t="shared" si="57"/>
        <v>-12.3710799</v>
      </c>
      <c r="DW26" s="54">
        <f t="shared" si="58"/>
        <v>1</v>
      </c>
      <c r="DX26" s="54">
        <f t="shared" si="29"/>
        <v>-9.0131482834185537</v>
      </c>
      <c r="DY26" s="12">
        <f t="shared" si="30"/>
        <v>-0.47728796825640679</v>
      </c>
      <c r="DZ26" s="12">
        <f t="shared" si="31"/>
        <v>-0.71304858393397719</v>
      </c>
      <c r="EA26" s="12">
        <f t="shared" si="32"/>
        <v>-0.45990205010729002</v>
      </c>
      <c r="EB26" s="12">
        <f t="shared" si="59"/>
        <v>-5.0083722366215541E-2</v>
      </c>
      <c r="EC26" s="12">
        <f t="shared" si="60"/>
        <v>-0.27312903869774624</v>
      </c>
      <c r="ED26" s="12">
        <f t="shared" si="33"/>
        <v>-5.1554343260856103E-2</v>
      </c>
      <c r="EE26" s="54">
        <v>3</v>
      </c>
      <c r="EF26" s="54">
        <f>CW26-EE26</f>
        <v>-2</v>
      </c>
      <c r="EG26" s="12">
        <v>-0.24199999999999999</v>
      </c>
      <c r="EH26" s="12">
        <v>9.4E-2</v>
      </c>
      <c r="EI26" s="12">
        <f>(0.75*CV26)+(0.25*EG26)</f>
        <v>0.11542791355362475</v>
      </c>
      <c r="EJ26" s="16">
        <v>0</v>
      </c>
      <c r="EK26" s="16">
        <v>0</v>
      </c>
      <c r="EL26" s="16">
        <v>25089</v>
      </c>
      <c r="EM26" s="12">
        <f t="shared" si="89"/>
        <v>1.1922917402111863E-2</v>
      </c>
      <c r="EN26" s="12">
        <f t="shared" si="61"/>
        <v>-0.44056182266666599</v>
      </c>
      <c r="EO26" s="16">
        <v>0</v>
      </c>
      <c r="EP26" s="16">
        <v>0</v>
      </c>
      <c r="EQ26" s="16">
        <f t="shared" si="35"/>
        <v>56754.731000000007</v>
      </c>
      <c r="ER26" s="16">
        <v>0</v>
      </c>
      <c r="ES26" s="16">
        <f t="shared" si="62"/>
        <v>0</v>
      </c>
      <c r="ET26" s="16">
        <f t="shared" si="36"/>
        <v>0</v>
      </c>
      <c r="EU26" s="16">
        <f t="shared" si="37"/>
        <v>43713.94448502556</v>
      </c>
      <c r="EV26" s="16">
        <f t="shared" si="63"/>
        <v>-56754.731000000007</v>
      </c>
      <c r="EW26" s="16">
        <f t="shared" si="64"/>
        <v>0</v>
      </c>
      <c r="EX26" s="16">
        <f t="shared" si="65"/>
        <v>-43713.94448502556</v>
      </c>
      <c r="EY26" s="12">
        <f t="shared" si="38"/>
        <v>-0.34982366135262349</v>
      </c>
      <c r="EZ26" s="17">
        <f t="shared" si="39"/>
        <v>-0.20130698515800921</v>
      </c>
      <c r="FA26" s="17">
        <f t="shared" si="40"/>
        <v>-0.24495917433918291</v>
      </c>
      <c r="FB26" s="17">
        <f t="shared" si="97"/>
        <v>-0.11145540001971735</v>
      </c>
      <c r="FC26" s="16">
        <v>22305.66</v>
      </c>
      <c r="FD26">
        <f>EJ26-EL26</f>
        <v>-25089</v>
      </c>
      <c r="FE26" s="16">
        <f>EK26-FC26</f>
        <v>-22305.66</v>
      </c>
      <c r="FF26" s="12">
        <v>-0.124</v>
      </c>
      <c r="FG26" s="12">
        <f>(FE26-FE$72)/FE$73</f>
        <v>-0.1367257440620257</v>
      </c>
      <c r="FH26" s="12">
        <f t="shared" si="68"/>
        <v>-0.1280339031554025</v>
      </c>
      <c r="FI26" s="12">
        <f t="shared" si="69"/>
        <v>-0.24440021728185141</v>
      </c>
      <c r="FJ26" s="16">
        <v>0</v>
      </c>
      <c r="FK26" s="16">
        <v>0</v>
      </c>
      <c r="FL26" s="16">
        <f t="shared" si="70"/>
        <v>0</v>
      </c>
      <c r="FM26" s="16">
        <f t="shared" si="41"/>
        <v>77742.424146147736</v>
      </c>
      <c r="FN26" s="16">
        <f t="shared" si="71"/>
        <v>-77742.424146147736</v>
      </c>
      <c r="FO26" s="12">
        <f t="shared" si="42"/>
        <v>-0.17768463928554085</v>
      </c>
      <c r="FP26" s="12">
        <f t="shared" si="43"/>
        <v>-6.3920105272949224E-2</v>
      </c>
      <c r="FQ26" s="12">
        <f t="shared" si="72"/>
        <v>-0.40426655814104895</v>
      </c>
    </row>
    <row r="27" spans="1:173" x14ac:dyDescent="0.35">
      <c r="A27" s="7" t="s">
        <v>207</v>
      </c>
      <c r="B27" s="7" t="s">
        <v>92</v>
      </c>
      <c r="C27" s="144">
        <f t="shared" si="0"/>
        <v>64</v>
      </c>
      <c r="D27" s="144">
        <v>0</v>
      </c>
      <c r="E27" s="144">
        <v>0</v>
      </c>
      <c r="F27" s="144">
        <v>0</v>
      </c>
      <c r="G27" s="144">
        <v>64</v>
      </c>
      <c r="H27" s="144">
        <v>0</v>
      </c>
      <c r="I27" s="144">
        <v>0</v>
      </c>
      <c r="J27" s="144">
        <v>0</v>
      </c>
      <c r="K27" s="144"/>
      <c r="L27" s="144">
        <v>139.5</v>
      </c>
      <c r="M27" s="150">
        <f t="shared" si="1"/>
        <v>2.1796875</v>
      </c>
      <c r="N27" s="149">
        <f>M27/M73</f>
        <v>3.4169306197835626E-2</v>
      </c>
      <c r="O27" s="144">
        <v>9.5</v>
      </c>
      <c r="P27" s="149">
        <f t="shared" si="2"/>
        <v>0.1484375</v>
      </c>
      <c r="Q27" s="147">
        <f>P27/P73</f>
        <v>1.0051339737718521E-2</v>
      </c>
      <c r="R27" s="149">
        <f t="shared" si="3"/>
        <v>1.671875</v>
      </c>
      <c r="S27" s="156">
        <f>R27/R73</f>
        <v>3.2441490671595678E-2</v>
      </c>
      <c r="T27" s="156">
        <f t="shared" si="4"/>
        <v>2.8139814582806351E-2</v>
      </c>
      <c r="U27" s="142">
        <v>666789</v>
      </c>
      <c r="V27" s="154">
        <f t="shared" si="5"/>
        <v>10418.578125</v>
      </c>
      <c r="W27" s="154"/>
      <c r="X27" s="147">
        <f>V27/V73</f>
        <v>0.13378917177625801</v>
      </c>
      <c r="Y27" s="155">
        <f t="shared" si="6"/>
        <v>7.0399557460187015E-2</v>
      </c>
      <c r="Z27" s="155">
        <v>3.637</v>
      </c>
      <c r="AA27" s="150">
        <v>2.0179999999999998</v>
      </c>
      <c r="AB27" s="145">
        <v>63</v>
      </c>
      <c r="AC27" s="150">
        <v>2.8849159648482683</v>
      </c>
      <c r="AD27" s="150">
        <f t="shared" si="93"/>
        <v>2.2046579314770156</v>
      </c>
      <c r="AE27" s="142">
        <v>66</v>
      </c>
      <c r="AF27" s="209">
        <v>599852.41121536074</v>
      </c>
      <c r="AG27" s="209">
        <f>AT27*BK$32</f>
        <v>838218.1413372634</v>
      </c>
      <c r="AH27" s="12">
        <f>C27*BA27</f>
        <v>9.1968952503026422</v>
      </c>
      <c r="AI27" s="35" t="e">
        <f>AU27*BK$9</f>
        <v>#DIV/0!</v>
      </c>
      <c r="AJ27" s="34" t="e">
        <f>AV27*BK$16</f>
        <v>#DIV/0!</v>
      </c>
      <c r="AK27" s="34" t="e">
        <f>SUM(AL27:AM27)</f>
        <v>#DIV/0!</v>
      </c>
      <c r="AL27" s="34" t="e">
        <f>AW27*BK$24</f>
        <v>#DIV/0!</v>
      </c>
      <c r="AM27" s="34" t="e">
        <f>AX27*BK$26</f>
        <v>#DIV/0!</v>
      </c>
      <c r="AN27" s="30">
        <f>AS27*BK$35</f>
        <v>697027.17919981619</v>
      </c>
      <c r="AO27" s="30">
        <f>AVERAGE(AF27,AR27,AN27)</f>
        <v>680893.04346180824</v>
      </c>
      <c r="AP27" s="209">
        <f>AVERAGE(AF27:AG27)</f>
        <v>719035.27627631207</v>
      </c>
      <c r="AQ27" s="154">
        <f>AO27-(AO$72*BE27)</f>
        <v>740683.79243415373</v>
      </c>
      <c r="AR27" s="130">
        <f>AP27+(AP$72*BF27)</f>
        <v>745799.53997024777</v>
      </c>
      <c r="AS27" s="24">
        <f>AB27*BE27</f>
        <v>14.249462940313686</v>
      </c>
      <c r="AT27" s="24">
        <f>AB27*BF27</f>
        <v>14.857355507061198</v>
      </c>
      <c r="AU27" s="16" t="e">
        <f>AB27*BG27</f>
        <v>#DIV/0!</v>
      </c>
      <c r="AV27" s="16" t="e">
        <f>AB27*BB27</f>
        <v>#DIV/0!</v>
      </c>
      <c r="AW27" s="16" t="e">
        <f>AB27*BC27</f>
        <v>#DIV/0!</v>
      </c>
      <c r="AX27" s="16" t="e">
        <f>AB27*BD27</f>
        <v>#DIV/0!</v>
      </c>
      <c r="AY27" s="16"/>
      <c r="AZ27" s="16"/>
      <c r="BA27" s="16">
        <f>AA27/BH$2</f>
        <v>0.14370148828597878</v>
      </c>
      <c r="BB27" s="16" t="e">
        <f>FH27/BK$14</f>
        <v>#DIV/0!</v>
      </c>
      <c r="BC27" s="16" t="e">
        <f>EB27/BK$19</f>
        <v>#DIV/0!</v>
      </c>
      <c r="BD27" s="16" t="e">
        <f>FA27/BK$21</f>
        <v>#DIV/0!</v>
      </c>
      <c r="BE27" s="142">
        <f>FQ27/BK$26</f>
        <v>0.22618195143355058</v>
      </c>
      <c r="BF27" s="16">
        <f>FI27/BK$29</f>
        <v>0.23583103979462219</v>
      </c>
      <c r="BG27" s="142" t="e">
        <f>AC27/BK$5</f>
        <v>#DIV/0!</v>
      </c>
      <c r="BH27" s="16"/>
      <c r="BI27" s="16"/>
      <c r="BJ27" s="16"/>
      <c r="BK27" s="16"/>
      <c r="BL27" s="16">
        <v>193</v>
      </c>
      <c r="BM27" s="16">
        <v>193</v>
      </c>
      <c r="BN27" s="16">
        <f t="shared" si="94"/>
        <v>0</v>
      </c>
      <c r="BO27" s="16">
        <v>145</v>
      </c>
      <c r="BP27" s="16">
        <v>288</v>
      </c>
      <c r="BQ27" s="16">
        <v>145.90443999999999</v>
      </c>
      <c r="BR27" s="16">
        <f>BL27-BO27</f>
        <v>48</v>
      </c>
      <c r="BS27" s="16">
        <v>380</v>
      </c>
      <c r="BT27" s="16">
        <v>193</v>
      </c>
      <c r="BU27" s="211">
        <v>713372.66725261323</v>
      </c>
      <c r="BV27" s="285">
        <f>BY27*CB$4</f>
        <v>711167.32113290241</v>
      </c>
      <c r="BW27" s="16">
        <f>AVERAGE(AQ27,BU27,BV27)</f>
        <v>721741.26027322316</v>
      </c>
      <c r="BX27" s="285">
        <f>BW27-(BZ27*BW$72)</f>
        <v>728712.71338462201</v>
      </c>
      <c r="BY27" s="12">
        <f>AE27*BZ27</f>
        <v>11.254088070597778</v>
      </c>
      <c r="BZ27" s="12">
        <f>FP27/CB3</f>
        <v>0.17051648591814814</v>
      </c>
      <c r="CC27">
        <v>148</v>
      </c>
      <c r="CD27">
        <f t="shared" si="44"/>
        <v>341</v>
      </c>
      <c r="CE27" s="16">
        <f t="shared" si="9"/>
        <v>0</v>
      </c>
      <c r="CF27" s="54">
        <f t="shared" si="10"/>
        <v>137.06217000000001</v>
      </c>
      <c r="CG27" s="16">
        <f t="shared" si="11"/>
        <v>268.57624499999997</v>
      </c>
      <c r="CH27" s="54">
        <f t="shared" si="12"/>
        <v>206.46420745069395</v>
      </c>
      <c r="CI27" s="54">
        <v>197.57396</v>
      </c>
      <c r="CJ27" s="54">
        <f t="shared" si="95"/>
        <v>81.535792549306052</v>
      </c>
      <c r="CK27" s="54">
        <f t="shared" si="96"/>
        <v>90.42604</v>
      </c>
      <c r="CL27" s="54">
        <f>BM27-BQ27</f>
        <v>47.095560000000006</v>
      </c>
      <c r="CM27" s="12">
        <v>0.35699999999999998</v>
      </c>
      <c r="CN27" s="16">
        <f t="shared" si="48"/>
        <v>341</v>
      </c>
      <c r="CO27" s="54">
        <f t="shared" si="49"/>
        <v>55.937829999999991</v>
      </c>
      <c r="CP27" s="14">
        <f t="shared" si="13"/>
        <v>0.89226920059691806</v>
      </c>
      <c r="CQ27" s="14">
        <f t="shared" si="14"/>
        <v>0.48565816996142014</v>
      </c>
      <c r="CR27" s="16">
        <f t="shared" si="50"/>
        <v>111.42375500000003</v>
      </c>
      <c r="CS27" s="14">
        <f t="shared" si="15"/>
        <v>0.58038237176695895</v>
      </c>
      <c r="CT27" s="14">
        <f t="shared" si="16"/>
        <v>0.54615782565333615</v>
      </c>
      <c r="CU27" s="14">
        <f t="shared" si="17"/>
        <v>0.27801668785970063</v>
      </c>
      <c r="CV27" s="12">
        <f>(CL27-CL$72)/CL$73</f>
        <v>0.37655301709272032</v>
      </c>
      <c r="CW27" s="54">
        <v>0</v>
      </c>
      <c r="CX27" s="54">
        <f t="shared" si="18"/>
        <v>197.57826899999998</v>
      </c>
      <c r="CY27" s="54">
        <f t="shared" si="51"/>
        <v>90.421731000000023</v>
      </c>
      <c r="CZ27" s="14">
        <f t="shared" si="19"/>
        <v>0.56941407406294686</v>
      </c>
      <c r="DA27" s="12">
        <f t="shared" si="20"/>
        <v>1.4352655714285718</v>
      </c>
      <c r="DB27" s="14">
        <f t="shared" si="21"/>
        <v>0.45983884271655473</v>
      </c>
      <c r="DC27" s="54">
        <v>3</v>
      </c>
      <c r="DD27" s="54">
        <v>19</v>
      </c>
      <c r="DE27" s="54">
        <f t="shared" si="22"/>
        <v>36.6251319</v>
      </c>
      <c r="DF27" s="54">
        <v>98</v>
      </c>
      <c r="DG27" s="54">
        <v>159.5</v>
      </c>
      <c r="DH27" s="54">
        <f t="shared" si="52"/>
        <v>405.5</v>
      </c>
      <c r="DI27" s="54">
        <f t="shared" si="23"/>
        <v>323.51637807783953</v>
      </c>
      <c r="DJ27" s="16">
        <f t="shared" si="53"/>
        <v>81.983621922160467</v>
      </c>
      <c r="DK27" s="14">
        <f t="shared" si="24"/>
        <v>0.425230983804681</v>
      </c>
      <c r="DL27" s="54">
        <v>0</v>
      </c>
      <c r="DM27" s="54">
        <v>1</v>
      </c>
      <c r="DN27" s="54">
        <v>2</v>
      </c>
      <c r="DO27" s="54">
        <f t="shared" si="54"/>
        <v>3</v>
      </c>
      <c r="DP27" s="54">
        <f t="shared" si="25"/>
        <v>34.834789515488481</v>
      </c>
      <c r="DQ27" s="16">
        <f t="shared" si="55"/>
        <v>-31.834789515488481</v>
      </c>
      <c r="DR27" s="12">
        <f t="shared" si="26"/>
        <v>-1.5973610376909204</v>
      </c>
      <c r="DS27" s="54">
        <f t="shared" si="56"/>
        <v>3</v>
      </c>
      <c r="DT27" s="54">
        <f t="shared" si="27"/>
        <v>0</v>
      </c>
      <c r="DU27" s="54">
        <f t="shared" si="28"/>
        <v>27.427319211102994</v>
      </c>
      <c r="DV27" s="54">
        <f t="shared" si="57"/>
        <v>-17.6251319</v>
      </c>
      <c r="DW27" s="54">
        <f t="shared" si="58"/>
        <v>3</v>
      </c>
      <c r="DX27" s="54">
        <f t="shared" si="29"/>
        <v>-24.427319211102994</v>
      </c>
      <c r="DY27" s="12">
        <f t="shared" si="30"/>
        <v>-0.6397596482285981</v>
      </c>
      <c r="DZ27" s="12">
        <f t="shared" si="31"/>
        <v>-0.64561844261629686</v>
      </c>
      <c r="EA27" s="12">
        <f t="shared" si="32"/>
        <v>-1.2464206546428305</v>
      </c>
      <c r="EB27" s="14">
        <f t="shared" si="59"/>
        <v>0.27534686676806969</v>
      </c>
      <c r="EC27" s="12">
        <f t="shared" si="60"/>
        <v>5.2638463810357472E-2</v>
      </c>
      <c r="ED27" s="12">
        <f t="shared" si="33"/>
        <v>9.8013205579294493E-2</v>
      </c>
      <c r="EE27" s="54">
        <v>20</v>
      </c>
      <c r="EF27" s="54">
        <f>CW27-EE27</f>
        <v>-20</v>
      </c>
      <c r="EG27" s="12">
        <v>-0.95899999999999996</v>
      </c>
      <c r="EH27" s="12">
        <v>2.8000000000000001E-2</v>
      </c>
      <c r="EI27" s="12">
        <f>(0.75*CV27)+(0.25*EG27)</f>
        <v>4.2664762819540264E-2</v>
      </c>
      <c r="EJ27" s="16">
        <v>1052450</v>
      </c>
      <c r="EK27" s="16">
        <v>1052500</v>
      </c>
      <c r="EL27" s="16">
        <v>133030</v>
      </c>
      <c r="EM27" s="12">
        <f t="shared" si="89"/>
        <v>-8.0417021569219371E-2</v>
      </c>
      <c r="EN27" s="12">
        <f t="shared" si="61"/>
        <v>0.50779728979361438</v>
      </c>
      <c r="EO27" s="16">
        <v>1616462</v>
      </c>
      <c r="EP27" s="16">
        <v>1858685</v>
      </c>
      <c r="EQ27" s="16">
        <f t="shared" si="35"/>
        <v>155458.611</v>
      </c>
      <c r="ER27" s="16">
        <v>1505729</v>
      </c>
      <c r="ES27" s="16">
        <f t="shared" si="62"/>
        <v>3122191</v>
      </c>
      <c r="ET27" s="16">
        <f t="shared" si="36"/>
        <v>0</v>
      </c>
      <c r="EU27" s="16">
        <f t="shared" si="37"/>
        <v>119738.19576333089</v>
      </c>
      <c r="EV27" s="16">
        <f t="shared" si="63"/>
        <v>1703226.389</v>
      </c>
      <c r="EW27" s="16">
        <f t="shared" si="64"/>
        <v>3122191</v>
      </c>
      <c r="EX27" s="16">
        <f t="shared" si="65"/>
        <v>1496723.8042366691</v>
      </c>
      <c r="EY27" s="12">
        <f t="shared" si="38"/>
        <v>6.8261584484480498</v>
      </c>
      <c r="EZ27" s="17">
        <f t="shared" si="39"/>
        <v>6.8925593467851511</v>
      </c>
      <c r="FA27" s="109">
        <f t="shared" si="40"/>
        <v>6.7916087628492852</v>
      </c>
      <c r="FB27" s="109">
        <f t="shared" si="97"/>
        <v>2.8158316620616377</v>
      </c>
      <c r="FC27" s="16">
        <v>124029.61</v>
      </c>
      <c r="FD27">
        <f>EJ27-EL27</f>
        <v>919420</v>
      </c>
      <c r="FE27" s="16">
        <f>EK27-FC27</f>
        <v>928470.39</v>
      </c>
      <c r="FF27" s="12">
        <v>5.0030000000000001</v>
      </c>
      <c r="FG27" s="12">
        <f>(FE27-FE$72)/FE$73</f>
        <v>5.4476476844632282</v>
      </c>
      <c r="FH27" s="14">
        <f t="shared" si="68"/>
        <v>2.8818516252005564</v>
      </c>
      <c r="FI27" s="14">
        <f t="shared" si="69"/>
        <v>2.7886068170002751</v>
      </c>
      <c r="FJ27" s="16">
        <v>773433</v>
      </c>
      <c r="FK27" s="16">
        <v>532944</v>
      </c>
      <c r="FL27" s="16">
        <f t="shared" si="70"/>
        <v>2812106</v>
      </c>
      <c r="FM27" s="16">
        <f t="shared" si="41"/>
        <v>320687.49960285943</v>
      </c>
      <c r="FN27" s="16">
        <f t="shared" si="71"/>
        <v>2491418.5003971406</v>
      </c>
      <c r="FO27" s="14">
        <f t="shared" si="42"/>
        <v>5.6942757112922466</v>
      </c>
      <c r="FP27" s="14">
        <f t="shared" si="43"/>
        <v>2.2294600715753674</v>
      </c>
      <c r="FQ27" s="14">
        <f t="shared" si="72"/>
        <v>3.0351417532553886</v>
      </c>
    </row>
    <row r="28" spans="1:173" x14ac:dyDescent="0.35">
      <c r="A28" s="7" t="s">
        <v>207</v>
      </c>
      <c r="B28" s="8" t="s">
        <v>528</v>
      </c>
      <c r="C28" s="144">
        <v>0</v>
      </c>
      <c r="D28" s="144"/>
      <c r="E28" s="144"/>
      <c r="F28" s="144"/>
      <c r="G28" s="144"/>
      <c r="H28" s="144"/>
      <c r="I28" s="144"/>
      <c r="J28" s="144"/>
      <c r="K28" s="144"/>
      <c r="L28" s="144"/>
      <c r="M28" s="150"/>
      <c r="N28" s="149"/>
      <c r="O28" s="144"/>
      <c r="P28" s="149"/>
      <c r="Q28" s="147"/>
      <c r="R28" s="149"/>
      <c r="S28" s="156"/>
      <c r="T28" s="156"/>
      <c r="U28" s="142"/>
      <c r="V28" s="154"/>
      <c r="W28" s="154"/>
      <c r="X28" s="147"/>
      <c r="Y28" s="155"/>
      <c r="Z28" s="155"/>
      <c r="AA28" s="150"/>
      <c r="AB28" s="145">
        <v>18</v>
      </c>
      <c r="AC28" s="149">
        <v>-0.28722540551873432</v>
      </c>
      <c r="AD28" s="149"/>
      <c r="AE28" s="142">
        <v>18</v>
      </c>
      <c r="AF28" s="209"/>
      <c r="AG28" s="209"/>
      <c r="AH28" s="12"/>
      <c r="AI28" s="12"/>
      <c r="AJ28" s="23"/>
      <c r="AK28" s="30"/>
      <c r="AL28" s="23"/>
      <c r="AM28" s="30"/>
      <c r="AN28" s="30"/>
      <c r="AO28" s="30"/>
      <c r="AP28" s="209"/>
      <c r="AQ28" s="142"/>
      <c r="AR28" s="24"/>
      <c r="AS28" s="24"/>
      <c r="AT28" s="24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42" t="s">
        <v>439</v>
      </c>
      <c r="BL28" s="16"/>
      <c r="BM28" s="16"/>
      <c r="BN28" s="16"/>
      <c r="BO28" s="16"/>
      <c r="BP28" s="16">
        <v>6</v>
      </c>
      <c r="BQ28" s="16"/>
      <c r="BR28" s="16"/>
      <c r="BS28" s="16">
        <v>6</v>
      </c>
      <c r="BT28" s="16">
        <v>5</v>
      </c>
      <c r="BU28" s="16"/>
      <c r="BV28" s="16"/>
      <c r="BW28" s="16"/>
      <c r="BX28" s="16"/>
      <c r="BY28" s="12"/>
      <c r="BZ28" s="12"/>
      <c r="CC28">
        <v>2</v>
      </c>
      <c r="CD28">
        <f t="shared" si="44"/>
        <v>7</v>
      </c>
      <c r="CE28" s="16">
        <f t="shared" si="9"/>
        <v>0</v>
      </c>
      <c r="CF28" s="54">
        <f t="shared" si="10"/>
        <v>39.160620000000002</v>
      </c>
      <c r="CG28" s="16">
        <f t="shared" si="11"/>
        <v>76.736069999999998</v>
      </c>
      <c r="CH28" s="54">
        <f t="shared" si="12"/>
        <v>58.989773557341124</v>
      </c>
      <c r="CI28" s="54">
        <v>56.4497</v>
      </c>
      <c r="CJ28" s="54">
        <f t="shared" si="95"/>
        <v>-52.989773557341124</v>
      </c>
      <c r="CK28" s="54">
        <f t="shared" si="96"/>
        <v>-50.4497</v>
      </c>
      <c r="CL28" s="54"/>
      <c r="CM28" s="12"/>
      <c r="CN28" s="16">
        <f t="shared" si="48"/>
        <v>7</v>
      </c>
      <c r="CO28" s="54">
        <f t="shared" si="49"/>
        <v>-34.160620000000002</v>
      </c>
      <c r="CP28" s="12">
        <f t="shared" si="13"/>
        <v>-0.78719922996560465</v>
      </c>
      <c r="CQ28" s="12">
        <f t="shared" si="14"/>
        <v>-0.35135496710668929</v>
      </c>
      <c r="CR28" s="16">
        <f t="shared" si="50"/>
        <v>-70.736069999999998</v>
      </c>
      <c r="CS28" s="12">
        <f t="shared" si="15"/>
        <v>-0.38101683802859587</v>
      </c>
      <c r="CT28" s="12">
        <f t="shared" si="16"/>
        <v>-0.35494570670223269</v>
      </c>
      <c r="CU28" s="12">
        <f t="shared" si="17"/>
        <v>-3.8750043043646439E-2</v>
      </c>
      <c r="CV28" s="12"/>
      <c r="CW28" s="54"/>
      <c r="CX28" s="54">
        <f t="shared" si="18"/>
        <v>56.450933999999997</v>
      </c>
      <c r="CY28" s="54">
        <f t="shared" si="51"/>
        <v>-50.450933999999997</v>
      </c>
      <c r="CZ28" s="12">
        <f t="shared" si="19"/>
        <v>-0.37810536346864171</v>
      </c>
      <c r="DA28" s="12">
        <f t="shared" si="20"/>
        <v>-2.8028296666666663</v>
      </c>
      <c r="DB28" s="12">
        <f t="shared" si="21"/>
        <v>-0.99489050269355739</v>
      </c>
      <c r="DC28" s="54">
        <v>0</v>
      </c>
      <c r="DD28" s="54">
        <v>0</v>
      </c>
      <c r="DE28" s="54">
        <f t="shared" si="22"/>
        <v>10.4643234</v>
      </c>
      <c r="DF28" s="54">
        <v>0</v>
      </c>
      <c r="DG28" s="54">
        <v>1.33</v>
      </c>
      <c r="DH28" s="54">
        <f t="shared" si="52"/>
        <v>3.33</v>
      </c>
      <c r="DI28" s="54">
        <f t="shared" si="23"/>
        <v>88.231739475774418</v>
      </c>
      <c r="DJ28" s="16">
        <f t="shared" si="53"/>
        <v>-84.90173947577442</v>
      </c>
      <c r="DK28" s="12">
        <f t="shared" si="24"/>
        <v>-0.44036661661874621</v>
      </c>
      <c r="DL28" s="54">
        <v>0</v>
      </c>
      <c r="DM28" s="54">
        <v>0</v>
      </c>
      <c r="DN28" s="54">
        <v>0</v>
      </c>
      <c r="DO28" s="54">
        <f t="shared" si="54"/>
        <v>0</v>
      </c>
      <c r="DP28" s="54">
        <f t="shared" si="25"/>
        <v>9.5003971405877685</v>
      </c>
      <c r="DQ28" s="16">
        <f t="shared" si="55"/>
        <v>-9.5003971405877685</v>
      </c>
      <c r="DR28" s="12">
        <f t="shared" si="26"/>
        <v>-0.47669748931689376</v>
      </c>
      <c r="DS28" s="54">
        <f t="shared" si="56"/>
        <v>0</v>
      </c>
      <c r="DT28" s="54">
        <f t="shared" si="27"/>
        <v>0</v>
      </c>
      <c r="DU28" s="54">
        <f t="shared" si="28"/>
        <v>7.836376917457998</v>
      </c>
      <c r="DV28" s="54">
        <f t="shared" si="57"/>
        <v>-10.4643234</v>
      </c>
      <c r="DW28" s="54">
        <f t="shared" si="58"/>
        <v>0</v>
      </c>
      <c r="DX28" s="54">
        <f t="shared" si="29"/>
        <v>-7.836376917457998</v>
      </c>
      <c r="DY28" s="12">
        <f t="shared" si="30"/>
        <v>-0.41832510838122933</v>
      </c>
      <c r="DZ28" s="12">
        <f t="shared" si="31"/>
        <v>-0.74676365459281735</v>
      </c>
      <c r="EA28" s="12">
        <f t="shared" si="32"/>
        <v>-0.39985648703711862</v>
      </c>
      <c r="EB28" s="12">
        <f t="shared" si="59"/>
        <v>-0.39034390561675425</v>
      </c>
      <c r="EC28" s="12">
        <f t="shared" si="60"/>
        <v>-0.36348034708929661</v>
      </c>
      <c r="ED28" s="12">
        <f t="shared" si="33"/>
        <v>-0.3661734017859542</v>
      </c>
      <c r="EE28" s="54"/>
      <c r="EF28" s="54"/>
      <c r="EG28" s="12"/>
      <c r="EH28" s="12"/>
      <c r="EI28" s="12"/>
      <c r="EJ28" s="16"/>
      <c r="EK28" s="16"/>
      <c r="EL28" s="16"/>
      <c r="EM28" s="12">
        <f t="shared" si="89"/>
        <v>-0.44944933479328308</v>
      </c>
      <c r="EN28" s="12">
        <f t="shared" si="61"/>
        <v>-0.77709033612240785</v>
      </c>
      <c r="EO28" s="16">
        <v>0</v>
      </c>
      <c r="EP28" s="16">
        <v>0</v>
      </c>
      <c r="EQ28" s="16">
        <f t="shared" si="35"/>
        <v>44416.746000000006</v>
      </c>
      <c r="ER28" s="16">
        <v>0</v>
      </c>
      <c r="ES28" s="16">
        <f t="shared" si="62"/>
        <v>0</v>
      </c>
      <c r="ET28" s="16">
        <f t="shared" si="36"/>
        <v>0</v>
      </c>
      <c r="EU28" s="16">
        <f t="shared" si="37"/>
        <v>34210.913075237397</v>
      </c>
      <c r="EV28" s="16">
        <f t="shared" si="63"/>
        <v>-44416.746000000006</v>
      </c>
      <c r="EW28" s="16">
        <f t="shared" si="64"/>
        <v>0</v>
      </c>
      <c r="EX28" s="16">
        <f t="shared" si="65"/>
        <v>-34210.913075237397</v>
      </c>
      <c r="EY28" s="12">
        <f t="shared" si="38"/>
        <v>-0.34982366135262349</v>
      </c>
      <c r="EZ28" s="17">
        <f t="shared" si="39"/>
        <v>-0.15754459708018115</v>
      </c>
      <c r="FA28" s="17">
        <f t="shared" si="40"/>
        <v>-0.19563076469095197</v>
      </c>
      <c r="FB28" s="17">
        <f t="shared" si="97"/>
        <v>-0.28272187990364495</v>
      </c>
      <c r="FC28" s="16"/>
      <c r="FE28" s="16"/>
      <c r="FF28" s="12"/>
      <c r="FG28" s="12"/>
      <c r="FH28" s="12">
        <f t="shared" si="68"/>
        <v>-0.3124586492464333</v>
      </c>
      <c r="FI28" s="12">
        <f t="shared" si="69"/>
        <v>-0.28110604708565046</v>
      </c>
      <c r="FJ28" s="16">
        <v>0</v>
      </c>
      <c r="FK28" s="16">
        <v>0</v>
      </c>
      <c r="FL28" s="16">
        <f t="shared" si="70"/>
        <v>0</v>
      </c>
      <c r="FM28" s="16">
        <f t="shared" si="41"/>
        <v>87460.227164416196</v>
      </c>
      <c r="FN28" s="16">
        <f t="shared" si="71"/>
        <v>-87460.227164416196</v>
      </c>
      <c r="FO28" s="12">
        <f t="shared" si="42"/>
        <v>-0.1998952191962334</v>
      </c>
      <c r="FP28" s="12">
        <f t="shared" si="43"/>
        <v>-0.34962768855446325</v>
      </c>
      <c r="FQ28" s="12">
        <f t="shared" si="72"/>
        <v>-0.60618366621449404</v>
      </c>
    </row>
    <row r="29" spans="1:173" x14ac:dyDescent="0.35">
      <c r="A29" s="8" t="s">
        <v>212</v>
      </c>
      <c r="B29" s="8" t="s">
        <v>68</v>
      </c>
      <c r="C29" s="144">
        <f t="shared" si="0"/>
        <v>22</v>
      </c>
      <c r="D29" s="9">
        <v>0</v>
      </c>
      <c r="E29" s="9">
        <v>0</v>
      </c>
      <c r="F29" s="9">
        <v>0</v>
      </c>
      <c r="G29" s="9">
        <v>22</v>
      </c>
      <c r="H29" s="9">
        <v>0</v>
      </c>
      <c r="I29" s="9">
        <v>0</v>
      </c>
      <c r="J29" s="9">
        <v>0</v>
      </c>
      <c r="K29" s="9"/>
      <c r="L29" s="9">
        <v>44.5</v>
      </c>
      <c r="M29" s="150">
        <f t="shared" si="1"/>
        <v>2.0227272727272729</v>
      </c>
      <c r="N29" s="149">
        <f>M29/M73</f>
        <v>3.1708759873390641E-2</v>
      </c>
      <c r="O29" s="9">
        <v>3</v>
      </c>
      <c r="P29" s="149">
        <f t="shared" si="2"/>
        <v>0.13636363636363635</v>
      </c>
      <c r="Q29" s="147">
        <f>P29/P73</f>
        <v>9.2337666490045732E-3</v>
      </c>
      <c r="R29" s="149">
        <f t="shared" si="3"/>
        <v>1.5511363636363638</v>
      </c>
      <c r="S29" s="156">
        <f>R29/R73</f>
        <v>3.0098647250112558E-2</v>
      </c>
      <c r="T29" s="156">
        <f t="shared" si="4"/>
        <v>2.6090011567294125E-2</v>
      </c>
      <c r="U29" s="142">
        <v>0</v>
      </c>
      <c r="V29" s="142">
        <f t="shared" si="5"/>
        <v>0</v>
      </c>
      <c r="W29" s="142"/>
      <c r="X29" s="147">
        <f>V29/V73</f>
        <v>0</v>
      </c>
      <c r="Y29" s="147">
        <f t="shared" si="6"/>
        <v>1.5654006940376473E-2</v>
      </c>
      <c r="Z29" s="147">
        <v>0.13200000000000001</v>
      </c>
      <c r="AA29" s="149">
        <v>3.6999999999999998E-2</v>
      </c>
      <c r="AB29" s="145">
        <v>22</v>
      </c>
      <c r="AC29" s="149">
        <v>5.5752758860365292E-2</v>
      </c>
      <c r="AD29" s="149">
        <f t="shared" si="93"/>
        <v>4.3602348409362945E-2</v>
      </c>
      <c r="AE29" s="142">
        <v>22</v>
      </c>
      <c r="AF29" s="209">
        <v>0</v>
      </c>
      <c r="AG29" s="209">
        <f>AT29*BK$32</f>
        <v>14552.791445821482</v>
      </c>
      <c r="AH29" s="12"/>
      <c r="AI29" s="12"/>
      <c r="AJ29" s="23"/>
      <c r="AK29" s="34" t="e">
        <f>SUM(AL29:AM29)</f>
        <v>#DIV/0!</v>
      </c>
      <c r="AL29" s="34" t="e">
        <f>AW29*BK$24</f>
        <v>#DIV/0!</v>
      </c>
      <c r="AM29" s="30"/>
      <c r="AN29" s="30">
        <v>0</v>
      </c>
      <c r="AO29" s="30">
        <f>AVERAGE(AF29,AR29,AN29)</f>
        <v>2869.0137907907933</v>
      </c>
      <c r="AP29" s="209">
        <f>AVERAGE(AF29:AG29)</f>
        <v>7276.3957229107409</v>
      </c>
      <c r="AQ29" s="154">
        <f>AO29-(AO$72*BE29)</f>
        <v>2869.0137907907933</v>
      </c>
      <c r="AR29" s="130">
        <f>AP29+(AP$72*BF29)</f>
        <v>8607.0413723723796</v>
      </c>
      <c r="AS29" s="24"/>
      <c r="AT29" s="24">
        <f>AB29*BF29</f>
        <v>0.25794716848497884</v>
      </c>
      <c r="AU29" s="16"/>
      <c r="AV29" s="16"/>
      <c r="AW29" s="16" t="e">
        <f t="shared" ref="AW29:AW30" si="98">AB29*BC29</f>
        <v>#DIV/0!</v>
      </c>
      <c r="AX29" s="16"/>
      <c r="AY29" s="16"/>
      <c r="AZ29" s="16"/>
      <c r="BA29" s="16"/>
      <c r="BB29" s="16"/>
      <c r="BC29" s="16" t="e">
        <f>EB29/BK$19</f>
        <v>#DIV/0!</v>
      </c>
      <c r="BD29" s="16"/>
      <c r="BE29" s="16"/>
      <c r="BF29" s="16">
        <f>FI29/BK$29</f>
        <v>1.1724871294771766E-2</v>
      </c>
      <c r="BG29" s="16"/>
      <c r="BH29" s="16"/>
      <c r="BI29" s="16"/>
      <c r="BJ29" s="16"/>
      <c r="BK29" s="36">
        <f>SUM(FI6,FI10,FI11,FI12,FI17,FI23,FI24,FI27,FI29,FI30,FI32,FI34,FI40,FI44,FI47,FI54,FI55,FI60)</f>
        <v>11.824596200011605</v>
      </c>
      <c r="BL29" s="16">
        <v>107</v>
      </c>
      <c r="BM29" s="16">
        <v>107</v>
      </c>
      <c r="BN29" s="16">
        <f t="shared" si="94"/>
        <v>0</v>
      </c>
      <c r="BO29" s="16">
        <v>50</v>
      </c>
      <c r="BP29" s="16">
        <v>119</v>
      </c>
      <c r="BQ29" s="16">
        <v>50.154649999999997</v>
      </c>
      <c r="BR29" s="16">
        <f t="shared" ref="BR29:BR64" si="99">BL29-BO29</f>
        <v>57</v>
      </c>
      <c r="BS29" s="16">
        <v>181</v>
      </c>
      <c r="BT29" s="16">
        <v>106</v>
      </c>
      <c r="BU29" s="211">
        <v>3825.351721054391</v>
      </c>
      <c r="BV29" s="285">
        <v>0</v>
      </c>
      <c r="BW29" s="16">
        <f>AVERAGE(AQ29,BU29,BV29)</f>
        <v>2231.4551706150614</v>
      </c>
      <c r="BX29" s="285">
        <f>BW29-(BZ29*BW$72)</f>
        <v>2231.4551706150614</v>
      </c>
      <c r="BY29" s="12"/>
      <c r="BZ29" s="12"/>
      <c r="CC29">
        <v>58</v>
      </c>
      <c r="CD29">
        <f t="shared" si="44"/>
        <v>164</v>
      </c>
      <c r="CE29" s="16">
        <f t="shared" si="9"/>
        <v>0</v>
      </c>
      <c r="CF29" s="54">
        <f t="shared" si="10"/>
        <v>47.86298</v>
      </c>
      <c r="CG29" s="16">
        <f t="shared" si="11"/>
        <v>93.788529999999994</v>
      </c>
      <c r="CH29" s="54">
        <f t="shared" si="12"/>
        <v>72.09861212563915</v>
      </c>
      <c r="CI29" s="54">
        <v>68.994079999999997</v>
      </c>
      <c r="CJ29" s="54">
        <f t="shared" si="95"/>
        <v>46.90138787436085</v>
      </c>
      <c r="CK29" s="54">
        <f t="shared" si="96"/>
        <v>50.005920000000003</v>
      </c>
      <c r="CL29" s="54">
        <f t="shared" ref="CL29:CL64" si="100">BM29-BQ29</f>
        <v>56.845350000000003</v>
      </c>
      <c r="CM29" s="12">
        <v>0.438</v>
      </c>
      <c r="CN29" s="16">
        <f t="shared" si="48"/>
        <v>164</v>
      </c>
      <c r="CO29" s="54">
        <f t="shared" si="49"/>
        <v>58.13702</v>
      </c>
      <c r="CP29" s="14">
        <f t="shared" si="13"/>
        <v>2.2514993706710062E-3</v>
      </c>
      <c r="CQ29" s="14">
        <f t="shared" si="14"/>
        <v>0.50608860934088584</v>
      </c>
      <c r="CR29" s="16">
        <f t="shared" si="50"/>
        <v>87.211470000000006</v>
      </c>
      <c r="CS29" s="14">
        <f t="shared" si="15"/>
        <v>0.45259529431261475</v>
      </c>
      <c r="CT29" s="14">
        <f t="shared" si="16"/>
        <v>0.31416337807833911</v>
      </c>
      <c r="CU29" s="14">
        <f t="shared" si="17"/>
        <v>0.34359418827150467</v>
      </c>
      <c r="CV29" s="12">
        <f t="shared" ref="CV29:CV41" si="101">(CL29-CL$72)/CL$73</f>
        <v>0.46365349535843053</v>
      </c>
      <c r="CW29" s="54">
        <v>2</v>
      </c>
      <c r="CX29" s="54">
        <f t="shared" si="18"/>
        <v>68.995586000000003</v>
      </c>
      <c r="CY29" s="54">
        <f t="shared" si="51"/>
        <v>50.004413999999997</v>
      </c>
      <c r="CZ29" s="14">
        <f t="shared" si="19"/>
        <v>0.29756436162671279</v>
      </c>
      <c r="DA29" s="12">
        <f t="shared" si="20"/>
        <v>2.2729279090909089</v>
      </c>
      <c r="DB29" s="14">
        <f t="shared" si="21"/>
        <v>0.74736706369393624</v>
      </c>
      <c r="DC29" s="54">
        <v>8</v>
      </c>
      <c r="DD29" s="54">
        <v>10</v>
      </c>
      <c r="DE29" s="54">
        <f t="shared" si="22"/>
        <v>12.7897286</v>
      </c>
      <c r="DF29" s="54">
        <v>45</v>
      </c>
      <c r="DG29" s="54">
        <v>87.2</v>
      </c>
      <c r="DH29" s="54">
        <f t="shared" si="52"/>
        <v>190.2</v>
      </c>
      <c r="DI29" s="54">
        <f t="shared" si="23"/>
        <v>107.83879269261318</v>
      </c>
      <c r="DJ29" s="16">
        <f t="shared" si="53"/>
        <v>82.361207307386806</v>
      </c>
      <c r="DK29" s="14">
        <f t="shared" si="24"/>
        <v>0.42718943600605497</v>
      </c>
      <c r="DL29" s="54">
        <v>1</v>
      </c>
      <c r="DM29" s="54">
        <v>1</v>
      </c>
      <c r="DN29" s="54">
        <v>0</v>
      </c>
      <c r="DO29" s="54">
        <f t="shared" si="54"/>
        <v>2</v>
      </c>
      <c r="DP29" s="54">
        <f t="shared" si="25"/>
        <v>11.611596505162828</v>
      </c>
      <c r="DQ29" s="16">
        <f t="shared" si="55"/>
        <v>-9.6115965051628276</v>
      </c>
      <c r="DR29" s="12">
        <f t="shared" si="26"/>
        <v>-0.4822770937399658</v>
      </c>
      <c r="DS29" s="54">
        <f t="shared" si="56"/>
        <v>9</v>
      </c>
      <c r="DT29" s="54">
        <f t="shared" si="27"/>
        <v>0</v>
      </c>
      <c r="DU29" s="54">
        <f t="shared" si="28"/>
        <v>9.5777940102264427</v>
      </c>
      <c r="DV29" s="54">
        <f t="shared" si="57"/>
        <v>-2.7897286000000001</v>
      </c>
      <c r="DW29" s="54">
        <f t="shared" si="58"/>
        <v>9</v>
      </c>
      <c r="DX29" s="54">
        <f t="shared" si="29"/>
        <v>-1.5777940102264427</v>
      </c>
      <c r="DY29" s="12">
        <f t="shared" si="30"/>
        <v>-0.18100269317448148</v>
      </c>
      <c r="DZ29" s="12">
        <f t="shared" si="31"/>
        <v>-0.44332801866325605</v>
      </c>
      <c r="EA29" s="12">
        <f t="shared" si="32"/>
        <v>-8.0508017524252073E-2</v>
      </c>
      <c r="EB29" s="14">
        <f t="shared" si="59"/>
        <v>0.29419579744084068</v>
      </c>
      <c r="EC29" s="14">
        <f t="shared" si="60"/>
        <v>0.35943945262460136</v>
      </c>
      <c r="ED29" s="14">
        <f t="shared" si="33"/>
        <v>0.21549552917769133</v>
      </c>
      <c r="EE29" s="54">
        <v>7</v>
      </c>
      <c r="EF29" s="54">
        <f t="shared" ref="EF29:EF64" si="102">CW29-EE29</f>
        <v>-5</v>
      </c>
      <c r="EG29" s="12">
        <v>-0.36099999999999999</v>
      </c>
      <c r="EH29" s="12">
        <v>0.23799999999999999</v>
      </c>
      <c r="EI29" s="12">
        <f t="shared" ref="EI29:EI64" si="103">(0.75*CV29)+(0.25*EG29)</f>
        <v>0.25749012151882289</v>
      </c>
      <c r="EJ29" s="16">
        <v>0</v>
      </c>
      <c r="EK29" s="16">
        <v>0</v>
      </c>
      <c r="EL29" s="16">
        <v>50957</v>
      </c>
      <c r="EM29" s="12">
        <f t="shared" si="89"/>
        <v>0.19982280356954973</v>
      </c>
      <c r="EN29" s="14">
        <f t="shared" si="61"/>
        <v>-0.10914338013781076</v>
      </c>
      <c r="EO29" s="16">
        <v>0</v>
      </c>
      <c r="EP29" s="16">
        <v>0</v>
      </c>
      <c r="EQ29" s="16">
        <f t="shared" si="35"/>
        <v>54287.134000000005</v>
      </c>
      <c r="ER29" s="16">
        <v>0</v>
      </c>
      <c r="ES29" s="16">
        <f t="shared" si="62"/>
        <v>0</v>
      </c>
      <c r="ET29" s="16">
        <f t="shared" si="36"/>
        <v>0</v>
      </c>
      <c r="EU29" s="16">
        <f t="shared" si="37"/>
        <v>41813.338203067928</v>
      </c>
      <c r="EV29" s="16">
        <f t="shared" si="63"/>
        <v>-54287.134000000005</v>
      </c>
      <c r="EW29" s="16">
        <f t="shared" si="64"/>
        <v>0</v>
      </c>
      <c r="EX29" s="16">
        <f t="shared" si="65"/>
        <v>-41813.338203067928</v>
      </c>
      <c r="EY29" s="12">
        <f t="shared" si="38"/>
        <v>-0.34982366135262349</v>
      </c>
      <c r="EZ29" s="17">
        <f t="shared" si="39"/>
        <v>-0.1925545075424436</v>
      </c>
      <c r="FA29" s="17">
        <f t="shared" si="40"/>
        <v>-0.23509349240953673</v>
      </c>
      <c r="FB29" s="17">
        <f t="shared" si="97"/>
        <v>5.2275514489637354E-2</v>
      </c>
      <c r="FC29" s="16">
        <v>46227.31</v>
      </c>
      <c r="FD29">
        <f t="shared" ref="FD29:FD64" si="104">EJ29-EL29</f>
        <v>-50957</v>
      </c>
      <c r="FE29" s="16">
        <f t="shared" ref="FE29:FE64" si="105">EK29-FC29</f>
        <v>-46227.31</v>
      </c>
      <c r="FF29" s="12">
        <v>-0.26400000000000001</v>
      </c>
      <c r="FG29" s="12">
        <f t="shared" ref="FG29:FG41" si="106">(FE29-FE$72)/FE$73</f>
        <v>-0.27722931125482692</v>
      </c>
      <c r="FH29" s="12">
        <f t="shared" si="68"/>
        <v>8.2480081500689723E-2</v>
      </c>
      <c r="FI29" s="14">
        <f t="shared" si="69"/>
        <v>0.13864186855778338</v>
      </c>
      <c r="FJ29" s="16">
        <v>0</v>
      </c>
      <c r="FK29" s="16">
        <v>0</v>
      </c>
      <c r="FL29" s="16">
        <f t="shared" si="70"/>
        <v>0</v>
      </c>
      <c r="FM29" s="16">
        <f t="shared" si="41"/>
        <v>106895.83320095314</v>
      </c>
      <c r="FN29" s="16">
        <f t="shared" si="71"/>
        <v>-106895.83320095314</v>
      </c>
      <c r="FO29" s="12">
        <f t="shared" si="42"/>
        <v>-0.24431637901761866</v>
      </c>
      <c r="FP29" s="12">
        <f t="shared" si="43"/>
        <v>2.2167130534682375E-2</v>
      </c>
      <c r="FQ29" s="12">
        <f t="shared" si="72"/>
        <v>-0.20541549262373587</v>
      </c>
    </row>
    <row r="30" spans="1:173" x14ac:dyDescent="0.35">
      <c r="A30" s="8" t="s">
        <v>212</v>
      </c>
      <c r="B30" s="8" t="s">
        <v>90</v>
      </c>
      <c r="C30" s="144">
        <f t="shared" si="0"/>
        <v>44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44</v>
      </c>
      <c r="K30" s="9"/>
      <c r="L30" s="9">
        <v>29.5</v>
      </c>
      <c r="M30" s="149">
        <f t="shared" si="1"/>
        <v>0.67045454545454541</v>
      </c>
      <c r="N30" s="149">
        <f>M30/M73</f>
        <v>1.051020692432611E-2</v>
      </c>
      <c r="O30" s="9">
        <v>2.5</v>
      </c>
      <c r="P30" s="149">
        <f t="shared" si="2"/>
        <v>5.6818181818181816E-2</v>
      </c>
      <c r="Q30" s="147">
        <f>P30/P73</f>
        <v>3.8474027704185725E-3</v>
      </c>
      <c r="R30" s="149">
        <f t="shared" si="3"/>
        <v>0.51704545454545447</v>
      </c>
      <c r="S30" s="147">
        <f>R30/R73</f>
        <v>1.0032882416704185E-2</v>
      </c>
      <c r="T30" s="147">
        <f t="shared" si="4"/>
        <v>8.8445058858492263E-3</v>
      </c>
      <c r="U30" s="142">
        <v>37489</v>
      </c>
      <c r="V30" s="142">
        <f t="shared" si="5"/>
        <v>852.02272727272725</v>
      </c>
      <c r="W30" s="142"/>
      <c r="X30" s="147">
        <f>V30/V73</f>
        <v>1.0941168137218028E-2</v>
      </c>
      <c r="Y30" s="147">
        <f t="shared" si="6"/>
        <v>9.6831707863967477E-3</v>
      </c>
      <c r="Z30" s="147">
        <v>5.7000000000000002E-2</v>
      </c>
      <c r="AA30" s="149">
        <v>-0.37</v>
      </c>
      <c r="AB30" s="145">
        <v>44</v>
      </c>
      <c r="AC30" s="150">
        <v>0.27105520913854519</v>
      </c>
      <c r="AD30" s="149">
        <f t="shared" si="93"/>
        <v>-0.36571193719253853</v>
      </c>
      <c r="AE30" s="142">
        <v>36</v>
      </c>
      <c r="AF30" s="209">
        <v>0</v>
      </c>
      <c r="AG30" s="209">
        <f>AT30*BK$32</f>
        <v>31282.139273157598</v>
      </c>
      <c r="AH30" s="12"/>
      <c r="AI30" s="35" t="e">
        <f>AU30*BK$9</f>
        <v>#DIV/0!</v>
      </c>
      <c r="AJ30" s="30"/>
      <c r="AK30" s="34" t="e">
        <f>SUM(AL30:AM30)</f>
        <v>#DIV/0!</v>
      </c>
      <c r="AL30" s="34" t="e">
        <f>AW30*BK$24</f>
        <v>#DIV/0!</v>
      </c>
      <c r="AM30" s="30"/>
      <c r="AN30" s="30">
        <v>0</v>
      </c>
      <c r="AO30" s="30">
        <f>AVERAGE(AF30,AR30,AN30)</f>
        <v>5690.4076124143312</v>
      </c>
      <c r="AP30" s="209">
        <f>AVERAGE(AF30:AG30)</f>
        <v>15641.069636578799</v>
      </c>
      <c r="AQ30" s="154">
        <f>AO30-(AO$72*BE30)</f>
        <v>5690.4076124143312</v>
      </c>
      <c r="AR30" s="130">
        <f>AP30+(AP$72*BF30)</f>
        <v>17071.222837242993</v>
      </c>
      <c r="AS30" s="24"/>
      <c r="AT30" s="24">
        <f>AB30*BF30</f>
        <v>0.55447364031184787</v>
      </c>
      <c r="AU30" s="16" t="e">
        <f>AB30*BG30</f>
        <v>#DIV/0!</v>
      </c>
      <c r="AV30" s="16"/>
      <c r="AW30" s="16" t="e">
        <f t="shared" si="98"/>
        <v>#DIV/0!</v>
      </c>
      <c r="AX30" s="16"/>
      <c r="AY30" s="16"/>
      <c r="AZ30" s="16"/>
      <c r="BA30" s="16"/>
      <c r="BB30" s="16"/>
      <c r="BC30" s="16" t="e">
        <f>EB30/BK$19</f>
        <v>#DIV/0!</v>
      </c>
      <c r="BD30" s="16"/>
      <c r="BE30" s="16"/>
      <c r="BF30" s="16">
        <f>FI30/BK$29</f>
        <v>1.2601673643451088E-2</v>
      </c>
      <c r="BG30" s="142" t="e">
        <f>AC30/BK$5</f>
        <v>#DIV/0!</v>
      </c>
      <c r="BH30" s="16"/>
      <c r="BI30" s="16"/>
      <c r="BJ30" s="16"/>
      <c r="BK30" s="16"/>
      <c r="BL30" s="16">
        <v>90</v>
      </c>
      <c r="BM30" s="16">
        <v>90</v>
      </c>
      <c r="BN30" s="16">
        <f t="shared" si="94"/>
        <v>0</v>
      </c>
      <c r="BO30" s="16">
        <v>100</v>
      </c>
      <c r="BP30" s="16">
        <v>311</v>
      </c>
      <c r="BQ30" s="16">
        <v>100.30931</v>
      </c>
      <c r="BR30" s="16">
        <f t="shared" si="99"/>
        <v>-10</v>
      </c>
      <c r="BS30" s="16">
        <v>327</v>
      </c>
      <c r="BT30" s="16">
        <v>193</v>
      </c>
      <c r="BU30" s="211">
        <v>7587.2101498857746</v>
      </c>
      <c r="BV30" s="285">
        <f>BY30*CB$4</f>
        <v>34079.12030658219</v>
      </c>
      <c r="BW30" s="16">
        <f>AVERAGE(AQ30,BU30,BV30)</f>
        <v>15785.579356294098</v>
      </c>
      <c r="BX30" s="285">
        <f>BW30+BX31-(BZ30*BW$72)</f>
        <v>16398.044431808357</v>
      </c>
      <c r="BY30" s="12">
        <f>AE30*BZ30</f>
        <v>0.53929561989406904</v>
      </c>
      <c r="BZ30" s="12">
        <f>FP30/CB3</f>
        <v>1.4980433885946363E-2</v>
      </c>
      <c r="CC30">
        <v>83</v>
      </c>
      <c r="CD30">
        <f t="shared" si="44"/>
        <v>276</v>
      </c>
      <c r="CE30" s="16">
        <f t="shared" si="9"/>
        <v>0</v>
      </c>
      <c r="CF30" s="54">
        <f t="shared" si="10"/>
        <v>95.725960000000001</v>
      </c>
      <c r="CG30" s="16">
        <f t="shared" si="11"/>
        <v>187.57705999999999</v>
      </c>
      <c r="CH30" s="54">
        <f t="shared" si="12"/>
        <v>144.1972242512783</v>
      </c>
      <c r="CI30" s="54">
        <v>137.98815999999999</v>
      </c>
      <c r="CJ30" s="54">
        <f t="shared" si="95"/>
        <v>166.8027757487217</v>
      </c>
      <c r="CK30" s="54">
        <f t="shared" si="96"/>
        <v>173.01184000000001</v>
      </c>
      <c r="CL30" s="54">
        <f t="shared" si="100"/>
        <v>-10.309309999999996</v>
      </c>
      <c r="CM30" s="12">
        <v>-0.161</v>
      </c>
      <c r="CN30" s="16">
        <f t="shared" si="48"/>
        <v>276</v>
      </c>
      <c r="CO30" s="54">
        <f t="shared" si="49"/>
        <v>97.274039999999999</v>
      </c>
      <c r="CP30" s="14">
        <f t="shared" si="13"/>
        <v>0.56542654195451092</v>
      </c>
      <c r="CQ30" s="14">
        <f t="shared" si="14"/>
        <v>0.86967088945444315</v>
      </c>
      <c r="CR30" s="16">
        <f t="shared" si="50"/>
        <v>139.42294000000001</v>
      </c>
      <c r="CS30" s="14">
        <f t="shared" si="15"/>
        <v>0.72815586866134563</v>
      </c>
      <c r="CT30" s="14">
        <f t="shared" si="16"/>
        <v>1.117308588872461</v>
      </c>
      <c r="CU30" s="12">
        <f t="shared" si="17"/>
        <v>-0.10809089866929743</v>
      </c>
      <c r="CV30" s="12">
        <f t="shared" si="101"/>
        <v>-0.13627768303322277</v>
      </c>
      <c r="CW30" s="54">
        <v>2</v>
      </c>
      <c r="CX30" s="54">
        <f t="shared" si="18"/>
        <v>137.99117200000001</v>
      </c>
      <c r="CY30" s="54">
        <f t="shared" si="51"/>
        <v>173.00882799999999</v>
      </c>
      <c r="CZ30" s="14">
        <f t="shared" si="19"/>
        <v>1.1249006881396146</v>
      </c>
      <c r="DA30" s="12">
        <f t="shared" si="20"/>
        <v>3.9320188181818181</v>
      </c>
      <c r="DB30" s="14">
        <f t="shared" si="21"/>
        <v>1.3168512533041767</v>
      </c>
      <c r="DC30" s="54">
        <v>1</v>
      </c>
      <c r="DD30" s="54">
        <v>3</v>
      </c>
      <c r="DE30" s="54">
        <f t="shared" si="22"/>
        <v>25.5794572</v>
      </c>
      <c r="DF30" s="54">
        <v>109</v>
      </c>
      <c r="DG30" s="54">
        <v>137</v>
      </c>
      <c r="DH30" s="54">
        <f t="shared" si="52"/>
        <v>329</v>
      </c>
      <c r="DI30" s="54">
        <f t="shared" si="23"/>
        <v>176.46347895154884</v>
      </c>
      <c r="DJ30" s="16">
        <f t="shared" si="53"/>
        <v>152.53652104845116</v>
      </c>
      <c r="DK30" s="14">
        <f t="shared" si="24"/>
        <v>0.79117332695011788</v>
      </c>
      <c r="DL30" s="54">
        <v>1</v>
      </c>
      <c r="DM30" s="54">
        <v>1</v>
      </c>
      <c r="DN30" s="54">
        <v>6.5</v>
      </c>
      <c r="DO30" s="54">
        <f t="shared" si="54"/>
        <v>8.5</v>
      </c>
      <c r="DP30" s="54">
        <f t="shared" si="25"/>
        <v>19.000794281175537</v>
      </c>
      <c r="DQ30" s="16">
        <f t="shared" si="55"/>
        <v>-10.500794281175537</v>
      </c>
      <c r="DR30" s="12">
        <f t="shared" si="26"/>
        <v>-0.52689400196588865</v>
      </c>
      <c r="DS30" s="54">
        <f t="shared" si="56"/>
        <v>2</v>
      </c>
      <c r="DT30" s="54">
        <f t="shared" si="27"/>
        <v>0</v>
      </c>
      <c r="DU30" s="54">
        <f t="shared" si="28"/>
        <v>19.155588020452885</v>
      </c>
      <c r="DV30" s="54">
        <f t="shared" si="57"/>
        <v>-22.5794572</v>
      </c>
      <c r="DW30" s="54">
        <f t="shared" si="58"/>
        <v>2</v>
      </c>
      <c r="DX30" s="54">
        <f t="shared" si="29"/>
        <v>-18.155588020452885</v>
      </c>
      <c r="DY30" s="12">
        <f t="shared" si="30"/>
        <v>-0.79296284351858215</v>
      </c>
      <c r="DZ30" s="12">
        <f t="shared" si="31"/>
        <v>-0.67933351327513702</v>
      </c>
      <c r="EA30" s="12">
        <f t="shared" si="32"/>
        <v>-0.92640128498392837</v>
      </c>
      <c r="EB30" s="14">
        <f t="shared" si="59"/>
        <v>0.34787619061636366</v>
      </c>
      <c r="EC30" s="14">
        <f t="shared" si="60"/>
        <v>0.4206528458448503</v>
      </c>
      <c r="ED30" s="14">
        <f t="shared" si="33"/>
        <v>0.60638112040836367</v>
      </c>
      <c r="EE30" s="54">
        <v>14</v>
      </c>
      <c r="EF30" s="54">
        <f t="shared" si="102"/>
        <v>-12</v>
      </c>
      <c r="EG30" s="12">
        <v>-0.64</v>
      </c>
      <c r="EH30" s="12">
        <v>-0.28100000000000003</v>
      </c>
      <c r="EI30" s="12">
        <f t="shared" si="103"/>
        <v>-0.26220826227491711</v>
      </c>
      <c r="EJ30" s="16">
        <v>0</v>
      </c>
      <c r="EK30" s="16">
        <v>0</v>
      </c>
      <c r="EL30" s="16">
        <v>94999</v>
      </c>
      <c r="EM30" s="14">
        <f t="shared" si="89"/>
        <v>0.46165649472111625</v>
      </c>
      <c r="EN30" s="12">
        <f t="shared" si="61"/>
        <v>0.25423652814709891</v>
      </c>
      <c r="EO30" s="16">
        <v>27503</v>
      </c>
      <c r="EP30" s="16">
        <v>27503</v>
      </c>
      <c r="EQ30" s="16">
        <f t="shared" si="35"/>
        <v>108574.26800000001</v>
      </c>
      <c r="ER30" s="16">
        <v>0</v>
      </c>
      <c r="ES30" s="16">
        <f t="shared" si="62"/>
        <v>27503</v>
      </c>
      <c r="ET30" s="16">
        <f t="shared" si="36"/>
        <v>0</v>
      </c>
      <c r="EU30" s="16">
        <f t="shared" si="37"/>
        <v>83626.676406135855</v>
      </c>
      <c r="EV30" s="16">
        <f t="shared" si="63"/>
        <v>-81071.268000000011</v>
      </c>
      <c r="EW30" s="16">
        <f t="shared" si="64"/>
        <v>27503</v>
      </c>
      <c r="EX30" s="16">
        <f t="shared" si="65"/>
        <v>-56123.676406135855</v>
      </c>
      <c r="EY30" s="12">
        <f t="shared" si="38"/>
        <v>-0.28661130952474112</v>
      </c>
      <c r="EZ30" s="17">
        <f t="shared" si="39"/>
        <v>-0.25845501307192997</v>
      </c>
      <c r="FA30" s="17">
        <f t="shared" si="40"/>
        <v>-0.34217894712723257</v>
      </c>
      <c r="FB30" s="109">
        <f t="shared" si="97"/>
        <v>0.26044666701624619</v>
      </c>
      <c r="FC30" s="16">
        <v>87725.32</v>
      </c>
      <c r="FD30">
        <f t="shared" si="104"/>
        <v>-94999</v>
      </c>
      <c r="FE30" s="16">
        <f t="shared" si="105"/>
        <v>-87725.32</v>
      </c>
      <c r="FF30" s="12">
        <v>-0.503</v>
      </c>
      <c r="FG30" s="12">
        <f t="shared" si="106"/>
        <v>-0.52096744956897068</v>
      </c>
      <c r="FH30" s="12">
        <f t="shared" si="68"/>
        <v>7.1854135518925139E-2</v>
      </c>
      <c r="FI30" s="14">
        <f t="shared" si="69"/>
        <v>0.14900970227813815</v>
      </c>
      <c r="FJ30" s="16">
        <v>28543</v>
      </c>
      <c r="FK30" s="16">
        <v>57637</v>
      </c>
      <c r="FL30" s="16">
        <f t="shared" si="70"/>
        <v>86180</v>
      </c>
      <c r="FM30" s="16">
        <f t="shared" si="41"/>
        <v>174920.45432883239</v>
      </c>
      <c r="FN30" s="16">
        <f t="shared" si="71"/>
        <v>-88740.454328832391</v>
      </c>
      <c r="FO30" s="12">
        <f t="shared" si="42"/>
        <v>-0.20282124966687079</v>
      </c>
      <c r="FP30" s="14">
        <f t="shared" si="43"/>
        <v>0.19586539696592142</v>
      </c>
      <c r="FQ30" s="12">
        <f t="shared" si="72"/>
        <v>3.7897393078362873E-2</v>
      </c>
    </row>
    <row r="31" spans="1:173" x14ac:dyDescent="0.35">
      <c r="A31" s="7" t="s">
        <v>212</v>
      </c>
      <c r="B31" s="7" t="s">
        <v>124</v>
      </c>
      <c r="C31" s="144">
        <f t="shared" si="0"/>
        <v>16</v>
      </c>
      <c r="D31" s="9">
        <v>9</v>
      </c>
      <c r="E31" s="9">
        <v>5</v>
      </c>
      <c r="F31" s="9">
        <v>0</v>
      </c>
      <c r="G31" s="9">
        <v>2</v>
      </c>
      <c r="H31" s="9">
        <v>0</v>
      </c>
      <c r="I31" s="9">
        <v>0</v>
      </c>
      <c r="J31" s="9">
        <v>0</v>
      </c>
      <c r="K31" s="9"/>
      <c r="L31" s="9">
        <v>9</v>
      </c>
      <c r="M31" s="149">
        <f t="shared" si="1"/>
        <v>0.5625</v>
      </c>
      <c r="N31" s="149">
        <f>M31/M73</f>
        <v>8.8178854704091935E-3</v>
      </c>
      <c r="O31" s="9">
        <v>1.5</v>
      </c>
      <c r="P31" s="149">
        <f t="shared" si="2"/>
        <v>9.375E-2</v>
      </c>
      <c r="Q31" s="147">
        <f>P31/P73</f>
        <v>6.3482145711906447E-3</v>
      </c>
      <c r="R31" s="149">
        <f t="shared" si="3"/>
        <v>0.4453125</v>
      </c>
      <c r="S31" s="147">
        <f>R31/R73</f>
        <v>8.6409577957053899E-3</v>
      </c>
      <c r="T31" s="147">
        <f t="shared" si="4"/>
        <v>8.2004677456045567E-3</v>
      </c>
      <c r="U31" s="142"/>
      <c r="V31" s="142">
        <f t="shared" ref="V31:V69" si="107">U31/C31</f>
        <v>0</v>
      </c>
      <c r="W31" s="142"/>
      <c r="X31" s="147">
        <f>V31/V73</f>
        <v>0</v>
      </c>
      <c r="Y31" s="147">
        <f t="shared" si="6"/>
        <v>4.9202806473627337E-3</v>
      </c>
      <c r="Z31" s="147">
        <v>-0.25600000000000001</v>
      </c>
      <c r="AA31" s="149">
        <v>-0.193</v>
      </c>
      <c r="AB31" s="145">
        <v>13</v>
      </c>
      <c r="AC31" s="149">
        <v>-0.10034403732905925</v>
      </c>
      <c r="AD31" s="149">
        <f t="shared" si="93"/>
        <v>-0.18749594003269687</v>
      </c>
      <c r="AE31" s="142">
        <v>17</v>
      </c>
      <c r="AF31" s="144"/>
      <c r="AG31" s="144"/>
      <c r="AH31" s="12"/>
      <c r="AI31" s="12"/>
      <c r="AJ31" s="23"/>
      <c r="AK31" s="30"/>
      <c r="AL31" s="23"/>
      <c r="AM31" s="30"/>
      <c r="AN31" s="30"/>
      <c r="AO31" s="30"/>
      <c r="AP31" s="209"/>
      <c r="AQ31" s="142"/>
      <c r="AR31" s="24"/>
      <c r="AS31" s="24"/>
      <c r="AT31" s="24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42"/>
      <c r="BF31" s="16"/>
      <c r="BG31" s="16"/>
      <c r="BH31" s="16"/>
      <c r="BI31" s="16"/>
      <c r="BJ31" s="16"/>
      <c r="BK31" s="142" t="s">
        <v>401</v>
      </c>
      <c r="BL31" s="16">
        <v>26</v>
      </c>
      <c r="BM31" s="16">
        <v>26</v>
      </c>
      <c r="BN31" s="16">
        <f t="shared" si="94"/>
        <v>0</v>
      </c>
      <c r="BO31" s="16">
        <v>36</v>
      </c>
      <c r="BP31" s="16">
        <v>34</v>
      </c>
      <c r="BQ31" s="16">
        <v>36.476109999999998</v>
      </c>
      <c r="BR31" s="16">
        <f t="shared" si="99"/>
        <v>-10</v>
      </c>
      <c r="BS31" s="16">
        <v>41</v>
      </c>
      <c r="BT31" s="16">
        <v>25</v>
      </c>
      <c r="BU31" s="16"/>
      <c r="BV31" s="16"/>
      <c r="BW31" s="16"/>
      <c r="BX31" s="16"/>
      <c r="BY31" s="12"/>
      <c r="BZ31" s="12"/>
      <c r="CC31">
        <v>13</v>
      </c>
      <c r="CD31">
        <f t="shared" si="44"/>
        <v>38</v>
      </c>
      <c r="CE31" s="16">
        <f t="shared" si="9"/>
        <v>0</v>
      </c>
      <c r="CF31" s="54">
        <f t="shared" si="10"/>
        <v>28.282670000000003</v>
      </c>
      <c r="CG31" s="16">
        <f t="shared" si="11"/>
        <v>55.420495000000003</v>
      </c>
      <c r="CH31" s="54">
        <f t="shared" si="12"/>
        <v>42.603725346968588</v>
      </c>
      <c r="CI31" s="54">
        <v>40.76923</v>
      </c>
      <c r="CJ31" s="54">
        <f t="shared" si="95"/>
        <v>-8.6037253469685879</v>
      </c>
      <c r="CK31" s="54">
        <f t="shared" si="96"/>
        <v>-6.7692300000000003</v>
      </c>
      <c r="CL31" s="54">
        <f t="shared" si="100"/>
        <v>-10.476109999999998</v>
      </c>
      <c r="CM31" s="12">
        <v>-0.161</v>
      </c>
      <c r="CN31" s="16">
        <f t="shared" si="48"/>
        <v>38</v>
      </c>
      <c r="CO31" s="54">
        <f t="shared" si="49"/>
        <v>-3.2826700000000031</v>
      </c>
      <c r="CP31" s="12">
        <f t="shared" si="13"/>
        <v>-0.63132042353614892</v>
      </c>
      <c r="CQ31" s="12">
        <f t="shared" si="14"/>
        <v>-6.4499313144470979E-2</v>
      </c>
      <c r="CR31" s="16">
        <f t="shared" si="50"/>
        <v>-14.420495000000003</v>
      </c>
      <c r="CS31" s="12">
        <f t="shared" si="15"/>
        <v>-8.3795706507513792E-2</v>
      </c>
      <c r="CT31" s="12">
        <f t="shared" si="16"/>
        <v>-5.7631032717040211E-2</v>
      </c>
      <c r="CU31" s="12">
        <f t="shared" si="17"/>
        <v>-0.10921280253273337</v>
      </c>
      <c r="CV31" s="12">
        <f t="shared" si="101"/>
        <v>-0.13776780331014368</v>
      </c>
      <c r="CW31" s="54">
        <v>2</v>
      </c>
      <c r="CX31" s="54">
        <f t="shared" si="18"/>
        <v>40.770118999999994</v>
      </c>
      <c r="CY31" s="54">
        <f t="shared" si="51"/>
        <v>-6.770118999999994</v>
      </c>
      <c r="CZ31" s="12">
        <f t="shared" si="19"/>
        <v>-8.4305134306217805E-2</v>
      </c>
      <c r="DA31" s="12">
        <f t="shared" si="20"/>
        <v>-0.52077838461538417</v>
      </c>
      <c r="DB31" s="12">
        <f t="shared" si="21"/>
        <v>-0.21157470131888162</v>
      </c>
      <c r="DC31" s="54">
        <v>2</v>
      </c>
      <c r="DD31" s="54">
        <v>2</v>
      </c>
      <c r="DE31" s="54">
        <f t="shared" si="22"/>
        <v>7.5575669000000003</v>
      </c>
      <c r="DF31" s="54">
        <v>5</v>
      </c>
      <c r="DG31" s="54">
        <v>21</v>
      </c>
      <c r="DH31" s="54">
        <f t="shared" si="52"/>
        <v>39</v>
      </c>
      <c r="DI31" s="54">
        <f t="shared" si="23"/>
        <v>83.329976171564738</v>
      </c>
      <c r="DJ31" s="16">
        <f t="shared" si="53"/>
        <v>-44.329976171564738</v>
      </c>
      <c r="DK31" s="12">
        <f t="shared" si="24"/>
        <v>-0.22992981936526508</v>
      </c>
      <c r="DL31" s="54">
        <v>1</v>
      </c>
      <c r="DM31" s="54">
        <v>0</v>
      </c>
      <c r="DN31" s="54">
        <v>10.5</v>
      </c>
      <c r="DO31" s="54">
        <f t="shared" si="54"/>
        <v>11.5</v>
      </c>
      <c r="DP31" s="54">
        <f t="shared" si="25"/>
        <v>8.9725972994440024</v>
      </c>
      <c r="DQ31" s="16">
        <f t="shared" si="55"/>
        <v>2.5274027005559976</v>
      </c>
      <c r="DR31" s="14">
        <f t="shared" si="26"/>
        <v>0.1268164376729668</v>
      </c>
      <c r="DS31" s="54">
        <f t="shared" si="56"/>
        <v>3</v>
      </c>
      <c r="DT31" s="54">
        <f t="shared" si="27"/>
        <v>0</v>
      </c>
      <c r="DU31" s="54">
        <f t="shared" si="28"/>
        <v>5.6596055514974433</v>
      </c>
      <c r="DV31" s="54">
        <f t="shared" si="57"/>
        <v>-5.5575669000000003</v>
      </c>
      <c r="DW31" s="54">
        <f t="shared" si="58"/>
        <v>3</v>
      </c>
      <c r="DX31" s="54">
        <f t="shared" si="29"/>
        <v>-3.6596055514974433</v>
      </c>
      <c r="DY31" s="12">
        <f t="shared" si="30"/>
        <v>-0.26659288879728354</v>
      </c>
      <c r="DZ31" s="12">
        <f t="shared" si="31"/>
        <v>-0.64561844261629686</v>
      </c>
      <c r="EA31" s="12">
        <f t="shared" si="32"/>
        <v>-0.18673387397986246</v>
      </c>
      <c r="EB31" s="12">
        <f t="shared" si="59"/>
        <v>-0.12949500207995623</v>
      </c>
      <c r="EC31" s="12">
        <f t="shared" si="60"/>
        <v>-9.5057953353318847E-2</v>
      </c>
      <c r="ED31" s="12">
        <f t="shared" si="33"/>
        <v>-8.9906743032745776E-2</v>
      </c>
      <c r="EE31" s="54">
        <v>5</v>
      </c>
      <c r="EF31" s="54">
        <f t="shared" si="102"/>
        <v>-3</v>
      </c>
      <c r="EG31" s="12">
        <v>-0.28199999999999997</v>
      </c>
      <c r="EH31" s="12">
        <v>-0.191</v>
      </c>
      <c r="EI31" s="12">
        <f t="shared" si="103"/>
        <v>-0.17382585248260773</v>
      </c>
      <c r="EJ31" s="16">
        <v>0</v>
      </c>
      <c r="EK31" s="16">
        <v>0</v>
      </c>
      <c r="EL31" s="16">
        <v>38275</v>
      </c>
      <c r="EM31" s="12">
        <f t="shared" si="89"/>
        <v>-0.14074325510570712</v>
      </c>
      <c r="EN31" s="12">
        <f t="shared" si="61"/>
        <v>-0.63489492830618588</v>
      </c>
      <c r="EO31" s="16">
        <v>0</v>
      </c>
      <c r="EP31" s="16">
        <v>0</v>
      </c>
      <c r="EQ31" s="16">
        <f t="shared" si="35"/>
        <v>32078.761000000002</v>
      </c>
      <c r="ER31" s="16">
        <v>0</v>
      </c>
      <c r="ES31" s="16">
        <f t="shared" si="62"/>
        <v>0</v>
      </c>
      <c r="ET31" s="16">
        <f t="shared" si="36"/>
        <v>0</v>
      </c>
      <c r="EU31" s="16">
        <f t="shared" si="37"/>
        <v>24707.881665449233</v>
      </c>
      <c r="EV31" s="16">
        <f t="shared" si="63"/>
        <v>-32078.761000000002</v>
      </c>
      <c r="EW31" s="16">
        <f t="shared" si="64"/>
        <v>0</v>
      </c>
      <c r="EX31" s="16">
        <f t="shared" si="65"/>
        <v>-24707.881665449233</v>
      </c>
      <c r="EY31" s="12">
        <f t="shared" si="38"/>
        <v>-0.34982366135262349</v>
      </c>
      <c r="EZ31" s="17">
        <f t="shared" si="39"/>
        <v>-0.11378220900235306</v>
      </c>
      <c r="FA31" s="17">
        <f t="shared" si="40"/>
        <v>-0.14630235504272107</v>
      </c>
      <c r="FB31" s="17">
        <f t="shared" si="97"/>
        <v>-9.9456929420588688E-2</v>
      </c>
      <c r="FC31" s="16">
        <v>34440.75</v>
      </c>
      <c r="FD31">
        <f t="shared" si="104"/>
        <v>-38275</v>
      </c>
      <c r="FE31" s="16">
        <f t="shared" si="105"/>
        <v>-34440.75</v>
      </c>
      <c r="FF31" s="12">
        <v>-0.19500000000000001</v>
      </c>
      <c r="FG31" s="12">
        <f t="shared" si="106"/>
        <v>-0.20800107135783058</v>
      </c>
      <c r="FH31" s="12">
        <f t="shared" si="68"/>
        <v>-0.13621794326506217</v>
      </c>
      <c r="FI31" s="12">
        <f t="shared" si="69"/>
        <v>-0.10254765561293253</v>
      </c>
      <c r="FJ31" s="16">
        <v>0</v>
      </c>
      <c r="FK31" s="16">
        <v>0</v>
      </c>
      <c r="FL31" s="16">
        <f t="shared" si="70"/>
        <v>0</v>
      </c>
      <c r="FM31" s="16">
        <f t="shared" si="41"/>
        <v>82601.325655281966</v>
      </c>
      <c r="FN31" s="16">
        <f t="shared" si="71"/>
        <v>-82601.325655281966</v>
      </c>
      <c r="FO31" s="12">
        <f t="shared" si="42"/>
        <v>-0.18878992924088714</v>
      </c>
      <c r="FP31" s="12">
        <f t="shared" si="43"/>
        <v>-0.15996192475977913</v>
      </c>
      <c r="FQ31" s="12">
        <f t="shared" si="72"/>
        <v>-0.52086642152476093</v>
      </c>
    </row>
    <row r="32" spans="1:173" x14ac:dyDescent="0.35">
      <c r="A32" s="8" t="s">
        <v>212</v>
      </c>
      <c r="B32" s="8" t="s">
        <v>94</v>
      </c>
      <c r="C32" s="144">
        <f t="shared" ref="C32:C63" si="108">SUM(D32:J32)</f>
        <v>36</v>
      </c>
      <c r="D32" s="9">
        <v>0</v>
      </c>
      <c r="E32" s="9">
        <v>0</v>
      </c>
      <c r="F32" s="9">
        <v>0</v>
      </c>
      <c r="G32" s="9">
        <v>36</v>
      </c>
      <c r="H32" s="9">
        <v>0</v>
      </c>
      <c r="I32" s="9">
        <v>0</v>
      </c>
      <c r="J32" s="9">
        <v>0</v>
      </c>
      <c r="K32" s="9"/>
      <c r="L32" s="9">
        <v>192.5</v>
      </c>
      <c r="M32" s="150">
        <f t="shared" ref="M32:M63" si="109">L32/C32</f>
        <v>5.3472222222222223</v>
      </c>
      <c r="N32" s="149">
        <f>M32/M73</f>
        <v>8.3824343360679995E-2</v>
      </c>
      <c r="O32" s="9">
        <v>2</v>
      </c>
      <c r="P32" s="149">
        <f t="shared" ref="P32:P63" si="110">O32/C32</f>
        <v>5.5555555555555552E-2</v>
      </c>
      <c r="Q32" s="147">
        <f>P32/P73</f>
        <v>3.7619049310759376E-3</v>
      </c>
      <c r="R32" s="149">
        <f t="shared" ref="R32:R63" si="111">(0.75*M32)+(0.25*P32)</f>
        <v>4.0243055555555562</v>
      </c>
      <c r="S32" s="147">
        <f>R32/R73</f>
        <v>7.8088655635263543E-2</v>
      </c>
      <c r="T32" s="156">
        <f t="shared" ref="T32:T63" si="112">(0.75*N32)+(0.25*Q32)</f>
        <v>6.3808733753278973E-2</v>
      </c>
      <c r="U32" s="142"/>
      <c r="V32" s="142">
        <f t="shared" si="107"/>
        <v>0</v>
      </c>
      <c r="W32" s="142"/>
      <c r="X32" s="147">
        <f>V32/V73</f>
        <v>0</v>
      </c>
      <c r="Y32" s="155">
        <f t="shared" ref="Y32:Y63" si="113">(0.6*T32)+(0.4*X32)</f>
        <v>3.8285240251967383E-2</v>
      </c>
      <c r="Z32" s="155">
        <v>2.1</v>
      </c>
      <c r="AA32" s="150">
        <v>1.1619999999999999</v>
      </c>
      <c r="AB32" s="145">
        <v>41</v>
      </c>
      <c r="AC32" s="150">
        <v>1.0433912511012124</v>
      </c>
      <c r="AD32" s="150">
        <f t="shared" si="93"/>
        <v>1.193452910996065</v>
      </c>
      <c r="AE32" s="142">
        <v>40</v>
      </c>
      <c r="AF32" s="209">
        <v>178505.12292398672</v>
      </c>
      <c r="AG32" s="209">
        <f>AT32*BK$32</f>
        <v>206464.45538852055</v>
      </c>
      <c r="AH32" s="12">
        <f>C32*BA32</f>
        <v>2.9788506729331337</v>
      </c>
      <c r="AI32" s="35" t="e">
        <f>AU32*BK$9</f>
        <v>#DIV/0!</v>
      </c>
      <c r="AJ32" s="34" t="e">
        <f>AV32*BK$16</f>
        <v>#DIV/0!</v>
      </c>
      <c r="AK32" s="34" t="e">
        <f>SUM(AL32:AM32)</f>
        <v>#DIV/0!</v>
      </c>
      <c r="AL32" s="34" t="e">
        <f>AW32*BK$24</f>
        <v>#DIV/0!</v>
      </c>
      <c r="AM32" s="30"/>
      <c r="AN32" s="30">
        <f>AS32*BK$35</f>
        <v>149981.08865819912</v>
      </c>
      <c r="AO32" s="30">
        <f>AVERAGE(AF32,AR32,AN32)</f>
        <v>177033.59527796227</v>
      </c>
      <c r="AP32" s="209">
        <f>AVERAGE(AF32:AG32)</f>
        <v>192484.78915625362</v>
      </c>
      <c r="AQ32" s="154">
        <f>AO32-(AO$72*BE32)</f>
        <v>196802.26634414389</v>
      </c>
      <c r="AR32" s="130">
        <f>AP32+(AP$72*BF32)</f>
        <v>202614.57425170089</v>
      </c>
      <c r="AS32" s="24">
        <f>AB32*BE32</f>
        <v>3.0660927268809623</v>
      </c>
      <c r="AT32" s="24">
        <f>AB32*BF32</f>
        <v>3.6595674347792344</v>
      </c>
      <c r="AU32" s="16" t="e">
        <f>AB32*BG32</f>
        <v>#DIV/0!</v>
      </c>
      <c r="AV32" s="16" t="e">
        <f>AB32*BB32</f>
        <v>#DIV/0!</v>
      </c>
      <c r="AW32" s="16" t="e">
        <f>AB32*BC32</f>
        <v>#DIV/0!</v>
      </c>
      <c r="AX32" s="16"/>
      <c r="AY32" s="16"/>
      <c r="AZ32" s="16"/>
      <c r="BA32" s="16">
        <f>AA32/BH$2</f>
        <v>8.2745852025920386E-2</v>
      </c>
      <c r="BB32" s="16" t="e">
        <f>FH32/BK$14</f>
        <v>#DIV/0!</v>
      </c>
      <c r="BC32" s="16" t="e">
        <f>EB32/BK$19</f>
        <v>#DIV/0!</v>
      </c>
      <c r="BD32" s="16"/>
      <c r="BE32" s="142">
        <f>FQ32/BK$26</f>
        <v>7.4782749436121038E-2</v>
      </c>
      <c r="BF32" s="16">
        <f>FI32/BK$29</f>
        <v>8.9257742311688648E-2</v>
      </c>
      <c r="BG32" s="142" t="e">
        <f>AC32/BK$5</f>
        <v>#DIV/0!</v>
      </c>
      <c r="BH32" s="16"/>
      <c r="BI32" s="16"/>
      <c r="BJ32" s="16"/>
      <c r="BK32" s="301">
        <f>AY18/AT71</f>
        <v>56417.721238405225</v>
      </c>
      <c r="BL32" s="16">
        <v>443</v>
      </c>
      <c r="BM32" s="16">
        <v>443</v>
      </c>
      <c r="BN32" s="16">
        <f t="shared" si="94"/>
        <v>0</v>
      </c>
      <c r="BO32" s="16">
        <v>82</v>
      </c>
      <c r="BP32" s="16">
        <v>550</v>
      </c>
      <c r="BQ32" s="16">
        <v>82.071250000000006</v>
      </c>
      <c r="BR32" s="16">
        <f t="shared" si="99"/>
        <v>361</v>
      </c>
      <c r="BS32" s="16">
        <v>717</v>
      </c>
      <c r="BT32" s="16">
        <v>402</v>
      </c>
      <c r="BU32" s="211">
        <v>211684.03004707556</v>
      </c>
      <c r="BV32" s="285">
        <f>BY32*CB$4</f>
        <v>199522.66070724739</v>
      </c>
      <c r="BW32" s="16">
        <f>AVERAGE(AQ32,BU32,BV32)</f>
        <v>202669.65236615561</v>
      </c>
      <c r="BX32" s="285">
        <f>BW32-(BZ32*BW$72)</f>
        <v>205896.86581303386</v>
      </c>
      <c r="BY32" s="12">
        <f>AE32*BZ32</f>
        <v>3.1574082905023326</v>
      </c>
      <c r="BZ32" s="12">
        <f>FP32/CB3</f>
        <v>7.8935207262558316E-2</v>
      </c>
      <c r="CC32">
        <v>302</v>
      </c>
      <c r="CD32">
        <f t="shared" si="44"/>
        <v>704</v>
      </c>
      <c r="CE32" s="16">
        <f t="shared" si="9"/>
        <v>0</v>
      </c>
      <c r="CF32" s="54">
        <f t="shared" si="10"/>
        <v>89.199190000000002</v>
      </c>
      <c r="CG32" s="16">
        <f t="shared" si="11"/>
        <v>174.78771499999999</v>
      </c>
      <c r="CH32" s="54">
        <f t="shared" si="12"/>
        <v>134.36559532505478</v>
      </c>
      <c r="CI32" s="54">
        <v>128.57988</v>
      </c>
      <c r="CJ32" s="54">
        <f t="shared" si="95"/>
        <v>415.63440467494524</v>
      </c>
      <c r="CK32" s="54">
        <f t="shared" si="96"/>
        <v>421.42012</v>
      </c>
      <c r="CL32" s="54">
        <f t="shared" si="100"/>
        <v>360.92874999999998</v>
      </c>
      <c r="CM32" s="12">
        <v>3.1539999999999999</v>
      </c>
      <c r="CN32" s="16">
        <f t="shared" si="48"/>
        <v>704</v>
      </c>
      <c r="CO32" s="54">
        <f t="shared" si="49"/>
        <v>312.80081000000001</v>
      </c>
      <c r="CP32" s="14">
        <f t="shared" si="13"/>
        <v>2.7175597403998997</v>
      </c>
      <c r="CQ32" s="14">
        <f t="shared" si="14"/>
        <v>2.8719110820421836</v>
      </c>
      <c r="CR32" s="16">
        <f t="shared" si="50"/>
        <v>542.21228500000007</v>
      </c>
      <c r="CS32" s="14">
        <f t="shared" si="15"/>
        <v>2.8539888178150301</v>
      </c>
      <c r="CT32" s="14">
        <f t="shared" si="16"/>
        <v>2.7840777114751782</v>
      </c>
      <c r="CU32" s="14">
        <f t="shared" si="17"/>
        <v>2.3888720136116182</v>
      </c>
      <c r="CV32" s="12">
        <f t="shared" si="101"/>
        <v>3.1802052952088125</v>
      </c>
      <c r="CW32" s="54">
        <v>1</v>
      </c>
      <c r="CX32" s="54">
        <f t="shared" si="18"/>
        <v>128.582683</v>
      </c>
      <c r="CY32" s="54">
        <f t="shared" si="51"/>
        <v>421.41731700000003</v>
      </c>
      <c r="CZ32" s="14">
        <f t="shared" si="19"/>
        <v>2.7957136295669081</v>
      </c>
      <c r="DA32" s="12">
        <f t="shared" si="20"/>
        <v>10.278471146341465</v>
      </c>
      <c r="DB32" s="14">
        <f t="shared" si="21"/>
        <v>3.4952757393875866</v>
      </c>
      <c r="DC32" s="54">
        <v>3</v>
      </c>
      <c r="DD32" s="54">
        <v>4</v>
      </c>
      <c r="DE32" s="54">
        <f t="shared" si="22"/>
        <v>23.835403299999999</v>
      </c>
      <c r="DF32" s="54">
        <v>215</v>
      </c>
      <c r="DG32" s="54">
        <v>250</v>
      </c>
      <c r="DH32" s="54">
        <f t="shared" si="52"/>
        <v>767</v>
      </c>
      <c r="DI32" s="54">
        <f t="shared" si="23"/>
        <v>196.07053216838762</v>
      </c>
      <c r="DJ32" s="16">
        <f t="shared" si="53"/>
        <v>570.92946783161233</v>
      </c>
      <c r="DK32" s="14">
        <f t="shared" si="24"/>
        <v>2.9612853591614257</v>
      </c>
      <c r="DL32" s="54">
        <v>1</v>
      </c>
      <c r="DM32" s="54">
        <v>1</v>
      </c>
      <c r="DN32" s="54">
        <v>2.5</v>
      </c>
      <c r="DO32" s="54">
        <f t="shared" si="54"/>
        <v>4.5</v>
      </c>
      <c r="DP32" s="54">
        <f t="shared" si="25"/>
        <v>21.111993645750594</v>
      </c>
      <c r="DQ32" s="16">
        <f t="shared" si="55"/>
        <v>-16.611993645750594</v>
      </c>
      <c r="DR32" s="12">
        <f t="shared" si="26"/>
        <v>-0.83353311933100682</v>
      </c>
      <c r="DS32" s="54">
        <f t="shared" si="56"/>
        <v>4</v>
      </c>
      <c r="DT32" s="54">
        <f t="shared" si="27"/>
        <v>0</v>
      </c>
      <c r="DU32" s="54">
        <f t="shared" si="28"/>
        <v>17.849525200876553</v>
      </c>
      <c r="DV32" s="54">
        <f t="shared" si="57"/>
        <v>-19.835403299999999</v>
      </c>
      <c r="DW32" s="54">
        <f t="shared" si="58"/>
        <v>4</v>
      </c>
      <c r="DX32" s="54">
        <f t="shared" si="29"/>
        <v>-14.849525200876553</v>
      </c>
      <c r="DY32" s="12">
        <f t="shared" si="30"/>
        <v>-0.70810813574879916</v>
      </c>
      <c r="DZ32" s="12">
        <f t="shared" si="31"/>
        <v>-0.6119033719574567</v>
      </c>
      <c r="EA32" s="12">
        <f t="shared" si="32"/>
        <v>-0.75770717048635206</v>
      </c>
      <c r="EB32" s="14">
        <f t="shared" si="59"/>
        <v>1.963464579424073</v>
      </c>
      <c r="EC32" s="14">
        <f t="shared" si="60"/>
        <v>1.9645065189100497</v>
      </c>
      <c r="ED32" s="14">
        <f t="shared" si="33"/>
        <v>1.8986314909847959</v>
      </c>
      <c r="EE32" s="54">
        <v>12</v>
      </c>
      <c r="EF32" s="54">
        <f t="shared" si="102"/>
        <v>-11</v>
      </c>
      <c r="EG32" s="12">
        <v>-0.6</v>
      </c>
      <c r="EH32" s="12">
        <v>2.2149999999999999</v>
      </c>
      <c r="EI32" s="12">
        <f t="shared" si="103"/>
        <v>2.2351539714066093</v>
      </c>
      <c r="EJ32" s="16">
        <v>0</v>
      </c>
      <c r="EK32" s="16">
        <v>11006</v>
      </c>
      <c r="EL32" s="16">
        <v>79324</v>
      </c>
      <c r="EM32" s="14">
        <f t="shared" si="89"/>
        <v>2.0125807395383175</v>
      </c>
      <c r="EN32" s="14">
        <f t="shared" si="61"/>
        <v>1.8851939623105607</v>
      </c>
      <c r="EO32" s="16">
        <v>11006</v>
      </c>
      <c r="EP32" s="16">
        <v>22330</v>
      </c>
      <c r="EQ32" s="16">
        <f t="shared" si="35"/>
        <v>101171.47700000001</v>
      </c>
      <c r="ER32" s="16">
        <v>2400</v>
      </c>
      <c r="ES32" s="16">
        <f t="shared" si="62"/>
        <v>13406</v>
      </c>
      <c r="ET32" s="16">
        <f t="shared" si="36"/>
        <v>0</v>
      </c>
      <c r="EU32" s="16">
        <f t="shared" si="37"/>
        <v>77924.857560262957</v>
      </c>
      <c r="EV32" s="16">
        <f t="shared" si="63"/>
        <v>-78841.477000000014</v>
      </c>
      <c r="EW32" s="16">
        <f t="shared" si="64"/>
        <v>13406</v>
      </c>
      <c r="EX32" s="16">
        <f t="shared" si="65"/>
        <v>-66918.857560262957</v>
      </c>
      <c r="EY32" s="12">
        <f t="shared" si="38"/>
        <v>-0.31901157581269723</v>
      </c>
      <c r="EZ32" s="17">
        <f t="shared" si="39"/>
        <v>-0.30816787696405268</v>
      </c>
      <c r="FA32" s="17">
        <f t="shared" si="40"/>
        <v>-0.33326403566657359</v>
      </c>
      <c r="FB32" s="109">
        <f t="shared" si="97"/>
        <v>1.0159117438052563</v>
      </c>
      <c r="FC32" s="16">
        <v>72874.67</v>
      </c>
      <c r="FD32">
        <f t="shared" si="104"/>
        <v>-79324</v>
      </c>
      <c r="FE32" s="16">
        <f t="shared" si="105"/>
        <v>-61868.67</v>
      </c>
      <c r="FF32" s="12">
        <v>-0.41799999999999998</v>
      </c>
      <c r="FG32" s="12">
        <f t="shared" si="106"/>
        <v>-0.36909867961975129</v>
      </c>
      <c r="FH32" s="14">
        <f t="shared" si="68"/>
        <v>1.0447731333878145</v>
      </c>
      <c r="FI32" s="14">
        <f t="shared" si="69"/>
        <v>1.0554367605604087</v>
      </c>
      <c r="FJ32" s="16">
        <v>0</v>
      </c>
      <c r="FK32" s="16">
        <v>0</v>
      </c>
      <c r="FL32" s="16">
        <f t="shared" si="70"/>
        <v>2400</v>
      </c>
      <c r="FM32" s="16">
        <f t="shared" si="41"/>
        <v>194356.06036536934</v>
      </c>
      <c r="FN32" s="16">
        <f t="shared" si="71"/>
        <v>-191956.06036536934</v>
      </c>
      <c r="FO32" s="12">
        <f t="shared" si="42"/>
        <v>-0.43872626457563635</v>
      </c>
      <c r="FP32" s="14">
        <f t="shared" si="43"/>
        <v>1.0320579378927359</v>
      </c>
      <c r="FQ32" s="14">
        <f t="shared" si="72"/>
        <v>1.0035117470612576</v>
      </c>
    </row>
    <row r="33" spans="1:173" x14ac:dyDescent="0.35">
      <c r="A33" s="7" t="s">
        <v>212</v>
      </c>
      <c r="B33" s="7" t="s">
        <v>47</v>
      </c>
      <c r="C33" s="144">
        <f t="shared" si="108"/>
        <v>11</v>
      </c>
      <c r="D33" s="9">
        <v>0</v>
      </c>
      <c r="E33" s="9">
        <v>2</v>
      </c>
      <c r="F33" s="9">
        <v>0</v>
      </c>
      <c r="G33" s="9">
        <v>6</v>
      </c>
      <c r="H33" s="9">
        <v>0</v>
      </c>
      <c r="I33" s="9">
        <v>0</v>
      </c>
      <c r="J33" s="9">
        <v>3</v>
      </c>
      <c r="K33" s="9"/>
      <c r="L33" s="9">
        <v>5.5</v>
      </c>
      <c r="M33" s="149">
        <f t="shared" si="109"/>
        <v>0.5</v>
      </c>
      <c r="N33" s="149">
        <f>M33/M73</f>
        <v>7.8381204181415063E-3</v>
      </c>
      <c r="O33" s="9">
        <v>2.5</v>
      </c>
      <c r="P33" s="149">
        <f t="shared" si="110"/>
        <v>0.22727272727272727</v>
      </c>
      <c r="Q33" s="147">
        <f>P33/P73</f>
        <v>1.538961108167429E-2</v>
      </c>
      <c r="R33" s="149">
        <f t="shared" si="111"/>
        <v>0.43181818181818182</v>
      </c>
      <c r="S33" s="147">
        <f>R33/R73</f>
        <v>8.3791105897749237E-3</v>
      </c>
      <c r="T33" s="147">
        <f t="shared" si="112"/>
        <v>9.7259930840247026E-3</v>
      </c>
      <c r="U33" s="142"/>
      <c r="V33" s="142">
        <f t="shared" si="107"/>
        <v>0</v>
      </c>
      <c r="W33" s="142"/>
      <c r="X33" s="147">
        <f>V33/V73</f>
        <v>0</v>
      </c>
      <c r="Y33" s="147">
        <f t="shared" si="113"/>
        <v>5.8355958504148217E-3</v>
      </c>
      <c r="Z33" s="147">
        <v>-0.30399999999999999</v>
      </c>
      <c r="AA33" s="149">
        <v>-0.12</v>
      </c>
      <c r="AB33" s="145">
        <v>12</v>
      </c>
      <c r="AC33" s="149">
        <v>-4.9978137630871111E-2</v>
      </c>
      <c r="AD33" s="149">
        <f t="shared" si="93"/>
        <v>-7.3206824333153758E-2</v>
      </c>
      <c r="AE33" s="142">
        <v>14</v>
      </c>
      <c r="AF33" s="209"/>
      <c r="AG33" s="209"/>
      <c r="AH33" s="12"/>
      <c r="AI33" s="12"/>
      <c r="AJ33" s="23"/>
      <c r="AK33" s="34" t="e">
        <f>SUM(AL33:AM33)</f>
        <v>#DIV/0!</v>
      </c>
      <c r="AL33" s="23"/>
      <c r="AM33" s="34" t="e">
        <f>AX33*BK$26</f>
        <v>#DIV/0!</v>
      </c>
      <c r="AN33" s="30"/>
      <c r="AO33" s="30"/>
      <c r="AP33" s="209"/>
      <c r="AQ33" s="142"/>
      <c r="AR33" s="24"/>
      <c r="AS33" s="24"/>
      <c r="AT33" s="24"/>
      <c r="AU33" s="16"/>
      <c r="AV33" s="16"/>
      <c r="AW33" s="16"/>
      <c r="AX33" s="16" t="e">
        <f>AB33*BD33</f>
        <v>#DIV/0!</v>
      </c>
      <c r="AY33" s="16"/>
      <c r="AZ33" s="16"/>
      <c r="BA33" s="16"/>
      <c r="BB33" s="16"/>
      <c r="BC33" s="16"/>
      <c r="BD33" s="16" t="e">
        <f>FA33/BK$21</f>
        <v>#DIV/0!</v>
      </c>
      <c r="BE33" s="16"/>
      <c r="BF33" s="16"/>
      <c r="BG33" s="16"/>
      <c r="BH33" s="16"/>
      <c r="BI33" s="16"/>
      <c r="BJ33" s="16"/>
      <c r="BK33" s="16"/>
      <c r="BL33" s="16">
        <v>12</v>
      </c>
      <c r="BM33" s="16">
        <v>12</v>
      </c>
      <c r="BN33" s="16">
        <f t="shared" si="94"/>
        <v>0</v>
      </c>
      <c r="BO33" s="16">
        <v>25</v>
      </c>
      <c r="BP33" s="16">
        <v>31</v>
      </c>
      <c r="BQ33" s="16">
        <v>25.07733</v>
      </c>
      <c r="BR33" s="16">
        <f t="shared" si="99"/>
        <v>-13</v>
      </c>
      <c r="BS33" s="16">
        <v>34</v>
      </c>
      <c r="BT33" s="16">
        <v>13</v>
      </c>
      <c r="BU33" s="16"/>
      <c r="BV33" s="16"/>
      <c r="BW33" s="16"/>
      <c r="BX33" s="16"/>
      <c r="BY33" s="12"/>
      <c r="BZ33" s="12"/>
      <c r="CC33">
        <v>13</v>
      </c>
      <c r="CD33">
        <f t="shared" si="44"/>
        <v>26</v>
      </c>
      <c r="CE33" s="16">
        <f t="shared" si="9"/>
        <v>0</v>
      </c>
      <c r="CF33" s="54">
        <f t="shared" si="10"/>
        <v>26.107080000000003</v>
      </c>
      <c r="CG33" s="16">
        <f t="shared" si="11"/>
        <v>51.157380000000003</v>
      </c>
      <c r="CH33" s="54">
        <f t="shared" si="12"/>
        <v>39.326515704894085</v>
      </c>
      <c r="CI33" s="54">
        <v>37.633139999999997</v>
      </c>
      <c r="CJ33" s="54">
        <f t="shared" si="95"/>
        <v>-8.326515704894085</v>
      </c>
      <c r="CK33" s="54">
        <f t="shared" si="96"/>
        <v>-6.6331399999999974</v>
      </c>
      <c r="CL33" s="54">
        <f t="shared" si="100"/>
        <v>-13.07733</v>
      </c>
      <c r="CM33" s="12">
        <v>-0.188</v>
      </c>
      <c r="CN33" s="16">
        <f t="shared" si="48"/>
        <v>26</v>
      </c>
      <c r="CO33" s="54">
        <f t="shared" si="49"/>
        <v>-13.107080000000003</v>
      </c>
      <c r="CP33" s="12">
        <f t="shared" si="13"/>
        <v>-0.69166060667013174</v>
      </c>
      <c r="CQ33" s="12">
        <f t="shared" si="14"/>
        <v>-0.15576792247063925</v>
      </c>
      <c r="CR33" s="16">
        <f t="shared" si="50"/>
        <v>-17.157380000000003</v>
      </c>
      <c r="CS33" s="12">
        <f t="shared" si="15"/>
        <v>-9.8240379345233678E-2</v>
      </c>
      <c r="CT33" s="12">
        <f t="shared" si="16"/>
        <v>-5.5774176842683001E-2</v>
      </c>
      <c r="CU33" s="12">
        <f t="shared" si="17"/>
        <v>-0.12670871840591558</v>
      </c>
      <c r="CV33" s="12">
        <f t="shared" si="101"/>
        <v>-0.16100599675578001</v>
      </c>
      <c r="CW33" s="54">
        <v>0</v>
      </c>
      <c r="CX33" s="54">
        <f t="shared" si="18"/>
        <v>37.633955999999998</v>
      </c>
      <c r="CY33" s="54">
        <f t="shared" si="51"/>
        <v>-6.6339559999999977</v>
      </c>
      <c r="CZ33" s="12">
        <f t="shared" si="19"/>
        <v>-8.3389292406211082E-2</v>
      </c>
      <c r="DA33" s="12">
        <f t="shared" si="20"/>
        <v>-0.55282966666666644</v>
      </c>
      <c r="DB33" s="12">
        <f t="shared" si="21"/>
        <v>-0.22257632774268332</v>
      </c>
      <c r="DC33" s="54">
        <v>0</v>
      </c>
      <c r="DD33" s="54">
        <v>0</v>
      </c>
      <c r="DE33" s="54">
        <f t="shared" si="22"/>
        <v>6.9762155999999997</v>
      </c>
      <c r="DF33" s="54">
        <v>11</v>
      </c>
      <c r="DG33" s="54">
        <v>2</v>
      </c>
      <c r="DH33" s="54">
        <f t="shared" si="52"/>
        <v>26</v>
      </c>
      <c r="DI33" s="54">
        <f t="shared" si="23"/>
        <v>68.624686258935668</v>
      </c>
      <c r="DJ33" s="16">
        <f t="shared" si="53"/>
        <v>-42.624686258935668</v>
      </c>
      <c r="DK33" s="12">
        <f t="shared" si="24"/>
        <v>-0.22108485630779068</v>
      </c>
      <c r="DL33" s="54">
        <v>1</v>
      </c>
      <c r="DM33" s="54">
        <v>0</v>
      </c>
      <c r="DN33" s="54">
        <v>0</v>
      </c>
      <c r="DO33" s="54">
        <f t="shared" si="54"/>
        <v>1</v>
      </c>
      <c r="DP33" s="54">
        <f t="shared" si="25"/>
        <v>7.3891977760127086</v>
      </c>
      <c r="DQ33" s="16">
        <f t="shared" si="55"/>
        <v>-6.3891977760127086</v>
      </c>
      <c r="DR33" s="12">
        <f t="shared" si="26"/>
        <v>-0.32058812842279849</v>
      </c>
      <c r="DS33" s="54">
        <f t="shared" si="56"/>
        <v>1</v>
      </c>
      <c r="DT33" s="54">
        <f t="shared" si="27"/>
        <v>0</v>
      </c>
      <c r="DU33" s="54">
        <f t="shared" si="28"/>
        <v>5.2242512783053323</v>
      </c>
      <c r="DV33" s="54">
        <f t="shared" si="57"/>
        <v>-6.9762155999999997</v>
      </c>
      <c r="DW33" s="54">
        <f t="shared" si="58"/>
        <v>1</v>
      </c>
      <c r="DX33" s="54">
        <f t="shared" si="29"/>
        <v>-5.2242512783053323</v>
      </c>
      <c r="DY33" s="12">
        <f t="shared" si="30"/>
        <v>-0.31046193264750904</v>
      </c>
      <c r="DZ33" s="12">
        <f t="shared" si="31"/>
        <v>-0.71304858393397719</v>
      </c>
      <c r="EA33" s="12">
        <f t="shared" si="32"/>
        <v>-0.2665709913580791</v>
      </c>
      <c r="EB33" s="12">
        <f t="shared" si="59"/>
        <v>-0.15129576767080252</v>
      </c>
      <c r="EC33" s="12">
        <f t="shared" si="60"/>
        <v>-0.18346868969249921</v>
      </c>
      <c r="ED33" s="12">
        <f t="shared" si="33"/>
        <v>-0.10847338047153203</v>
      </c>
      <c r="EE33" s="54">
        <v>4</v>
      </c>
      <c r="EF33" s="54">
        <f t="shared" si="102"/>
        <v>-4</v>
      </c>
      <c r="EG33" s="12">
        <v>-0.32200000000000001</v>
      </c>
      <c r="EH33" s="12">
        <v>-0.221</v>
      </c>
      <c r="EI33" s="12">
        <f t="shared" si="103"/>
        <v>-0.201254497566835</v>
      </c>
      <c r="EJ33" s="16">
        <v>30946</v>
      </c>
      <c r="EK33" s="16">
        <v>45570</v>
      </c>
      <c r="EL33" s="16">
        <v>27333</v>
      </c>
      <c r="EM33" s="12">
        <f t="shared" si="89"/>
        <v>-0.24596067433654262</v>
      </c>
      <c r="EN33" s="12">
        <f t="shared" si="61"/>
        <v>-0.69700760098609316</v>
      </c>
      <c r="EO33" s="16">
        <v>30946</v>
      </c>
      <c r="EP33" s="16">
        <v>56334</v>
      </c>
      <c r="EQ33" s="16">
        <f t="shared" si="35"/>
        <v>29611.164000000004</v>
      </c>
      <c r="ER33" s="16">
        <v>17345</v>
      </c>
      <c r="ES33" s="16">
        <f t="shared" si="62"/>
        <v>48291</v>
      </c>
      <c r="ET33" s="16">
        <f t="shared" si="36"/>
        <v>0</v>
      </c>
      <c r="EU33" s="16">
        <f t="shared" si="37"/>
        <v>22807.2753834916</v>
      </c>
      <c r="EV33" s="16">
        <f t="shared" si="63"/>
        <v>26722.835999999996</v>
      </c>
      <c r="EW33" s="16">
        <f t="shared" si="64"/>
        <v>48291</v>
      </c>
      <c r="EX33" s="16">
        <f t="shared" si="65"/>
        <v>8138.7246165083998</v>
      </c>
      <c r="EY33" s="12">
        <f t="shared" si="38"/>
        <v>-0.23883258102973987</v>
      </c>
      <c r="EZ33" s="17">
        <f t="shared" si="39"/>
        <v>3.7479622003496256E-2</v>
      </c>
      <c r="FA33" s="109">
        <f t="shared" si="40"/>
        <v>8.8791889664675328E-2</v>
      </c>
      <c r="FB33" s="17">
        <f t="shared" si="97"/>
        <v>-5.0092179481520713E-2</v>
      </c>
      <c r="FC33" s="16">
        <v>24359.72</v>
      </c>
      <c r="FD33">
        <f t="shared" si="104"/>
        <v>3613</v>
      </c>
      <c r="FE33" s="16">
        <f t="shared" si="105"/>
        <v>21210.28</v>
      </c>
      <c r="FF33" s="12">
        <v>3.2000000000000001E-2</v>
      </c>
      <c r="FG33" s="12">
        <f t="shared" si="106"/>
        <v>0.11886468551736808</v>
      </c>
      <c r="FH33" s="12">
        <f t="shared" si="68"/>
        <v>-5.5260704736611384E-2</v>
      </c>
      <c r="FI33" s="12">
        <f t="shared" si="69"/>
        <v>-9.5089365014101021E-2</v>
      </c>
      <c r="FJ33" s="16">
        <v>15600</v>
      </c>
      <c r="FK33" s="16">
        <v>140523</v>
      </c>
      <c r="FL33" s="16">
        <f t="shared" si="70"/>
        <v>173468</v>
      </c>
      <c r="FM33" s="16">
        <f t="shared" si="41"/>
        <v>68024.621127879276</v>
      </c>
      <c r="FN33" s="16">
        <f t="shared" si="71"/>
        <v>105443.37887212072</v>
      </c>
      <c r="FO33" s="14">
        <f t="shared" si="42"/>
        <v>0.24099671377265339</v>
      </c>
      <c r="FP33" s="12">
        <f t="shared" si="43"/>
        <v>-5.1177719092864199E-2</v>
      </c>
      <c r="FQ33" s="12">
        <f t="shared" si="72"/>
        <v>-0.51373759300355182</v>
      </c>
    </row>
    <row r="34" spans="1:173" x14ac:dyDescent="0.35">
      <c r="A34" s="7" t="s">
        <v>214</v>
      </c>
      <c r="B34" s="7" t="s">
        <v>96</v>
      </c>
      <c r="C34" s="144">
        <f t="shared" si="108"/>
        <v>37</v>
      </c>
      <c r="D34" s="144">
        <v>3</v>
      </c>
      <c r="E34" s="144">
        <v>34</v>
      </c>
      <c r="F34" s="144">
        <v>0</v>
      </c>
      <c r="G34" s="144">
        <v>0</v>
      </c>
      <c r="H34" s="144">
        <v>0</v>
      </c>
      <c r="I34" s="144">
        <v>0</v>
      </c>
      <c r="J34" s="144">
        <v>0</v>
      </c>
      <c r="K34" s="144"/>
      <c r="L34" s="9">
        <v>30.5</v>
      </c>
      <c r="M34" s="149">
        <f t="shared" si="109"/>
        <v>0.82432432432432434</v>
      </c>
      <c r="N34" s="149">
        <f>M34/M73</f>
        <v>1.2922306635314374E-2</v>
      </c>
      <c r="O34" s="9">
        <v>6.5</v>
      </c>
      <c r="P34" s="149">
        <f t="shared" si="110"/>
        <v>0.17567567567567569</v>
      </c>
      <c r="Q34" s="147">
        <f>P34/P73</f>
        <v>1.1895753430699587E-2</v>
      </c>
      <c r="R34" s="149">
        <f t="shared" si="111"/>
        <v>0.66216216216216217</v>
      </c>
      <c r="S34" s="147">
        <f>R34/R73</f>
        <v>1.2848764176070225E-2</v>
      </c>
      <c r="T34" s="147">
        <f t="shared" si="112"/>
        <v>1.2665668334160678E-2</v>
      </c>
      <c r="U34" s="142"/>
      <c r="V34" s="142">
        <f t="shared" si="107"/>
        <v>0</v>
      </c>
      <c r="W34" s="142"/>
      <c r="X34" s="147">
        <f>V34/V73</f>
        <v>0</v>
      </c>
      <c r="Y34" s="147">
        <f t="shared" si="113"/>
        <v>7.5994010004964063E-3</v>
      </c>
      <c r="Z34" s="147">
        <v>-3.9E-2</v>
      </c>
      <c r="AA34" s="150">
        <v>0.33300000000000002</v>
      </c>
      <c r="AB34" s="145">
        <v>34</v>
      </c>
      <c r="AC34" s="150">
        <v>0.18849789349208976</v>
      </c>
      <c r="AD34" s="149">
        <f t="shared" si="93"/>
        <v>1.104318181582243E-2</v>
      </c>
      <c r="AE34" s="142">
        <v>38</v>
      </c>
      <c r="AF34" s="209">
        <v>0</v>
      </c>
      <c r="AG34" s="209">
        <f>AT34*BK$32</f>
        <v>21311.905112172117</v>
      </c>
      <c r="AH34" s="12">
        <f>C34*BA34</f>
        <v>0.87737662892544332</v>
      </c>
      <c r="AI34" s="35" t="e">
        <f>AU34*BK$9</f>
        <v>#DIV/0!</v>
      </c>
      <c r="AJ34" s="30"/>
      <c r="AK34" s="34" t="e">
        <f>SUM(AL34:AM34)</f>
        <v>#DIV/0!</v>
      </c>
      <c r="AL34" s="34" t="e">
        <f>AW34*BK$24</f>
        <v>#DIV/0!</v>
      </c>
      <c r="AM34" s="30"/>
      <c r="AN34" s="30">
        <v>0</v>
      </c>
      <c r="AO34" s="30">
        <f>AVERAGE(AF34,AR34,AN34)</f>
        <v>3972.2856425760751</v>
      </c>
      <c r="AP34" s="209">
        <f>AVERAGE(AF34:AG34)</f>
        <v>10655.952556086058</v>
      </c>
      <c r="AQ34" s="154">
        <f>AO34-(AO$72*BE34)</f>
        <v>3972.2856425760751</v>
      </c>
      <c r="AR34" s="130">
        <f>AP34+(AP$72*BF34)</f>
        <v>11916.856927728226</v>
      </c>
      <c r="AS34" s="24"/>
      <c r="AT34" s="24">
        <f>AB34*BF34</f>
        <v>0.37775196594903354</v>
      </c>
      <c r="AU34" s="16" t="e">
        <f>AB34*BG34</f>
        <v>#DIV/0!</v>
      </c>
      <c r="AV34" s="16"/>
      <c r="AW34" s="16" t="e">
        <f>AB34*BC34</f>
        <v>#DIV/0!</v>
      </c>
      <c r="AX34" s="16"/>
      <c r="AY34" s="16"/>
      <c r="AZ34" s="16"/>
      <c r="BA34" s="16">
        <f>AA34/BH$2</f>
        <v>2.3712881862849821E-2</v>
      </c>
      <c r="BB34" s="16"/>
      <c r="BC34" s="16" t="e">
        <f>EB34/BK$19</f>
        <v>#DIV/0!</v>
      </c>
      <c r="BD34" s="16"/>
      <c r="BE34" s="16"/>
      <c r="BF34" s="16">
        <f>FI34/BK$29</f>
        <v>1.1110351939677457E-2</v>
      </c>
      <c r="BG34" s="142" t="e">
        <f>AC34/BK$5</f>
        <v>#DIV/0!</v>
      </c>
      <c r="BH34" s="16"/>
      <c r="BI34" s="16"/>
      <c r="BJ34" s="16"/>
      <c r="BK34" s="142" t="s">
        <v>404</v>
      </c>
      <c r="BL34" s="16">
        <v>81</v>
      </c>
      <c r="BM34" s="16">
        <v>82</v>
      </c>
      <c r="BN34" s="16">
        <f t="shared" si="94"/>
        <v>-1</v>
      </c>
      <c r="BO34" s="16">
        <v>84</v>
      </c>
      <c r="BP34" s="16">
        <v>188</v>
      </c>
      <c r="BQ34" s="16">
        <v>84.351010000000002</v>
      </c>
      <c r="BR34" s="16">
        <f t="shared" si="99"/>
        <v>-3</v>
      </c>
      <c r="BS34" s="16">
        <v>213</v>
      </c>
      <c r="BT34" s="16">
        <v>121</v>
      </c>
      <c r="BU34" s="211">
        <v>5296.3808567680999</v>
      </c>
      <c r="BV34" s="285">
        <v>0</v>
      </c>
      <c r="BW34" s="16">
        <f>AVERAGE(AQ34,BU34,BV34)</f>
        <v>3089.555499781392</v>
      </c>
      <c r="BX34" s="285">
        <f>BW34-(BZ34*BW$72)</f>
        <v>3089.555499781392</v>
      </c>
      <c r="BY34" s="12"/>
      <c r="BZ34" s="12"/>
      <c r="CC34">
        <v>27</v>
      </c>
      <c r="CD34">
        <f t="shared" si="44"/>
        <v>148</v>
      </c>
      <c r="CE34" s="16">
        <f t="shared" si="9"/>
        <v>0</v>
      </c>
      <c r="CF34" s="54">
        <f t="shared" si="10"/>
        <v>73.970060000000004</v>
      </c>
      <c r="CG34" s="16">
        <f t="shared" si="11"/>
        <v>144.94591</v>
      </c>
      <c r="CH34" s="54">
        <f t="shared" si="12"/>
        <v>111.42512783053324</v>
      </c>
      <c r="CI34" s="54">
        <v>106.62721999999999</v>
      </c>
      <c r="CJ34" s="54">
        <f t="shared" si="95"/>
        <v>76.574872169466758</v>
      </c>
      <c r="CK34" s="54">
        <f t="shared" si="96"/>
        <v>81.372780000000006</v>
      </c>
      <c r="CL34" s="54">
        <f t="shared" si="100"/>
        <v>-2.3510100000000023</v>
      </c>
      <c r="CM34" s="12">
        <v>-9.8000000000000004E-2</v>
      </c>
      <c r="CN34" s="16">
        <f t="shared" si="48"/>
        <v>148</v>
      </c>
      <c r="CO34" s="54">
        <f t="shared" si="49"/>
        <v>47.029939999999996</v>
      </c>
      <c r="CP34" s="12">
        <f t="shared" si="13"/>
        <v>-7.8202078141306128E-2</v>
      </c>
      <c r="CQ34" s="14">
        <f t="shared" si="14"/>
        <v>0.40290401654859631</v>
      </c>
      <c r="CR34" s="16">
        <f t="shared" si="50"/>
        <v>68.054090000000002</v>
      </c>
      <c r="CS34" s="14">
        <f t="shared" si="15"/>
        <v>0.35148688583806131</v>
      </c>
      <c r="CT34" s="14">
        <f t="shared" si="16"/>
        <v>0.51292768949866629</v>
      </c>
      <c r="CU34" s="12">
        <f t="shared" si="17"/>
        <v>-5.4563035861251302E-2</v>
      </c>
      <c r="CV34" s="12">
        <f t="shared" si="101"/>
        <v>-6.5181614688981426E-2</v>
      </c>
      <c r="CW34" s="54">
        <v>30</v>
      </c>
      <c r="CX34" s="54">
        <f t="shared" si="18"/>
        <v>106.62954199999999</v>
      </c>
      <c r="CY34" s="54">
        <f t="shared" si="51"/>
        <v>81.370458000000013</v>
      </c>
      <c r="CZ34" s="14">
        <f t="shared" si="19"/>
        <v>0.50853457624195464</v>
      </c>
      <c r="DA34" s="12">
        <f t="shared" ref="DA34:DA64" si="114">CY34/AB34</f>
        <v>2.3932487647058829</v>
      </c>
      <c r="DB34" s="14">
        <f t="shared" si="21"/>
        <v>0.78866728695334154</v>
      </c>
      <c r="DC34" s="54">
        <v>10</v>
      </c>
      <c r="DD34" s="54">
        <v>18</v>
      </c>
      <c r="DE34" s="54">
        <f t="shared" si="22"/>
        <v>19.7659442</v>
      </c>
      <c r="DF34" s="54">
        <v>80</v>
      </c>
      <c r="DG34" s="54">
        <v>117</v>
      </c>
      <c r="DH34" s="54">
        <f t="shared" si="52"/>
        <v>224</v>
      </c>
      <c r="DI34" s="54">
        <f t="shared" si="23"/>
        <v>186.26700555996823</v>
      </c>
      <c r="DJ34" s="16">
        <f t="shared" si="53"/>
        <v>37.732994440031774</v>
      </c>
      <c r="DK34" s="12">
        <f t="shared" si="24"/>
        <v>0.19571272860895866</v>
      </c>
      <c r="DL34" s="54">
        <v>5</v>
      </c>
      <c r="DM34" s="54">
        <v>16</v>
      </c>
      <c r="DN34" s="54">
        <v>7</v>
      </c>
      <c r="DO34" s="54">
        <f t="shared" si="54"/>
        <v>28</v>
      </c>
      <c r="DP34" s="54">
        <f t="shared" si="25"/>
        <v>20.056393963463066</v>
      </c>
      <c r="DQ34" s="16">
        <f t="shared" si="55"/>
        <v>7.9436060365369343</v>
      </c>
      <c r="DR34" s="14">
        <f t="shared" si="26"/>
        <v>0.39858302739388463</v>
      </c>
      <c r="DS34" s="54">
        <f t="shared" si="56"/>
        <v>15</v>
      </c>
      <c r="DT34" s="54">
        <f t="shared" si="27"/>
        <v>0</v>
      </c>
      <c r="DU34" s="54">
        <f t="shared" si="28"/>
        <v>14.802045288531774</v>
      </c>
      <c r="DV34" s="54">
        <f t="shared" si="57"/>
        <v>-1.7659441999999999</v>
      </c>
      <c r="DW34" s="54">
        <f t="shared" si="58"/>
        <v>15</v>
      </c>
      <c r="DX34" s="54">
        <f t="shared" ref="DX34:DX64" si="115">DC34-DU34</f>
        <v>-4.8020452885317741</v>
      </c>
      <c r="DY34" s="12">
        <f t="shared" si="30"/>
        <v>-0.14934408541853961</v>
      </c>
      <c r="DZ34" s="12">
        <f t="shared" si="31"/>
        <v>-0.24103759471021527</v>
      </c>
      <c r="EA34" s="12">
        <f t="shared" si="32"/>
        <v>-0.24502764222427456</v>
      </c>
      <c r="EB34" s="14">
        <f t="shared" si="59"/>
        <v>0.22627914302391108</v>
      </c>
      <c r="EC34" s="14">
        <f t="shared" si="60"/>
        <v>0.24092110185537863</v>
      </c>
      <c r="ED34" s="14">
        <f t="shared" ref="ED34:ED64" si="116">(0.75*CT34)+(0.25*EA34)</f>
        <v>0.32343885656793109</v>
      </c>
      <c r="EE34" s="54">
        <v>12</v>
      </c>
      <c r="EF34" s="54">
        <f t="shared" si="102"/>
        <v>18</v>
      </c>
      <c r="EG34" s="12">
        <v>0.55500000000000005</v>
      </c>
      <c r="EH34" s="12">
        <v>6.5000000000000002E-2</v>
      </c>
      <c r="EI34" s="12">
        <f t="shared" si="103"/>
        <v>8.9863788983263942E-2</v>
      </c>
      <c r="EJ34" s="16">
        <v>214422</v>
      </c>
      <c r="EK34" s="16">
        <v>57467.05</v>
      </c>
      <c r="EL34" s="16">
        <v>81301</v>
      </c>
      <c r="EM34" s="12">
        <f t="shared" si="89"/>
        <v>0.24643030330519017</v>
      </c>
      <c r="EN34" s="12">
        <f t="shared" si="61"/>
        <v>-0.1189109572835334</v>
      </c>
      <c r="EO34" s="16">
        <v>57467</v>
      </c>
      <c r="EP34" s="16">
        <v>57467</v>
      </c>
      <c r="EQ34" s="16">
        <f t="shared" si="35"/>
        <v>83898.29800000001</v>
      </c>
      <c r="ER34" s="16">
        <v>0</v>
      </c>
      <c r="ES34" s="16">
        <f t="shared" si="62"/>
        <v>57467</v>
      </c>
      <c r="ET34" s="16">
        <f t="shared" si="36"/>
        <v>0</v>
      </c>
      <c r="EU34" s="16">
        <f t="shared" si="37"/>
        <v>64620.613586559528</v>
      </c>
      <c r="EV34" s="16">
        <f t="shared" si="63"/>
        <v>-26431.29800000001</v>
      </c>
      <c r="EW34" s="16">
        <f t="shared" si="64"/>
        <v>57467</v>
      </c>
      <c r="EX34" s="16">
        <f t="shared" si="65"/>
        <v>-7153.6135865595279</v>
      </c>
      <c r="EY34" s="12">
        <f t="shared" si="38"/>
        <v>-0.21774264391841933</v>
      </c>
      <c r="EZ34" s="17">
        <f t="shared" si="39"/>
        <v>-3.294308946631385E-2</v>
      </c>
      <c r="FA34" s="17">
        <f t="shared" si="40"/>
        <v>-0.12372327358515511</v>
      </c>
      <c r="FB34" s="109">
        <f t="shared" si="97"/>
        <v>0.1808860781542331</v>
      </c>
      <c r="FC34" s="16">
        <v>74743.67</v>
      </c>
      <c r="FD34">
        <f t="shared" si="104"/>
        <v>133121</v>
      </c>
      <c r="FE34" s="16">
        <f t="shared" si="105"/>
        <v>-17276.619999999995</v>
      </c>
      <c r="FF34" s="12">
        <v>0.73499999999999999</v>
      </c>
      <c r="FG34" s="12">
        <f t="shared" si="106"/>
        <v>-0.10718772893533983</v>
      </c>
      <c r="FH34" s="12">
        <f t="shared" si="68"/>
        <v>8.6278176380284594E-2</v>
      </c>
      <c r="FI34" s="14">
        <f t="shared" si="69"/>
        <v>0.13137542532670163</v>
      </c>
      <c r="FJ34" s="16">
        <v>14367</v>
      </c>
      <c r="FK34" s="16">
        <v>0</v>
      </c>
      <c r="FL34" s="16">
        <f t="shared" si="70"/>
        <v>14367</v>
      </c>
      <c r="FM34" s="16">
        <f t="shared" si="41"/>
        <v>184638.25734710088</v>
      </c>
      <c r="FN34" s="16">
        <f t="shared" si="71"/>
        <v>-170271.25734710088</v>
      </c>
      <c r="FO34" s="12">
        <f t="shared" si="42"/>
        <v>-0.38916443981139065</v>
      </c>
      <c r="FP34" s="12">
        <f t="shared" si="43"/>
        <v>-7.8075939414421758E-3</v>
      </c>
      <c r="FQ34" s="12">
        <f t="shared" si="72"/>
        <v>-0.15844363193748778</v>
      </c>
    </row>
    <row r="35" spans="1:173" x14ac:dyDescent="0.35">
      <c r="A35" s="8" t="s">
        <v>214</v>
      </c>
      <c r="B35" s="8" t="s">
        <v>103</v>
      </c>
      <c r="C35" s="144">
        <f t="shared" si="108"/>
        <v>53</v>
      </c>
      <c r="D35" s="144">
        <v>0</v>
      </c>
      <c r="E35" s="144">
        <v>0</v>
      </c>
      <c r="F35" s="144">
        <v>53</v>
      </c>
      <c r="G35" s="144">
        <v>0</v>
      </c>
      <c r="H35" s="144">
        <v>0</v>
      </c>
      <c r="I35" s="144">
        <v>0</v>
      </c>
      <c r="J35" s="144">
        <v>0</v>
      </c>
      <c r="K35" s="144"/>
      <c r="L35" s="9">
        <v>2</v>
      </c>
      <c r="M35" s="149">
        <f t="shared" si="109"/>
        <v>3.7735849056603772E-2</v>
      </c>
      <c r="N35" s="149">
        <f>M35/M73</f>
        <v>5.9155625797294381E-4</v>
      </c>
      <c r="O35" s="9">
        <v>30.5</v>
      </c>
      <c r="P35" s="149">
        <f t="shared" si="110"/>
        <v>0.57547169811320753</v>
      </c>
      <c r="Q35" s="147">
        <f>P35/P73</f>
        <v>3.8967656738880939E-2</v>
      </c>
      <c r="R35" s="149">
        <f t="shared" si="111"/>
        <v>0.17216981132075471</v>
      </c>
      <c r="S35" s="147">
        <f>R35/R73</f>
        <v>3.3408271120105582E-3</v>
      </c>
      <c r="T35" s="147">
        <f t="shared" si="112"/>
        <v>1.0185581378199943E-2</v>
      </c>
      <c r="U35" s="142"/>
      <c r="V35" s="142">
        <f t="shared" si="107"/>
        <v>0</v>
      </c>
      <c r="W35" s="142"/>
      <c r="X35" s="147">
        <f>V35/V73</f>
        <v>0</v>
      </c>
      <c r="Y35" s="147">
        <f t="shared" si="113"/>
        <v>6.1113488269199656E-3</v>
      </c>
      <c r="Z35" s="147">
        <v>-0.35599999999999998</v>
      </c>
      <c r="AA35" s="149">
        <v>-0.76400000000000001</v>
      </c>
      <c r="AB35" s="145">
        <v>52</v>
      </c>
      <c r="AC35" s="149">
        <v>-0.3941315856145739</v>
      </c>
      <c r="AD35" s="149">
        <f t="shared" si="93"/>
        <v>-0.76282651360353027</v>
      </c>
      <c r="AE35" s="142">
        <v>50</v>
      </c>
      <c r="AF35" s="209"/>
      <c r="AG35" s="209"/>
      <c r="AH35" s="12"/>
      <c r="AI35" s="12"/>
      <c r="AJ35" s="23"/>
      <c r="AK35" s="30"/>
      <c r="AL35" s="23"/>
      <c r="AM35" s="30"/>
      <c r="AN35" s="30"/>
      <c r="AO35" s="30"/>
      <c r="AP35" s="209"/>
      <c r="AQ35" s="142"/>
      <c r="AR35" s="24"/>
      <c r="AS35" s="24"/>
      <c r="AT35" s="24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302">
        <f>AY21/AS71</f>
        <v>48916.031580939845</v>
      </c>
      <c r="BL35" s="16">
        <v>8</v>
      </c>
      <c r="BM35" s="16">
        <v>8</v>
      </c>
      <c r="BN35" s="16">
        <f t="shared" si="94"/>
        <v>0</v>
      </c>
      <c r="BO35" s="16">
        <v>120</v>
      </c>
      <c r="BP35" s="16">
        <v>9</v>
      </c>
      <c r="BQ35" s="16">
        <v>120.82711999999999</v>
      </c>
      <c r="BR35" s="16">
        <f t="shared" si="99"/>
        <v>-112</v>
      </c>
      <c r="BS35" s="16">
        <v>11</v>
      </c>
      <c r="BT35" s="16">
        <v>6</v>
      </c>
      <c r="BU35" s="16"/>
      <c r="BV35" s="16"/>
      <c r="BW35" s="16"/>
      <c r="BX35" s="16"/>
      <c r="BY35" s="12"/>
      <c r="BZ35" s="12"/>
      <c r="CC35">
        <v>14</v>
      </c>
      <c r="CD35">
        <f t="shared" si="44"/>
        <v>20</v>
      </c>
      <c r="CE35" s="16">
        <f t="shared" ref="CE35:CE65" si="117">AB35*CC$75</f>
        <v>0</v>
      </c>
      <c r="CF35" s="54">
        <f t="shared" ref="CF35:CF65" si="118">AB35*BT$75</f>
        <v>113.13068000000001</v>
      </c>
      <c r="CG35" s="16">
        <f t="shared" ref="CG35:CG64" si="119">AB35*BS$75</f>
        <v>221.68198000000001</v>
      </c>
      <c r="CH35" s="54">
        <f t="shared" ref="CH35:CH64" si="120">AB35*BP$72</f>
        <v>170.41490138787435</v>
      </c>
      <c r="CI35" s="54">
        <v>163.07692</v>
      </c>
      <c r="CJ35" s="54">
        <f t="shared" si="95"/>
        <v>-161.41490138787435</v>
      </c>
      <c r="CK35" s="54">
        <f t="shared" si="96"/>
        <v>-154.07692</v>
      </c>
      <c r="CL35" s="54">
        <f t="shared" si="100"/>
        <v>-112.82711999999999</v>
      </c>
      <c r="CM35" s="12">
        <v>-1.0720000000000001</v>
      </c>
      <c r="CN35" s="16">
        <f t="shared" si="48"/>
        <v>20</v>
      </c>
      <c r="CO35" s="54">
        <f t="shared" si="49"/>
        <v>-107.13068000000001</v>
      </c>
      <c r="CP35" s="12">
        <f t="shared" si="13"/>
        <v>-0.7218306982371232</v>
      </c>
      <c r="CQ35" s="12">
        <f t="shared" si="14"/>
        <v>-1.0292456392841596</v>
      </c>
      <c r="CR35" s="16">
        <f t="shared" si="50"/>
        <v>-210.68198000000001</v>
      </c>
      <c r="CS35" s="12">
        <f t="shared" si="15"/>
        <v>-1.1196203544083454</v>
      </c>
      <c r="CT35" s="12">
        <f t="shared" si="16"/>
        <v>-1.0812185521682212</v>
      </c>
      <c r="CU35" s="12">
        <f t="shared" si="17"/>
        <v>-0.79763003002415245</v>
      </c>
      <c r="CV35" s="12">
        <f t="shared" si="101"/>
        <v>-1.052128207173046</v>
      </c>
      <c r="CW35" s="54">
        <v>14</v>
      </c>
      <c r="CX35" s="54">
        <f t="shared" ref="CX35:CX64" si="121">AB35*BP$75</f>
        <v>163.08047599999998</v>
      </c>
      <c r="CY35" s="54">
        <f t="shared" si="51"/>
        <v>-154.08047599999998</v>
      </c>
      <c r="CZ35" s="12">
        <f t="shared" si="19"/>
        <v>-1.0751249403148389</v>
      </c>
      <c r="DA35" s="12">
        <f t="shared" si="114"/>
        <v>-2.9630860769230765</v>
      </c>
      <c r="DB35" s="12">
        <f t="shared" si="21"/>
        <v>-1.0498986348125654</v>
      </c>
      <c r="DC35" s="54">
        <v>59</v>
      </c>
      <c r="DD35" s="54">
        <v>71</v>
      </c>
      <c r="DE35" s="54">
        <f t="shared" ref="DE35:DE64" si="122">AB35*DD$74</f>
        <v>30.230267600000001</v>
      </c>
      <c r="DF35" s="54">
        <v>19</v>
      </c>
      <c r="DG35" s="54">
        <v>23.5</v>
      </c>
      <c r="DH35" s="54">
        <f t="shared" si="52"/>
        <v>56.5</v>
      </c>
      <c r="DI35" s="54">
        <f t="shared" ref="DI35:DI66" si="123">AE35*DH$73</f>
        <v>245.0881652104845</v>
      </c>
      <c r="DJ35" s="16">
        <f t="shared" si="53"/>
        <v>-188.5881652104845</v>
      </c>
      <c r="DK35" s="12">
        <f t="shared" ref="DK35:DK66" si="124">(DJ35-DI$74)/DI$75</f>
        <v>-0.97816526211191257</v>
      </c>
      <c r="DL35" s="54">
        <v>19</v>
      </c>
      <c r="DM35" s="54">
        <v>7</v>
      </c>
      <c r="DN35" s="54">
        <v>22</v>
      </c>
      <c r="DO35" s="54">
        <f t="shared" si="54"/>
        <v>48</v>
      </c>
      <c r="DP35" s="54">
        <f t="shared" ref="DP35:DP66" si="125">AE35*DO$73</f>
        <v>26.389992057188245</v>
      </c>
      <c r="DQ35" s="16">
        <f t="shared" si="55"/>
        <v>21.610007942811755</v>
      </c>
      <c r="DR35" s="14">
        <f t="shared" ref="DR35:DR66" si="126">(DQ35-DP$74)/DP$75</f>
        <v>1.084316410989443</v>
      </c>
      <c r="DS35" s="54">
        <f t="shared" si="56"/>
        <v>78</v>
      </c>
      <c r="DT35" s="54">
        <f t="shared" ref="DT35:DT65" si="127">AB35*DL$74</f>
        <v>0</v>
      </c>
      <c r="DU35" s="54">
        <f t="shared" ref="DU35:DU64" si="128">AB35*DC$72</f>
        <v>22.638422205989773</v>
      </c>
      <c r="DV35" s="54">
        <f t="shared" si="57"/>
        <v>40.769732399999995</v>
      </c>
      <c r="DW35" s="54">
        <f t="shared" si="58"/>
        <v>78</v>
      </c>
      <c r="DX35" s="54">
        <f t="shared" si="115"/>
        <v>36.36157779401023</v>
      </c>
      <c r="DY35" s="12">
        <f t="shared" si="30"/>
        <v>1.1659917422352082</v>
      </c>
      <c r="DZ35" s="12">
        <f t="shared" si="31"/>
        <v>1.8830118567967133</v>
      </c>
      <c r="EA35" s="12">
        <f t="shared" si="32"/>
        <v>1.8553743538609928</v>
      </c>
      <c r="EB35" s="12">
        <f t="shared" si="59"/>
        <v>-0.54821733024745689</v>
      </c>
      <c r="EC35" s="12">
        <f t="shared" si="60"/>
        <v>-0.30809064099787153</v>
      </c>
      <c r="ED35" s="12">
        <f t="shared" si="116"/>
        <v>-0.34707032566091767</v>
      </c>
      <c r="EE35" s="54">
        <v>17</v>
      </c>
      <c r="EF35" s="54">
        <f t="shared" si="102"/>
        <v>-3</v>
      </c>
      <c r="EG35" s="12">
        <v>-0.28199999999999997</v>
      </c>
      <c r="EH35" s="12">
        <v>-0.875</v>
      </c>
      <c r="EI35" s="12">
        <f t="shared" si="103"/>
        <v>-0.85959615537978451</v>
      </c>
      <c r="EJ35" s="16">
        <v>0</v>
      </c>
      <c r="EK35" s="16">
        <v>0</v>
      </c>
      <c r="EL35" s="16">
        <v>112292</v>
      </c>
      <c r="EM35" s="12">
        <f t="shared" si="89"/>
        <v>-0.46254484383657374</v>
      </c>
      <c r="EN35" s="12">
        <f t="shared" si="61"/>
        <v>-7.0620059478664121E-2</v>
      </c>
      <c r="EO35" s="16">
        <v>0</v>
      </c>
      <c r="EP35" s="16">
        <v>0</v>
      </c>
      <c r="EQ35" s="16">
        <f t="shared" ref="EQ35:EQ64" si="129">AB35*EP$74</f>
        <v>128315.04400000001</v>
      </c>
      <c r="ER35" s="16">
        <v>0</v>
      </c>
      <c r="ES35" s="16">
        <f t="shared" si="62"/>
        <v>0</v>
      </c>
      <c r="ET35" s="16">
        <f t="shared" ref="ET35:ET65" si="130">AB35*ER$74</f>
        <v>0</v>
      </c>
      <c r="EU35" s="16">
        <f t="shared" ref="EU35:EU64" si="131">AB35*EO$72</f>
        <v>98831.526661796932</v>
      </c>
      <c r="EV35" s="16">
        <f t="shared" si="63"/>
        <v>-128315.04400000001</v>
      </c>
      <c r="EW35" s="16">
        <f t="shared" si="64"/>
        <v>0</v>
      </c>
      <c r="EX35" s="16">
        <f t="shared" si="65"/>
        <v>-98831.526661796932</v>
      </c>
      <c r="EY35" s="12">
        <f t="shared" si="38"/>
        <v>-0.34982366135262349</v>
      </c>
      <c r="EZ35" s="17">
        <f t="shared" si="39"/>
        <v>-0.45512883600941212</v>
      </c>
      <c r="FA35" s="17">
        <f t="shared" si="40"/>
        <v>-0.53106395029892217</v>
      </c>
      <c r="FB35" s="17">
        <f t="shared" si="97"/>
        <v>-0.39029372980031546</v>
      </c>
      <c r="FC35" s="16">
        <v>104189.91</v>
      </c>
      <c r="FD35">
        <f t="shared" si="104"/>
        <v>-112292</v>
      </c>
      <c r="FE35" s="16">
        <f t="shared" si="105"/>
        <v>-104189.91</v>
      </c>
      <c r="FF35" s="12">
        <v>-0.59699999999999998</v>
      </c>
      <c r="FG35" s="12">
        <f t="shared" si="106"/>
        <v>-0.6176720509391489</v>
      </c>
      <c r="FH35" s="12">
        <f t="shared" si="68"/>
        <v>-0.54135597826804305</v>
      </c>
      <c r="FI35" s="12">
        <f t="shared" si="69"/>
        <v>-0.36690591900248781</v>
      </c>
      <c r="FJ35" s="16">
        <v>0</v>
      </c>
      <c r="FK35" s="16">
        <v>0</v>
      </c>
      <c r="FL35" s="16">
        <f t="shared" si="70"/>
        <v>0</v>
      </c>
      <c r="FM35" s="16">
        <f t="shared" ref="FM35:FM70" si="132">AE35*FM$73</f>
        <v>242945.07545671167</v>
      </c>
      <c r="FN35" s="16">
        <f t="shared" si="71"/>
        <v>-242945.07545671167</v>
      </c>
      <c r="FO35" s="12">
        <f t="shared" ref="FO35:FO66" si="133">(FN35-FN$74)/FN$75</f>
        <v>-0.55526449776731501</v>
      </c>
      <c r="FP35" s="12">
        <f t="shared" ref="FP35:FP66" si="134">(0.6*EM35)+(0.4*FO35)</f>
        <v>-0.49963270540887023</v>
      </c>
      <c r="FQ35" s="12">
        <f t="shared" si="72"/>
        <v>-0.18230150022824787</v>
      </c>
    </row>
    <row r="36" spans="1:173" x14ac:dyDescent="0.35">
      <c r="A36" s="8" t="s">
        <v>214</v>
      </c>
      <c r="B36" s="8" t="s">
        <v>216</v>
      </c>
      <c r="C36" s="144">
        <f t="shared" si="108"/>
        <v>30</v>
      </c>
      <c r="D36" s="144">
        <v>0</v>
      </c>
      <c r="E36" s="144">
        <v>12</v>
      </c>
      <c r="F36" s="144">
        <v>11</v>
      </c>
      <c r="G36" s="144">
        <v>7</v>
      </c>
      <c r="H36" s="144">
        <v>0</v>
      </c>
      <c r="I36" s="144">
        <v>0</v>
      </c>
      <c r="J36" s="144">
        <v>0</v>
      </c>
      <c r="K36" s="144"/>
      <c r="L36" s="9">
        <v>7</v>
      </c>
      <c r="M36" s="149">
        <f t="shared" si="109"/>
        <v>0.23333333333333334</v>
      </c>
      <c r="N36" s="149">
        <f>M36/M73</f>
        <v>3.657789528466036E-3</v>
      </c>
      <c r="O36" s="9">
        <v>3</v>
      </c>
      <c r="P36" s="149">
        <f t="shared" si="110"/>
        <v>0.1</v>
      </c>
      <c r="Q36" s="147">
        <f>P36/P73</f>
        <v>6.7714288759366881E-3</v>
      </c>
      <c r="R36" s="149">
        <f t="shared" si="111"/>
        <v>0.19999999999999998</v>
      </c>
      <c r="S36" s="147">
        <f>R36/R73</f>
        <v>3.8808512205273332E-3</v>
      </c>
      <c r="T36" s="147">
        <f t="shared" si="112"/>
        <v>4.4361993653336991E-3</v>
      </c>
      <c r="U36" s="142"/>
      <c r="V36" s="142">
        <f t="shared" si="107"/>
        <v>0</v>
      </c>
      <c r="W36" s="142"/>
      <c r="X36" s="147">
        <f>V36/V73</f>
        <v>0</v>
      </c>
      <c r="Y36" s="147">
        <f t="shared" si="113"/>
        <v>2.6617196192002192E-3</v>
      </c>
      <c r="Z36" s="147">
        <v>-0.312</v>
      </c>
      <c r="AA36" s="149">
        <v>-0.38700000000000001</v>
      </c>
      <c r="AB36" s="145">
        <v>31</v>
      </c>
      <c r="AC36" s="149">
        <v>-0.35562246672771802</v>
      </c>
      <c r="AD36" s="149">
        <f t="shared" si="93"/>
        <v>-0.38554959475630618</v>
      </c>
      <c r="AE36" s="142">
        <v>30</v>
      </c>
      <c r="AF36" s="209"/>
      <c r="AG36" s="209"/>
      <c r="AH36" s="12"/>
      <c r="AI36" s="12"/>
      <c r="AJ36" s="23"/>
      <c r="AK36" s="30"/>
      <c r="AL36" s="23"/>
      <c r="AM36" s="30"/>
      <c r="AN36" s="30"/>
      <c r="AO36" s="30"/>
      <c r="AP36" s="209"/>
      <c r="AQ36" s="142"/>
      <c r="AR36" s="24"/>
      <c r="AS36" s="24"/>
      <c r="AT36" s="24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>
        <v>27</v>
      </c>
      <c r="BM36" s="16">
        <v>26</v>
      </c>
      <c r="BN36" s="16">
        <f t="shared" si="94"/>
        <v>1</v>
      </c>
      <c r="BO36" s="16">
        <v>68</v>
      </c>
      <c r="BP36" s="16">
        <v>25</v>
      </c>
      <c r="BQ36" s="16">
        <v>68.392709999999994</v>
      </c>
      <c r="BR36" s="16">
        <f t="shared" si="99"/>
        <v>-41</v>
      </c>
      <c r="BS36" s="16">
        <v>35</v>
      </c>
      <c r="BT36" s="16">
        <v>15</v>
      </c>
      <c r="BU36" s="16"/>
      <c r="BV36" s="16"/>
      <c r="BW36" s="16"/>
      <c r="BX36" s="16"/>
      <c r="BY36" s="12"/>
      <c r="BZ36" s="12"/>
      <c r="CC36">
        <v>11</v>
      </c>
      <c r="CD36">
        <f t="shared" si="44"/>
        <v>26</v>
      </c>
      <c r="CE36" s="16">
        <f t="shared" si="117"/>
        <v>0</v>
      </c>
      <c r="CF36" s="54">
        <f t="shared" si="118"/>
        <v>67.443290000000005</v>
      </c>
      <c r="CG36" s="16">
        <f t="shared" si="119"/>
        <v>132.156565</v>
      </c>
      <c r="CH36" s="54">
        <f t="shared" si="120"/>
        <v>101.59349890430971</v>
      </c>
      <c r="CI36" s="54">
        <v>97.21893</v>
      </c>
      <c r="CJ36" s="54">
        <f t="shared" si="95"/>
        <v>-76.593498904309712</v>
      </c>
      <c r="CK36" s="54">
        <f t="shared" si="96"/>
        <v>-72.21893</v>
      </c>
      <c r="CL36" s="54">
        <f t="shared" si="100"/>
        <v>-42.392709999999994</v>
      </c>
      <c r="CM36" s="12">
        <v>-0.438</v>
      </c>
      <c r="CN36" s="16">
        <f t="shared" si="48"/>
        <v>26</v>
      </c>
      <c r="CO36" s="54">
        <f t="shared" si="49"/>
        <v>-52.443290000000005</v>
      </c>
      <c r="CP36" s="12">
        <f t="shared" si="13"/>
        <v>-0.69166060667013174</v>
      </c>
      <c r="CQ36" s="12">
        <f t="shared" si="14"/>
        <v>-0.52120067444883578</v>
      </c>
      <c r="CR36" s="16">
        <f t="shared" si="50"/>
        <v>-97.156565000000001</v>
      </c>
      <c r="CS36" s="12">
        <f t="shared" si="15"/>
        <v>-0.52045835876681246</v>
      </c>
      <c r="CT36" s="12">
        <f t="shared" si="16"/>
        <v>-0.5130524584704611</v>
      </c>
      <c r="CU36" s="12">
        <f t="shared" si="17"/>
        <v>-0.32388520569663598</v>
      </c>
      <c r="CV36" s="12">
        <f t="shared" si="101"/>
        <v>-0.42289713682556973</v>
      </c>
      <c r="CW36" s="54">
        <v>6</v>
      </c>
      <c r="CX36" s="54">
        <f t="shared" si="121"/>
        <v>97.221052999999998</v>
      </c>
      <c r="CY36" s="54">
        <f t="shared" si="51"/>
        <v>-72.221052999999998</v>
      </c>
      <c r="CZ36" s="12">
        <f t="shared" si="19"/>
        <v>-0.52453271266286428</v>
      </c>
      <c r="DA36" s="12">
        <f t="shared" si="114"/>
        <v>-2.3297113870967743</v>
      </c>
      <c r="DB36" s="12">
        <f t="shared" si="21"/>
        <v>-0.83249230103124705</v>
      </c>
      <c r="DC36" s="54">
        <v>12</v>
      </c>
      <c r="DD36" s="54">
        <v>14</v>
      </c>
      <c r="DE36" s="54">
        <f t="shared" si="122"/>
        <v>18.021890299999999</v>
      </c>
      <c r="DF36" s="54">
        <v>6</v>
      </c>
      <c r="DG36" s="54">
        <v>23</v>
      </c>
      <c r="DH36" s="54">
        <f t="shared" si="52"/>
        <v>40</v>
      </c>
      <c r="DI36" s="54">
        <f t="shared" si="123"/>
        <v>147.0528991262907</v>
      </c>
      <c r="DJ36" s="16">
        <f t="shared" si="53"/>
        <v>-107.0528991262907</v>
      </c>
      <c r="DK36" s="12">
        <f t="shared" si="124"/>
        <v>-0.55525980125441432</v>
      </c>
      <c r="DL36" s="54">
        <v>1</v>
      </c>
      <c r="DM36" s="54">
        <v>2</v>
      </c>
      <c r="DN36" s="54">
        <v>8</v>
      </c>
      <c r="DO36" s="54">
        <f t="shared" si="54"/>
        <v>11</v>
      </c>
      <c r="DP36" s="54">
        <f t="shared" si="125"/>
        <v>15.833995234312946</v>
      </c>
      <c r="DQ36" s="16">
        <f t="shared" si="55"/>
        <v>-4.8339952343129458</v>
      </c>
      <c r="DR36" s="12">
        <f t="shared" si="126"/>
        <v>-0.2425533751344047</v>
      </c>
      <c r="DS36" s="54">
        <f t="shared" si="56"/>
        <v>13</v>
      </c>
      <c r="DT36" s="54">
        <f t="shared" si="127"/>
        <v>0</v>
      </c>
      <c r="DU36" s="54">
        <f t="shared" si="128"/>
        <v>13.495982468955441</v>
      </c>
      <c r="DV36" s="54">
        <f t="shared" si="57"/>
        <v>-4.021890299999999</v>
      </c>
      <c r="DW36" s="54">
        <f t="shared" si="58"/>
        <v>13</v>
      </c>
      <c r="DX36" s="54">
        <f t="shared" si="115"/>
        <v>-1.4959824689554413</v>
      </c>
      <c r="DY36" s="12">
        <f t="shared" si="30"/>
        <v>-0.21910497716337066</v>
      </c>
      <c r="DZ36" s="12">
        <f t="shared" si="31"/>
        <v>-0.30846773602789551</v>
      </c>
      <c r="EA36" s="12">
        <f t="shared" si="32"/>
        <v>-7.6333527726698228E-2</v>
      </c>
      <c r="EB36" s="12">
        <f t="shared" si="59"/>
        <v>-0.44512001336595203</v>
      </c>
      <c r="EC36" s="12">
        <f t="shared" si="60"/>
        <v>-0.40998388776830141</v>
      </c>
      <c r="ED36" s="12">
        <f t="shared" si="116"/>
        <v>-0.40387272578452038</v>
      </c>
      <c r="EE36" s="54">
        <v>10</v>
      </c>
      <c r="EF36" s="54">
        <f t="shared" si="102"/>
        <v>-4</v>
      </c>
      <c r="EG36" s="12">
        <v>-0.32200000000000001</v>
      </c>
      <c r="EH36" s="12">
        <v>-0.40899999999999997</v>
      </c>
      <c r="EI36" s="12">
        <f t="shared" si="103"/>
        <v>-0.39767285261917729</v>
      </c>
      <c r="EJ36" s="16">
        <v>0</v>
      </c>
      <c r="EK36" s="16">
        <v>0</v>
      </c>
      <c r="EL36" s="16">
        <v>67336</v>
      </c>
      <c r="EM36" s="12">
        <f t="shared" si="89"/>
        <v>-0.47708319472441191</v>
      </c>
      <c r="EN36" s="12">
        <f t="shared" si="61"/>
        <v>-0.59586238900957267</v>
      </c>
      <c r="EO36" s="16">
        <v>0</v>
      </c>
      <c r="EP36" s="16">
        <v>0</v>
      </c>
      <c r="EQ36" s="16">
        <f t="shared" si="129"/>
        <v>76495.507000000012</v>
      </c>
      <c r="ER36" s="16">
        <v>3000</v>
      </c>
      <c r="ES36" s="16">
        <f t="shared" si="62"/>
        <v>3000</v>
      </c>
      <c r="ET36" s="16">
        <f t="shared" si="130"/>
        <v>0</v>
      </c>
      <c r="EU36" s="16">
        <f t="shared" si="131"/>
        <v>58918.79474068663</v>
      </c>
      <c r="EV36" s="16">
        <f t="shared" si="63"/>
        <v>-76495.507000000012</v>
      </c>
      <c r="EW36" s="16">
        <f t="shared" si="64"/>
        <v>3000</v>
      </c>
      <c r="EX36" s="16">
        <f t="shared" si="65"/>
        <v>-58918.79474068663</v>
      </c>
      <c r="EY36" s="12">
        <f t="shared" si="38"/>
        <v>-0.34292852062311591</v>
      </c>
      <c r="EZ36" s="17">
        <f t="shared" si="39"/>
        <v>-0.27132680608253418</v>
      </c>
      <c r="FA36" s="17">
        <f t="shared" si="40"/>
        <v>-0.32388462977635241</v>
      </c>
      <c r="FB36" s="17">
        <f t="shared" si="97"/>
        <v>-0.35085435790372588</v>
      </c>
      <c r="FC36" s="16">
        <v>61573.45</v>
      </c>
      <c r="FD36">
        <f t="shared" si="104"/>
        <v>-67336</v>
      </c>
      <c r="FE36" s="16">
        <f t="shared" si="105"/>
        <v>-61573.45</v>
      </c>
      <c r="FF36" s="12">
        <v>-0.35299999999999998</v>
      </c>
      <c r="FG36" s="12">
        <f t="shared" si="106"/>
        <v>-0.36736470796199949</v>
      </c>
      <c r="FH36" s="12">
        <f t="shared" si="68"/>
        <v>-0.39662585993011218</v>
      </c>
      <c r="FI36" s="12">
        <f t="shared" si="69"/>
        <v>-0.35452105509399451</v>
      </c>
      <c r="FJ36" s="16">
        <v>0</v>
      </c>
      <c r="FK36" s="16">
        <v>0</v>
      </c>
      <c r="FL36" s="16">
        <f t="shared" si="70"/>
        <v>3000</v>
      </c>
      <c r="FM36" s="16">
        <f t="shared" si="132"/>
        <v>145767.04527402701</v>
      </c>
      <c r="FN36" s="16">
        <f t="shared" si="71"/>
        <v>-142767.04527402701</v>
      </c>
      <c r="FO36" s="12">
        <f t="shared" si="133"/>
        <v>-0.32630203161261945</v>
      </c>
      <c r="FP36" s="12">
        <f t="shared" si="134"/>
        <v>-0.4167707294796949</v>
      </c>
      <c r="FQ36" s="12">
        <f t="shared" si="72"/>
        <v>-0.49468884165498994</v>
      </c>
    </row>
    <row r="37" spans="1:173" x14ac:dyDescent="0.35">
      <c r="A37" s="8" t="s">
        <v>214</v>
      </c>
      <c r="B37" s="8" t="s">
        <v>19</v>
      </c>
      <c r="C37" s="144">
        <f t="shared" si="108"/>
        <v>12</v>
      </c>
      <c r="D37" s="144">
        <v>0</v>
      </c>
      <c r="E37" s="144">
        <v>0</v>
      </c>
      <c r="F37" s="144">
        <v>0</v>
      </c>
      <c r="G37" s="144">
        <v>0</v>
      </c>
      <c r="H37" s="144">
        <v>12</v>
      </c>
      <c r="I37" s="144">
        <v>0</v>
      </c>
      <c r="J37" s="144">
        <v>0</v>
      </c>
      <c r="K37" s="144"/>
      <c r="L37" s="9">
        <v>11</v>
      </c>
      <c r="M37" s="149">
        <f t="shared" si="109"/>
        <v>0.91666666666666663</v>
      </c>
      <c r="N37" s="149">
        <f>M37/M73</f>
        <v>1.4369887433259426E-2</v>
      </c>
      <c r="O37" s="9">
        <v>0.5</v>
      </c>
      <c r="P37" s="149">
        <f t="shared" si="110"/>
        <v>4.1666666666666664E-2</v>
      </c>
      <c r="Q37" s="147">
        <f>P37/P73</f>
        <v>2.821428698306953E-3</v>
      </c>
      <c r="R37" s="149">
        <f t="shared" si="111"/>
        <v>0.69791666666666663</v>
      </c>
      <c r="S37" s="147">
        <f>R37/R73</f>
        <v>1.3542553738298506E-2</v>
      </c>
      <c r="T37" s="147">
        <f t="shared" si="112"/>
        <v>1.1482772749521308E-2</v>
      </c>
      <c r="U37" s="142"/>
      <c r="V37" s="142">
        <f t="shared" si="107"/>
        <v>0</v>
      </c>
      <c r="W37" s="142"/>
      <c r="X37" s="147">
        <f>V37/V73</f>
        <v>0</v>
      </c>
      <c r="Y37" s="147">
        <f t="shared" si="113"/>
        <v>6.8896636497127852E-3</v>
      </c>
      <c r="Z37" s="147">
        <v>-0.19700000000000001</v>
      </c>
      <c r="AA37" s="149">
        <v>-0.20399999999999999</v>
      </c>
      <c r="AB37" s="145">
        <v>11</v>
      </c>
      <c r="AC37" s="149">
        <v>-9.8856833235690139E-2</v>
      </c>
      <c r="AD37" s="149">
        <f t="shared" si="93"/>
        <v>-0.19824635094198217</v>
      </c>
      <c r="AE37" s="142">
        <v>12</v>
      </c>
      <c r="AF37" s="209"/>
      <c r="AG37" s="209"/>
      <c r="AH37" s="12"/>
      <c r="AI37" s="12"/>
      <c r="AJ37" s="23"/>
      <c r="AK37" s="30"/>
      <c r="AL37" s="23"/>
      <c r="AM37" s="30"/>
      <c r="AN37" s="30"/>
      <c r="AO37" s="30"/>
      <c r="AP37" s="209"/>
      <c r="AQ37" s="142"/>
      <c r="AR37" s="24"/>
      <c r="AS37" s="24"/>
      <c r="AT37" s="24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>
        <v>11</v>
      </c>
      <c r="BM37" s="16">
        <v>11</v>
      </c>
      <c r="BN37" s="16">
        <f t="shared" si="94"/>
        <v>0</v>
      </c>
      <c r="BO37" s="16">
        <v>27</v>
      </c>
      <c r="BP37" s="16">
        <v>26</v>
      </c>
      <c r="BQ37" s="16">
        <v>27.35708</v>
      </c>
      <c r="BR37" s="16">
        <f t="shared" si="99"/>
        <v>-16</v>
      </c>
      <c r="BS37" s="16">
        <v>32</v>
      </c>
      <c r="BT37" s="16">
        <v>15</v>
      </c>
      <c r="BU37" s="16"/>
      <c r="BV37" s="16"/>
      <c r="BW37" s="16"/>
      <c r="BX37" s="16"/>
      <c r="BY37" s="12"/>
      <c r="BZ37" s="12"/>
      <c r="CC37">
        <v>6</v>
      </c>
      <c r="CD37">
        <f t="shared" si="44"/>
        <v>21</v>
      </c>
      <c r="CE37" s="16">
        <f t="shared" si="117"/>
        <v>0</v>
      </c>
      <c r="CF37" s="54">
        <f t="shared" si="118"/>
        <v>23.93149</v>
      </c>
      <c r="CG37" s="16">
        <f t="shared" si="119"/>
        <v>46.894264999999997</v>
      </c>
      <c r="CH37" s="54">
        <f t="shared" si="120"/>
        <v>36.049306062819575</v>
      </c>
      <c r="CI37" s="54">
        <v>34.497039999999998</v>
      </c>
      <c r="CJ37" s="54">
        <f t="shared" si="95"/>
        <v>-10.049306062819575</v>
      </c>
      <c r="CK37" s="54">
        <f t="shared" si="96"/>
        <v>-8.4970399999999984</v>
      </c>
      <c r="CL37" s="54">
        <f t="shared" si="100"/>
        <v>-16.35708</v>
      </c>
      <c r="CM37" s="12">
        <v>-0.215</v>
      </c>
      <c r="CN37" s="16">
        <f t="shared" si="48"/>
        <v>21</v>
      </c>
      <c r="CO37" s="54">
        <f t="shared" si="49"/>
        <v>-8.9314900000000002</v>
      </c>
      <c r="CP37" s="12">
        <f t="shared" si="13"/>
        <v>-0.71680234964262457</v>
      </c>
      <c r="CQ37" s="12">
        <f t="shared" si="14"/>
        <v>-0.11697675919302204</v>
      </c>
      <c r="CR37" s="16">
        <f t="shared" si="50"/>
        <v>-14.894264999999997</v>
      </c>
      <c r="CS37" s="12">
        <f t="shared" si="15"/>
        <v>-8.629615963226199E-2</v>
      </c>
      <c r="CT37" s="12">
        <f t="shared" si="16"/>
        <v>-6.7314083508484168E-2</v>
      </c>
      <c r="CU37" s="12">
        <f t="shared" si="17"/>
        <v>-0.14876845579262998</v>
      </c>
      <c r="CV37" s="12">
        <f t="shared" si="101"/>
        <v>-0.19030588871160295</v>
      </c>
      <c r="CW37" s="54">
        <v>0</v>
      </c>
      <c r="CX37" s="54">
        <f t="shared" si="121"/>
        <v>34.497793000000001</v>
      </c>
      <c r="CY37" s="54">
        <f t="shared" si="51"/>
        <v>-8.4977930000000015</v>
      </c>
      <c r="CZ37" s="12">
        <f t="shared" si="19"/>
        <v>-9.5925590955617854E-2</v>
      </c>
      <c r="DA37" s="12">
        <f t="shared" si="114"/>
        <v>-0.7725266363636365</v>
      </c>
      <c r="DB37" s="12">
        <f t="shared" si="21"/>
        <v>-0.29798747613856003</v>
      </c>
      <c r="DC37" s="54">
        <v>1</v>
      </c>
      <c r="DD37" s="54">
        <v>1</v>
      </c>
      <c r="DE37" s="54">
        <f t="shared" si="122"/>
        <v>6.3948643000000001</v>
      </c>
      <c r="DF37" s="54">
        <v>11</v>
      </c>
      <c r="DG37" s="54">
        <v>3</v>
      </c>
      <c r="DH37" s="54">
        <f t="shared" si="52"/>
        <v>20</v>
      </c>
      <c r="DI37" s="54">
        <f t="shared" si="123"/>
        <v>58.821159650516279</v>
      </c>
      <c r="DJ37" s="16">
        <f t="shared" si="53"/>
        <v>-38.821159650516279</v>
      </c>
      <c r="DK37" s="12">
        <f t="shared" si="124"/>
        <v>-0.20135680180489154</v>
      </c>
      <c r="DL37" s="54">
        <v>0</v>
      </c>
      <c r="DM37" s="54">
        <v>0</v>
      </c>
      <c r="DN37" s="54">
        <v>0</v>
      </c>
      <c r="DO37" s="54">
        <f t="shared" si="54"/>
        <v>0</v>
      </c>
      <c r="DP37" s="54">
        <f t="shared" si="125"/>
        <v>6.333598093725179</v>
      </c>
      <c r="DQ37" s="16">
        <f t="shared" si="55"/>
        <v>-6.333598093725179</v>
      </c>
      <c r="DR37" s="12">
        <f t="shared" si="126"/>
        <v>-0.31779832621126247</v>
      </c>
      <c r="DS37" s="54">
        <f t="shared" si="56"/>
        <v>1</v>
      </c>
      <c r="DT37" s="54">
        <f t="shared" si="127"/>
        <v>0</v>
      </c>
      <c r="DU37" s="54">
        <f t="shared" si="128"/>
        <v>4.7888970051132214</v>
      </c>
      <c r="DV37" s="54">
        <f t="shared" si="57"/>
        <v>-5.3948643000000001</v>
      </c>
      <c r="DW37" s="54">
        <f t="shared" si="58"/>
        <v>1</v>
      </c>
      <c r="DX37" s="54">
        <f t="shared" si="115"/>
        <v>-3.7888970051132214</v>
      </c>
      <c r="DY37" s="12">
        <f t="shared" si="30"/>
        <v>-0.26156161678896622</v>
      </c>
      <c r="DZ37" s="12">
        <f t="shared" si="31"/>
        <v>-0.71304858393397719</v>
      </c>
      <c r="EA37" s="12">
        <f t="shared" si="32"/>
        <v>-0.19333105874921089</v>
      </c>
      <c r="EB37" s="12">
        <f t="shared" si="59"/>
        <v>-0.13011252392143804</v>
      </c>
      <c r="EC37" s="12">
        <f t="shared" si="60"/>
        <v>-0.13606533408206925</v>
      </c>
      <c r="ED37" s="12">
        <f t="shared" si="116"/>
        <v>-9.8818327318665855E-2</v>
      </c>
      <c r="EE37" s="54">
        <v>4</v>
      </c>
      <c r="EF37" s="54">
        <f t="shared" si="102"/>
        <v>-4</v>
      </c>
      <c r="EG37" s="12">
        <v>-0.32200000000000001</v>
      </c>
      <c r="EH37" s="12">
        <v>-0.24099999999999999</v>
      </c>
      <c r="EI37" s="12">
        <f t="shared" si="103"/>
        <v>-0.22322941653370221</v>
      </c>
      <c r="EJ37" s="16">
        <v>0</v>
      </c>
      <c r="EK37" s="16">
        <v>0</v>
      </c>
      <c r="EL37" s="16">
        <v>29556</v>
      </c>
      <c r="EM37" s="12">
        <f t="shared" si="89"/>
        <v>-0.23046718290648427</v>
      </c>
      <c r="EN37" s="12">
        <f t="shared" si="61"/>
        <v>-0.71586390821546275</v>
      </c>
      <c r="EO37" s="16">
        <v>0</v>
      </c>
      <c r="EP37" s="16">
        <v>0</v>
      </c>
      <c r="EQ37" s="16">
        <f t="shared" si="129"/>
        <v>27143.567000000003</v>
      </c>
      <c r="ER37" s="16">
        <v>0</v>
      </c>
      <c r="ES37" s="16">
        <f t="shared" si="62"/>
        <v>0</v>
      </c>
      <c r="ET37" s="16">
        <f t="shared" si="130"/>
        <v>0</v>
      </c>
      <c r="EU37" s="16">
        <f t="shared" si="131"/>
        <v>20906.669101533964</v>
      </c>
      <c r="EV37" s="16">
        <f t="shared" si="63"/>
        <v>-27143.567000000003</v>
      </c>
      <c r="EW37" s="16">
        <f t="shared" si="64"/>
        <v>0</v>
      </c>
      <c r="EX37" s="16">
        <f t="shared" si="65"/>
        <v>-20906.669101533964</v>
      </c>
      <c r="EY37" s="12">
        <f t="shared" si="38"/>
        <v>-0.34982366135262349</v>
      </c>
      <c r="EZ37" s="17">
        <f t="shared" si="39"/>
        <v>-9.6277253771221816E-2</v>
      </c>
      <c r="FA37" s="17">
        <f t="shared" si="40"/>
        <v>-0.12657099118342868</v>
      </c>
      <c r="FB37" s="17">
        <f t="shared" si="97"/>
        <v>-9.7801897899688239E-2</v>
      </c>
      <c r="FC37" s="16">
        <v>26399.65</v>
      </c>
      <c r="FD37">
        <f t="shared" si="104"/>
        <v>-29556</v>
      </c>
      <c r="FE37" s="16">
        <f t="shared" si="105"/>
        <v>-26399.65</v>
      </c>
      <c r="FF37" s="12">
        <v>-0.14799999999999999</v>
      </c>
      <c r="FG37" s="12">
        <f t="shared" si="106"/>
        <v>-0.16077175255440215</v>
      </c>
      <c r="FH37" s="12">
        <f t="shared" si="68"/>
        <v>-0.1286959108262343</v>
      </c>
      <c r="FI37" s="12">
        <f t="shared" si="69"/>
        <v>-0.12015010195773027</v>
      </c>
      <c r="FJ37" s="16">
        <v>0</v>
      </c>
      <c r="FK37" s="16">
        <v>127063</v>
      </c>
      <c r="FL37" s="16">
        <f t="shared" si="70"/>
        <v>127063</v>
      </c>
      <c r="FM37" s="16">
        <f t="shared" si="132"/>
        <v>58306.818109610802</v>
      </c>
      <c r="FN37" s="16">
        <f t="shared" si="71"/>
        <v>68756.181890389198</v>
      </c>
      <c r="FO37" s="14">
        <f t="shared" si="133"/>
        <v>0.15714608223276252</v>
      </c>
      <c r="FP37" s="12">
        <f t="shared" si="134"/>
        <v>-7.5421876850785538E-2</v>
      </c>
      <c r="FQ37" s="12">
        <f t="shared" si="72"/>
        <v>-0.56944780947032703</v>
      </c>
    </row>
    <row r="38" spans="1:173" x14ac:dyDescent="0.35">
      <c r="A38" s="7" t="s">
        <v>217</v>
      </c>
      <c r="B38" s="7" t="s">
        <v>96</v>
      </c>
      <c r="C38" s="144">
        <f t="shared" si="108"/>
        <v>24</v>
      </c>
      <c r="D38" s="144">
        <v>0</v>
      </c>
      <c r="E38" s="144">
        <v>24</v>
      </c>
      <c r="F38" s="144">
        <v>0</v>
      </c>
      <c r="G38" s="144">
        <v>0</v>
      </c>
      <c r="H38" s="144">
        <v>0</v>
      </c>
      <c r="I38" s="144">
        <v>0</v>
      </c>
      <c r="J38" s="144">
        <v>0</v>
      </c>
      <c r="K38" s="144"/>
      <c r="L38" s="9">
        <v>12</v>
      </c>
      <c r="M38" s="149">
        <f t="shared" si="109"/>
        <v>0.5</v>
      </c>
      <c r="N38" s="149">
        <f>M38/M73</f>
        <v>7.8381204181415063E-3</v>
      </c>
      <c r="O38" s="9">
        <v>7.5</v>
      </c>
      <c r="P38" s="149">
        <f t="shared" si="110"/>
        <v>0.3125</v>
      </c>
      <c r="Q38" s="147">
        <f>P38/P73</f>
        <v>2.116071523730215E-2</v>
      </c>
      <c r="R38" s="149">
        <f t="shared" si="111"/>
        <v>0.453125</v>
      </c>
      <c r="S38" s="147">
        <f>R38/R73</f>
        <v>8.7925535465072403E-3</v>
      </c>
      <c r="T38" s="147">
        <f t="shared" si="112"/>
        <v>1.1168769122931667E-2</v>
      </c>
      <c r="U38" s="142">
        <v>87047</v>
      </c>
      <c r="V38" s="154">
        <f>U38/C38</f>
        <v>3626.9583333333335</v>
      </c>
      <c r="W38" s="154"/>
      <c r="X38" s="147">
        <f>V38/V73</f>
        <v>4.6575237586334639E-2</v>
      </c>
      <c r="Y38" s="155">
        <f t="shared" si="113"/>
        <v>2.5331356508292859E-2</v>
      </c>
      <c r="Z38" s="147">
        <v>8.7999999999999995E-2</v>
      </c>
      <c r="AA38" s="149">
        <v>-0.26500000000000001</v>
      </c>
      <c r="AB38" s="145">
        <v>25</v>
      </c>
      <c r="AC38" s="149">
        <v>-2.9831440323942679E-3</v>
      </c>
      <c r="AD38" s="149">
        <f t="shared" si="93"/>
        <v>-0.25833347706452531</v>
      </c>
      <c r="AE38" s="142">
        <v>27</v>
      </c>
      <c r="AF38" s="209">
        <v>0</v>
      </c>
      <c r="AG38" s="209">
        <v>0</v>
      </c>
      <c r="AH38" s="12"/>
      <c r="AI38" s="12"/>
      <c r="AJ38" s="23"/>
      <c r="AK38" s="30"/>
      <c r="AL38" s="23"/>
      <c r="AM38" s="30"/>
      <c r="AN38" s="30">
        <f>AS38*BK$35</f>
        <v>-9217.9551546769217</v>
      </c>
      <c r="AO38" s="30">
        <f>AVERAGE(AF38,AR38,AN38)</f>
        <v>-3072.6517182256407</v>
      </c>
      <c r="AP38" s="209"/>
      <c r="AQ38" s="154">
        <v>5065</v>
      </c>
      <c r="AR38" s="24">
        <v>0</v>
      </c>
      <c r="AS38" s="24">
        <f>AB38*BE38</f>
        <v>-0.1884444599604172</v>
      </c>
      <c r="AT38" s="24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42">
        <f>FQ38/BK$26</f>
        <v>-7.5377783984166878E-3</v>
      </c>
      <c r="BF38" s="16"/>
      <c r="BG38" s="16"/>
      <c r="BH38" s="16"/>
      <c r="BI38" s="16"/>
      <c r="BJ38" s="16"/>
      <c r="BK38" s="16"/>
      <c r="BL38" s="16">
        <v>26</v>
      </c>
      <c r="BM38" s="16">
        <v>26</v>
      </c>
      <c r="BN38" s="16">
        <f t="shared" si="94"/>
        <v>0</v>
      </c>
      <c r="BO38" s="16">
        <v>54</v>
      </c>
      <c r="BP38" s="16">
        <v>81</v>
      </c>
      <c r="BQ38" s="16">
        <v>54.714170000000003</v>
      </c>
      <c r="BR38" s="16">
        <f t="shared" si="99"/>
        <v>-28</v>
      </c>
      <c r="BS38" s="16">
        <v>87</v>
      </c>
      <c r="BT38" s="16">
        <v>78</v>
      </c>
      <c r="BU38" s="211">
        <v>3244.78874066362</v>
      </c>
      <c r="BV38" s="285">
        <v>0</v>
      </c>
      <c r="BW38" s="16">
        <f>AVERAGE(AQ38,BU38,BV38)</f>
        <v>2769.9295802212068</v>
      </c>
      <c r="BX38" s="285">
        <f>BW38-(BZ38*BW$72)</f>
        <v>2769.9295802212068</v>
      </c>
      <c r="BY38" s="12"/>
      <c r="BZ38" s="12"/>
      <c r="CC38">
        <v>89</v>
      </c>
      <c r="CD38">
        <f t="shared" si="44"/>
        <v>167</v>
      </c>
      <c r="CE38" s="16">
        <f t="shared" si="117"/>
        <v>0</v>
      </c>
      <c r="CF38" s="54">
        <f t="shared" si="118"/>
        <v>54.389750000000006</v>
      </c>
      <c r="CG38" s="16">
        <f t="shared" si="119"/>
        <v>106.57787500000001</v>
      </c>
      <c r="CH38" s="54">
        <f t="shared" si="120"/>
        <v>81.93024105186268</v>
      </c>
      <c r="CI38" s="54">
        <v>78.402370000000005</v>
      </c>
      <c r="CJ38" s="54">
        <f t="shared" si="95"/>
        <v>-0.93024105186268002</v>
      </c>
      <c r="CK38" s="54">
        <f t="shared" si="96"/>
        <v>2.5976299999999952</v>
      </c>
      <c r="CL38" s="54">
        <f t="shared" si="100"/>
        <v>-28.714170000000003</v>
      </c>
      <c r="CM38" s="12">
        <v>-0.32200000000000001</v>
      </c>
      <c r="CN38" s="16">
        <f t="shared" si="48"/>
        <v>167</v>
      </c>
      <c r="CO38" s="54">
        <f t="shared" si="49"/>
        <v>23.610249999999994</v>
      </c>
      <c r="CP38" s="14">
        <f t="shared" si="13"/>
        <v>1.7336545154166719E-2</v>
      </c>
      <c r="CQ38" s="12">
        <f t="shared" si="14"/>
        <v>0.18533547684494284</v>
      </c>
      <c r="CR38" s="16">
        <f t="shared" si="50"/>
        <v>-19.577875000000006</v>
      </c>
      <c r="CS38" s="12">
        <f t="shared" si="15"/>
        <v>-0.11101521584013091</v>
      </c>
      <c r="CT38" s="12">
        <f t="shared" si="16"/>
        <v>-6.231109238455791E-3</v>
      </c>
      <c r="CU38" s="12">
        <f t="shared" si="17"/>
        <v>-0.23188276641508446</v>
      </c>
      <c r="CV38" s="12">
        <f t="shared" si="101"/>
        <v>-0.3006988765577438</v>
      </c>
      <c r="CW38" s="54">
        <v>7</v>
      </c>
      <c r="CX38" s="54">
        <f t="shared" si="121"/>
        <v>78.404074999999992</v>
      </c>
      <c r="CY38" s="54">
        <f t="shared" si="51"/>
        <v>2.5959250000000083</v>
      </c>
      <c r="CZ38" s="12">
        <f t="shared" si="19"/>
        <v>-2.1308464634524505E-2</v>
      </c>
      <c r="DA38" s="12">
        <f t="shared" si="114"/>
        <v>0.10383700000000033</v>
      </c>
      <c r="DB38" s="12">
        <f t="shared" si="21"/>
        <v>2.8249944281644348E-3</v>
      </c>
      <c r="DC38" s="54">
        <v>15</v>
      </c>
      <c r="DD38" s="54">
        <v>20</v>
      </c>
      <c r="DE38" s="54">
        <f t="shared" si="122"/>
        <v>14.533782500000001</v>
      </c>
      <c r="DF38" s="54">
        <v>62</v>
      </c>
      <c r="DG38" s="54">
        <v>79</v>
      </c>
      <c r="DH38" s="54">
        <f t="shared" si="52"/>
        <v>230</v>
      </c>
      <c r="DI38" s="54">
        <f t="shared" si="123"/>
        <v>132.34760921366163</v>
      </c>
      <c r="DJ38" s="16">
        <f t="shared" si="53"/>
        <v>97.652390786338373</v>
      </c>
      <c r="DK38" s="14">
        <f t="shared" si="124"/>
        <v>0.50650143566942751</v>
      </c>
      <c r="DL38" s="54">
        <v>8</v>
      </c>
      <c r="DM38" s="54">
        <v>2</v>
      </c>
      <c r="DN38" s="54">
        <v>8</v>
      </c>
      <c r="DO38" s="54">
        <f t="shared" si="54"/>
        <v>18</v>
      </c>
      <c r="DP38" s="54">
        <f t="shared" si="125"/>
        <v>14.250595710881651</v>
      </c>
      <c r="DQ38" s="16">
        <f t="shared" si="55"/>
        <v>3.749404289118349</v>
      </c>
      <c r="DR38" s="14">
        <f t="shared" si="126"/>
        <v>0.18813230485079818</v>
      </c>
      <c r="DS38" s="54">
        <f t="shared" si="56"/>
        <v>23</v>
      </c>
      <c r="DT38" s="54">
        <f t="shared" si="127"/>
        <v>0</v>
      </c>
      <c r="DU38" s="54">
        <f t="shared" si="128"/>
        <v>10.883856829802776</v>
      </c>
      <c r="DV38" s="54">
        <f t="shared" si="57"/>
        <v>5.4662174999999991</v>
      </c>
      <c r="DW38" s="54">
        <f t="shared" si="58"/>
        <v>23</v>
      </c>
      <c r="DX38" s="54">
        <f t="shared" si="115"/>
        <v>4.1161431701972244</v>
      </c>
      <c r="DY38" s="12">
        <f t="shared" si="30"/>
        <v>7.4296917987886402E-2</v>
      </c>
      <c r="DZ38" s="12">
        <f t="shared" si="31"/>
        <v>2.8682970560505817E-2</v>
      </c>
      <c r="EA38" s="12">
        <f t="shared" si="32"/>
        <v>0.21002901793942616</v>
      </c>
      <c r="EB38" s="12">
        <f t="shared" si="59"/>
        <v>-6.4687182383126582E-2</v>
      </c>
      <c r="EC38" s="14">
        <f t="shared" si="60"/>
        <v>0.19150886211856366</v>
      </c>
      <c r="ED38" s="12">
        <f t="shared" si="116"/>
        <v>4.7833922556014694E-2</v>
      </c>
      <c r="EE38" s="54">
        <v>8</v>
      </c>
      <c r="EF38" s="54">
        <f t="shared" si="102"/>
        <v>-1</v>
      </c>
      <c r="EG38" s="12">
        <v>-0.20200000000000001</v>
      </c>
      <c r="EH38" s="12">
        <v>-0.29199999999999998</v>
      </c>
      <c r="EI38" s="12">
        <f t="shared" si="103"/>
        <v>-0.27602415741830783</v>
      </c>
      <c r="EJ38" s="16">
        <v>11606</v>
      </c>
      <c r="EK38" s="16">
        <v>11606.25</v>
      </c>
      <c r="EL38" s="16">
        <v>55101</v>
      </c>
      <c r="EM38" s="14">
        <f t="shared" si="89"/>
        <v>0.42690915296477017</v>
      </c>
      <c r="EN38" s="14">
        <f t="shared" si="61"/>
        <v>2.0173151505751497E-2</v>
      </c>
      <c r="EO38" s="16">
        <v>29016</v>
      </c>
      <c r="EP38" s="16">
        <v>29016</v>
      </c>
      <c r="EQ38" s="16">
        <f t="shared" si="129"/>
        <v>61689.925000000003</v>
      </c>
      <c r="ER38" s="16">
        <v>0</v>
      </c>
      <c r="ES38" s="16">
        <f t="shared" si="62"/>
        <v>29016</v>
      </c>
      <c r="ET38" s="16">
        <f t="shared" si="130"/>
        <v>0</v>
      </c>
      <c r="EU38" s="16">
        <f t="shared" si="131"/>
        <v>47515.157048940833</v>
      </c>
      <c r="EV38" s="16">
        <f t="shared" si="63"/>
        <v>-32673.925000000003</v>
      </c>
      <c r="EW38" s="16">
        <f t="shared" si="64"/>
        <v>29016</v>
      </c>
      <c r="EX38" s="16">
        <f t="shared" si="65"/>
        <v>-18499.157048940833</v>
      </c>
      <c r="EY38" s="12">
        <f t="shared" si="38"/>
        <v>-0.28313386021682613</v>
      </c>
      <c r="EZ38" s="17">
        <f t="shared" si="39"/>
        <v>-8.5190425557741506E-2</v>
      </c>
      <c r="FA38" s="17">
        <f t="shared" si="40"/>
        <v>-0.14868187597745064</v>
      </c>
      <c r="FB38" s="17">
        <f t="shared" si="97"/>
        <v>-5.3758166894877918E-3</v>
      </c>
      <c r="FC38" s="16">
        <v>50098.49</v>
      </c>
      <c r="FD38">
        <f t="shared" si="104"/>
        <v>-43495</v>
      </c>
      <c r="FE38" s="16">
        <f t="shared" si="105"/>
        <v>-38492.239999999998</v>
      </c>
      <c r="FF38" s="12">
        <v>-0.224</v>
      </c>
      <c r="FG38" s="12">
        <f t="shared" si="106"/>
        <v>-0.23179745653385153</v>
      </c>
      <c r="FH38" s="12">
        <f t="shared" si="68"/>
        <v>-9.828505982085621E-2</v>
      </c>
      <c r="FI38" s="12">
        <f t="shared" si="69"/>
        <v>8.0829147048041589E-2</v>
      </c>
      <c r="FJ38" s="16">
        <v>0</v>
      </c>
      <c r="FK38" s="16">
        <v>0</v>
      </c>
      <c r="FL38" s="16">
        <f t="shared" si="70"/>
        <v>0</v>
      </c>
      <c r="FM38" s="16">
        <f t="shared" si="132"/>
        <v>131190.34074662431</v>
      </c>
      <c r="FN38" s="16">
        <f t="shared" si="71"/>
        <v>-131190.34074662431</v>
      </c>
      <c r="FO38" s="12">
        <f t="shared" si="133"/>
        <v>-0.2998428287943502</v>
      </c>
      <c r="FP38" s="12">
        <f t="shared" si="134"/>
        <v>0.13620836026112199</v>
      </c>
      <c r="FQ38" s="14">
        <f t="shared" si="72"/>
        <v>-0.10114965318327955</v>
      </c>
    </row>
    <row r="39" spans="1:173" x14ac:dyDescent="0.35">
      <c r="A39" s="8" t="s">
        <v>217</v>
      </c>
      <c r="B39" s="8" t="s">
        <v>103</v>
      </c>
      <c r="C39" s="144">
        <f t="shared" si="108"/>
        <v>44</v>
      </c>
      <c r="D39" s="144">
        <v>0</v>
      </c>
      <c r="E39" s="144">
        <v>0</v>
      </c>
      <c r="F39" s="144">
        <v>44</v>
      </c>
      <c r="G39" s="144">
        <v>0</v>
      </c>
      <c r="H39" s="144">
        <v>0</v>
      </c>
      <c r="I39" s="144">
        <v>0</v>
      </c>
      <c r="J39" s="144">
        <v>0</v>
      </c>
      <c r="K39" s="144"/>
      <c r="L39" s="9">
        <v>4.5</v>
      </c>
      <c r="M39" s="149">
        <f t="shared" si="109"/>
        <v>0.10227272727272728</v>
      </c>
      <c r="N39" s="149">
        <f>M39/M73</f>
        <v>1.6032519037107627E-3</v>
      </c>
      <c r="O39" s="9">
        <v>39.5</v>
      </c>
      <c r="P39" s="149">
        <f t="shared" si="110"/>
        <v>0.89772727272727271</v>
      </c>
      <c r="Q39" s="147">
        <f>P39/P73</f>
        <v>6.0788963772613447E-2</v>
      </c>
      <c r="R39" s="149">
        <f t="shared" si="111"/>
        <v>0.30113636363636365</v>
      </c>
      <c r="S39" s="147">
        <f>R39/R73</f>
        <v>5.843327121816724E-3</v>
      </c>
      <c r="T39" s="147">
        <f t="shared" si="112"/>
        <v>1.6399679870936434E-2</v>
      </c>
      <c r="U39" s="142"/>
      <c r="V39" s="142">
        <f t="shared" si="107"/>
        <v>0</v>
      </c>
      <c r="W39" s="142"/>
      <c r="X39" s="147">
        <f>V39/V73</f>
        <v>0</v>
      </c>
      <c r="Y39" s="147">
        <f t="shared" si="113"/>
        <v>9.839807922561861E-3</v>
      </c>
      <c r="Z39" s="147">
        <v>-0.38</v>
      </c>
      <c r="AA39" s="149">
        <v>-0.154</v>
      </c>
      <c r="AB39" s="145">
        <v>47</v>
      </c>
      <c r="AC39" s="149">
        <v>-0.27958587338739999</v>
      </c>
      <c r="AD39" s="149">
        <f t="shared" si="93"/>
        <v>-0.14978095603543418</v>
      </c>
      <c r="AE39" s="142">
        <v>42</v>
      </c>
      <c r="AF39" s="209"/>
      <c r="AG39" s="209"/>
      <c r="AH39" s="12"/>
      <c r="AI39" s="12"/>
      <c r="AJ39" s="23"/>
      <c r="AK39" s="30"/>
      <c r="AL39" s="23"/>
      <c r="AM39" s="30"/>
      <c r="AN39" s="30"/>
      <c r="AO39" s="30"/>
      <c r="AP39" s="209"/>
      <c r="AQ39" s="142"/>
      <c r="AR39" s="24"/>
      <c r="AS39" s="24"/>
      <c r="AT39" s="24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>
        <v>7</v>
      </c>
      <c r="BM39" s="16">
        <v>7</v>
      </c>
      <c r="BN39" s="16">
        <f t="shared" si="94"/>
        <v>0</v>
      </c>
      <c r="BO39" s="16">
        <v>100</v>
      </c>
      <c r="BP39" s="16">
        <v>11</v>
      </c>
      <c r="BQ39" s="16">
        <v>100.30931</v>
      </c>
      <c r="BR39" s="16">
        <f t="shared" si="99"/>
        <v>-93</v>
      </c>
      <c r="BS39" s="16">
        <v>15</v>
      </c>
      <c r="BT39" s="16">
        <v>9</v>
      </c>
      <c r="BU39" s="16"/>
      <c r="BV39" s="16"/>
      <c r="BW39" s="16"/>
      <c r="BX39" s="16"/>
      <c r="BY39" s="12"/>
      <c r="BZ39" s="12"/>
      <c r="CC39">
        <v>31</v>
      </c>
      <c r="CD39">
        <f t="shared" si="44"/>
        <v>40</v>
      </c>
      <c r="CE39" s="16">
        <f t="shared" si="117"/>
        <v>0</v>
      </c>
      <c r="CF39" s="54">
        <f t="shared" si="118"/>
        <v>102.25273</v>
      </c>
      <c r="CG39" s="16">
        <f t="shared" si="119"/>
        <v>200.36640499999999</v>
      </c>
      <c r="CH39" s="54">
        <f t="shared" si="120"/>
        <v>154.02885317750182</v>
      </c>
      <c r="CI39" s="54">
        <v>147.39644999999999</v>
      </c>
      <c r="CJ39" s="54">
        <f t="shared" si="95"/>
        <v>-143.02885317750182</v>
      </c>
      <c r="CK39" s="54">
        <f t="shared" si="96"/>
        <v>-136.39644999999999</v>
      </c>
      <c r="CL39" s="54">
        <f t="shared" si="100"/>
        <v>-93.309309999999996</v>
      </c>
      <c r="CM39" s="12">
        <v>-0.90300000000000002</v>
      </c>
      <c r="CN39" s="16">
        <f t="shared" si="48"/>
        <v>40</v>
      </c>
      <c r="CO39" s="54">
        <f t="shared" si="49"/>
        <v>-93.25273</v>
      </c>
      <c r="CP39" s="12">
        <f t="shared" si="13"/>
        <v>-0.62126372634715177</v>
      </c>
      <c r="CQ39" s="12">
        <f t="shared" si="14"/>
        <v>-0.90031970919796622</v>
      </c>
      <c r="CR39" s="16">
        <f t="shared" si="50"/>
        <v>-185.36640499999999</v>
      </c>
      <c r="CS39" s="12">
        <f t="shared" si="15"/>
        <v>-0.98601035670155079</v>
      </c>
      <c r="CT39" s="12">
        <f t="shared" si="16"/>
        <v>-0.95806179120508828</v>
      </c>
      <c r="CU39" s="12">
        <f t="shared" si="17"/>
        <v>-0.66635241344856333</v>
      </c>
      <c r="CV39" s="12">
        <f t="shared" si="101"/>
        <v>-0.87776439157299091</v>
      </c>
      <c r="CW39" s="54">
        <v>94</v>
      </c>
      <c r="CX39" s="54">
        <f t="shared" si="121"/>
        <v>147.39966099999998</v>
      </c>
      <c r="CY39" s="54">
        <f t="shared" si="51"/>
        <v>-136.39966099999998</v>
      </c>
      <c r="CZ39" s="12">
        <f t="shared" si="19"/>
        <v>-0.95620253699479052</v>
      </c>
      <c r="DA39" s="12">
        <f t="shared" si="114"/>
        <v>-2.9021204468085102</v>
      </c>
      <c r="DB39" s="12">
        <f t="shared" si="21"/>
        <v>-1.028972136891547</v>
      </c>
      <c r="DC39" s="54">
        <v>62</v>
      </c>
      <c r="DD39" s="54">
        <v>113</v>
      </c>
      <c r="DE39" s="54">
        <f t="shared" si="122"/>
        <v>27.323511100000001</v>
      </c>
      <c r="DF39" s="54">
        <v>15</v>
      </c>
      <c r="DG39" s="54">
        <v>24</v>
      </c>
      <c r="DH39" s="54">
        <f t="shared" si="52"/>
        <v>70</v>
      </c>
      <c r="DI39" s="54">
        <f t="shared" si="123"/>
        <v>205.87405877680698</v>
      </c>
      <c r="DJ39" s="16">
        <f t="shared" si="53"/>
        <v>-135.87405877680698</v>
      </c>
      <c r="DK39" s="12">
        <f t="shared" si="124"/>
        <v>-0.70474880631712022</v>
      </c>
      <c r="DL39" s="54">
        <v>20</v>
      </c>
      <c r="DM39" s="54">
        <v>32</v>
      </c>
      <c r="DN39" s="54">
        <v>37.5</v>
      </c>
      <c r="DO39" s="54">
        <f t="shared" si="54"/>
        <v>89.5</v>
      </c>
      <c r="DP39" s="54">
        <f t="shared" si="125"/>
        <v>22.167593328038127</v>
      </c>
      <c r="DQ39" s="16">
        <f t="shared" si="55"/>
        <v>67.332406671961877</v>
      </c>
      <c r="DR39" s="14">
        <f t="shared" si="126"/>
        <v>3.3785102596461045</v>
      </c>
      <c r="DS39" s="54">
        <f t="shared" si="56"/>
        <v>82</v>
      </c>
      <c r="DT39" s="54">
        <f t="shared" si="127"/>
        <v>0</v>
      </c>
      <c r="DU39" s="54">
        <f t="shared" si="128"/>
        <v>20.461650840029218</v>
      </c>
      <c r="DV39" s="54">
        <f t="shared" si="57"/>
        <v>85.676488899999995</v>
      </c>
      <c r="DW39" s="54">
        <f t="shared" si="58"/>
        <v>82</v>
      </c>
      <c r="DX39" s="54">
        <f t="shared" si="115"/>
        <v>41.538349159970778</v>
      </c>
      <c r="DY39" s="12">
        <f t="shared" si="30"/>
        <v>2.5546487579360666</v>
      </c>
      <c r="DZ39" s="12">
        <f t="shared" si="31"/>
        <v>2.017872139432074</v>
      </c>
      <c r="EA39" s="12">
        <f t="shared" si="32"/>
        <v>2.1195226502472768</v>
      </c>
      <c r="EB39" s="12">
        <f t="shared" si="59"/>
        <v>-0.10084557804214644</v>
      </c>
      <c r="EC39" s="12">
        <f t="shared" si="60"/>
        <v>-0.14535911933665546</v>
      </c>
      <c r="ED39" s="12">
        <f t="shared" si="116"/>
        <v>-0.18866568084199697</v>
      </c>
      <c r="EE39" s="54">
        <v>14</v>
      </c>
      <c r="EF39" s="54">
        <f t="shared" si="102"/>
        <v>80</v>
      </c>
      <c r="EG39" s="12">
        <v>3.024</v>
      </c>
      <c r="EH39" s="12">
        <v>7.9000000000000001E-2</v>
      </c>
      <c r="EI39" s="12">
        <f t="shared" si="103"/>
        <v>9.7676706320256823E-2</v>
      </c>
      <c r="EJ39" s="16">
        <v>0</v>
      </c>
      <c r="EK39" s="16">
        <v>0</v>
      </c>
      <c r="EL39" s="16">
        <v>94999</v>
      </c>
      <c r="EM39" s="14">
        <f t="shared" si="89"/>
        <v>0.31606596017368593</v>
      </c>
      <c r="EN39" s="12">
        <f t="shared" si="61"/>
        <v>3.8520240097654646E-2</v>
      </c>
      <c r="EO39" s="16">
        <v>0</v>
      </c>
      <c r="EP39" s="16">
        <v>0</v>
      </c>
      <c r="EQ39" s="16">
        <f t="shared" si="129"/>
        <v>115977.05900000001</v>
      </c>
      <c r="ER39" s="16">
        <v>0</v>
      </c>
      <c r="ES39" s="16">
        <f t="shared" si="62"/>
        <v>0</v>
      </c>
      <c r="ET39" s="16">
        <f t="shared" si="130"/>
        <v>0</v>
      </c>
      <c r="EU39" s="16">
        <f t="shared" si="131"/>
        <v>89328.495252008754</v>
      </c>
      <c r="EV39" s="16">
        <f t="shared" si="63"/>
        <v>-115977.05900000001</v>
      </c>
      <c r="EW39" s="16">
        <f t="shared" si="64"/>
        <v>0</v>
      </c>
      <c r="EX39" s="16">
        <f t="shared" si="65"/>
        <v>-89328.495252008754</v>
      </c>
      <c r="EY39" s="12">
        <f t="shared" si="38"/>
        <v>-0.34982366135262349</v>
      </c>
      <c r="EZ39" s="17">
        <f t="shared" si="39"/>
        <v>-0.411366447931584</v>
      </c>
      <c r="FA39" s="17">
        <f t="shared" si="40"/>
        <v>-0.48173554065069135</v>
      </c>
      <c r="FB39" s="17">
        <f t="shared" si="97"/>
        <v>-0.27774598767783176</v>
      </c>
      <c r="FC39" s="16">
        <v>87725.32</v>
      </c>
      <c r="FD39">
        <f t="shared" si="104"/>
        <v>-94999</v>
      </c>
      <c r="FE39" s="16">
        <f t="shared" si="105"/>
        <v>-87725.32</v>
      </c>
      <c r="FF39" s="12">
        <v>-0.503</v>
      </c>
      <c r="FG39" s="12">
        <f t="shared" si="106"/>
        <v>-0.52096744956897068</v>
      </c>
      <c r="FH39" s="12">
        <f t="shared" si="68"/>
        <v>-0.25320156308556441</v>
      </c>
      <c r="FI39" s="12">
        <f t="shared" si="69"/>
        <v>-0.25176205077462688</v>
      </c>
      <c r="FJ39" s="16">
        <v>0</v>
      </c>
      <c r="FK39" s="16">
        <v>0</v>
      </c>
      <c r="FL39" s="16">
        <f t="shared" si="70"/>
        <v>0</v>
      </c>
      <c r="FM39" s="16">
        <f t="shared" si="132"/>
        <v>204073.8633836378</v>
      </c>
      <c r="FN39" s="16">
        <f t="shared" si="71"/>
        <v>-204073.8633836378</v>
      </c>
      <c r="FO39" s="12">
        <f t="shared" si="133"/>
        <v>-0.46642217812454467</v>
      </c>
      <c r="FP39" s="12">
        <f t="shared" si="134"/>
        <v>3.0707048543936744E-3</v>
      </c>
      <c r="FQ39" s="12">
        <f t="shared" si="72"/>
        <v>-0.11681732048245662</v>
      </c>
    </row>
    <row r="40" spans="1:173" x14ac:dyDescent="0.35">
      <c r="A40" s="7" t="s">
        <v>217</v>
      </c>
      <c r="B40" s="7" t="s">
        <v>22</v>
      </c>
      <c r="C40" s="144">
        <f t="shared" si="108"/>
        <v>82</v>
      </c>
      <c r="D40" s="144">
        <v>82</v>
      </c>
      <c r="E40" s="144">
        <v>0</v>
      </c>
      <c r="F40" s="144">
        <v>0</v>
      </c>
      <c r="G40" s="144">
        <v>0</v>
      </c>
      <c r="H40" s="144">
        <v>0</v>
      </c>
      <c r="I40" s="144">
        <v>0</v>
      </c>
      <c r="J40" s="144">
        <v>0</v>
      </c>
      <c r="K40" s="144"/>
      <c r="L40" s="9">
        <v>103</v>
      </c>
      <c r="M40" s="149">
        <f t="shared" si="109"/>
        <v>1.2560975609756098</v>
      </c>
      <c r="N40" s="149">
        <f>M40/M73</f>
        <v>1.9690887879721345E-2</v>
      </c>
      <c r="O40" s="9">
        <v>11</v>
      </c>
      <c r="P40" s="149">
        <f t="shared" si="110"/>
        <v>0.13414634146341464</v>
      </c>
      <c r="Q40" s="147">
        <f>P40/P73</f>
        <v>9.0836241018662882E-3</v>
      </c>
      <c r="R40" s="149">
        <f t="shared" si="111"/>
        <v>0.97560975609756106</v>
      </c>
      <c r="S40" s="147">
        <f>R40/R73</f>
        <v>1.8930981563547968E-2</v>
      </c>
      <c r="T40" s="147">
        <f t="shared" si="112"/>
        <v>1.7039071935257583E-2</v>
      </c>
      <c r="U40" s="142">
        <v>134599</v>
      </c>
      <c r="V40" s="154">
        <f>U40/C40</f>
        <v>1641.4512195121952</v>
      </c>
      <c r="W40" s="154"/>
      <c r="X40" s="147">
        <f>V40/V73</f>
        <v>2.1078538408489909E-2</v>
      </c>
      <c r="Y40" s="155">
        <f t="shared" si="113"/>
        <v>1.8654858524550511E-2</v>
      </c>
      <c r="Z40" s="155">
        <v>1.1000000000000001</v>
      </c>
      <c r="AA40" s="150">
        <v>0.23</v>
      </c>
      <c r="AB40" s="145">
        <v>91</v>
      </c>
      <c r="AC40" s="149">
        <v>8.7989231982213534E-2</v>
      </c>
      <c r="AD40" s="150">
        <f t="shared" si="93"/>
        <v>0.47980346141796615</v>
      </c>
      <c r="AE40" s="142">
        <v>52</v>
      </c>
      <c r="AF40" s="209">
        <v>0</v>
      </c>
      <c r="AG40" s="209">
        <f>AT40*BK$32</f>
        <v>66723.416245424436</v>
      </c>
      <c r="AH40" s="12">
        <f>C40*BA40</f>
        <v>1.3430178736737166</v>
      </c>
      <c r="AI40" s="18"/>
      <c r="AJ40" s="34" t="e">
        <f>AV40*BK$16</f>
        <v>#DIV/0!</v>
      </c>
      <c r="AK40" s="34" t="e">
        <f>SUM(AL40:AM40)</f>
        <v>#DIV/0!</v>
      </c>
      <c r="AL40" s="30"/>
      <c r="AM40" s="34" t="e">
        <f>AX40*BK$26</f>
        <v>#DIV/0!</v>
      </c>
      <c r="AN40" s="30">
        <f>AS40*BK$35</f>
        <v>273723.31209737167</v>
      </c>
      <c r="AO40" s="30">
        <f>AVERAGE(AF40,AR40,AN40)</f>
        <v>102853.32156959329</v>
      </c>
      <c r="AP40" s="209">
        <f>AVERAGE(AF40:AG40)</f>
        <v>33361.708122712218</v>
      </c>
      <c r="AQ40" s="154">
        <f>AO40-(AO$72*BE40)</f>
        <v>119108.63037565409</v>
      </c>
      <c r="AR40" s="130">
        <f>AP40+(AP$72*BF40)</f>
        <v>34836.652611408193</v>
      </c>
      <c r="AS40" s="24">
        <f>AB40*BE40</f>
        <v>5.5957792006174945</v>
      </c>
      <c r="AT40" s="24">
        <f>AB40*BF40</f>
        <v>1.1826676934268627</v>
      </c>
      <c r="AU40" s="16"/>
      <c r="AV40" s="16" t="e">
        <f>AB40*BB40</f>
        <v>#DIV/0!</v>
      </c>
      <c r="AW40" s="16"/>
      <c r="AX40" s="16" t="e">
        <f>AB40*BD40</f>
        <v>#DIV/0!</v>
      </c>
      <c r="AY40" s="16"/>
      <c r="AZ40" s="16"/>
      <c r="BA40" s="16">
        <f>AA40/BH$2</f>
        <v>1.6378266752118495E-2</v>
      </c>
      <c r="BB40" s="16" t="e">
        <f>FH40/BK$14</f>
        <v>#DIV/0!</v>
      </c>
      <c r="BC40" s="16"/>
      <c r="BD40" s="16" t="e">
        <f>FA40/BK$21</f>
        <v>#DIV/0!</v>
      </c>
      <c r="BE40" s="142">
        <f>FQ40/BK$26</f>
        <v>6.1492079127664773E-2</v>
      </c>
      <c r="BF40" s="16">
        <f>FI40/BK$29</f>
        <v>1.2996348279416073E-2</v>
      </c>
      <c r="BG40" s="142"/>
      <c r="BH40" s="16"/>
      <c r="BI40" s="16"/>
      <c r="BJ40" s="16"/>
      <c r="BK40" s="16"/>
      <c r="BL40" s="16">
        <v>203</v>
      </c>
      <c r="BM40" s="16">
        <v>196</v>
      </c>
      <c r="BN40" s="16">
        <f t="shared" si="94"/>
        <v>7</v>
      </c>
      <c r="BO40" s="16">
        <v>186</v>
      </c>
      <c r="BP40" s="16">
        <v>125</v>
      </c>
      <c r="BQ40" s="16">
        <v>186.94006999999999</v>
      </c>
      <c r="BR40" s="16">
        <f t="shared" si="99"/>
        <v>17</v>
      </c>
      <c r="BS40" s="16">
        <v>253</v>
      </c>
      <c r="BT40" s="16">
        <v>95</v>
      </c>
      <c r="BU40" s="211">
        <v>72287.218243017167</v>
      </c>
      <c r="BV40" s="285">
        <f>BY40*CB$4</f>
        <v>119684.05105811429</v>
      </c>
      <c r="BW40" s="16">
        <f>AVERAGE(AQ40,BU40,BV40)</f>
        <v>103693.29989226184</v>
      </c>
      <c r="BX40" s="285">
        <f>BW40-(BZ40*BW$72)</f>
        <v>105182.41541652392</v>
      </c>
      <c r="BY40" s="12">
        <f>AE40*BZ40</f>
        <v>1.8939774244804271</v>
      </c>
      <c r="BZ40" s="12">
        <f>FP40/CB3</f>
        <v>3.6422642778469752E-2</v>
      </c>
      <c r="CC40">
        <v>147</v>
      </c>
      <c r="CD40">
        <f t="shared" si="44"/>
        <v>242</v>
      </c>
      <c r="CE40" s="16">
        <f t="shared" si="117"/>
        <v>0</v>
      </c>
      <c r="CF40" s="54">
        <f t="shared" si="118"/>
        <v>197.97869</v>
      </c>
      <c r="CG40" s="16">
        <f t="shared" si="119"/>
        <v>387.943465</v>
      </c>
      <c r="CH40" s="54">
        <f t="shared" si="120"/>
        <v>298.22607742878012</v>
      </c>
      <c r="CI40" s="54">
        <v>285.38461000000001</v>
      </c>
      <c r="CJ40" s="54">
        <f t="shared" si="95"/>
        <v>-173.22607742878012</v>
      </c>
      <c r="CK40" s="54">
        <f t="shared" si="96"/>
        <v>-160.38461000000001</v>
      </c>
      <c r="CL40" s="54">
        <f t="shared" si="100"/>
        <v>9.0599300000000085</v>
      </c>
      <c r="CM40" s="12">
        <v>0.08</v>
      </c>
      <c r="CN40" s="16">
        <f t="shared" si="48"/>
        <v>242</v>
      </c>
      <c r="CO40" s="54">
        <f t="shared" si="49"/>
        <v>-102.97869</v>
      </c>
      <c r="CP40" s="12">
        <f t="shared" si="13"/>
        <v>0.39446268974155951</v>
      </c>
      <c r="CQ40" s="12">
        <f t="shared" si="14"/>
        <v>-0.99067371962321715</v>
      </c>
      <c r="CR40" s="16">
        <f t="shared" si="50"/>
        <v>-134.943465</v>
      </c>
      <c r="CS40" s="12">
        <f t="shared" si="15"/>
        <v>-0.7198892475515577</v>
      </c>
      <c r="CT40" s="12">
        <f t="shared" si="16"/>
        <v>-1.1603343125382326</v>
      </c>
      <c r="CU40" s="12">
        <f t="shared" si="17"/>
        <v>2.2187429794836927E-2</v>
      </c>
      <c r="CV40" s="12">
        <f t="shared" si="101"/>
        <v>3.6758871358546157E-2</v>
      </c>
      <c r="CW40" s="54">
        <v>37</v>
      </c>
      <c r="CX40" s="54">
        <f t="shared" si="121"/>
        <v>285.39083299999999</v>
      </c>
      <c r="CY40" s="54">
        <f t="shared" si="51"/>
        <v>-160.39083299999999</v>
      </c>
      <c r="CZ40" s="12">
        <f t="shared" si="19"/>
        <v>-1.1175688446398087</v>
      </c>
      <c r="DA40" s="12">
        <f t="shared" si="114"/>
        <v>-1.7625366263736262</v>
      </c>
      <c r="DB40" s="12">
        <f t="shared" si="21"/>
        <v>-0.63780914219531037</v>
      </c>
      <c r="DC40" s="54">
        <v>33</v>
      </c>
      <c r="DD40" s="54">
        <v>42</v>
      </c>
      <c r="DE40" s="54">
        <f t="shared" si="122"/>
        <v>52.902968300000005</v>
      </c>
      <c r="DF40" s="54">
        <v>72</v>
      </c>
      <c r="DG40" s="54">
        <v>83</v>
      </c>
      <c r="DH40" s="54">
        <f t="shared" si="52"/>
        <v>302</v>
      </c>
      <c r="DI40" s="54">
        <f t="shared" si="123"/>
        <v>254.89169181890389</v>
      </c>
      <c r="DJ40" s="16">
        <f t="shared" si="53"/>
        <v>47.108308181096106</v>
      </c>
      <c r="DK40" s="12">
        <f t="shared" si="124"/>
        <v>0.24434041536053311</v>
      </c>
      <c r="DL40" s="54">
        <v>7</v>
      </c>
      <c r="DM40" s="54">
        <v>1</v>
      </c>
      <c r="DN40" s="54">
        <v>8.5</v>
      </c>
      <c r="DO40" s="54">
        <f t="shared" si="54"/>
        <v>16.5</v>
      </c>
      <c r="DP40" s="54">
        <f t="shared" si="125"/>
        <v>27.445591739475773</v>
      </c>
      <c r="DQ40" s="16">
        <f t="shared" si="55"/>
        <v>-10.945591739475773</v>
      </c>
      <c r="DR40" s="12">
        <f t="shared" si="126"/>
        <v>-0.5492124196581768</v>
      </c>
      <c r="DS40" s="54">
        <f t="shared" si="56"/>
        <v>40</v>
      </c>
      <c r="DT40" s="54">
        <f t="shared" si="127"/>
        <v>0</v>
      </c>
      <c r="DU40" s="54">
        <f t="shared" si="128"/>
        <v>39.617238860482104</v>
      </c>
      <c r="DV40" s="54">
        <f t="shared" si="57"/>
        <v>-10.902968300000005</v>
      </c>
      <c r="DW40" s="54">
        <f t="shared" si="58"/>
        <v>40</v>
      </c>
      <c r="DX40" s="54">
        <f t="shared" si="115"/>
        <v>-6.6172388604821037</v>
      </c>
      <c r="DY40" s="12">
        <f t="shared" si="30"/>
        <v>-0.4318893772187351</v>
      </c>
      <c r="DZ40" s="12">
        <f t="shared" si="31"/>
        <v>0.60183917176078816</v>
      </c>
      <c r="EA40" s="12">
        <f t="shared" si="32"/>
        <v>-0.33764913460749979</v>
      </c>
      <c r="EB40" s="12">
        <f t="shared" si="59"/>
        <v>-0.64788927996835199</v>
      </c>
      <c r="EC40" s="12">
        <f t="shared" si="60"/>
        <v>-0.82741757336928778</v>
      </c>
      <c r="ED40" s="12">
        <f t="shared" si="116"/>
        <v>-0.95466301805554943</v>
      </c>
      <c r="EE40" s="54">
        <v>26</v>
      </c>
      <c r="EF40" s="54">
        <f t="shared" si="102"/>
        <v>11</v>
      </c>
      <c r="EG40" s="12">
        <v>0.27600000000000002</v>
      </c>
      <c r="EH40" s="12">
        <v>0.129</v>
      </c>
      <c r="EI40" s="12">
        <f t="shared" si="103"/>
        <v>9.6569153518909628E-2</v>
      </c>
      <c r="EJ40" s="16">
        <v>234031</v>
      </c>
      <c r="EK40" s="16">
        <v>336492</v>
      </c>
      <c r="EL40" s="16">
        <v>166217</v>
      </c>
      <c r="EM40" s="12">
        <f t="shared" si="89"/>
        <v>4.5952206605855639E-2</v>
      </c>
      <c r="EN40" s="12">
        <f t="shared" si="61"/>
        <v>0.44630681024636665</v>
      </c>
      <c r="EO40" s="16">
        <v>525894</v>
      </c>
      <c r="EP40" s="16">
        <v>565865</v>
      </c>
      <c r="EQ40" s="16">
        <f t="shared" si="129"/>
        <v>224551.32700000002</v>
      </c>
      <c r="ER40" s="16">
        <v>232585</v>
      </c>
      <c r="ES40" s="16">
        <f t="shared" si="62"/>
        <v>758479</v>
      </c>
      <c r="ET40" s="16">
        <f t="shared" si="130"/>
        <v>0</v>
      </c>
      <c r="EU40" s="16">
        <f t="shared" si="131"/>
        <v>172955.17165814462</v>
      </c>
      <c r="EV40" s="16">
        <f t="shared" si="63"/>
        <v>341313.67299999995</v>
      </c>
      <c r="EW40" s="16">
        <f t="shared" si="64"/>
        <v>758479</v>
      </c>
      <c r="EX40" s="16">
        <f t="shared" si="65"/>
        <v>352938.82834185538</v>
      </c>
      <c r="EY40" s="12">
        <f t="shared" si="38"/>
        <v>1.3934494871061047</v>
      </c>
      <c r="EZ40" s="17">
        <f t="shared" si="39"/>
        <v>1.625317786250958</v>
      </c>
      <c r="FA40" s="109">
        <f t="shared" si="40"/>
        <v>1.3465552666760623</v>
      </c>
      <c r="FB40" s="17">
        <f t="shared" si="97"/>
        <v>7.7329303667053706E-2</v>
      </c>
      <c r="FC40" s="16">
        <v>155957.32</v>
      </c>
      <c r="FD40">
        <f t="shared" si="104"/>
        <v>67814</v>
      </c>
      <c r="FE40" s="16">
        <f t="shared" si="105"/>
        <v>180534.68</v>
      </c>
      <c r="FF40" s="12">
        <v>0.38100000000000001</v>
      </c>
      <c r="FG40" s="12">
        <f t="shared" si="106"/>
        <v>1.0546549232665507</v>
      </c>
      <c r="FH40" s="14">
        <f t="shared" si="68"/>
        <v>0.14988853868941382</v>
      </c>
      <c r="FI40" s="14">
        <f t="shared" si="69"/>
        <v>0.15367657047881067</v>
      </c>
      <c r="FJ40" s="16">
        <v>379297</v>
      </c>
      <c r="FK40" s="16">
        <v>131521</v>
      </c>
      <c r="FL40" s="16">
        <f t="shared" si="70"/>
        <v>743403</v>
      </c>
      <c r="FM40" s="16">
        <f t="shared" si="132"/>
        <v>252662.87847498013</v>
      </c>
      <c r="FN40" s="16">
        <f t="shared" si="71"/>
        <v>490740.12152501987</v>
      </c>
      <c r="FO40" s="14">
        <f t="shared" si="133"/>
        <v>1.1216138734263583</v>
      </c>
      <c r="FP40" s="14">
        <f t="shared" si="134"/>
        <v>0.47621687333405671</v>
      </c>
      <c r="FQ40" s="14">
        <f t="shared" si="72"/>
        <v>0.82516388099026194</v>
      </c>
    </row>
    <row r="41" spans="1:173" x14ac:dyDescent="0.35">
      <c r="A41" s="8" t="s">
        <v>217</v>
      </c>
      <c r="B41" s="8" t="s">
        <v>57</v>
      </c>
      <c r="C41" s="144">
        <f t="shared" si="108"/>
        <v>13</v>
      </c>
      <c r="D41" s="144">
        <v>0</v>
      </c>
      <c r="E41" s="144">
        <v>13</v>
      </c>
      <c r="F41" s="144">
        <v>0</v>
      </c>
      <c r="G41" s="144">
        <v>0</v>
      </c>
      <c r="H41" s="144">
        <v>0</v>
      </c>
      <c r="I41" s="144">
        <v>0</v>
      </c>
      <c r="J41" s="144">
        <v>0</v>
      </c>
      <c r="K41" s="144"/>
      <c r="L41" s="9">
        <v>2.5</v>
      </c>
      <c r="M41" s="149">
        <f t="shared" si="109"/>
        <v>0.19230769230769232</v>
      </c>
      <c r="N41" s="149">
        <f>M41/M73</f>
        <v>3.0146616992851945E-3</v>
      </c>
      <c r="O41" s="9">
        <v>1.5</v>
      </c>
      <c r="P41" s="149">
        <f t="shared" si="110"/>
        <v>0.11538461538461539</v>
      </c>
      <c r="Q41" s="147">
        <f>P41/P73</f>
        <v>7.8131871645423321E-3</v>
      </c>
      <c r="R41" s="149">
        <f t="shared" si="111"/>
        <v>0.1730769230769231</v>
      </c>
      <c r="S41" s="147">
        <f>R41/R73</f>
        <v>3.3584289408409621E-3</v>
      </c>
      <c r="T41" s="147">
        <f t="shared" si="112"/>
        <v>4.214293065599479E-3</v>
      </c>
      <c r="U41" s="142"/>
      <c r="V41" s="142">
        <f t="shared" si="107"/>
        <v>0</v>
      </c>
      <c r="W41" s="142"/>
      <c r="X41" s="147">
        <f>V41/V73</f>
        <v>0</v>
      </c>
      <c r="Y41" s="147">
        <f t="shared" si="113"/>
        <v>2.5285758393596871E-3</v>
      </c>
      <c r="Z41" s="147">
        <v>-0.52700000000000002</v>
      </c>
      <c r="AA41" s="149">
        <v>-0.21299999999999999</v>
      </c>
      <c r="AB41" s="145">
        <v>14</v>
      </c>
      <c r="AC41" s="149">
        <v>-0.14650408208040355</v>
      </c>
      <c r="AD41" s="149">
        <f t="shared" si="93"/>
        <v>-0.20821388815666167</v>
      </c>
      <c r="AE41" s="142">
        <v>12</v>
      </c>
      <c r="AF41" s="209">
        <v>166417.95739297272</v>
      </c>
      <c r="AG41" s="209">
        <v>0</v>
      </c>
      <c r="AH41" s="12"/>
      <c r="AI41" s="12"/>
      <c r="AJ41" s="23"/>
      <c r="AK41" s="30"/>
      <c r="AL41" s="23"/>
      <c r="AM41" s="30"/>
      <c r="AN41" s="30">
        <v>0</v>
      </c>
      <c r="AO41" s="30">
        <f>AVERAGE(AF41,AR41,AN41)</f>
        <v>83208.97869648636</v>
      </c>
      <c r="AP41" s="209">
        <f>AVERAGE(AF41:AG41)</f>
        <v>83208.97869648636</v>
      </c>
      <c r="AQ41" s="154">
        <f>AO41-(AO$72*BE41)</f>
        <v>83208.97869648636</v>
      </c>
      <c r="AR41" s="130">
        <f>AP41+(AP$72*BF41)</f>
        <v>83208.97869648636</v>
      </c>
      <c r="AS41" s="24"/>
      <c r="AT41" s="24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>
        <v>9</v>
      </c>
      <c r="BM41" s="16">
        <v>9</v>
      </c>
      <c r="BN41" s="16">
        <f t="shared" si="94"/>
        <v>0</v>
      </c>
      <c r="BO41" s="16">
        <v>29</v>
      </c>
      <c r="BP41" s="16">
        <v>22</v>
      </c>
      <c r="BQ41" s="16">
        <v>29.636839999999999</v>
      </c>
      <c r="BR41" s="16">
        <f t="shared" si="99"/>
        <v>-20</v>
      </c>
      <c r="BS41" s="16">
        <v>26</v>
      </c>
      <c r="BT41" s="16">
        <v>19</v>
      </c>
      <c r="BU41" s="211">
        <v>61398.647349906983</v>
      </c>
      <c r="BV41" s="285">
        <f>BY41*CB$4</f>
        <v>0</v>
      </c>
      <c r="BW41" s="16">
        <f>AVERAGE(AQ41,BU41,BV41)</f>
        <v>48202.542015464453</v>
      </c>
      <c r="BX41" s="285">
        <f>BW41-(BZ41*BW$72)</f>
        <v>48202.542015464453</v>
      </c>
      <c r="BY41" s="12"/>
      <c r="BZ41" s="12"/>
      <c r="CC41">
        <v>62</v>
      </c>
      <c r="CD41">
        <f t="shared" si="44"/>
        <v>81</v>
      </c>
      <c r="CE41" s="16">
        <f t="shared" si="117"/>
        <v>0</v>
      </c>
      <c r="CF41" s="54">
        <f t="shared" si="118"/>
        <v>30.458260000000003</v>
      </c>
      <c r="CG41" s="16">
        <f t="shared" si="119"/>
        <v>59.683610000000002</v>
      </c>
      <c r="CH41" s="54">
        <f t="shared" si="120"/>
        <v>45.880934989043098</v>
      </c>
      <c r="CI41" s="54">
        <v>43.905329999999999</v>
      </c>
      <c r="CJ41" s="54">
        <f t="shared" si="95"/>
        <v>-23.880934989043098</v>
      </c>
      <c r="CK41" s="54">
        <f t="shared" si="96"/>
        <v>-21.905329999999999</v>
      </c>
      <c r="CL41" s="54">
        <f t="shared" si="100"/>
        <v>-20.636839999999999</v>
      </c>
      <c r="CM41" s="12">
        <v>-0.25</v>
      </c>
      <c r="CN41" s="16">
        <f t="shared" si="48"/>
        <v>81</v>
      </c>
      <c r="CO41" s="54">
        <f t="shared" si="49"/>
        <v>-11.458260000000003</v>
      </c>
      <c r="CP41" s="12">
        <f t="shared" si="13"/>
        <v>-0.41510143397271038</v>
      </c>
      <c r="CQ41" s="12">
        <f t="shared" si="14"/>
        <v>-0.14045041145174114</v>
      </c>
      <c r="CR41" s="16">
        <f t="shared" si="50"/>
        <v>-33.683610000000002</v>
      </c>
      <c r="CS41" s="12">
        <f t="shared" si="15"/>
        <v>-0.18546216089283665</v>
      </c>
      <c r="CT41" s="12">
        <f t="shared" si="16"/>
        <v>-0.15996360764258571</v>
      </c>
      <c r="CU41" s="12">
        <f t="shared" si="17"/>
        <v>-0.17755430278650602</v>
      </c>
      <c r="CV41" s="12">
        <f t="shared" si="101"/>
        <v>-0.22853944480485791</v>
      </c>
      <c r="CW41" s="54">
        <v>2</v>
      </c>
      <c r="CX41" s="54">
        <f t="shared" si="121"/>
        <v>43.906281999999997</v>
      </c>
      <c r="CY41" s="54">
        <f t="shared" si="51"/>
        <v>-21.906281999999997</v>
      </c>
      <c r="CZ41" s="12">
        <f t="shared" si="19"/>
        <v>-0.18611202957682579</v>
      </c>
      <c r="DA41" s="12">
        <f t="shared" si="114"/>
        <v>-1.5647344285714284</v>
      </c>
      <c r="DB41" s="12">
        <f t="shared" si="21"/>
        <v>-0.56991339055127743</v>
      </c>
      <c r="DC41" s="54">
        <v>3</v>
      </c>
      <c r="DD41" s="54">
        <v>5</v>
      </c>
      <c r="DE41" s="54">
        <f t="shared" si="122"/>
        <v>8.1389182000000009</v>
      </c>
      <c r="DF41" s="54">
        <v>38</v>
      </c>
      <c r="DG41" s="54">
        <v>17</v>
      </c>
      <c r="DH41" s="54">
        <f t="shared" si="52"/>
        <v>117</v>
      </c>
      <c r="DI41" s="54">
        <f t="shared" si="123"/>
        <v>58.821159650516279</v>
      </c>
      <c r="DJ41" s="16">
        <f t="shared" si="53"/>
        <v>58.178840349483721</v>
      </c>
      <c r="DK41" s="14">
        <f t="shared" si="124"/>
        <v>0.3017608265943087</v>
      </c>
      <c r="DL41" s="54">
        <v>0</v>
      </c>
      <c r="DM41" s="54">
        <v>3</v>
      </c>
      <c r="DN41" s="54">
        <v>1</v>
      </c>
      <c r="DO41" s="54">
        <f t="shared" si="54"/>
        <v>4</v>
      </c>
      <c r="DP41" s="54">
        <f t="shared" si="125"/>
        <v>6.333598093725179</v>
      </c>
      <c r="DQ41" s="16">
        <f t="shared" si="55"/>
        <v>-2.333598093725179</v>
      </c>
      <c r="DR41" s="12">
        <f t="shared" si="126"/>
        <v>-0.11709198424989835</v>
      </c>
      <c r="DS41" s="54">
        <f t="shared" si="56"/>
        <v>3</v>
      </c>
      <c r="DT41" s="54">
        <f t="shared" si="127"/>
        <v>0</v>
      </c>
      <c r="DU41" s="54">
        <f t="shared" si="128"/>
        <v>6.0949598246895542</v>
      </c>
      <c r="DV41" s="54">
        <f t="shared" si="57"/>
        <v>-3.1389182000000009</v>
      </c>
      <c r="DW41" s="54">
        <f t="shared" si="58"/>
        <v>3</v>
      </c>
      <c r="DX41" s="54">
        <f t="shared" si="115"/>
        <v>-3.0949598246895542</v>
      </c>
      <c r="DY41" s="12">
        <f t="shared" si="30"/>
        <v>-0.19180072504413517</v>
      </c>
      <c r="DZ41" s="12">
        <f t="shared" si="31"/>
        <v>-0.64561844261629686</v>
      </c>
      <c r="EA41" s="12">
        <f t="shared" si="32"/>
        <v>-0.15792243993067409</v>
      </c>
      <c r="EB41" s="12">
        <f t="shared" si="59"/>
        <v>-0.18704680193066128</v>
      </c>
      <c r="EC41" s="12">
        <f t="shared" si="60"/>
        <v>-0.14481841857147437</v>
      </c>
      <c r="ED41" s="12">
        <f t="shared" si="116"/>
        <v>-0.1594533157146078</v>
      </c>
      <c r="EE41" s="54">
        <v>4</v>
      </c>
      <c r="EF41" s="54">
        <f t="shared" si="102"/>
        <v>-2</v>
      </c>
      <c r="EG41" s="12">
        <v>-0.24199999999999999</v>
      </c>
      <c r="EH41" s="12">
        <v>-0.248</v>
      </c>
      <c r="EI41" s="12">
        <f t="shared" si="103"/>
        <v>-0.23190458360364344</v>
      </c>
      <c r="EJ41" s="16">
        <v>0</v>
      </c>
      <c r="EK41" s="16">
        <v>0</v>
      </c>
      <c r="EL41" s="16">
        <v>31760</v>
      </c>
      <c r="EM41" s="12">
        <f t="shared" si="89"/>
        <v>0.19704762388325694</v>
      </c>
      <c r="EN41" s="12">
        <f t="shared" si="61"/>
        <v>-0.47273068613360703</v>
      </c>
      <c r="EO41" s="16">
        <v>0</v>
      </c>
      <c r="EP41" s="16">
        <v>0</v>
      </c>
      <c r="EQ41" s="16">
        <f t="shared" si="129"/>
        <v>34546.358</v>
      </c>
      <c r="ER41" s="16">
        <v>0</v>
      </c>
      <c r="ES41" s="16">
        <f t="shared" si="62"/>
        <v>0</v>
      </c>
      <c r="ET41" s="16">
        <f t="shared" si="130"/>
        <v>0</v>
      </c>
      <c r="EU41" s="16">
        <f t="shared" si="131"/>
        <v>26608.487947406866</v>
      </c>
      <c r="EV41" s="16">
        <f t="shared" si="63"/>
        <v>-34546.358</v>
      </c>
      <c r="EW41" s="16">
        <f t="shared" si="64"/>
        <v>0</v>
      </c>
      <c r="EX41" s="16">
        <f t="shared" si="65"/>
        <v>-26608.487947406866</v>
      </c>
      <c r="EY41" s="12">
        <f t="shared" si="38"/>
        <v>-0.34982366135262349</v>
      </c>
      <c r="EZ41" s="17">
        <f t="shared" si="39"/>
        <v>-0.12253468661791868</v>
      </c>
      <c r="FA41" s="17">
        <f t="shared" si="40"/>
        <v>-0.15616803697236722</v>
      </c>
      <c r="FB41" s="17">
        <f t="shared" si="97"/>
        <v>-0.14468586407593215</v>
      </c>
      <c r="FC41" s="16">
        <v>28426.74</v>
      </c>
      <c r="FD41">
        <f t="shared" si="104"/>
        <v>-31760</v>
      </c>
      <c r="FE41" s="16">
        <f t="shared" si="105"/>
        <v>-28426.74</v>
      </c>
      <c r="FF41" s="12">
        <v>-0.16</v>
      </c>
      <c r="FG41" s="12">
        <f t="shared" si="106"/>
        <v>-0.17267784498618904</v>
      </c>
      <c r="FH41" s="12">
        <f t="shared" si="68"/>
        <v>-0.17469529594734365</v>
      </c>
      <c r="FI41" s="12">
        <f t="shared" si="69"/>
        <v>-0.13590492579005209</v>
      </c>
      <c r="FJ41" s="16">
        <v>0</v>
      </c>
      <c r="FK41" s="16">
        <v>0</v>
      </c>
      <c r="FL41" s="16">
        <f t="shared" si="70"/>
        <v>0</v>
      </c>
      <c r="FM41" s="16">
        <f t="shared" si="132"/>
        <v>58306.818109610802</v>
      </c>
      <c r="FN41" s="16">
        <f t="shared" si="71"/>
        <v>-58306.818109610802</v>
      </c>
      <c r="FO41" s="12">
        <f t="shared" si="133"/>
        <v>-0.13326347946415565</v>
      </c>
      <c r="FP41" s="12">
        <f t="shared" si="134"/>
        <v>6.4923182544291899E-2</v>
      </c>
      <c r="FQ41" s="12">
        <f t="shared" si="72"/>
        <v>-0.42356787622121361</v>
      </c>
    </row>
    <row r="42" spans="1:173" x14ac:dyDescent="0.35">
      <c r="A42" s="8" t="s">
        <v>217</v>
      </c>
      <c r="B42" s="141" t="s">
        <v>112</v>
      </c>
      <c r="C42" s="144">
        <v>0</v>
      </c>
      <c r="D42" s="144"/>
      <c r="E42" s="144"/>
      <c r="F42" s="144"/>
      <c r="G42" s="144"/>
      <c r="H42" s="144"/>
      <c r="I42" s="144"/>
      <c r="J42" s="144"/>
      <c r="K42" s="144"/>
      <c r="L42" s="9"/>
      <c r="M42" s="149"/>
      <c r="N42" s="149"/>
      <c r="O42" s="9"/>
      <c r="P42" s="149"/>
      <c r="Q42" s="147"/>
      <c r="R42" s="149"/>
      <c r="S42" s="147"/>
      <c r="T42" s="147"/>
      <c r="U42" s="142"/>
      <c r="V42" s="142"/>
      <c r="W42" s="142"/>
      <c r="X42" s="147"/>
      <c r="Y42" s="147"/>
      <c r="Z42" s="147"/>
      <c r="AA42" s="149"/>
      <c r="AB42" s="145">
        <v>0</v>
      </c>
      <c r="AC42" s="149"/>
      <c r="AD42" s="149"/>
      <c r="AE42" s="142">
        <v>5</v>
      </c>
      <c r="AF42" s="209"/>
      <c r="AG42" s="209"/>
      <c r="AH42" s="12"/>
      <c r="AI42" s="12"/>
      <c r="AJ42" s="23"/>
      <c r="AK42" s="30"/>
      <c r="AL42" s="23"/>
      <c r="AM42" s="30"/>
      <c r="AN42" s="30"/>
      <c r="AO42" s="30"/>
      <c r="AP42" s="209"/>
      <c r="AQ42" s="142"/>
      <c r="AR42" s="24"/>
      <c r="AS42" s="24"/>
      <c r="AT42" s="24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2"/>
      <c r="BZ42" s="12"/>
      <c r="CC42">
        <v>0</v>
      </c>
      <c r="CE42" s="16">
        <f t="shared" si="117"/>
        <v>0</v>
      </c>
      <c r="CF42" s="54">
        <f t="shared" si="118"/>
        <v>0</v>
      </c>
      <c r="CG42" s="16">
        <f t="shared" si="119"/>
        <v>0</v>
      </c>
      <c r="CH42" s="54">
        <f t="shared" si="120"/>
        <v>0</v>
      </c>
      <c r="CI42" s="54"/>
      <c r="CJ42" s="54"/>
      <c r="CK42" s="54"/>
      <c r="CL42" s="54"/>
      <c r="CM42" s="12"/>
      <c r="CN42" s="16"/>
      <c r="CO42" s="54"/>
      <c r="CP42" s="12"/>
      <c r="CQ42" s="12"/>
      <c r="CR42" s="16"/>
      <c r="CS42" s="12"/>
      <c r="CT42" s="12"/>
      <c r="CU42" s="12"/>
      <c r="CV42" s="12"/>
      <c r="CW42" s="54"/>
      <c r="CX42" s="54">
        <f t="shared" si="121"/>
        <v>0</v>
      </c>
      <c r="CY42" s="54"/>
      <c r="CZ42" s="12"/>
      <c r="DA42" s="12"/>
      <c r="DB42" s="12"/>
      <c r="DC42" s="54"/>
      <c r="DD42" s="54"/>
      <c r="DE42" s="54">
        <f t="shared" si="122"/>
        <v>0</v>
      </c>
      <c r="DF42" s="54">
        <v>0</v>
      </c>
      <c r="DG42" s="54">
        <v>1</v>
      </c>
      <c r="DH42" s="54">
        <f t="shared" si="52"/>
        <v>1</v>
      </c>
      <c r="DI42" s="54">
        <f t="shared" si="123"/>
        <v>24.508816521048452</v>
      </c>
      <c r="DJ42" s="16">
        <f t="shared" si="53"/>
        <v>-23.508816521048452</v>
      </c>
      <c r="DK42" s="12">
        <f t="shared" si="124"/>
        <v>-0.12193505169630761</v>
      </c>
      <c r="DL42" s="54">
        <v>0</v>
      </c>
      <c r="DM42" s="54">
        <v>0</v>
      </c>
      <c r="DN42" s="54">
        <v>0</v>
      </c>
      <c r="DO42" s="54">
        <f t="shared" si="54"/>
        <v>0</v>
      </c>
      <c r="DP42" s="54">
        <f t="shared" si="125"/>
        <v>2.6389992057188243</v>
      </c>
      <c r="DQ42" s="16">
        <f t="shared" si="55"/>
        <v>-2.6389992057188243</v>
      </c>
      <c r="DR42" s="12">
        <f t="shared" si="126"/>
        <v>-0.13241596925469271</v>
      </c>
      <c r="DS42" s="54"/>
      <c r="DT42" s="54">
        <f t="shared" si="127"/>
        <v>0</v>
      </c>
      <c r="DU42" s="54">
        <f t="shared" si="128"/>
        <v>0</v>
      </c>
      <c r="DV42" s="54"/>
      <c r="DW42" s="54"/>
      <c r="DX42" s="54"/>
      <c r="DY42" s="12"/>
      <c r="DZ42" s="12"/>
      <c r="EA42" s="12"/>
      <c r="EB42" s="12"/>
      <c r="EC42" s="12"/>
      <c r="ED42" s="12"/>
      <c r="EE42" s="54"/>
      <c r="EF42" s="54"/>
      <c r="EG42" s="12"/>
      <c r="EH42" s="12"/>
      <c r="EI42" s="12"/>
      <c r="EJ42" s="16"/>
      <c r="EK42" s="16"/>
      <c r="EL42" s="16"/>
      <c r="EM42" s="12">
        <f t="shared" si="89"/>
        <v>-0.12455528108590389</v>
      </c>
      <c r="EN42" s="12"/>
      <c r="EO42" s="16"/>
      <c r="EP42" s="16"/>
      <c r="EQ42" s="16">
        <f t="shared" si="129"/>
        <v>0</v>
      </c>
      <c r="ER42" s="16">
        <v>0</v>
      </c>
      <c r="ES42" s="16"/>
      <c r="ET42" s="16">
        <f t="shared" si="130"/>
        <v>0</v>
      </c>
      <c r="EU42" s="16">
        <f t="shared" si="131"/>
        <v>0</v>
      </c>
      <c r="EV42" s="16"/>
      <c r="EW42" s="16"/>
      <c r="EX42" s="16"/>
      <c r="EY42" s="12"/>
      <c r="EZ42" s="17"/>
      <c r="FA42" s="17"/>
      <c r="FB42" s="17"/>
      <c r="FC42" s="16"/>
      <c r="FE42" s="16"/>
      <c r="FF42" s="12"/>
      <c r="FG42" s="12"/>
      <c r="FH42" s="12"/>
      <c r="FI42" s="12"/>
      <c r="FJ42" s="16">
        <v>0</v>
      </c>
      <c r="FK42" s="16">
        <v>0</v>
      </c>
      <c r="FL42" s="16">
        <f t="shared" si="70"/>
        <v>0</v>
      </c>
      <c r="FM42" s="16">
        <f t="shared" si="132"/>
        <v>24294.507545671167</v>
      </c>
      <c r="FN42" s="16">
        <f t="shared" si="71"/>
        <v>-24294.507545671167</v>
      </c>
      <c r="FO42" s="12">
        <f t="shared" si="133"/>
        <v>-5.5526449776731539E-2</v>
      </c>
      <c r="FP42" s="12">
        <f t="shared" si="134"/>
        <v>-9.6943748562234935E-2</v>
      </c>
      <c r="FQ42" s="12"/>
    </row>
    <row r="43" spans="1:173" x14ac:dyDescent="0.35">
      <c r="A43" s="7" t="s">
        <v>219</v>
      </c>
      <c r="B43" s="7" t="s">
        <v>529</v>
      </c>
      <c r="C43" s="144">
        <f t="shared" si="108"/>
        <v>29</v>
      </c>
      <c r="D43" s="144">
        <v>0</v>
      </c>
      <c r="E43" s="144">
        <v>0</v>
      </c>
      <c r="F43" s="144">
        <v>0</v>
      </c>
      <c r="G43" s="144">
        <v>0</v>
      </c>
      <c r="H43" s="144">
        <v>29</v>
      </c>
      <c r="I43" s="144">
        <v>0</v>
      </c>
      <c r="J43" s="144">
        <v>0</v>
      </c>
      <c r="K43" s="144"/>
      <c r="L43" s="9">
        <v>24.5</v>
      </c>
      <c r="M43" s="149">
        <f t="shared" si="109"/>
        <v>0.84482758620689657</v>
      </c>
      <c r="N43" s="149">
        <f>M43/M73</f>
        <v>1.3243720706514958E-2</v>
      </c>
      <c r="O43" s="9">
        <v>25</v>
      </c>
      <c r="P43" s="149">
        <f t="shared" si="110"/>
        <v>0.86206896551724133</v>
      </c>
      <c r="Q43" s="147">
        <f>P43/P73</f>
        <v>5.8374386861523166E-2</v>
      </c>
      <c r="R43" s="149">
        <f t="shared" si="111"/>
        <v>0.84913793103448265</v>
      </c>
      <c r="S43" s="147">
        <f>R43/R73</f>
        <v>1.6476889880256133E-2</v>
      </c>
      <c r="T43" s="147">
        <f t="shared" si="112"/>
        <v>2.4526387245267012E-2</v>
      </c>
      <c r="U43" s="142"/>
      <c r="V43" s="142">
        <f t="shared" si="107"/>
        <v>0</v>
      </c>
      <c r="W43" s="142"/>
      <c r="X43" s="147">
        <f>V43/V73</f>
        <v>0</v>
      </c>
      <c r="Y43" s="147">
        <f t="shared" si="113"/>
        <v>1.4715832347160207E-2</v>
      </c>
      <c r="Z43" s="147">
        <v>-3.2000000000000001E-2</v>
      </c>
      <c r="AA43" s="149">
        <v>-4.5999999999999999E-2</v>
      </c>
      <c r="AB43" s="145">
        <v>25</v>
      </c>
      <c r="AC43" s="149">
        <v>-4.5445377252608665E-2</v>
      </c>
      <c r="AD43" s="149">
        <f t="shared" si="93"/>
        <v>0.10378916870409986</v>
      </c>
      <c r="AE43" s="142">
        <v>25</v>
      </c>
      <c r="AF43" s="209">
        <v>0</v>
      </c>
      <c r="AG43" s="209">
        <v>0</v>
      </c>
      <c r="AH43" s="12"/>
      <c r="AI43" s="18"/>
      <c r="AJ43" s="34" t="e">
        <f>AV43*BK$16</f>
        <v>#DIV/0!</v>
      </c>
      <c r="AK43" s="34" t="e">
        <f>SUM(AL43:AM43)</f>
        <v>#DIV/0!</v>
      </c>
      <c r="AL43" s="30"/>
      <c r="AM43" s="34" t="e">
        <f>AX43*BK$26</f>
        <v>#DIV/0!</v>
      </c>
      <c r="AN43" s="30">
        <f>AS43*BK$35</f>
        <v>-10676.194459087232</v>
      </c>
      <c r="AO43" s="30">
        <f>AVERAGE(AF43,AR43,AN43)</f>
        <v>-3558.7314863624106</v>
      </c>
      <c r="AP43" s="209"/>
      <c r="AQ43" s="154">
        <f>AO43-(AO$72*BE43)</f>
        <v>-5866.54810882528</v>
      </c>
      <c r="AR43" s="24">
        <v>0</v>
      </c>
      <c r="AS43" s="24">
        <f>AB43*BE43</f>
        <v>-0.21825553124483663</v>
      </c>
      <c r="AT43" s="24"/>
      <c r="AU43" s="16"/>
      <c r="AV43" s="16" t="e">
        <f>AB43*BB43</f>
        <v>#DIV/0!</v>
      </c>
      <c r="AW43" s="16"/>
      <c r="AX43" s="16" t="e">
        <f>AB43*BD43</f>
        <v>#DIV/0!</v>
      </c>
      <c r="AY43" s="16"/>
      <c r="AZ43" s="16"/>
      <c r="BA43" s="16"/>
      <c r="BB43" s="16" t="e">
        <f>FH43/BK$14</f>
        <v>#DIV/0!</v>
      </c>
      <c r="BC43" s="16"/>
      <c r="BD43" s="16" t="e">
        <f>FA43/BK$21</f>
        <v>#DIV/0!</v>
      </c>
      <c r="BE43" s="142">
        <f>FQ43/BK$26</f>
        <v>-8.7302212497934652E-3</v>
      </c>
      <c r="BF43" s="16"/>
      <c r="BG43" s="142"/>
      <c r="BH43" s="16"/>
      <c r="BI43" s="16"/>
      <c r="BJ43" s="16"/>
      <c r="BK43" s="16"/>
      <c r="BL43" s="16">
        <v>67</v>
      </c>
      <c r="BM43" s="16">
        <v>67</v>
      </c>
      <c r="BN43" s="16">
        <f t="shared" si="94"/>
        <v>0</v>
      </c>
      <c r="BO43" s="16">
        <v>66</v>
      </c>
      <c r="BP43" s="16">
        <v>94</v>
      </c>
      <c r="BQ43" s="16">
        <v>66.112949999999998</v>
      </c>
      <c r="BR43" s="16">
        <f t="shared" si="99"/>
        <v>1</v>
      </c>
      <c r="BS43" s="16">
        <v>126</v>
      </c>
      <c r="BT43" s="16">
        <v>83</v>
      </c>
      <c r="BU43" s="211">
        <v>13386.578665429088</v>
      </c>
      <c r="BV43" s="285">
        <f>BY43*CB$4</f>
        <v>23082.90899357263</v>
      </c>
      <c r="BW43" s="16">
        <f>AVERAGE(AQ43,BU43,BV43)</f>
        <v>10200.979850058813</v>
      </c>
      <c r="BX43" s="285">
        <f>BW43-(BZ43*BW$72)</f>
        <v>10798.353393760104</v>
      </c>
      <c r="BY43" s="12">
        <f>AE43*BZ43</f>
        <v>0.3652826599588832</v>
      </c>
      <c r="BZ43" s="12">
        <f>FP43/CB3</f>
        <v>1.4611306398355327E-2</v>
      </c>
      <c r="CC43">
        <v>70</v>
      </c>
      <c r="CD43">
        <f t="shared" si="44"/>
        <v>153</v>
      </c>
      <c r="CE43" s="16">
        <f t="shared" si="117"/>
        <v>0</v>
      </c>
      <c r="CF43" s="54">
        <f t="shared" si="118"/>
        <v>54.389750000000006</v>
      </c>
      <c r="CG43" s="16">
        <f t="shared" si="119"/>
        <v>106.57787500000001</v>
      </c>
      <c r="CH43" s="54">
        <f t="shared" si="120"/>
        <v>81.93024105186268</v>
      </c>
      <c r="CI43" s="54">
        <v>78.402370000000005</v>
      </c>
      <c r="CJ43" s="54">
        <f t="shared" si="95"/>
        <v>12.06975894813732</v>
      </c>
      <c r="CK43" s="54">
        <f t="shared" si="96"/>
        <v>15.597629999999995</v>
      </c>
      <c r="CL43" s="54">
        <f t="shared" si="100"/>
        <v>0.88705000000000211</v>
      </c>
      <c r="CM43" s="12">
        <v>-6.3E-2</v>
      </c>
      <c r="CN43" s="16">
        <f t="shared" si="48"/>
        <v>153</v>
      </c>
      <c r="CO43" s="54">
        <f t="shared" si="49"/>
        <v>28.610249999999994</v>
      </c>
      <c r="CP43" s="14">
        <f t="shared" ref="CP43:CP65" si="135">(CN43-CN$71)/CN$72</f>
        <v>-5.3060335168813276E-2</v>
      </c>
      <c r="CQ43" s="14">
        <f t="shared" ref="CQ43:CQ65" si="136">(CO43-CO$71)/CO$72</f>
        <v>0.23178539563200909</v>
      </c>
      <c r="CR43" s="16">
        <f t="shared" si="50"/>
        <v>19.422124999999994</v>
      </c>
      <c r="CS43" s="12">
        <f t="shared" ref="CS43:CS70" si="137">(CR43-CR$71)/CR$72</f>
        <v>9.481814605526305E-2</v>
      </c>
      <c r="CT43" s="12">
        <f t="shared" ref="CT43:CT64" si="138">(CJ43-CJ$71)/CJ$72</f>
        <v>8.0847847272574019E-2</v>
      </c>
      <c r="CU43" s="12">
        <f t="shared" ref="CU43:CU70" si="139">(CL43-CK$71)/CK$72</f>
        <v>-3.2783707179972352E-2</v>
      </c>
      <c r="CV43" s="12">
        <f t="shared" ref="CV43:CV64" si="140">(CL43-CL$72)/CL$73</f>
        <v>-3.6254163466640642E-2</v>
      </c>
      <c r="CW43" s="54">
        <v>33</v>
      </c>
      <c r="CX43" s="54">
        <f t="shared" si="121"/>
        <v>78.404074999999992</v>
      </c>
      <c r="CY43" s="54">
        <f t="shared" si="51"/>
        <v>15.595925000000008</v>
      </c>
      <c r="CZ43" s="12">
        <f t="shared" ref="CZ43:CZ70" si="141">(CY43-CY$71)/CY$72</f>
        <v>6.6130448286663215E-2</v>
      </c>
      <c r="DA43" s="12">
        <f t="shared" si="114"/>
        <v>0.62383700000000031</v>
      </c>
      <c r="DB43" s="12">
        <f t="shared" ref="DB43:DB72" si="142">(DA43-DA$71)/DA$72</f>
        <v>0.18131538152792198</v>
      </c>
      <c r="DC43" s="54">
        <v>8</v>
      </c>
      <c r="DD43" s="54">
        <v>11</v>
      </c>
      <c r="DE43" s="54">
        <f t="shared" si="122"/>
        <v>14.533782500000001</v>
      </c>
      <c r="DF43" s="54">
        <v>54</v>
      </c>
      <c r="DG43" s="54">
        <v>46</v>
      </c>
      <c r="DH43" s="54">
        <f t="shared" si="52"/>
        <v>170</v>
      </c>
      <c r="DI43" s="54">
        <f t="shared" si="123"/>
        <v>122.54408260524225</v>
      </c>
      <c r="DJ43" s="16">
        <f t="shared" si="53"/>
        <v>47.455917394757748</v>
      </c>
      <c r="DK43" s="12">
        <f t="shared" si="124"/>
        <v>0.24614338776452441</v>
      </c>
      <c r="DL43" s="54">
        <v>11</v>
      </c>
      <c r="DM43" s="54">
        <v>2</v>
      </c>
      <c r="DN43" s="54">
        <v>6.5</v>
      </c>
      <c r="DO43" s="54">
        <f t="shared" si="54"/>
        <v>19.5</v>
      </c>
      <c r="DP43" s="54">
        <f t="shared" si="125"/>
        <v>13.194996028594122</v>
      </c>
      <c r="DQ43" s="16">
        <f t="shared" si="55"/>
        <v>6.3050039714058776</v>
      </c>
      <c r="DR43" s="14">
        <f t="shared" si="126"/>
        <v>0.31636357078818678</v>
      </c>
      <c r="DS43" s="54">
        <f t="shared" si="56"/>
        <v>19</v>
      </c>
      <c r="DT43" s="54">
        <f t="shared" si="127"/>
        <v>0</v>
      </c>
      <c r="DU43" s="54">
        <f t="shared" si="128"/>
        <v>10.883856829802776</v>
      </c>
      <c r="DV43" s="54">
        <f t="shared" si="57"/>
        <v>-3.5337825000000009</v>
      </c>
      <c r="DW43" s="54">
        <f t="shared" si="58"/>
        <v>19</v>
      </c>
      <c r="DX43" s="54">
        <f t="shared" si="115"/>
        <v>-2.8838568298027756</v>
      </c>
      <c r="DY43" s="12">
        <f t="shared" ref="DY43:DY65" si="143">(DV43-DV$71)/DV$72</f>
        <v>-0.20401116113841886</v>
      </c>
      <c r="DZ43" s="12">
        <f t="shared" ref="DZ43:DZ65" si="144">(DW43-DW$71)/DW$72</f>
        <v>-0.10617731207485473</v>
      </c>
      <c r="EA43" s="12">
        <f t="shared" ref="EA43:EA65" si="145">(DX43-DX$71)/DX$72</f>
        <v>-0.14715076536377183</v>
      </c>
      <c r="EB43" s="12">
        <f t="shared" si="59"/>
        <v>2.011081925684257E-2</v>
      </c>
      <c r="EC43" s="12">
        <f t="shared" si="60"/>
        <v>0.13705135538306387</v>
      </c>
      <c r="ED43" s="12">
        <f t="shared" si="116"/>
        <v>2.3848194113487556E-2</v>
      </c>
      <c r="EE43" s="54">
        <v>9</v>
      </c>
      <c r="EF43" s="54">
        <f t="shared" si="102"/>
        <v>24</v>
      </c>
      <c r="EG43" s="12">
        <v>0.79400000000000004</v>
      </c>
      <c r="EH43" s="12">
        <v>0.151</v>
      </c>
      <c r="EI43" s="12">
        <f t="shared" si="103"/>
        <v>0.17130937740001953</v>
      </c>
      <c r="EJ43" s="16">
        <v>0</v>
      </c>
      <c r="EK43" s="16">
        <v>61074</v>
      </c>
      <c r="EL43" s="16">
        <v>65316</v>
      </c>
      <c r="EM43" s="14">
        <f t="shared" si="89"/>
        <v>0.26369843352043998</v>
      </c>
      <c r="EN43" s="14">
        <f t="shared" si="61"/>
        <v>-6.6339579395323645E-2</v>
      </c>
      <c r="EO43" s="16">
        <v>14248</v>
      </c>
      <c r="EP43" s="16">
        <v>125537</v>
      </c>
      <c r="EQ43" s="16">
        <f t="shared" si="129"/>
        <v>61689.925000000003</v>
      </c>
      <c r="ER43" s="16">
        <v>53824</v>
      </c>
      <c r="ES43" s="16">
        <f t="shared" si="62"/>
        <v>68072</v>
      </c>
      <c r="ET43" s="16">
        <f t="shared" si="130"/>
        <v>0</v>
      </c>
      <c r="EU43" s="16">
        <f t="shared" si="131"/>
        <v>47515.157048940833</v>
      </c>
      <c r="EV43" s="16">
        <f t="shared" si="63"/>
        <v>63847.074999999997</v>
      </c>
      <c r="EW43" s="16">
        <f t="shared" si="64"/>
        <v>68072</v>
      </c>
      <c r="EX43" s="16">
        <f t="shared" si="65"/>
        <v>-33267.157048940833</v>
      </c>
      <c r="EY43" s="12">
        <f t="shared" ref="EY43:EY65" si="146">(EW43-EW$71)/EW$72</f>
        <v>-0.19336832143961002</v>
      </c>
      <c r="EZ43" s="17">
        <f t="shared" ref="EZ43:EZ65" si="147">(EX43-EX$71)/EX$72</f>
        <v>-0.15319850837515606</v>
      </c>
      <c r="FA43" s="109">
        <f t="shared" ref="FA43:FA65" si="148">(EV43-EV$71)/EV$72</f>
        <v>0.23721804428156218</v>
      </c>
      <c r="FB43" s="17">
        <f t="shared" si="97"/>
        <v>-4.6970486881969892E-2</v>
      </c>
      <c r="FC43" s="16">
        <v>59674.06</v>
      </c>
      <c r="FD43">
        <f t="shared" si="104"/>
        <v>-65316</v>
      </c>
      <c r="FE43" s="16">
        <f t="shared" si="105"/>
        <v>1399.9400000000023</v>
      </c>
      <c r="FF43" s="12">
        <v>-0.34200000000000003</v>
      </c>
      <c r="FG43" s="12">
        <f t="shared" ref="FG43:FG64" si="149">(FE43-FE$72)/FE$73</f>
        <v>2.5088556602203918E-3</v>
      </c>
      <c r="FH43" s="14">
        <f t="shared" si="68"/>
        <v>0.10695370926673041</v>
      </c>
      <c r="FI43" s="12">
        <f t="shared" si="69"/>
        <v>2.0951409879775888E-2</v>
      </c>
      <c r="FJ43" s="16">
        <v>21943</v>
      </c>
      <c r="FK43" s="16">
        <v>81605</v>
      </c>
      <c r="FL43" s="16">
        <f t="shared" si="70"/>
        <v>157372</v>
      </c>
      <c r="FM43" s="16">
        <f t="shared" si="132"/>
        <v>121472.53772835583</v>
      </c>
      <c r="FN43" s="16">
        <f t="shared" si="71"/>
        <v>35899.462271644166</v>
      </c>
      <c r="FO43" s="14">
        <f t="shared" si="133"/>
        <v>8.2050219996877338E-2</v>
      </c>
      <c r="FP43" s="14">
        <f t="shared" si="134"/>
        <v>0.19103914811101491</v>
      </c>
      <c r="FQ43" s="14">
        <f t="shared" si="72"/>
        <v>-0.1171510762130382</v>
      </c>
    </row>
    <row r="44" spans="1:173" x14ac:dyDescent="0.35">
      <c r="A44" s="7" t="s">
        <v>219</v>
      </c>
      <c r="B44" s="7" t="s">
        <v>103</v>
      </c>
      <c r="C44" s="144">
        <f t="shared" si="108"/>
        <v>45</v>
      </c>
      <c r="D44" s="144">
        <v>0</v>
      </c>
      <c r="E44" s="144">
        <v>0</v>
      </c>
      <c r="F44" s="144">
        <v>45</v>
      </c>
      <c r="G44" s="144">
        <v>0</v>
      </c>
      <c r="H44" s="144">
        <v>0</v>
      </c>
      <c r="I44" s="144">
        <v>0</v>
      </c>
      <c r="J44" s="144">
        <v>0</v>
      </c>
      <c r="K44" s="144"/>
      <c r="L44" s="9">
        <v>2</v>
      </c>
      <c r="M44" s="149">
        <f t="shared" si="109"/>
        <v>4.4444444444444446E-2</v>
      </c>
      <c r="N44" s="149">
        <f>M44/M73</f>
        <v>6.9672181494591162E-4</v>
      </c>
      <c r="O44" s="9">
        <v>29</v>
      </c>
      <c r="P44" s="149">
        <f t="shared" si="110"/>
        <v>0.64444444444444449</v>
      </c>
      <c r="Q44" s="147">
        <f>P44/P73</f>
        <v>4.3638097200480883E-2</v>
      </c>
      <c r="R44" s="149">
        <f t="shared" si="111"/>
        <v>0.19444444444444445</v>
      </c>
      <c r="S44" s="147">
        <f>R44/R73</f>
        <v>3.7730497977349073E-3</v>
      </c>
      <c r="T44" s="147">
        <f t="shared" si="112"/>
        <v>1.1432065661329654E-2</v>
      </c>
      <c r="U44" s="142">
        <v>22648</v>
      </c>
      <c r="V44" s="142">
        <f>U44/C44</f>
        <v>503.28888888888889</v>
      </c>
      <c r="W44" s="142"/>
      <c r="X44" s="147">
        <f>V44/V73</f>
        <v>6.4629359976736359E-3</v>
      </c>
      <c r="Y44" s="147">
        <f t="shared" si="113"/>
        <v>9.4444137958672458E-3</v>
      </c>
      <c r="Z44" s="147">
        <v>-0.38100000000000001</v>
      </c>
      <c r="AA44" s="149">
        <v>-0.32</v>
      </c>
      <c r="AB44" s="145">
        <v>39</v>
      </c>
      <c r="AC44" s="150">
        <v>0.17003335781198889</v>
      </c>
      <c r="AD44" s="149">
        <f t="shared" si="93"/>
        <v>-0.31283131583219348</v>
      </c>
      <c r="AE44" s="142">
        <v>39</v>
      </c>
      <c r="AF44" s="209">
        <v>0</v>
      </c>
      <c r="AG44" s="209">
        <f>AT44*BK$32</f>
        <v>29822.655300244252</v>
      </c>
      <c r="AH44" s="12"/>
      <c r="AI44" s="35" t="e">
        <f>AU44*BK$9</f>
        <v>#DIV/0!</v>
      </c>
      <c r="AJ44" s="30"/>
      <c r="AK44" s="34" t="e">
        <f>SUM(AL44:AM44)</f>
        <v>#DIV/0!</v>
      </c>
      <c r="AL44" s="34" t="e">
        <f>AW44*BK$24</f>
        <v>#DIV/0!</v>
      </c>
      <c r="AM44" s="30"/>
      <c r="AN44" s="30">
        <f>AS44*BK$35</f>
        <v>-4528.2287375429914</v>
      </c>
      <c r="AO44" s="30">
        <f>AVERAGE(AF44,AR44,AN44)</f>
        <v>3973.7753813120203</v>
      </c>
      <c r="AP44" s="209">
        <f>AVERAGE(AF44:AG44)</f>
        <v>14911.327650122126</v>
      </c>
      <c r="AQ44" s="154">
        <f>AO44-(AO$72*BE44)</f>
        <v>3346.3117193576577</v>
      </c>
      <c r="AR44" s="130">
        <f>AP44+(AP$72*BF44)</f>
        <v>16449.554881479053</v>
      </c>
      <c r="AS44" s="24">
        <f>AB44*BE44</f>
        <v>-9.2571465656413096E-2</v>
      </c>
      <c r="AT44" s="24">
        <f>AB44*BF44</f>
        <v>0.5286043931874207</v>
      </c>
      <c r="AU44" s="16" t="e">
        <f>AB44*BG44</f>
        <v>#DIV/0!</v>
      </c>
      <c r="AV44" s="16"/>
      <c r="AW44" s="16" t="e">
        <f>AB44*BC44</f>
        <v>#DIV/0!</v>
      </c>
      <c r="AX44" s="16"/>
      <c r="AY44" s="16"/>
      <c r="AZ44" s="16"/>
      <c r="BA44" s="16"/>
      <c r="BB44" s="16"/>
      <c r="BC44" s="16" t="e">
        <f>EB44/BK$19</f>
        <v>#DIV/0!</v>
      </c>
      <c r="BD44" s="16"/>
      <c r="BE44" s="142">
        <f>FQ44/BK$26</f>
        <v>-2.3736273245234126E-3</v>
      </c>
      <c r="BF44" s="16">
        <f>FI44/BK$29</f>
        <v>1.3553958799677452E-2</v>
      </c>
      <c r="BG44" s="142" t="e">
        <f>AC44/BK$5</f>
        <v>#DIV/0!</v>
      </c>
      <c r="BH44" s="16"/>
      <c r="BI44" s="16"/>
      <c r="BJ44" s="16"/>
      <c r="BK44" s="16"/>
      <c r="BL44" s="16">
        <v>16</v>
      </c>
      <c r="BM44" s="16">
        <v>16</v>
      </c>
      <c r="BN44" s="16">
        <f t="shared" si="94"/>
        <v>0</v>
      </c>
      <c r="BO44" s="16">
        <v>102</v>
      </c>
      <c r="BP44" s="16">
        <v>24</v>
      </c>
      <c r="BQ44" s="16">
        <v>102.58906</v>
      </c>
      <c r="BR44" s="16">
        <f t="shared" si="99"/>
        <v>-86</v>
      </c>
      <c r="BS44" s="16">
        <v>27</v>
      </c>
      <c r="BT44" s="16">
        <v>13</v>
      </c>
      <c r="BU44" s="211">
        <v>9566.7983359577102</v>
      </c>
      <c r="BV44" s="285">
        <v>0</v>
      </c>
      <c r="BW44" s="16">
        <f>AVERAGE(AQ44,BU44,BV44)</f>
        <v>4304.3700184384561</v>
      </c>
      <c r="BX44" s="285">
        <f>BW44-(BZ44*BW$72)</f>
        <v>4304.3700184384561</v>
      </c>
      <c r="BY44" s="12"/>
      <c r="BZ44" s="12"/>
      <c r="CC44">
        <v>12</v>
      </c>
      <c r="CD44">
        <f t="shared" si="44"/>
        <v>25</v>
      </c>
      <c r="CE44" s="16">
        <f t="shared" si="117"/>
        <v>0</v>
      </c>
      <c r="CF44" s="54">
        <f t="shared" si="118"/>
        <v>84.848010000000002</v>
      </c>
      <c r="CG44" s="16">
        <f t="shared" si="119"/>
        <v>166.26148499999999</v>
      </c>
      <c r="CH44" s="54">
        <f t="shared" si="120"/>
        <v>127.81117604090576</v>
      </c>
      <c r="CI44" s="54">
        <v>122.30768999999999</v>
      </c>
      <c r="CJ44" s="54">
        <f t="shared" si="95"/>
        <v>-103.81117604090576</v>
      </c>
      <c r="CK44" s="54">
        <f t="shared" si="96"/>
        <v>-98.307689999999994</v>
      </c>
      <c r="CL44" s="54">
        <f t="shared" si="100"/>
        <v>-86.589060000000003</v>
      </c>
      <c r="CM44" s="12">
        <v>-0.84</v>
      </c>
      <c r="CN44" s="16">
        <f t="shared" si="48"/>
        <v>25</v>
      </c>
      <c r="CO44" s="54">
        <f t="shared" si="49"/>
        <v>-71.848010000000002</v>
      </c>
      <c r="CP44" s="12">
        <f t="shared" si="135"/>
        <v>-0.69668895526463037</v>
      </c>
      <c r="CQ44" s="12">
        <f t="shared" si="136"/>
        <v>-0.70147020806598781</v>
      </c>
      <c r="CR44" s="16">
        <f t="shared" si="50"/>
        <v>-139.26148499999999</v>
      </c>
      <c r="CS44" s="12">
        <f t="shared" si="137"/>
        <v>-0.74267880071390502</v>
      </c>
      <c r="CT44" s="12">
        <f t="shared" si="138"/>
        <v>-0.69536683721729942</v>
      </c>
      <c r="CU44" s="12">
        <f t="shared" si="139"/>
        <v>-0.62115172736789637</v>
      </c>
      <c r="CV44" s="12">
        <f t="shared" si="140"/>
        <v>-0.81772853551197433</v>
      </c>
      <c r="CW44" s="54">
        <v>54</v>
      </c>
      <c r="CX44" s="54">
        <f t="shared" si="121"/>
        <v>122.310357</v>
      </c>
      <c r="CY44" s="54">
        <f t="shared" si="51"/>
        <v>-98.310356999999996</v>
      </c>
      <c r="CZ44" s="12">
        <f t="shared" si="141"/>
        <v>-0.70001120348058699</v>
      </c>
      <c r="DA44" s="12">
        <f t="shared" si="114"/>
        <v>-2.5207783846153844</v>
      </c>
      <c r="DB44" s="12">
        <f t="shared" si="142"/>
        <v>-0.89807619016410312</v>
      </c>
      <c r="DC44" s="54">
        <v>97</v>
      </c>
      <c r="DD44" s="54">
        <v>138</v>
      </c>
      <c r="DE44" s="54">
        <f t="shared" si="122"/>
        <v>22.6727007</v>
      </c>
      <c r="DF44" s="54">
        <v>14</v>
      </c>
      <c r="DG44" s="54">
        <v>6</v>
      </c>
      <c r="DH44" s="54">
        <f t="shared" si="52"/>
        <v>32</v>
      </c>
      <c r="DI44" s="54">
        <f t="shared" si="123"/>
        <v>191.16876886417791</v>
      </c>
      <c r="DJ44" s="16">
        <f t="shared" si="53"/>
        <v>-159.16876886417791</v>
      </c>
      <c r="DK44" s="12">
        <f t="shared" si="124"/>
        <v>-0.82557333511510977</v>
      </c>
      <c r="DL44" s="54">
        <v>7</v>
      </c>
      <c r="DM44" s="54">
        <v>9</v>
      </c>
      <c r="DN44" s="54">
        <v>38.5</v>
      </c>
      <c r="DO44" s="54">
        <f t="shared" si="54"/>
        <v>54.5</v>
      </c>
      <c r="DP44" s="54">
        <f t="shared" si="125"/>
        <v>20.58419380460683</v>
      </c>
      <c r="DQ44" s="16">
        <f t="shared" si="55"/>
        <v>33.915806195393174</v>
      </c>
      <c r="DR44" s="14">
        <f t="shared" si="126"/>
        <v>1.7017793490369839</v>
      </c>
      <c r="DS44" s="54">
        <f t="shared" si="56"/>
        <v>104</v>
      </c>
      <c r="DT44" s="54">
        <f t="shared" si="127"/>
        <v>0</v>
      </c>
      <c r="DU44" s="54">
        <f t="shared" si="128"/>
        <v>16.978816654492331</v>
      </c>
      <c r="DV44" s="54">
        <f t="shared" si="57"/>
        <v>115.32729929999999</v>
      </c>
      <c r="DW44" s="54">
        <f t="shared" si="58"/>
        <v>104</v>
      </c>
      <c r="DX44" s="54">
        <f t="shared" si="115"/>
        <v>80.021183345507666</v>
      </c>
      <c r="DY44" s="12">
        <f t="shared" si="143"/>
        <v>3.4715443231540966</v>
      </c>
      <c r="DZ44" s="12">
        <f t="shared" si="144"/>
        <v>2.7596036939265569</v>
      </c>
      <c r="EA44" s="12">
        <f t="shared" si="145"/>
        <v>4.0831355610019866</v>
      </c>
      <c r="EB44" s="14">
        <f t="shared" si="59"/>
        <v>0.3108769802530954</v>
      </c>
      <c r="EC44" s="14">
        <f t="shared" si="60"/>
        <v>0.49468123420100585</v>
      </c>
      <c r="ED44" s="14">
        <f t="shared" si="116"/>
        <v>0.49925876233752209</v>
      </c>
      <c r="EE44" s="54">
        <v>14</v>
      </c>
      <c r="EF44" s="54">
        <f t="shared" si="102"/>
        <v>40</v>
      </c>
      <c r="EG44" s="12">
        <v>1.431</v>
      </c>
      <c r="EH44" s="12">
        <v>-0.27200000000000002</v>
      </c>
      <c r="EI44" s="12">
        <f t="shared" si="103"/>
        <v>-0.25554640163398079</v>
      </c>
      <c r="EJ44" s="16">
        <v>22648</v>
      </c>
      <c r="EK44" s="16">
        <v>22648</v>
      </c>
      <c r="EL44" s="16">
        <v>96937</v>
      </c>
      <c r="EM44" s="12">
        <f t="shared" si="89"/>
        <v>-0.19373516407708635</v>
      </c>
      <c r="EN44" s="14">
        <f t="shared" si="61"/>
        <v>0.16738420703316648</v>
      </c>
      <c r="EO44" s="16">
        <v>0</v>
      </c>
      <c r="EP44" s="16">
        <v>22648</v>
      </c>
      <c r="EQ44" s="16">
        <f t="shared" si="129"/>
        <v>96236.28300000001</v>
      </c>
      <c r="ER44" s="16">
        <v>8318</v>
      </c>
      <c r="ES44" s="16">
        <f t="shared" si="62"/>
        <v>8318</v>
      </c>
      <c r="ET44" s="16">
        <f t="shared" si="130"/>
        <v>0</v>
      </c>
      <c r="EU44" s="16">
        <f t="shared" si="131"/>
        <v>74123.644996347692</v>
      </c>
      <c r="EV44" s="16">
        <f t="shared" si="63"/>
        <v>-73588.28300000001</v>
      </c>
      <c r="EW44" s="16">
        <f t="shared" si="64"/>
        <v>8318</v>
      </c>
      <c r="EX44" s="16">
        <f t="shared" si="65"/>
        <v>-74123.644996347692</v>
      </c>
      <c r="EY44" s="12">
        <f t="shared" si="146"/>
        <v>-0.33070573448994212</v>
      </c>
      <c r="EZ44" s="17">
        <f t="shared" si="147"/>
        <v>-0.34134662700705909</v>
      </c>
      <c r="FA44" s="17">
        <f t="shared" si="148"/>
        <v>-0.31226127828004502</v>
      </c>
      <c r="FB44" s="109">
        <f t="shared" si="97"/>
        <v>0.16301660659968961</v>
      </c>
      <c r="FC44" s="16">
        <v>89566.48</v>
      </c>
      <c r="FD44">
        <f t="shared" si="104"/>
        <v>-74289</v>
      </c>
      <c r="FE44" s="16">
        <f t="shared" si="105"/>
        <v>-66918.48</v>
      </c>
      <c r="FF44" s="12">
        <v>-0.39100000000000001</v>
      </c>
      <c r="FG44" s="12">
        <f t="shared" si="149"/>
        <v>-0.39875868712951251</v>
      </c>
      <c r="FH44" s="12">
        <f t="shared" si="68"/>
        <v>6.1621676839839212E-2</v>
      </c>
      <c r="FI44" s="14">
        <f t="shared" si="69"/>
        <v>0.16027008971777987</v>
      </c>
      <c r="FJ44" s="16">
        <v>0</v>
      </c>
      <c r="FK44" s="16">
        <v>0</v>
      </c>
      <c r="FL44" s="16">
        <f t="shared" si="70"/>
        <v>8318</v>
      </c>
      <c r="FM44" s="16">
        <f t="shared" si="132"/>
        <v>189497.1588562351</v>
      </c>
      <c r="FN44" s="16">
        <f t="shared" si="71"/>
        <v>-181179.1588562351</v>
      </c>
      <c r="FO44" s="12">
        <f t="shared" si="133"/>
        <v>-0.41409505609072311</v>
      </c>
      <c r="FP44" s="12">
        <f t="shared" si="134"/>
        <v>-0.28187912088254108</v>
      </c>
      <c r="FQ44" s="14">
        <f t="shared" si="72"/>
        <v>-3.185176957607698E-2</v>
      </c>
    </row>
    <row r="45" spans="1:173" x14ac:dyDescent="0.35">
      <c r="A45" s="8" t="s">
        <v>219</v>
      </c>
      <c r="B45" s="8" t="s">
        <v>22</v>
      </c>
      <c r="C45" s="144">
        <f t="shared" si="108"/>
        <v>66</v>
      </c>
      <c r="D45" s="144">
        <v>44</v>
      </c>
      <c r="E45" s="144">
        <v>22</v>
      </c>
      <c r="F45" s="144">
        <v>0</v>
      </c>
      <c r="G45" s="144">
        <v>0</v>
      </c>
      <c r="H45" s="144">
        <v>0</v>
      </c>
      <c r="I45" s="144">
        <v>0</v>
      </c>
      <c r="J45" s="144">
        <v>0</v>
      </c>
      <c r="K45" s="144"/>
      <c r="L45" s="9">
        <v>21.5</v>
      </c>
      <c r="M45" s="149">
        <f t="shared" si="109"/>
        <v>0.32575757575757575</v>
      </c>
      <c r="N45" s="149">
        <f>M45/M73</f>
        <v>5.106654211819466E-3</v>
      </c>
      <c r="O45" s="9">
        <v>15</v>
      </c>
      <c r="P45" s="149">
        <f t="shared" si="110"/>
        <v>0.22727272727272727</v>
      </c>
      <c r="Q45" s="147">
        <f>P45/P73</f>
        <v>1.538961108167429E-2</v>
      </c>
      <c r="R45" s="149">
        <f t="shared" si="111"/>
        <v>0.30113636363636365</v>
      </c>
      <c r="S45" s="147">
        <f>R45/R73</f>
        <v>5.843327121816724E-3</v>
      </c>
      <c r="T45" s="147">
        <f t="shared" si="112"/>
        <v>7.6773934292831717E-3</v>
      </c>
      <c r="U45" s="142">
        <v>2778</v>
      </c>
      <c r="V45" s="142">
        <f>U45/C45</f>
        <v>42.090909090909093</v>
      </c>
      <c r="W45" s="142"/>
      <c r="X45" s="147">
        <f>V45/V73</f>
        <v>5.4050637227260777E-4</v>
      </c>
      <c r="Y45" s="147">
        <f t="shared" si="113"/>
        <v>4.8226386064789458E-3</v>
      </c>
      <c r="Z45" s="147">
        <v>-0.30199999999999999</v>
      </c>
      <c r="AA45" s="149">
        <v>-0.78500000000000003</v>
      </c>
      <c r="AB45" s="145">
        <v>50</v>
      </c>
      <c r="AC45" s="149">
        <v>-0.3502019547936075</v>
      </c>
      <c r="AD45" s="149">
        <f t="shared" si="93"/>
        <v>-0.78836419301296401</v>
      </c>
      <c r="AE45" s="142">
        <v>50</v>
      </c>
      <c r="AF45" s="209"/>
      <c r="AG45" s="209"/>
      <c r="AH45" s="12"/>
      <c r="AI45" s="12"/>
      <c r="AJ45" s="23"/>
      <c r="AK45" s="30"/>
      <c r="AL45" s="23"/>
      <c r="AM45" s="30"/>
      <c r="AN45" s="30"/>
      <c r="AO45" s="30"/>
      <c r="AP45" s="209"/>
      <c r="AQ45" s="142"/>
      <c r="AR45" s="24"/>
      <c r="AS45" s="24"/>
      <c r="AT45" s="24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>
        <v>39</v>
      </c>
      <c r="BM45" s="16">
        <v>39</v>
      </c>
      <c r="BN45" s="16">
        <f t="shared" si="94"/>
        <v>0</v>
      </c>
      <c r="BO45" s="16">
        <v>149</v>
      </c>
      <c r="BP45" s="16">
        <v>68</v>
      </c>
      <c r="BQ45" s="16">
        <v>150.46395999999999</v>
      </c>
      <c r="BR45" s="16">
        <f t="shared" si="99"/>
        <v>-110</v>
      </c>
      <c r="BS45" s="16">
        <v>86</v>
      </c>
      <c r="BT45" s="16">
        <v>48</v>
      </c>
      <c r="BU45" s="16"/>
      <c r="BV45" s="16"/>
      <c r="BW45" s="16"/>
      <c r="BX45" s="16"/>
      <c r="BY45" s="12"/>
      <c r="BZ45" s="12"/>
      <c r="CC45">
        <v>26</v>
      </c>
      <c r="CD45">
        <f t="shared" si="44"/>
        <v>74</v>
      </c>
      <c r="CE45" s="16">
        <f t="shared" si="117"/>
        <v>0</v>
      </c>
      <c r="CF45" s="54">
        <f t="shared" si="118"/>
        <v>108.77950000000001</v>
      </c>
      <c r="CG45" s="16">
        <f t="shared" si="119"/>
        <v>213.15575000000001</v>
      </c>
      <c r="CH45" s="54">
        <f t="shared" si="120"/>
        <v>163.86048210372536</v>
      </c>
      <c r="CI45" s="54">
        <v>156.80473000000001</v>
      </c>
      <c r="CJ45" s="54">
        <f t="shared" si="95"/>
        <v>-95.86048210372536</v>
      </c>
      <c r="CK45" s="54">
        <f t="shared" si="96"/>
        <v>-88.804730000000006</v>
      </c>
      <c r="CL45" s="54">
        <f t="shared" si="100"/>
        <v>-111.46395999999999</v>
      </c>
      <c r="CM45" s="12">
        <v>-1.054</v>
      </c>
      <c r="CN45" s="16">
        <f t="shared" si="48"/>
        <v>74</v>
      </c>
      <c r="CO45" s="54">
        <f t="shared" si="49"/>
        <v>-60.779500000000013</v>
      </c>
      <c r="CP45" s="12">
        <f t="shared" si="135"/>
        <v>-0.45029987413420036</v>
      </c>
      <c r="CQ45" s="12">
        <f t="shared" si="136"/>
        <v>-0.59864392994722182</v>
      </c>
      <c r="CR45" s="16">
        <f t="shared" si="50"/>
        <v>-127.15575000000001</v>
      </c>
      <c r="CS45" s="12">
        <f t="shared" si="137"/>
        <v>-0.67878741268147591</v>
      </c>
      <c r="CT45" s="12">
        <f t="shared" si="138"/>
        <v>-0.64211005786435782</v>
      </c>
      <c r="CU45" s="12">
        <f t="shared" si="139"/>
        <v>-0.78846135813877283</v>
      </c>
      <c r="CV45" s="12">
        <f t="shared" si="140"/>
        <v>-1.0399503153463825</v>
      </c>
      <c r="CW45" s="54">
        <v>22</v>
      </c>
      <c r="CX45" s="54">
        <f t="shared" si="121"/>
        <v>156.80814999999998</v>
      </c>
      <c r="CY45" s="54">
        <f t="shared" si="51"/>
        <v>-88.808149999999983</v>
      </c>
      <c r="CZ45" s="12">
        <f t="shared" si="141"/>
        <v>-0.6360986919088869</v>
      </c>
      <c r="DA45" s="12">
        <f t="shared" si="114"/>
        <v>-1.7761629999999997</v>
      </c>
      <c r="DB45" s="12">
        <f t="shared" si="142"/>
        <v>-0.64248640508634369</v>
      </c>
      <c r="DC45" s="54">
        <v>36</v>
      </c>
      <c r="DD45" s="54">
        <v>40</v>
      </c>
      <c r="DE45" s="54">
        <f t="shared" si="122"/>
        <v>29.067565000000002</v>
      </c>
      <c r="DF45" s="54">
        <v>13</v>
      </c>
      <c r="DG45" s="54">
        <v>44.7</v>
      </c>
      <c r="DH45" s="54">
        <f t="shared" si="52"/>
        <v>83.7</v>
      </c>
      <c r="DI45" s="54">
        <f t="shared" si="123"/>
        <v>245.0881652104845</v>
      </c>
      <c r="DJ45" s="16">
        <f t="shared" si="53"/>
        <v>-161.38816521048449</v>
      </c>
      <c r="DK45" s="12">
        <f t="shared" si="124"/>
        <v>-0.83708485497316776</v>
      </c>
      <c r="DL45" s="54">
        <v>11</v>
      </c>
      <c r="DM45" s="54">
        <v>6</v>
      </c>
      <c r="DN45" s="54">
        <v>7.5</v>
      </c>
      <c r="DO45" s="54">
        <f t="shared" si="54"/>
        <v>24.5</v>
      </c>
      <c r="DP45" s="54">
        <f t="shared" si="125"/>
        <v>26.389992057188245</v>
      </c>
      <c r="DQ45" s="16">
        <f t="shared" si="55"/>
        <v>-1.8899920571882447</v>
      </c>
      <c r="DR45" s="12">
        <f t="shared" si="126"/>
        <v>-9.4833348033571505E-2</v>
      </c>
      <c r="DS45" s="54">
        <f t="shared" si="56"/>
        <v>47</v>
      </c>
      <c r="DT45" s="54">
        <f t="shared" si="127"/>
        <v>0</v>
      </c>
      <c r="DU45" s="54">
        <f t="shared" si="128"/>
        <v>21.767713659605551</v>
      </c>
      <c r="DV45" s="54">
        <f t="shared" si="57"/>
        <v>10.932434999999998</v>
      </c>
      <c r="DW45" s="54">
        <f t="shared" si="58"/>
        <v>47</v>
      </c>
      <c r="DX45" s="54">
        <f t="shared" si="115"/>
        <v>14.232286340394449</v>
      </c>
      <c r="DY45" s="12">
        <f t="shared" si="143"/>
        <v>0.2433294171558413</v>
      </c>
      <c r="DZ45" s="12">
        <f t="shared" si="144"/>
        <v>0.83784466637266908</v>
      </c>
      <c r="EA45" s="12">
        <f t="shared" si="145"/>
        <v>0.72621213585302202</v>
      </c>
      <c r="EB45" s="12">
        <f t="shared" si="59"/>
        <v>-0.4482582052221466</v>
      </c>
      <c r="EC45" s="12">
        <f t="shared" si="60"/>
        <v>-0.26742991349716083</v>
      </c>
      <c r="ED45" s="12">
        <f t="shared" si="116"/>
        <v>-0.30002950943501283</v>
      </c>
      <c r="EE45" s="54">
        <v>21</v>
      </c>
      <c r="EF45" s="54">
        <f t="shared" si="102"/>
        <v>1</v>
      </c>
      <c r="EG45" s="12">
        <v>-0.122</v>
      </c>
      <c r="EH45" s="12">
        <v>-0.82099999999999995</v>
      </c>
      <c r="EI45" s="12">
        <f t="shared" si="103"/>
        <v>-0.81046273650978684</v>
      </c>
      <c r="EJ45" s="16">
        <v>0</v>
      </c>
      <c r="EK45" s="16">
        <v>0</v>
      </c>
      <c r="EL45" s="16">
        <v>136760</v>
      </c>
      <c r="EM45" s="12">
        <f t="shared" si="89"/>
        <v>-0.65152197823826874</v>
      </c>
      <c r="EN45" s="12">
        <f t="shared" si="61"/>
        <v>-0.128263739007483</v>
      </c>
      <c r="EO45" s="16">
        <v>0</v>
      </c>
      <c r="EP45" s="16">
        <v>0</v>
      </c>
      <c r="EQ45" s="16">
        <f t="shared" si="129"/>
        <v>123379.85</v>
      </c>
      <c r="ER45" s="16">
        <v>0</v>
      </c>
      <c r="ES45" s="16">
        <f t="shared" si="62"/>
        <v>0</v>
      </c>
      <c r="ET45" s="16">
        <f t="shared" si="130"/>
        <v>0</v>
      </c>
      <c r="EU45" s="16">
        <f t="shared" si="131"/>
        <v>95030.314097881666</v>
      </c>
      <c r="EV45" s="16">
        <f t="shared" si="63"/>
        <v>-123379.85</v>
      </c>
      <c r="EW45" s="16">
        <f t="shared" si="64"/>
        <v>0</v>
      </c>
      <c r="EX45" s="16">
        <f t="shared" si="65"/>
        <v>-95030.314097881666</v>
      </c>
      <c r="EY45" s="12">
        <f t="shared" si="146"/>
        <v>-0.34982366135262349</v>
      </c>
      <c r="EZ45" s="17">
        <f t="shared" si="147"/>
        <v>-0.4376238807782809</v>
      </c>
      <c r="FA45" s="17">
        <f t="shared" si="148"/>
        <v>-0.51133258643962987</v>
      </c>
      <c r="FB45" s="17">
        <f t="shared" si="97"/>
        <v>-0.35506725797232008</v>
      </c>
      <c r="FC45" s="16">
        <v>127607.73</v>
      </c>
      <c r="FD45">
        <f t="shared" si="104"/>
        <v>-136760</v>
      </c>
      <c r="FE45" s="16">
        <f t="shared" si="105"/>
        <v>-127607.73</v>
      </c>
      <c r="FF45" s="12">
        <v>-0.73</v>
      </c>
      <c r="FG45" s="12">
        <f t="shared" si="149"/>
        <v>-0.75521637776772976</v>
      </c>
      <c r="FH45" s="12">
        <f t="shared" si="68"/>
        <v>-0.47348795770913987</v>
      </c>
      <c r="FI45" s="12">
        <f t="shared" si="69"/>
        <v>-0.33550750040960886</v>
      </c>
      <c r="FJ45" s="16">
        <v>0</v>
      </c>
      <c r="FK45" s="16">
        <v>10776</v>
      </c>
      <c r="FL45" s="16">
        <f t="shared" si="70"/>
        <v>10776</v>
      </c>
      <c r="FM45" s="16">
        <f t="shared" si="132"/>
        <v>242945.07545671167</v>
      </c>
      <c r="FN45" s="16">
        <f t="shared" si="71"/>
        <v>-232169.07545671167</v>
      </c>
      <c r="FO45" s="12">
        <f t="shared" si="133"/>
        <v>-0.53063534973172644</v>
      </c>
      <c r="FP45" s="12">
        <f t="shared" si="134"/>
        <v>-0.60316732683565188</v>
      </c>
      <c r="FQ45" s="12">
        <f t="shared" si="72"/>
        <v>-0.21688770794553919</v>
      </c>
    </row>
    <row r="46" spans="1:173" x14ac:dyDescent="0.35">
      <c r="A46" s="7" t="s">
        <v>219</v>
      </c>
      <c r="B46" s="7" t="s">
        <v>220</v>
      </c>
      <c r="C46" s="144">
        <f t="shared" si="108"/>
        <v>38</v>
      </c>
      <c r="D46" s="144">
        <v>0</v>
      </c>
      <c r="E46" s="144">
        <v>11</v>
      </c>
      <c r="F46" s="144">
        <v>27</v>
      </c>
      <c r="G46" s="144">
        <v>0</v>
      </c>
      <c r="H46" s="144">
        <v>0</v>
      </c>
      <c r="I46" s="144">
        <v>0</v>
      </c>
      <c r="J46" s="144">
        <v>0</v>
      </c>
      <c r="K46" s="144"/>
      <c r="L46" s="9">
        <v>15.5</v>
      </c>
      <c r="M46" s="149">
        <f t="shared" si="109"/>
        <v>0.40789473684210525</v>
      </c>
      <c r="N46" s="149">
        <f>M46/M73</f>
        <v>6.3942561305891229E-3</v>
      </c>
      <c r="O46" s="9">
        <v>3.5</v>
      </c>
      <c r="P46" s="149">
        <f t="shared" si="110"/>
        <v>9.2105263157894732E-2</v>
      </c>
      <c r="Q46" s="147">
        <f>P46/P73</f>
        <v>6.2368423857311591E-3</v>
      </c>
      <c r="R46" s="149">
        <f t="shared" si="111"/>
        <v>0.3289473684210526</v>
      </c>
      <c r="S46" s="147">
        <f>R46/R73</f>
        <v>6.3829789811304816E-3</v>
      </c>
      <c r="T46" s="147">
        <f t="shared" si="112"/>
        <v>6.3549026943746315E-3</v>
      </c>
      <c r="U46" s="142"/>
      <c r="V46" s="142">
        <f t="shared" si="107"/>
        <v>0</v>
      </c>
      <c r="W46" s="142"/>
      <c r="X46" s="147">
        <f>V46/V73</f>
        <v>0</v>
      </c>
      <c r="Y46" s="147">
        <f t="shared" si="113"/>
        <v>3.8129416166247788E-3</v>
      </c>
      <c r="Z46" s="147">
        <v>-0.33600000000000002</v>
      </c>
      <c r="AA46" s="149">
        <v>-0.49399999999999999</v>
      </c>
      <c r="AB46" s="145">
        <v>37</v>
      </c>
      <c r="AC46" s="149">
        <v>-0.45963057769115945</v>
      </c>
      <c r="AD46" s="149">
        <f t="shared" si="93"/>
        <v>-0.49017253625099283</v>
      </c>
      <c r="AE46" s="142">
        <v>32</v>
      </c>
      <c r="AF46" s="209"/>
      <c r="AG46" s="209"/>
      <c r="AH46" s="12"/>
      <c r="AI46" s="12"/>
      <c r="AJ46" s="23"/>
      <c r="AK46" s="30"/>
      <c r="AL46" s="23"/>
      <c r="AM46" s="30"/>
      <c r="AN46" s="30"/>
      <c r="AO46" s="30"/>
      <c r="AP46" s="209"/>
      <c r="AQ46" s="142"/>
      <c r="AR46" s="24"/>
      <c r="AS46" s="24"/>
      <c r="AT46" s="24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>
        <v>27</v>
      </c>
      <c r="BM46" s="16">
        <v>27</v>
      </c>
      <c r="BN46" s="16">
        <f t="shared" si="94"/>
        <v>0</v>
      </c>
      <c r="BO46" s="16">
        <v>86</v>
      </c>
      <c r="BP46" s="16">
        <v>37</v>
      </c>
      <c r="BQ46" s="16">
        <v>86.630759999999995</v>
      </c>
      <c r="BR46" s="16">
        <f t="shared" si="99"/>
        <v>-59</v>
      </c>
      <c r="BS46" s="16">
        <v>53</v>
      </c>
      <c r="BT46" s="16">
        <v>26</v>
      </c>
      <c r="BU46" s="16"/>
      <c r="BV46" s="16"/>
      <c r="BW46" s="16"/>
      <c r="BX46" s="16"/>
      <c r="BY46" s="12"/>
      <c r="BZ46" s="12"/>
      <c r="CC46">
        <v>13</v>
      </c>
      <c r="CD46">
        <f t="shared" si="44"/>
        <v>39</v>
      </c>
      <c r="CE46" s="16">
        <f t="shared" si="117"/>
        <v>0</v>
      </c>
      <c r="CF46" s="54">
        <f t="shared" si="118"/>
        <v>80.496830000000003</v>
      </c>
      <c r="CG46" s="16">
        <f t="shared" si="119"/>
        <v>157.735255</v>
      </c>
      <c r="CH46" s="54">
        <f t="shared" si="120"/>
        <v>121.25675675675676</v>
      </c>
      <c r="CI46" s="54">
        <v>116.0355</v>
      </c>
      <c r="CJ46" s="54">
        <f t="shared" si="95"/>
        <v>-84.256756756756758</v>
      </c>
      <c r="CK46" s="54">
        <f t="shared" si="96"/>
        <v>-79.035499999999999</v>
      </c>
      <c r="CL46" s="54">
        <f t="shared" si="100"/>
        <v>-59.630759999999995</v>
      </c>
      <c r="CM46" s="12">
        <v>-0.59899999999999998</v>
      </c>
      <c r="CN46" s="16">
        <f t="shared" si="48"/>
        <v>39</v>
      </c>
      <c r="CO46" s="54">
        <f t="shared" si="49"/>
        <v>-54.496830000000003</v>
      </c>
      <c r="CP46" s="12">
        <f t="shared" si="135"/>
        <v>-0.62629207494165029</v>
      </c>
      <c r="CQ46" s="12">
        <f t="shared" si="136"/>
        <v>-0.5402780276940341</v>
      </c>
      <c r="CR46" s="16">
        <f t="shared" si="50"/>
        <v>-104.735255</v>
      </c>
      <c r="CS46" s="12">
        <f t="shared" si="137"/>
        <v>-0.56045700598381254</v>
      </c>
      <c r="CT46" s="12">
        <f t="shared" si="138"/>
        <v>-0.56438388133707984</v>
      </c>
      <c r="CU46" s="12">
        <f t="shared" si="139"/>
        <v>-0.43982905997182536</v>
      </c>
      <c r="CV46" s="12">
        <f t="shared" si="140"/>
        <v>-0.57689454593573775</v>
      </c>
      <c r="CW46" s="54">
        <v>8</v>
      </c>
      <c r="CX46" s="54">
        <f t="shared" si="121"/>
        <v>116.03803099999999</v>
      </c>
      <c r="CY46" s="54">
        <f t="shared" si="51"/>
        <v>-79.038030999999989</v>
      </c>
      <c r="CZ46" s="12">
        <f t="shared" si="141"/>
        <v>-0.57038418541114522</v>
      </c>
      <c r="DA46" s="12">
        <f t="shared" si="114"/>
        <v>-2.1361629999999998</v>
      </c>
      <c r="DB46" s="12">
        <f t="shared" si="142"/>
        <v>-0.76605667307848357</v>
      </c>
      <c r="DC46" s="54">
        <v>7</v>
      </c>
      <c r="DD46" s="54">
        <v>12</v>
      </c>
      <c r="DE46" s="54">
        <f t="shared" si="122"/>
        <v>21.509998100000001</v>
      </c>
      <c r="DF46" s="54">
        <v>6</v>
      </c>
      <c r="DG46" s="54">
        <v>31</v>
      </c>
      <c r="DH46" s="54">
        <f t="shared" si="52"/>
        <v>50</v>
      </c>
      <c r="DI46" s="54">
        <f t="shared" si="123"/>
        <v>156.85642573471009</v>
      </c>
      <c r="DJ46" s="16">
        <f t="shared" si="53"/>
        <v>-106.85642573471009</v>
      </c>
      <c r="DK46" s="12">
        <f t="shared" si="124"/>
        <v>-0.55424073706043919</v>
      </c>
      <c r="DL46" s="54">
        <v>2</v>
      </c>
      <c r="DM46" s="54">
        <v>3</v>
      </c>
      <c r="DN46" s="54">
        <v>5</v>
      </c>
      <c r="DO46" s="54">
        <f t="shared" si="54"/>
        <v>10</v>
      </c>
      <c r="DP46" s="54">
        <f t="shared" si="125"/>
        <v>16.889594916600476</v>
      </c>
      <c r="DQ46" s="16">
        <f t="shared" si="55"/>
        <v>-6.8895949166004762</v>
      </c>
      <c r="DR46" s="12">
        <f t="shared" si="126"/>
        <v>-0.34569634832662283</v>
      </c>
      <c r="DS46" s="54">
        <f t="shared" si="56"/>
        <v>9</v>
      </c>
      <c r="DT46" s="54">
        <f t="shared" si="127"/>
        <v>0</v>
      </c>
      <c r="DU46" s="54">
        <f t="shared" si="128"/>
        <v>16.108108108108109</v>
      </c>
      <c r="DV46" s="54">
        <f t="shared" si="57"/>
        <v>-9.5099981000000007</v>
      </c>
      <c r="DW46" s="54">
        <f t="shared" si="58"/>
        <v>9</v>
      </c>
      <c r="DX46" s="54">
        <f t="shared" si="115"/>
        <v>-9.1081081081081088</v>
      </c>
      <c r="DY46" s="12">
        <f t="shared" si="143"/>
        <v>-0.38881439270293661</v>
      </c>
      <c r="DZ46" s="12">
        <f t="shared" si="144"/>
        <v>-0.44332801866325605</v>
      </c>
      <c r="EA46" s="12">
        <f t="shared" si="145"/>
        <v>-0.46474744005087926</v>
      </c>
      <c r="EB46" s="12">
        <f t="shared" si="59"/>
        <v>-0.5175463526635935</v>
      </c>
      <c r="EC46" s="12">
        <f t="shared" si="60"/>
        <v>-0.52139538078324543</v>
      </c>
      <c r="ED46" s="12">
        <f t="shared" si="116"/>
        <v>-0.53947477101552965</v>
      </c>
      <c r="EE46" s="54">
        <v>12</v>
      </c>
      <c r="EF46" s="54">
        <f t="shared" si="102"/>
        <v>-4</v>
      </c>
      <c r="EG46" s="12">
        <v>-0.32200000000000001</v>
      </c>
      <c r="EH46" s="12">
        <v>-0.53</v>
      </c>
      <c r="EI46" s="12">
        <f t="shared" si="103"/>
        <v>-0.51317090945180333</v>
      </c>
      <c r="EJ46" s="16">
        <v>0</v>
      </c>
      <c r="EK46" s="16">
        <v>0</v>
      </c>
      <c r="EL46" s="16">
        <v>83273</v>
      </c>
      <c r="EM46" s="12">
        <f t="shared" si="89"/>
        <v>-0.50210463987698506</v>
      </c>
      <c r="EN46" s="12">
        <f t="shared" si="61"/>
        <v>-0.58055106087205177</v>
      </c>
      <c r="EO46" s="16">
        <v>0</v>
      </c>
      <c r="EP46" s="16">
        <v>0</v>
      </c>
      <c r="EQ46" s="16">
        <f t="shared" si="129"/>
        <v>91301.089000000007</v>
      </c>
      <c r="ER46" s="16">
        <v>9349</v>
      </c>
      <c r="ES46" s="16">
        <f t="shared" si="62"/>
        <v>9349</v>
      </c>
      <c r="ET46" s="16">
        <f t="shared" si="130"/>
        <v>0</v>
      </c>
      <c r="EU46" s="16">
        <f t="shared" si="131"/>
        <v>70322.432432432426</v>
      </c>
      <c r="EV46" s="16">
        <f t="shared" si="63"/>
        <v>-91301.089000000007</v>
      </c>
      <c r="EW46" s="16">
        <f t="shared" si="64"/>
        <v>9349</v>
      </c>
      <c r="EX46" s="16">
        <f t="shared" si="65"/>
        <v>-70322.432432432426</v>
      </c>
      <c r="EY46" s="12">
        <f t="shared" si="146"/>
        <v>-0.32833610445923467</v>
      </c>
      <c r="EZ46" s="17">
        <f t="shared" si="147"/>
        <v>-0.32384167177592782</v>
      </c>
      <c r="FA46" s="17">
        <f t="shared" si="148"/>
        <v>-0.38307872135422949</v>
      </c>
      <c r="FB46" s="17">
        <f t="shared" si="97"/>
        <v>-0.4532215313196889</v>
      </c>
      <c r="FC46" s="16">
        <v>76608.850000000006</v>
      </c>
      <c r="FD46">
        <f t="shared" si="104"/>
        <v>-83273</v>
      </c>
      <c r="FE46" s="16">
        <f t="shared" si="105"/>
        <v>-76608.850000000006</v>
      </c>
      <c r="FF46" s="12">
        <v>-0.44</v>
      </c>
      <c r="FG46" s="12">
        <f t="shared" si="149"/>
        <v>-0.45567497644977706</v>
      </c>
      <c r="FH46" s="12">
        <f t="shared" si="68"/>
        <v>-0.4637593001398479</v>
      </c>
      <c r="FI46" s="12">
        <f t="shared" si="69"/>
        <v>-0.44237389718031839</v>
      </c>
      <c r="FJ46" s="16">
        <v>11219</v>
      </c>
      <c r="FK46" s="16">
        <v>7440</v>
      </c>
      <c r="FL46" s="16">
        <f t="shared" si="70"/>
        <v>28008</v>
      </c>
      <c r="FM46" s="16">
        <f t="shared" si="132"/>
        <v>155484.84829229547</v>
      </c>
      <c r="FN46" s="16">
        <f t="shared" si="71"/>
        <v>-127476.84829229547</v>
      </c>
      <c r="FO46" s="12">
        <f t="shared" si="133"/>
        <v>-0.29135543501310424</v>
      </c>
      <c r="FP46" s="12">
        <f t="shared" si="134"/>
        <v>-0.41780495793143274</v>
      </c>
      <c r="FQ46" s="12">
        <f t="shared" si="72"/>
        <v>-0.47966507830692495</v>
      </c>
    </row>
    <row r="47" spans="1:173" x14ac:dyDescent="0.35">
      <c r="A47" s="8" t="s">
        <v>219</v>
      </c>
      <c r="B47" s="8" t="s">
        <v>92</v>
      </c>
      <c r="C47" s="144">
        <f t="shared" si="108"/>
        <v>110</v>
      </c>
      <c r="D47" s="144">
        <v>0</v>
      </c>
      <c r="E47" s="144">
        <v>0</v>
      </c>
      <c r="F47" s="144">
        <v>0</v>
      </c>
      <c r="G47" s="144">
        <v>110</v>
      </c>
      <c r="H47" s="144">
        <v>0</v>
      </c>
      <c r="I47" s="144">
        <v>0</v>
      </c>
      <c r="J47" s="144">
        <v>0</v>
      </c>
      <c r="K47" s="144"/>
      <c r="L47" s="9">
        <v>170.5</v>
      </c>
      <c r="M47" s="150">
        <f t="shared" si="109"/>
        <v>1.55</v>
      </c>
      <c r="N47" s="149">
        <f>M47/M73</f>
        <v>2.4298173296238668E-2</v>
      </c>
      <c r="O47" s="9">
        <v>10</v>
      </c>
      <c r="P47" s="149">
        <f t="shared" si="110"/>
        <v>9.0909090909090912E-2</v>
      </c>
      <c r="Q47" s="147">
        <f>P47/P73</f>
        <v>6.1558444326697166E-3</v>
      </c>
      <c r="R47" s="149">
        <f t="shared" si="111"/>
        <v>1.1852272727272728</v>
      </c>
      <c r="S47" s="156">
        <f>R47/R73</f>
        <v>2.2998453539829596E-2</v>
      </c>
      <c r="T47" s="156">
        <f t="shared" si="112"/>
        <v>1.976259108034643E-2</v>
      </c>
      <c r="U47" s="142">
        <v>120</v>
      </c>
      <c r="V47" s="142">
        <f>U47/C47</f>
        <v>1.0909090909090908</v>
      </c>
      <c r="W47" s="142"/>
      <c r="X47" s="147">
        <f>V47/V73</f>
        <v>1.4008804464948793E-5</v>
      </c>
      <c r="Y47" s="147">
        <f t="shared" si="113"/>
        <v>1.1863158169993837E-2</v>
      </c>
      <c r="Z47" s="155">
        <v>1.59</v>
      </c>
      <c r="AA47" s="150">
        <v>0.25900000000000001</v>
      </c>
      <c r="AB47" s="145">
        <v>96</v>
      </c>
      <c r="AC47" s="150">
        <v>0.5294380111504291</v>
      </c>
      <c r="AD47" s="150">
        <f t="shared" si="93"/>
        <v>0.44816803519978282</v>
      </c>
      <c r="AE47" s="142">
        <v>80</v>
      </c>
      <c r="AF47" s="209">
        <v>135791.0327358208</v>
      </c>
      <c r="AG47" s="209">
        <f>AT47*BK$32</f>
        <v>143765.06941367689</v>
      </c>
      <c r="AH47" s="12">
        <f>C47*BA47</f>
        <v>2.0287687815993736</v>
      </c>
      <c r="AI47" s="35" t="e">
        <f>AU47*BK$9</f>
        <v>#DIV/0!</v>
      </c>
      <c r="AJ47" s="34" t="e">
        <f>AV47*BK$16</f>
        <v>#DIV/0!</v>
      </c>
      <c r="AK47" s="34" t="e">
        <f>SUM(AL47:AM47)</f>
        <v>#DIV/0!</v>
      </c>
      <c r="AL47" s="34" t="e">
        <f>AW47*BK$24</f>
        <v>#DIV/0!</v>
      </c>
      <c r="AM47" s="30"/>
      <c r="AN47" s="30">
        <f>AS47*BK$35</f>
        <v>321187.42292343924</v>
      </c>
      <c r="AO47" s="30">
        <f>AVERAGE(AF47,AR47,AN47)</f>
        <v>199922.98810204724</v>
      </c>
      <c r="AP47" s="209">
        <f>AVERAGE(AF47:AG47)</f>
        <v>139778.05107474886</v>
      </c>
      <c r="AQ47" s="154">
        <f>AO47-(AO$72*BE47)</f>
        <v>218003.55852999387</v>
      </c>
      <c r="AR47" s="130">
        <f>AP47+(AP$72*BF47)</f>
        <v>142790.50864688167</v>
      </c>
      <c r="AS47" s="24">
        <f>AB47*BE47</f>
        <v>6.5660973006769847</v>
      </c>
      <c r="AT47" s="24">
        <f>AB47*BF47</f>
        <v>2.5482253848248608</v>
      </c>
      <c r="AU47" s="16" t="e">
        <f>AB47*BG47</f>
        <v>#DIV/0!</v>
      </c>
      <c r="AV47" s="16" t="e">
        <f>AB47*BB47</f>
        <v>#DIV/0!</v>
      </c>
      <c r="AW47" s="16" t="e">
        <f t="shared" ref="AW47:AW48" si="150">AB47*BC47</f>
        <v>#DIV/0!</v>
      </c>
      <c r="AX47" s="16"/>
      <c r="AY47" s="16"/>
      <c r="AZ47" s="16"/>
      <c r="BA47" s="16">
        <f>AA47/BH$2</f>
        <v>1.8443352559994304E-2</v>
      </c>
      <c r="BB47" s="16" t="e">
        <f>FH47/BK$14</f>
        <v>#DIV/0!</v>
      </c>
      <c r="BC47" s="16" t="e">
        <f>EB47/BK$19</f>
        <v>#DIV/0!</v>
      </c>
      <c r="BD47" s="16"/>
      <c r="BE47" s="142">
        <f>FQ47/BK$26</f>
        <v>6.8396846882051929E-2</v>
      </c>
      <c r="BF47" s="16">
        <f>FI47/BK$29</f>
        <v>2.6544014425258968E-2</v>
      </c>
      <c r="BG47" s="142" t="e">
        <f>AC47/BK$5</f>
        <v>#DIV/0!</v>
      </c>
      <c r="BH47" s="16"/>
      <c r="BI47" s="16"/>
      <c r="BJ47" s="16"/>
      <c r="BK47" s="16"/>
      <c r="BL47" s="16">
        <v>436</v>
      </c>
      <c r="BM47" s="16">
        <v>423</v>
      </c>
      <c r="BN47" s="16">
        <f t="shared" si="94"/>
        <v>13</v>
      </c>
      <c r="BO47" s="16">
        <v>249</v>
      </c>
      <c r="BP47" s="16">
        <v>560</v>
      </c>
      <c r="BQ47" s="16">
        <v>250.77325999999999</v>
      </c>
      <c r="BR47" s="16">
        <f t="shared" si="99"/>
        <v>187</v>
      </c>
      <c r="BS47" s="16">
        <v>738</v>
      </c>
      <c r="BT47" s="16">
        <v>343</v>
      </c>
      <c r="BU47" s="211">
        <v>89020.346199542109</v>
      </c>
      <c r="BV47" s="285">
        <v>0</v>
      </c>
      <c r="BW47" s="16">
        <f>AVERAGE(AQ47,BU47,BV47)</f>
        <v>102341.30157651199</v>
      </c>
      <c r="BX47" s="285">
        <f>BW47-(BZ47*BW$72)</f>
        <v>102341.30157651199</v>
      </c>
      <c r="BY47" s="12"/>
      <c r="BZ47" s="12"/>
      <c r="CC47">
        <v>166</v>
      </c>
      <c r="CD47">
        <f t="shared" si="44"/>
        <v>509</v>
      </c>
      <c r="CE47" s="16">
        <f t="shared" si="117"/>
        <v>0</v>
      </c>
      <c r="CF47" s="54">
        <f t="shared" si="118"/>
        <v>208.85664000000003</v>
      </c>
      <c r="CG47" s="16">
        <f t="shared" si="119"/>
        <v>409.25904000000003</v>
      </c>
      <c r="CH47" s="54">
        <f t="shared" si="120"/>
        <v>314.61212563915268</v>
      </c>
      <c r="CI47" s="54">
        <v>301.06509</v>
      </c>
      <c r="CJ47" s="54">
        <f t="shared" si="95"/>
        <v>245.38787436084732</v>
      </c>
      <c r="CK47" s="54">
        <f t="shared" si="96"/>
        <v>258.93491</v>
      </c>
      <c r="CL47" s="54">
        <f t="shared" si="100"/>
        <v>172.22674000000001</v>
      </c>
      <c r="CM47" s="12">
        <v>1.599</v>
      </c>
      <c r="CN47" s="16">
        <f t="shared" si="48"/>
        <v>509</v>
      </c>
      <c r="CO47" s="54">
        <f t="shared" si="49"/>
        <v>134.14335999999997</v>
      </c>
      <c r="CP47" s="14">
        <f t="shared" si="135"/>
        <v>1.7370317644726778</v>
      </c>
      <c r="CQ47" s="14">
        <f t="shared" si="136"/>
        <v>1.2121862734013145</v>
      </c>
      <c r="CR47" s="16">
        <f t="shared" si="50"/>
        <v>328.74095999999997</v>
      </c>
      <c r="CS47" s="14">
        <f t="shared" si="137"/>
        <v>1.7273344461992797</v>
      </c>
      <c r="CT47" s="14">
        <f t="shared" si="138"/>
        <v>1.6437015415232514</v>
      </c>
      <c r="CU47" s="14">
        <f t="shared" si="139"/>
        <v>1.1196543034370137</v>
      </c>
      <c r="CV47" s="12">
        <f t="shared" si="140"/>
        <v>1.4944217736456995</v>
      </c>
      <c r="CW47" s="54">
        <v>34</v>
      </c>
      <c r="CX47" s="54">
        <f t="shared" si="121"/>
        <v>301.07164799999998</v>
      </c>
      <c r="CY47" s="54">
        <f t="shared" si="51"/>
        <v>258.92835200000002</v>
      </c>
      <c r="CZ47" s="14">
        <f t="shared" si="141"/>
        <v>1.7028014402369915</v>
      </c>
      <c r="DA47" s="12">
        <f t="shared" si="114"/>
        <v>2.6971703333333337</v>
      </c>
      <c r="DB47" s="14">
        <f t="shared" si="142"/>
        <v>0.89298859163080158</v>
      </c>
      <c r="DC47" s="54">
        <v>50</v>
      </c>
      <c r="DD47" s="54">
        <v>68</v>
      </c>
      <c r="DE47" s="54">
        <f t="shared" si="122"/>
        <v>55.809724799999998</v>
      </c>
      <c r="DF47" s="54">
        <v>131</v>
      </c>
      <c r="DG47" s="54">
        <v>126</v>
      </c>
      <c r="DH47" s="54">
        <f t="shared" si="52"/>
        <v>423</v>
      </c>
      <c r="DI47" s="54">
        <f t="shared" si="123"/>
        <v>392.14106433677523</v>
      </c>
      <c r="DJ47" s="16">
        <f t="shared" si="53"/>
        <v>30.85893566322477</v>
      </c>
      <c r="DK47" s="12">
        <f t="shared" si="124"/>
        <v>0.16005850026603241</v>
      </c>
      <c r="DL47" s="54">
        <v>9</v>
      </c>
      <c r="DM47" s="54">
        <v>8</v>
      </c>
      <c r="DN47" s="54">
        <v>17</v>
      </c>
      <c r="DO47" s="54">
        <f t="shared" si="54"/>
        <v>34</v>
      </c>
      <c r="DP47" s="54">
        <f t="shared" si="125"/>
        <v>42.223987291501189</v>
      </c>
      <c r="DQ47" s="16">
        <f t="shared" si="55"/>
        <v>-8.2239872915011887</v>
      </c>
      <c r="DR47" s="12">
        <f t="shared" si="126"/>
        <v>-0.41265160140348767</v>
      </c>
      <c r="DS47" s="54">
        <f t="shared" si="56"/>
        <v>59</v>
      </c>
      <c r="DT47" s="54">
        <f t="shared" si="127"/>
        <v>0</v>
      </c>
      <c r="DU47" s="54">
        <f t="shared" si="128"/>
        <v>41.794010226442659</v>
      </c>
      <c r="DV47" s="54">
        <f t="shared" si="57"/>
        <v>12.190275200000002</v>
      </c>
      <c r="DW47" s="54">
        <f t="shared" si="58"/>
        <v>59</v>
      </c>
      <c r="DX47" s="54">
        <f t="shared" si="115"/>
        <v>8.2059897735573415</v>
      </c>
      <c r="DY47" s="12">
        <f t="shared" si="143"/>
        <v>0.28222576047915782</v>
      </c>
      <c r="DZ47" s="12">
        <f t="shared" si="144"/>
        <v>1.2424255142787508</v>
      </c>
      <c r="EA47" s="12">
        <f t="shared" si="145"/>
        <v>0.41871623558678145</v>
      </c>
      <c r="EB47" s="14">
        <f t="shared" si="59"/>
        <v>1.3660572747692492</v>
      </c>
      <c r="EC47" s="14">
        <f t="shared" si="60"/>
        <v>1.0138187639476812</v>
      </c>
      <c r="ED47" s="14">
        <f t="shared" si="116"/>
        <v>1.3374552150391339</v>
      </c>
      <c r="EE47" s="54">
        <v>35</v>
      </c>
      <c r="EF47" s="54">
        <f t="shared" si="102"/>
        <v>-1</v>
      </c>
      <c r="EG47" s="12">
        <v>-0.20200000000000001</v>
      </c>
      <c r="EH47" s="12">
        <v>1.149</v>
      </c>
      <c r="EI47" s="12">
        <f t="shared" si="103"/>
        <v>1.0703163302342746</v>
      </c>
      <c r="EJ47" s="16">
        <v>15713</v>
      </c>
      <c r="EK47" s="16">
        <v>122996</v>
      </c>
      <c r="EL47" s="16">
        <v>216432</v>
      </c>
      <c r="EM47" s="12">
        <f t="shared" si="89"/>
        <v>1.6880974848652391E-2</v>
      </c>
      <c r="EN47" s="14">
        <f t="shared" si="61"/>
        <v>1.6133802019241961</v>
      </c>
      <c r="EO47" s="16">
        <v>22625</v>
      </c>
      <c r="EP47" s="16">
        <v>65714</v>
      </c>
      <c r="EQ47" s="16">
        <f t="shared" si="129"/>
        <v>236889.31200000003</v>
      </c>
      <c r="ER47" s="16">
        <v>74966</v>
      </c>
      <c r="ES47" s="16">
        <f t="shared" si="62"/>
        <v>97591</v>
      </c>
      <c r="ET47" s="16">
        <f t="shared" si="130"/>
        <v>0</v>
      </c>
      <c r="EU47" s="16">
        <f t="shared" si="131"/>
        <v>182458.2030679328</v>
      </c>
      <c r="EV47" s="16">
        <f t="shared" si="63"/>
        <v>-171175.31200000003</v>
      </c>
      <c r="EW47" s="16">
        <f t="shared" si="64"/>
        <v>97591</v>
      </c>
      <c r="EX47" s="16">
        <f t="shared" si="65"/>
        <v>-159833.2030679328</v>
      </c>
      <c r="EY47" s="12">
        <f t="shared" si="146"/>
        <v>-0.12552243504149854</v>
      </c>
      <c r="EZ47" s="17">
        <f t="shared" si="147"/>
        <v>-0.73604751565659576</v>
      </c>
      <c r="FA47" s="17">
        <f t="shared" si="148"/>
        <v>-0.702423281464989</v>
      </c>
      <c r="FB47" s="109">
        <f t="shared" si="97"/>
        <v>0.50805412276084194</v>
      </c>
      <c r="FC47" s="16">
        <v>204606.89</v>
      </c>
      <c r="FD47">
        <f t="shared" si="104"/>
        <v>-200719</v>
      </c>
      <c r="FE47" s="16">
        <f t="shared" si="105"/>
        <v>-81610.890000000014</v>
      </c>
      <c r="FF47" s="12">
        <v>-1.077</v>
      </c>
      <c r="FG47" s="12">
        <f t="shared" si="149"/>
        <v>-0.48505440735195482</v>
      </c>
      <c r="FH47" s="14">
        <f t="shared" si="68"/>
        <v>0.53866505227555384</v>
      </c>
      <c r="FI47" s="14">
        <f t="shared" si="69"/>
        <v>0.31387225210597042</v>
      </c>
      <c r="FJ47" s="16">
        <v>112514</v>
      </c>
      <c r="FK47" s="16">
        <v>159792</v>
      </c>
      <c r="FL47" s="16">
        <f t="shared" si="70"/>
        <v>347272</v>
      </c>
      <c r="FM47" s="16">
        <f t="shared" si="132"/>
        <v>388712.12073073868</v>
      </c>
      <c r="FN47" s="16">
        <f t="shared" si="71"/>
        <v>-41440.120730738679</v>
      </c>
      <c r="FO47" s="12">
        <f t="shared" si="133"/>
        <v>-9.4713703423350601E-2</v>
      </c>
      <c r="FP47" s="12">
        <f t="shared" si="134"/>
        <v>-2.7756896460148811E-2</v>
      </c>
      <c r="FQ47" s="14">
        <f t="shared" si="72"/>
        <v>0.91781914713791823</v>
      </c>
    </row>
    <row r="48" spans="1:173" x14ac:dyDescent="0.35">
      <c r="A48" s="7" t="s">
        <v>221</v>
      </c>
      <c r="B48" s="7" t="s">
        <v>105</v>
      </c>
      <c r="C48" s="144">
        <f t="shared" si="108"/>
        <v>28</v>
      </c>
      <c r="D48" s="144">
        <v>0</v>
      </c>
      <c r="E48" s="144">
        <v>28</v>
      </c>
      <c r="F48" s="144">
        <v>0</v>
      </c>
      <c r="G48" s="144">
        <v>0</v>
      </c>
      <c r="H48" s="157">
        <v>0</v>
      </c>
      <c r="I48" s="144">
        <v>0</v>
      </c>
      <c r="J48" s="157">
        <v>0</v>
      </c>
      <c r="K48" s="144"/>
      <c r="L48" s="9">
        <v>42</v>
      </c>
      <c r="M48" s="150">
        <f t="shared" si="109"/>
        <v>1.5</v>
      </c>
      <c r="N48" s="149">
        <f>M48/M73</f>
        <v>2.3514361254424517E-2</v>
      </c>
      <c r="O48" s="9">
        <v>6.5</v>
      </c>
      <c r="P48" s="149">
        <f t="shared" si="110"/>
        <v>0.23214285714285715</v>
      </c>
      <c r="Q48" s="147">
        <f>P48/P73</f>
        <v>1.5719388461995883E-2</v>
      </c>
      <c r="R48" s="149">
        <f t="shared" si="111"/>
        <v>1.1830357142857142</v>
      </c>
      <c r="S48" s="156">
        <f>R48/R73</f>
        <v>2.2955927978565698E-2</v>
      </c>
      <c r="T48" s="156">
        <f t="shared" si="112"/>
        <v>2.1565618056317359E-2</v>
      </c>
      <c r="U48" s="142">
        <v>13056</v>
      </c>
      <c r="V48" s="142">
        <f>U48/C48</f>
        <v>466.28571428571428</v>
      </c>
      <c r="W48" s="142"/>
      <c r="X48" s="147">
        <f>V48/V73</f>
        <v>5.9877632798752568E-3</v>
      </c>
      <c r="Y48" s="147">
        <f t="shared" si="113"/>
        <v>1.5334476145740518E-2</v>
      </c>
      <c r="Z48" s="155">
        <v>0.23</v>
      </c>
      <c r="AA48" s="149">
        <v>0.217</v>
      </c>
      <c r="AB48" s="145">
        <v>27</v>
      </c>
      <c r="AC48" s="149">
        <v>-4.8114728893702358E-2</v>
      </c>
      <c r="AD48" s="150">
        <f t="shared" si="93"/>
        <v>0.22308498295937446</v>
      </c>
      <c r="AE48" s="142">
        <v>26</v>
      </c>
      <c r="AF48" s="209">
        <v>25571.081148559733</v>
      </c>
      <c r="AG48" s="209">
        <v>0</v>
      </c>
      <c r="AH48" s="12">
        <f>C48*BA48</f>
        <v>0</v>
      </c>
      <c r="AI48" s="18"/>
      <c r="AJ48" s="30"/>
      <c r="AK48" s="34" t="e">
        <f>SUM(AL48:AM48)</f>
        <v>#DIV/0!</v>
      </c>
      <c r="AL48" s="34" t="e">
        <f>AW48*BK$24</f>
        <v>#DIV/0!</v>
      </c>
      <c r="AM48" s="30"/>
      <c r="AN48" s="30">
        <v>0</v>
      </c>
      <c r="AO48" s="30">
        <f>AVERAGE(AF48,AR48,AN48)</f>
        <v>12785.540574279867</v>
      </c>
      <c r="AP48" s="209">
        <f>AVERAGE(AF48:AG48)</f>
        <v>12785.540574279867</v>
      </c>
      <c r="AQ48" s="154">
        <f>AO48-(AO$72*BE48)</f>
        <v>12785.540574279867</v>
      </c>
      <c r="AR48" s="130">
        <f>AP48+(AP$72*BF48)</f>
        <v>12785.540574279867</v>
      </c>
      <c r="AS48" s="24"/>
      <c r="AT48" s="24"/>
      <c r="AU48" s="16"/>
      <c r="AV48" s="16"/>
      <c r="AW48" s="16" t="e">
        <f t="shared" si="150"/>
        <v>#DIV/0!</v>
      </c>
      <c r="AX48" s="16"/>
      <c r="AY48" s="16"/>
      <c r="AZ48" s="16"/>
      <c r="BA48" s="16"/>
      <c r="BB48" s="16"/>
      <c r="BC48" s="16" t="e">
        <f>EB48/BK$19</f>
        <v>#DIV/0!</v>
      </c>
      <c r="BD48" s="16"/>
      <c r="BE48" s="16"/>
      <c r="BF48" s="16"/>
      <c r="BG48" s="142"/>
      <c r="BH48" s="16"/>
      <c r="BI48" s="16"/>
      <c r="BJ48" s="16"/>
      <c r="BK48" s="16"/>
      <c r="BL48" s="16">
        <v>160</v>
      </c>
      <c r="BM48" s="16">
        <v>160</v>
      </c>
      <c r="BN48" s="16">
        <f t="shared" si="94"/>
        <v>0</v>
      </c>
      <c r="BO48" s="16">
        <v>63</v>
      </c>
      <c r="BP48" s="16">
        <v>123</v>
      </c>
      <c r="BQ48" s="16">
        <v>63.833190000000002</v>
      </c>
      <c r="BR48" s="16">
        <f t="shared" si="99"/>
        <v>97</v>
      </c>
      <c r="BS48" s="16">
        <v>191</v>
      </c>
      <c r="BT48" s="16">
        <v>78</v>
      </c>
      <c r="BU48" s="211">
        <v>16107.466712074638</v>
      </c>
      <c r="BV48" s="285">
        <f>BY48*CB$4</f>
        <v>0</v>
      </c>
      <c r="BW48" s="16">
        <f>AVERAGE(AQ48,BU48,BV48)</f>
        <v>9631.0024287848355</v>
      </c>
      <c r="BX48" s="285">
        <f>BW48-(BZ48*BW$72)</f>
        <v>9631.0024287848355</v>
      </c>
      <c r="BY48" s="12"/>
      <c r="BZ48" s="12"/>
      <c r="CC48">
        <v>91</v>
      </c>
      <c r="CD48">
        <f t="shared" si="44"/>
        <v>169</v>
      </c>
      <c r="CE48" s="16">
        <f t="shared" si="117"/>
        <v>0</v>
      </c>
      <c r="CF48" s="54">
        <f t="shared" si="118"/>
        <v>58.740930000000006</v>
      </c>
      <c r="CG48" s="16">
        <f t="shared" si="119"/>
        <v>115.104105</v>
      </c>
      <c r="CH48" s="54">
        <f t="shared" si="120"/>
        <v>88.484660336011686</v>
      </c>
      <c r="CI48" s="54">
        <v>84.67456</v>
      </c>
      <c r="CJ48" s="54">
        <f t="shared" si="95"/>
        <v>34.515339663988314</v>
      </c>
      <c r="CK48" s="54">
        <f t="shared" si="96"/>
        <v>38.32544</v>
      </c>
      <c r="CL48" s="54">
        <f t="shared" si="100"/>
        <v>96.166809999999998</v>
      </c>
      <c r="CM48" s="12">
        <v>0.79500000000000004</v>
      </c>
      <c r="CN48" s="16">
        <f t="shared" si="48"/>
        <v>169</v>
      </c>
      <c r="CO48" s="54">
        <f t="shared" si="49"/>
        <v>19.259069999999994</v>
      </c>
      <c r="CP48" s="14">
        <f t="shared" si="135"/>
        <v>2.739324234316386E-2</v>
      </c>
      <c r="CQ48" s="12">
        <f t="shared" si="136"/>
        <v>0.14491308531936148</v>
      </c>
      <c r="CR48" s="16">
        <f t="shared" si="50"/>
        <v>75.895894999999996</v>
      </c>
      <c r="CS48" s="14">
        <f t="shared" si="137"/>
        <v>0.39287419574775639</v>
      </c>
      <c r="CT48" s="14">
        <f t="shared" si="138"/>
        <v>0.23119690473568152</v>
      </c>
      <c r="CU48" s="14">
        <f t="shared" si="139"/>
        <v>0.60807199336707474</v>
      </c>
      <c r="CV48" s="12">
        <f t="shared" si="140"/>
        <v>0.81493469957985398</v>
      </c>
      <c r="CW48" s="54">
        <v>7</v>
      </c>
      <c r="CX48" s="54">
        <f t="shared" si="121"/>
        <v>84.676400999999998</v>
      </c>
      <c r="CY48" s="54">
        <f t="shared" si="51"/>
        <v>38.323599000000002</v>
      </c>
      <c r="CZ48" s="14">
        <f t="shared" si="141"/>
        <v>0.21899837965490487</v>
      </c>
      <c r="DA48" s="12">
        <f t="shared" si="114"/>
        <v>1.4193925555555555</v>
      </c>
      <c r="DB48" s="14">
        <f t="shared" si="142"/>
        <v>0.45439041820191001</v>
      </c>
      <c r="DC48" s="54">
        <v>4</v>
      </c>
      <c r="DD48" s="54">
        <v>8</v>
      </c>
      <c r="DE48" s="54">
        <f t="shared" si="122"/>
        <v>15.6964851</v>
      </c>
      <c r="DF48" s="54">
        <v>73</v>
      </c>
      <c r="DG48" s="54">
        <v>18.66</v>
      </c>
      <c r="DH48" s="54">
        <f t="shared" si="52"/>
        <v>182.66</v>
      </c>
      <c r="DI48" s="54">
        <f t="shared" si="123"/>
        <v>127.44584590945195</v>
      </c>
      <c r="DJ48" s="16">
        <f t="shared" si="53"/>
        <v>55.21415409054805</v>
      </c>
      <c r="DK48" s="14">
        <f t="shared" si="124"/>
        <v>0.28638365216602613</v>
      </c>
      <c r="DL48" s="54">
        <v>0</v>
      </c>
      <c r="DM48" s="54">
        <v>0</v>
      </c>
      <c r="DN48" s="54">
        <v>0</v>
      </c>
      <c r="DO48" s="54">
        <f t="shared" si="54"/>
        <v>0</v>
      </c>
      <c r="DP48" s="54">
        <f t="shared" si="125"/>
        <v>13.722795869737887</v>
      </c>
      <c r="DQ48" s="16">
        <f t="shared" si="55"/>
        <v>-13.722795869737887</v>
      </c>
      <c r="DR48" s="12">
        <f t="shared" si="126"/>
        <v>-0.68856304012440206</v>
      </c>
      <c r="DS48" s="54">
        <f t="shared" si="56"/>
        <v>4</v>
      </c>
      <c r="DT48" s="54">
        <f t="shared" si="127"/>
        <v>0</v>
      </c>
      <c r="DU48" s="54">
        <f t="shared" si="128"/>
        <v>11.754565376186997</v>
      </c>
      <c r="DV48" s="54">
        <f t="shared" si="57"/>
        <v>-7.6964851000000003</v>
      </c>
      <c r="DW48" s="54">
        <f t="shared" si="58"/>
        <v>4</v>
      </c>
      <c r="DX48" s="54">
        <f t="shared" si="115"/>
        <v>-7.7545653761869975</v>
      </c>
      <c r="DY48" s="12">
        <f t="shared" si="143"/>
        <v>-0.33273491275842731</v>
      </c>
      <c r="DZ48" s="12">
        <f t="shared" si="144"/>
        <v>-0.6119033719574567</v>
      </c>
      <c r="EA48" s="12">
        <f t="shared" si="145"/>
        <v>-0.39568199723956482</v>
      </c>
      <c r="EB48" s="14">
        <f t="shared" si="59"/>
        <v>0.21147191862121045</v>
      </c>
      <c r="EC48" s="12">
        <f t="shared" si="60"/>
        <v>9.7643146796299041E-3</v>
      </c>
      <c r="ED48" s="12">
        <f t="shared" si="116"/>
        <v>7.4477179241869931E-2</v>
      </c>
      <c r="EE48" s="54">
        <v>9</v>
      </c>
      <c r="EF48" s="54">
        <f t="shared" si="102"/>
        <v>-2</v>
      </c>
      <c r="EG48" s="12">
        <v>-0.24199999999999999</v>
      </c>
      <c r="EH48" s="12">
        <v>0.53600000000000003</v>
      </c>
      <c r="EI48" s="12">
        <f t="shared" si="103"/>
        <v>0.55070102468489046</v>
      </c>
      <c r="EJ48" s="16">
        <v>13056</v>
      </c>
      <c r="EK48" s="16">
        <v>13056</v>
      </c>
      <c r="EL48" s="16">
        <v>63288</v>
      </c>
      <c r="EM48" s="12">
        <f t="shared" ref="EM48:EM70" si="151">(0.75*DK48)+(0.25*DR48)</f>
        <v>4.264697909341908E-2</v>
      </c>
      <c r="EN48" s="12">
        <f t="shared" si="61"/>
        <v>-0.13243091123199127</v>
      </c>
      <c r="EO48" s="16">
        <v>0</v>
      </c>
      <c r="EP48" s="16">
        <v>15771</v>
      </c>
      <c r="EQ48" s="16">
        <f t="shared" si="129"/>
        <v>66625.119000000006</v>
      </c>
      <c r="ER48" s="16">
        <v>0</v>
      </c>
      <c r="ES48" s="16">
        <f t="shared" si="62"/>
        <v>0</v>
      </c>
      <c r="ET48" s="16">
        <f t="shared" si="130"/>
        <v>0</v>
      </c>
      <c r="EU48" s="16">
        <f t="shared" si="131"/>
        <v>51316.369612856099</v>
      </c>
      <c r="EV48" s="16">
        <f t="shared" si="63"/>
        <v>-50854.119000000006</v>
      </c>
      <c r="EW48" s="16">
        <f t="shared" si="64"/>
        <v>0</v>
      </c>
      <c r="EX48" s="16">
        <f t="shared" si="65"/>
        <v>-51316.369612856099</v>
      </c>
      <c r="EY48" s="12">
        <f t="shared" si="146"/>
        <v>-0.34982366135262349</v>
      </c>
      <c r="EZ48" s="17">
        <f t="shared" si="147"/>
        <v>-0.23631689562027169</v>
      </c>
      <c r="FA48" s="17">
        <f t="shared" si="148"/>
        <v>-0.221367979673987</v>
      </c>
      <c r="FB48" s="17">
        <f t="shared" si="97"/>
        <v>-4.9840450702986733E-2</v>
      </c>
      <c r="FC48" s="16">
        <v>57769.69</v>
      </c>
      <c r="FD48">
        <f t="shared" si="104"/>
        <v>-50232</v>
      </c>
      <c r="FE48" s="16">
        <f t="shared" si="105"/>
        <v>-44713.69</v>
      </c>
      <c r="FF48" s="12">
        <v>-0.26</v>
      </c>
      <c r="FG48" s="12">
        <f t="shared" si="149"/>
        <v>-0.26833907962889947</v>
      </c>
      <c r="FH48" s="12">
        <f t="shared" si="68"/>
        <v>3.8335959303131467E-2</v>
      </c>
      <c r="FI48" s="12">
        <f t="shared" si="69"/>
        <v>-8.8668169440330749E-2</v>
      </c>
      <c r="FJ48" s="16">
        <v>0</v>
      </c>
      <c r="FK48" s="16">
        <v>0</v>
      </c>
      <c r="FL48" s="16">
        <f t="shared" si="70"/>
        <v>0</v>
      </c>
      <c r="FM48" s="16">
        <f t="shared" si="132"/>
        <v>126331.43923749006</v>
      </c>
      <c r="FN48" s="16">
        <f t="shared" si="71"/>
        <v>-126331.43923749006</v>
      </c>
      <c r="FO48" s="12">
        <f t="shared" si="133"/>
        <v>-0.28873753883900383</v>
      </c>
      <c r="FP48" s="12">
        <f t="shared" si="134"/>
        <v>-8.9906828079550097E-2</v>
      </c>
      <c r="FQ48" s="12">
        <f t="shared" si="72"/>
        <v>-0.21938801128024416</v>
      </c>
    </row>
    <row r="49" spans="1:173" x14ac:dyDescent="0.35">
      <c r="A49" s="8" t="s">
        <v>221</v>
      </c>
      <c r="B49" s="8" t="s">
        <v>222</v>
      </c>
      <c r="C49" s="144">
        <f t="shared" si="108"/>
        <v>78</v>
      </c>
      <c r="D49" s="144">
        <v>59</v>
      </c>
      <c r="E49" s="144">
        <v>7</v>
      </c>
      <c r="F49" s="144">
        <v>0</v>
      </c>
      <c r="G49" s="144">
        <v>0</v>
      </c>
      <c r="H49" s="157">
        <v>11</v>
      </c>
      <c r="I49" s="144">
        <v>0</v>
      </c>
      <c r="J49" s="157">
        <v>1</v>
      </c>
      <c r="K49" s="144"/>
      <c r="L49" s="9">
        <v>51</v>
      </c>
      <c r="M49" s="149">
        <f t="shared" si="109"/>
        <v>0.65384615384615385</v>
      </c>
      <c r="N49" s="149">
        <f>M49/M73</f>
        <v>1.0249849777569662E-2</v>
      </c>
      <c r="O49" s="9">
        <v>11</v>
      </c>
      <c r="P49" s="149">
        <f t="shared" si="110"/>
        <v>0.14102564102564102</v>
      </c>
      <c r="Q49" s="147">
        <f>P49/P73</f>
        <v>9.549450978885073E-3</v>
      </c>
      <c r="R49" s="149">
        <f t="shared" si="111"/>
        <v>0.52564102564102566</v>
      </c>
      <c r="S49" s="147">
        <f>R49/R73</f>
        <v>1.0199673079591069E-2</v>
      </c>
      <c r="T49" s="147">
        <f t="shared" si="112"/>
        <v>1.0074750077898514E-2</v>
      </c>
      <c r="U49" s="142">
        <v>14577</v>
      </c>
      <c r="V49" s="142">
        <f>U49/C49</f>
        <v>186.88461538461539</v>
      </c>
      <c r="W49" s="142"/>
      <c r="X49" s="147">
        <f>V49/V73</f>
        <v>2.399860864894385E-3</v>
      </c>
      <c r="Y49" s="147">
        <f t="shared" si="113"/>
        <v>7.0047943926968628E-3</v>
      </c>
      <c r="Z49" s="147">
        <v>0.123</v>
      </c>
      <c r="AA49" s="149">
        <v>-0.64800000000000002</v>
      </c>
      <c r="AB49" s="145">
        <v>82</v>
      </c>
      <c r="AC49" s="149">
        <v>-0.56651919881685642</v>
      </c>
      <c r="AD49" s="149">
        <f t="shared" si="93"/>
        <v>-0.63796609222870404</v>
      </c>
      <c r="AE49" s="142">
        <v>72</v>
      </c>
      <c r="AF49" s="144"/>
      <c r="AG49" s="144"/>
      <c r="AH49" s="12"/>
      <c r="AI49" s="12"/>
      <c r="AJ49" s="23"/>
      <c r="AK49" s="30"/>
      <c r="AL49" s="23"/>
      <c r="AM49" s="30"/>
      <c r="AN49" s="30"/>
      <c r="AO49" s="30"/>
      <c r="AP49" s="209"/>
      <c r="AQ49" s="142"/>
      <c r="AR49" s="24"/>
      <c r="AS49" s="24"/>
      <c r="AT49" s="24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>
        <v>107</v>
      </c>
      <c r="BM49" s="16">
        <v>107</v>
      </c>
      <c r="BN49" s="16">
        <f t="shared" si="94"/>
        <v>0</v>
      </c>
      <c r="BO49" s="16">
        <v>177</v>
      </c>
      <c r="BP49" s="16">
        <v>120</v>
      </c>
      <c r="BQ49" s="16">
        <v>177.82104000000001</v>
      </c>
      <c r="BR49" s="16">
        <f t="shared" si="99"/>
        <v>-70</v>
      </c>
      <c r="BS49" s="16">
        <v>164</v>
      </c>
      <c r="BT49" s="16">
        <v>97</v>
      </c>
      <c r="BU49" s="16"/>
      <c r="BV49" s="16"/>
      <c r="BW49" s="16"/>
      <c r="BX49" s="16"/>
      <c r="BY49" s="12"/>
      <c r="BZ49" s="12"/>
      <c r="CC49">
        <v>85</v>
      </c>
      <c r="CD49">
        <f t="shared" si="44"/>
        <v>182</v>
      </c>
      <c r="CE49" s="16">
        <f t="shared" si="117"/>
        <v>0</v>
      </c>
      <c r="CF49" s="54">
        <f t="shared" si="118"/>
        <v>178.39838</v>
      </c>
      <c r="CG49" s="16">
        <f t="shared" si="119"/>
        <v>349.57542999999998</v>
      </c>
      <c r="CH49" s="54">
        <f t="shared" si="120"/>
        <v>268.73119065010957</v>
      </c>
      <c r="CI49" s="54">
        <v>257.15976000000001</v>
      </c>
      <c r="CJ49" s="54">
        <f t="shared" si="95"/>
        <v>-148.73119065010957</v>
      </c>
      <c r="CK49" s="54">
        <f t="shared" si="96"/>
        <v>-137.15976000000001</v>
      </c>
      <c r="CL49" s="54">
        <f t="shared" si="100"/>
        <v>-70.821040000000011</v>
      </c>
      <c r="CM49" s="12">
        <v>-0.69699999999999995</v>
      </c>
      <c r="CN49" s="16">
        <f t="shared" si="48"/>
        <v>182</v>
      </c>
      <c r="CO49" s="54">
        <f t="shared" si="49"/>
        <v>-81.398380000000003</v>
      </c>
      <c r="CP49" s="12">
        <f t="shared" si="135"/>
        <v>9.2761774071645278E-2</v>
      </c>
      <c r="CQ49" s="12">
        <f t="shared" si="136"/>
        <v>-0.7901929902432745</v>
      </c>
      <c r="CR49" s="16">
        <f t="shared" si="50"/>
        <v>-185.57542999999998</v>
      </c>
      <c r="CS49" s="12">
        <f t="shared" si="137"/>
        <v>-0.98711354435463239</v>
      </c>
      <c r="CT49" s="12">
        <f t="shared" si="138"/>
        <v>-0.99625822172727485</v>
      </c>
      <c r="CU49" s="12">
        <f t="shared" si="139"/>
        <v>-0.51509535712368237</v>
      </c>
      <c r="CV49" s="12">
        <f t="shared" si="140"/>
        <v>-0.6768637493675258</v>
      </c>
      <c r="CW49" s="54">
        <v>30</v>
      </c>
      <c r="CX49" s="54">
        <f t="shared" si="121"/>
        <v>257.16536600000001</v>
      </c>
      <c r="CY49" s="54">
        <f t="shared" si="51"/>
        <v>-137.16536600000001</v>
      </c>
      <c r="CZ49" s="12">
        <f t="shared" si="141"/>
        <v>-0.96135272259619975</v>
      </c>
      <c r="DA49" s="12">
        <f t="shared" si="114"/>
        <v>-1.6727483658536586</v>
      </c>
      <c r="DB49" s="12">
        <f t="shared" si="142"/>
        <v>-0.6069892549314202</v>
      </c>
      <c r="DC49" s="54">
        <v>57</v>
      </c>
      <c r="DD49" s="54">
        <v>68</v>
      </c>
      <c r="DE49" s="54">
        <f t="shared" si="122"/>
        <v>47.670806599999999</v>
      </c>
      <c r="DF49" s="54">
        <v>88</v>
      </c>
      <c r="DG49" s="54">
        <v>77</v>
      </c>
      <c r="DH49" s="54">
        <f t="shared" si="52"/>
        <v>250</v>
      </c>
      <c r="DI49" s="54">
        <f t="shared" si="123"/>
        <v>352.92695790309767</v>
      </c>
      <c r="DJ49" s="16">
        <f t="shared" si="53"/>
        <v>-102.92695790309767</v>
      </c>
      <c r="DK49" s="12">
        <f t="shared" si="124"/>
        <v>-0.53385945318093631</v>
      </c>
      <c r="DL49" s="54">
        <v>4</v>
      </c>
      <c r="DM49" s="54">
        <v>6</v>
      </c>
      <c r="DN49" s="54">
        <v>3</v>
      </c>
      <c r="DO49" s="54">
        <f t="shared" si="54"/>
        <v>13</v>
      </c>
      <c r="DP49" s="54">
        <f t="shared" si="125"/>
        <v>38.001588562351074</v>
      </c>
      <c r="DQ49" s="16">
        <f t="shared" si="55"/>
        <v>-25.001588562351074</v>
      </c>
      <c r="DR49" s="12">
        <f t="shared" si="126"/>
        <v>-1.2544943458931415</v>
      </c>
      <c r="DS49" s="54">
        <f t="shared" si="56"/>
        <v>61</v>
      </c>
      <c r="DT49" s="54">
        <f t="shared" si="127"/>
        <v>0</v>
      </c>
      <c r="DU49" s="54">
        <f t="shared" si="128"/>
        <v>35.699050401753105</v>
      </c>
      <c r="DV49" s="54">
        <f t="shared" si="57"/>
        <v>20.329193400000001</v>
      </c>
      <c r="DW49" s="54">
        <f t="shared" si="58"/>
        <v>61</v>
      </c>
      <c r="DX49" s="54">
        <f t="shared" si="115"/>
        <v>21.300949598246895</v>
      </c>
      <c r="DY49" s="12">
        <f t="shared" si="143"/>
        <v>0.53390650385783844</v>
      </c>
      <c r="DZ49" s="12">
        <f t="shared" si="144"/>
        <v>1.3098556555964311</v>
      </c>
      <c r="EA49" s="12">
        <f t="shared" si="145"/>
        <v>1.0868955088077383</v>
      </c>
      <c r="EB49" s="12">
        <f t="shared" si="59"/>
        <v>-0.60685853230151465</v>
      </c>
      <c r="EC49" s="12">
        <f t="shared" si="60"/>
        <v>-0.32092086548052134</v>
      </c>
      <c r="ED49" s="12">
        <f t="shared" si="116"/>
        <v>-0.47546978909352156</v>
      </c>
      <c r="EE49" s="54">
        <v>25</v>
      </c>
      <c r="EF49" s="54">
        <f t="shared" si="102"/>
        <v>5</v>
      </c>
      <c r="EG49" s="12">
        <v>3.6999999999999998E-2</v>
      </c>
      <c r="EH49" s="12">
        <v>-0.51400000000000001</v>
      </c>
      <c r="EI49" s="12">
        <f t="shared" si="103"/>
        <v>-0.49839781202564437</v>
      </c>
      <c r="EJ49" s="16">
        <v>0</v>
      </c>
      <c r="EK49" s="16">
        <v>5624</v>
      </c>
      <c r="EL49" s="16">
        <v>158912</v>
      </c>
      <c r="EM49" s="12">
        <f t="shared" si="151"/>
        <v>-0.71401817635898757</v>
      </c>
      <c r="EN49" s="12">
        <f t="shared" si="61"/>
        <v>0.39703524445284177</v>
      </c>
      <c r="EO49" s="16">
        <v>5624</v>
      </c>
      <c r="EP49" s="16">
        <v>5624</v>
      </c>
      <c r="EQ49" s="16">
        <f t="shared" si="129"/>
        <v>202342.95400000003</v>
      </c>
      <c r="ER49" s="16">
        <v>0</v>
      </c>
      <c r="ES49" s="16">
        <f t="shared" si="62"/>
        <v>5624</v>
      </c>
      <c r="ET49" s="16">
        <f t="shared" si="130"/>
        <v>0</v>
      </c>
      <c r="EU49" s="16">
        <f t="shared" si="131"/>
        <v>155849.71512052591</v>
      </c>
      <c r="EV49" s="16">
        <f t="shared" si="63"/>
        <v>-196718.95400000003</v>
      </c>
      <c r="EW49" s="16">
        <f t="shared" si="64"/>
        <v>5624</v>
      </c>
      <c r="EX49" s="16">
        <f t="shared" si="65"/>
        <v>-150225.71512052591</v>
      </c>
      <c r="EY49" s="12">
        <f t="shared" si="146"/>
        <v>-0.33689757086503991</v>
      </c>
      <c r="EZ49" s="17">
        <f t="shared" si="147"/>
        <v>-0.69180409501774431</v>
      </c>
      <c r="FA49" s="17">
        <f t="shared" si="148"/>
        <v>-0.80454913398335048</v>
      </c>
      <c r="FB49" s="17">
        <f t="shared" si="97"/>
        <v>-0.5620035114632107</v>
      </c>
      <c r="FC49" s="16">
        <v>148912.72</v>
      </c>
      <c r="FD49">
        <f t="shared" si="104"/>
        <v>-158912</v>
      </c>
      <c r="FE49" s="16">
        <f t="shared" si="105"/>
        <v>-143288.72</v>
      </c>
      <c r="FF49" s="12">
        <v>-0.85</v>
      </c>
      <c r="FG49" s="12">
        <f t="shared" si="149"/>
        <v>-0.84731851253329338</v>
      </c>
      <c r="FH49" s="12">
        <f t="shared" si="68"/>
        <v>-0.68593477297424899</v>
      </c>
      <c r="FI49" s="12">
        <f t="shared" si="69"/>
        <v>-0.46927415729541055</v>
      </c>
      <c r="FJ49" s="16">
        <v>2000</v>
      </c>
      <c r="FK49" s="16">
        <v>0</v>
      </c>
      <c r="FL49" s="16">
        <f t="shared" si="70"/>
        <v>2000</v>
      </c>
      <c r="FM49" s="16">
        <f t="shared" si="132"/>
        <v>349840.90865766478</v>
      </c>
      <c r="FN49" s="16">
        <f t="shared" si="71"/>
        <v>-347840.90865766478</v>
      </c>
      <c r="FO49" s="12">
        <f t="shared" si="133"/>
        <v>-0.79500976541975377</v>
      </c>
      <c r="FP49" s="12">
        <f t="shared" si="134"/>
        <v>-0.74641481198329407</v>
      </c>
      <c r="FQ49" s="12">
        <f t="shared" si="72"/>
        <v>0.10346211832568908</v>
      </c>
    </row>
    <row r="50" spans="1:173" x14ac:dyDescent="0.35">
      <c r="A50" s="7" t="s">
        <v>221</v>
      </c>
      <c r="B50" s="7" t="s">
        <v>96</v>
      </c>
      <c r="C50" s="144">
        <f t="shared" si="108"/>
        <v>14</v>
      </c>
      <c r="D50" s="158">
        <v>0</v>
      </c>
      <c r="E50" s="158">
        <v>14</v>
      </c>
      <c r="F50" s="144">
        <v>0</v>
      </c>
      <c r="G50" s="144">
        <v>0</v>
      </c>
      <c r="H50" s="159">
        <v>0</v>
      </c>
      <c r="I50" s="144">
        <v>0</v>
      </c>
      <c r="J50" s="159">
        <v>0</v>
      </c>
      <c r="K50" s="144"/>
      <c r="L50" s="9">
        <v>7.5</v>
      </c>
      <c r="M50" s="149">
        <f t="shared" si="109"/>
        <v>0.5357142857142857</v>
      </c>
      <c r="N50" s="149">
        <f>M50/M73</f>
        <v>8.3979861622944709E-3</v>
      </c>
      <c r="O50" s="9">
        <v>18</v>
      </c>
      <c r="P50" s="149">
        <f t="shared" si="110"/>
        <v>1.2857142857142858</v>
      </c>
      <c r="Q50" s="147">
        <f>P50/P73</f>
        <v>8.7061228404900284E-2</v>
      </c>
      <c r="R50" s="149">
        <f t="shared" si="111"/>
        <v>0.72321428571428581</v>
      </c>
      <c r="S50" s="147">
        <f>R50/R73</f>
        <v>1.4033435217085449E-2</v>
      </c>
      <c r="T50" s="147">
        <f t="shared" si="112"/>
        <v>2.8063796722945924E-2</v>
      </c>
      <c r="U50" s="142"/>
      <c r="V50" s="142">
        <f t="shared" si="107"/>
        <v>0</v>
      </c>
      <c r="W50" s="142"/>
      <c r="X50" s="147">
        <f>V50/V73</f>
        <v>0</v>
      </c>
      <c r="Y50" s="147">
        <f t="shared" si="113"/>
        <v>1.6838278033767553E-2</v>
      </c>
      <c r="Z50" s="147">
        <v>-0.52500000000000002</v>
      </c>
      <c r="AA50" s="149">
        <v>0.16200000000000001</v>
      </c>
      <c r="AB50" s="145">
        <v>22</v>
      </c>
      <c r="AC50" s="149">
        <v>4.4675487713696602E-2</v>
      </c>
      <c r="AD50" s="149">
        <f t="shared" si="93"/>
        <v>0.16947999196626329</v>
      </c>
      <c r="AE50" s="142">
        <v>37</v>
      </c>
      <c r="AF50" s="209"/>
      <c r="AG50" s="209"/>
      <c r="AH50" s="12"/>
      <c r="AI50" s="18"/>
      <c r="AJ50" s="30"/>
      <c r="AK50" s="34" t="e">
        <f>SUM(AL50:AM50)</f>
        <v>#DIV/0!</v>
      </c>
      <c r="AL50" s="34" t="e">
        <f>AW50*BK$24</f>
        <v>#DIV/0!</v>
      </c>
      <c r="AM50" s="30"/>
      <c r="AN50" s="30"/>
      <c r="AO50" s="30"/>
      <c r="AP50" s="209"/>
      <c r="AQ50" s="142"/>
      <c r="AR50" s="24"/>
      <c r="AS50" s="24"/>
      <c r="AT50" s="24"/>
      <c r="AU50" s="16"/>
      <c r="AV50" s="16"/>
      <c r="AW50" s="16" t="e">
        <f>AB50*BC50</f>
        <v>#DIV/0!</v>
      </c>
      <c r="AX50" s="16"/>
      <c r="AY50" s="16"/>
      <c r="AZ50" s="16"/>
      <c r="BA50" s="16"/>
      <c r="BB50" s="16"/>
      <c r="BC50" s="16" t="e">
        <f>EB50/BK$19</f>
        <v>#DIV/0!</v>
      </c>
      <c r="BD50" s="16"/>
      <c r="BE50" s="16"/>
      <c r="BF50" s="16"/>
      <c r="BG50" s="142"/>
      <c r="BH50" s="16"/>
      <c r="BI50" s="16"/>
      <c r="BJ50" s="16"/>
      <c r="BK50" s="16"/>
      <c r="BL50" s="16">
        <v>41</v>
      </c>
      <c r="BM50" s="16">
        <v>41</v>
      </c>
      <c r="BN50" s="16">
        <f t="shared" si="94"/>
        <v>0</v>
      </c>
      <c r="BO50" s="16">
        <v>32</v>
      </c>
      <c r="BP50" s="16">
        <v>52</v>
      </c>
      <c r="BQ50" s="16">
        <v>31.916599999999999</v>
      </c>
      <c r="BR50" s="16">
        <f t="shared" si="99"/>
        <v>9</v>
      </c>
      <c r="BS50" s="16">
        <v>62</v>
      </c>
      <c r="BT50" s="16">
        <v>40</v>
      </c>
      <c r="BU50" s="16"/>
      <c r="BV50" s="16"/>
      <c r="BW50" s="16"/>
      <c r="BX50" s="16"/>
      <c r="BY50" s="12"/>
      <c r="BZ50" s="12"/>
      <c r="CC50">
        <v>47</v>
      </c>
      <c r="CD50">
        <f t="shared" si="44"/>
        <v>87</v>
      </c>
      <c r="CE50" s="16">
        <f t="shared" si="117"/>
        <v>0</v>
      </c>
      <c r="CF50" s="54">
        <f t="shared" si="118"/>
        <v>47.86298</v>
      </c>
      <c r="CG50" s="16">
        <f t="shared" si="119"/>
        <v>93.788529999999994</v>
      </c>
      <c r="CH50" s="54">
        <f t="shared" si="120"/>
        <v>72.09861212563915</v>
      </c>
      <c r="CI50" s="54">
        <v>68.994079999999997</v>
      </c>
      <c r="CJ50" s="54">
        <f t="shared" si="95"/>
        <v>-20.09861212563915</v>
      </c>
      <c r="CK50" s="54">
        <f t="shared" si="96"/>
        <v>-16.994079999999997</v>
      </c>
      <c r="CL50" s="54">
        <f t="shared" si="100"/>
        <v>9.083400000000001</v>
      </c>
      <c r="CM50" s="12">
        <v>8.9999999999999993E-3</v>
      </c>
      <c r="CN50" s="16">
        <f t="shared" si="48"/>
        <v>87</v>
      </c>
      <c r="CO50" s="54">
        <f t="shared" si="49"/>
        <v>-7.8629800000000003</v>
      </c>
      <c r="CP50" s="12">
        <f t="shared" si="135"/>
        <v>-0.38493134240571897</v>
      </c>
      <c r="CQ50" s="12">
        <f t="shared" si="136"/>
        <v>-0.10705031864838842</v>
      </c>
      <c r="CR50" s="16">
        <f t="shared" si="50"/>
        <v>-31.788529999999994</v>
      </c>
      <c r="CS50" s="12">
        <f t="shared" si="137"/>
        <v>-0.17546034839384372</v>
      </c>
      <c r="CT50" s="12">
        <f t="shared" si="138"/>
        <v>-0.13462816701696831</v>
      </c>
      <c r="CU50" s="12">
        <f t="shared" si="139"/>
        <v>2.2345290008714821E-2</v>
      </c>
      <c r="CV50" s="12">
        <f t="shared" si="140"/>
        <v>3.6968542359141612E-2</v>
      </c>
      <c r="CW50" s="54">
        <v>46</v>
      </c>
      <c r="CX50" s="54">
        <f t="shared" si="121"/>
        <v>68.995586000000003</v>
      </c>
      <c r="CY50" s="54">
        <f t="shared" si="51"/>
        <v>-16.995586000000003</v>
      </c>
      <c r="CZ50" s="12">
        <f t="shared" si="141"/>
        <v>-0.1530823434286393</v>
      </c>
      <c r="DA50" s="12">
        <f t="shared" si="114"/>
        <v>-0.7725266363636365</v>
      </c>
      <c r="DB50" s="12">
        <f t="shared" si="142"/>
        <v>-0.29798747613856003</v>
      </c>
      <c r="DC50" s="54">
        <v>33</v>
      </c>
      <c r="DD50" s="54">
        <v>55</v>
      </c>
      <c r="DE50" s="54">
        <f t="shared" si="122"/>
        <v>12.7897286</v>
      </c>
      <c r="DF50" s="54">
        <v>40</v>
      </c>
      <c r="DG50" s="54">
        <v>37</v>
      </c>
      <c r="DH50" s="54">
        <f t="shared" si="52"/>
        <v>124</v>
      </c>
      <c r="DI50" s="54">
        <f t="shared" si="123"/>
        <v>181.36524225575855</v>
      </c>
      <c r="DJ50" s="16">
        <f t="shared" si="53"/>
        <v>-57.365242255758545</v>
      </c>
      <c r="DK50" s="12">
        <f t="shared" si="124"/>
        <v>-0.29754087253879208</v>
      </c>
      <c r="DL50" s="54">
        <v>6</v>
      </c>
      <c r="DM50" s="54">
        <v>4</v>
      </c>
      <c r="DN50" s="54">
        <v>6.5</v>
      </c>
      <c r="DO50" s="54">
        <f t="shared" si="54"/>
        <v>16.5</v>
      </c>
      <c r="DP50" s="54">
        <f t="shared" si="125"/>
        <v>19.528594122319301</v>
      </c>
      <c r="DQ50" s="16">
        <f t="shared" si="55"/>
        <v>-3.0285941223193014</v>
      </c>
      <c r="DR50" s="12">
        <f t="shared" si="126"/>
        <v>-0.15196451189409885</v>
      </c>
      <c r="DS50" s="54">
        <f t="shared" si="56"/>
        <v>39</v>
      </c>
      <c r="DT50" s="54">
        <f t="shared" si="127"/>
        <v>0</v>
      </c>
      <c r="DU50" s="54">
        <f t="shared" si="128"/>
        <v>9.5777940102264427</v>
      </c>
      <c r="DV50" s="54">
        <f t="shared" si="57"/>
        <v>42.210271399999996</v>
      </c>
      <c r="DW50" s="54">
        <f t="shared" si="58"/>
        <v>39</v>
      </c>
      <c r="DX50" s="54">
        <f t="shared" si="115"/>
        <v>23.422205989773559</v>
      </c>
      <c r="DY50" s="12">
        <f t="shared" si="143"/>
        <v>1.2105377024570447</v>
      </c>
      <c r="DZ50" s="12">
        <f t="shared" si="144"/>
        <v>0.568124101101948</v>
      </c>
      <c r="EA50" s="12">
        <f t="shared" si="145"/>
        <v>1.1951340657014551</v>
      </c>
      <c r="EB50" s="14">
        <f t="shared" si="59"/>
        <v>0.17103916431887839</v>
      </c>
      <c r="EC50" s="14">
        <f t="shared" si="60"/>
        <v>0.21849577743907245</v>
      </c>
      <c r="ED50" s="14">
        <f t="shared" si="116"/>
        <v>0.19781239116263755</v>
      </c>
      <c r="EE50" s="54">
        <v>4</v>
      </c>
      <c r="EF50" s="54">
        <f t="shared" si="102"/>
        <v>42</v>
      </c>
      <c r="EG50" s="12">
        <v>1.5109999999999999</v>
      </c>
      <c r="EH50" s="12">
        <v>0.38400000000000001</v>
      </c>
      <c r="EI50" s="12">
        <f t="shared" si="103"/>
        <v>0.4054764067693562</v>
      </c>
      <c r="EJ50" s="16">
        <v>0</v>
      </c>
      <c r="EK50" s="16">
        <v>0</v>
      </c>
      <c r="EL50" s="16">
        <v>33947</v>
      </c>
      <c r="EM50" s="12">
        <f t="shared" si="151"/>
        <v>-0.26114678237761879</v>
      </c>
      <c r="EN50" s="14">
        <f t="shared" si="61"/>
        <v>-0.14666748152880221</v>
      </c>
      <c r="EO50" s="16">
        <v>0</v>
      </c>
      <c r="EP50" s="16">
        <v>0</v>
      </c>
      <c r="EQ50" s="16">
        <f t="shared" si="129"/>
        <v>54287.134000000005</v>
      </c>
      <c r="ER50" s="16">
        <v>0</v>
      </c>
      <c r="ES50" s="16">
        <f t="shared" si="62"/>
        <v>0</v>
      </c>
      <c r="ET50" s="16">
        <f t="shared" si="130"/>
        <v>0</v>
      </c>
      <c r="EU50" s="16">
        <f t="shared" si="131"/>
        <v>41813.338203067928</v>
      </c>
      <c r="EV50" s="16">
        <f t="shared" si="63"/>
        <v>-54287.134000000005</v>
      </c>
      <c r="EW50" s="16">
        <f t="shared" si="64"/>
        <v>0</v>
      </c>
      <c r="EX50" s="16">
        <f t="shared" si="65"/>
        <v>-41813.338203067928</v>
      </c>
      <c r="EY50" s="12">
        <f t="shared" si="146"/>
        <v>-0.34982366135262349</v>
      </c>
      <c r="EZ50" s="17">
        <f t="shared" si="147"/>
        <v>-0.1925545075424436</v>
      </c>
      <c r="FA50" s="17">
        <f t="shared" si="148"/>
        <v>-0.23509349240953673</v>
      </c>
      <c r="FB50" s="17">
        <f t="shared" si="97"/>
        <v>4.1665631680605081E-2</v>
      </c>
      <c r="FC50" s="16">
        <v>30442.03</v>
      </c>
      <c r="FD50">
        <f t="shared" si="104"/>
        <v>-33947</v>
      </c>
      <c r="FE50" s="16">
        <f t="shared" si="105"/>
        <v>-30442.03</v>
      </c>
      <c r="FF50" s="12">
        <v>-0.17199999999999999</v>
      </c>
      <c r="FG50" s="12">
        <f t="shared" si="149"/>
        <v>-0.18451463023837611</v>
      </c>
      <c r="FH50" s="12">
        <f t="shared" si="68"/>
        <v>8.5861016275123464E-3</v>
      </c>
      <c r="FI50" s="12">
        <f t="shared" si="69"/>
        <v>5.4075663446466027E-2</v>
      </c>
      <c r="FJ50" s="16">
        <v>0</v>
      </c>
      <c r="FK50" s="16">
        <v>21234</v>
      </c>
      <c r="FL50" s="16">
        <f t="shared" si="70"/>
        <v>21234</v>
      </c>
      <c r="FM50" s="16">
        <f t="shared" si="132"/>
        <v>179779.35583796664</v>
      </c>
      <c r="FN50" s="16">
        <f t="shared" si="71"/>
        <v>-158545.35583796664</v>
      </c>
      <c r="FO50" s="12">
        <f t="shared" si="133"/>
        <v>-0.36236423898369963</v>
      </c>
      <c r="FP50" s="12">
        <f t="shared" si="134"/>
        <v>-0.30163376502005113</v>
      </c>
      <c r="FQ50" s="12">
        <f t="shared" si="72"/>
        <v>-0.22792995345833073</v>
      </c>
    </row>
    <row r="51" spans="1:173" x14ac:dyDescent="0.35">
      <c r="A51" s="8" t="s">
        <v>221</v>
      </c>
      <c r="B51" s="8" t="s">
        <v>24</v>
      </c>
      <c r="C51" s="144">
        <f t="shared" si="108"/>
        <v>15</v>
      </c>
      <c r="D51" s="144">
        <v>15</v>
      </c>
      <c r="E51" s="144">
        <v>0</v>
      </c>
      <c r="F51" s="144">
        <v>0</v>
      </c>
      <c r="G51" s="144">
        <v>0</v>
      </c>
      <c r="H51" s="157">
        <v>0</v>
      </c>
      <c r="I51" s="144">
        <v>0</v>
      </c>
      <c r="J51" s="157">
        <v>0</v>
      </c>
      <c r="K51" s="144"/>
      <c r="L51" s="9">
        <v>12.5</v>
      </c>
      <c r="M51" s="149">
        <f t="shared" si="109"/>
        <v>0.83333333333333337</v>
      </c>
      <c r="N51" s="149">
        <f>M51/M73</f>
        <v>1.3063534030235843E-2</v>
      </c>
      <c r="O51" s="9">
        <v>4.5</v>
      </c>
      <c r="P51" s="149">
        <f t="shared" si="110"/>
        <v>0.3</v>
      </c>
      <c r="Q51" s="147">
        <f>P51/P73</f>
        <v>2.0314286627810062E-2</v>
      </c>
      <c r="R51" s="149">
        <f t="shared" si="111"/>
        <v>0.7</v>
      </c>
      <c r="S51" s="147">
        <f>R51/R73</f>
        <v>1.3582979271845666E-2</v>
      </c>
      <c r="T51" s="147">
        <f t="shared" si="112"/>
        <v>1.4876222179629398E-2</v>
      </c>
      <c r="U51" s="142"/>
      <c r="V51" s="142">
        <f t="shared" si="107"/>
        <v>0</v>
      </c>
      <c r="W51" s="142"/>
      <c r="X51" s="147">
        <f>V51/V73</f>
        <v>0</v>
      </c>
      <c r="Y51" s="147">
        <f t="shared" si="113"/>
        <v>8.9257333077776384E-3</v>
      </c>
      <c r="Z51" s="147">
        <v>-0.30299999999999999</v>
      </c>
      <c r="AA51" s="149">
        <v>0.193</v>
      </c>
      <c r="AB51" s="145">
        <v>37</v>
      </c>
      <c r="AC51" s="149">
        <v>-9.6400863205664752E-3</v>
      </c>
      <c r="AD51" s="149">
        <f t="shared" si="93"/>
        <v>0.20847376651553329</v>
      </c>
      <c r="AE51" s="142">
        <v>25</v>
      </c>
      <c r="AF51" s="209"/>
      <c r="AG51" s="209"/>
      <c r="AH51" s="12"/>
      <c r="AI51" s="12"/>
      <c r="AJ51" s="23"/>
      <c r="AK51" s="30"/>
      <c r="AL51" s="23"/>
      <c r="AM51" s="30"/>
      <c r="AN51" s="30"/>
      <c r="AO51" s="30"/>
      <c r="AP51" s="209"/>
      <c r="AQ51" s="142"/>
      <c r="AR51" s="24"/>
      <c r="AS51" s="24"/>
      <c r="AT51" s="24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>
        <v>90</v>
      </c>
      <c r="BM51" s="16">
        <v>90</v>
      </c>
      <c r="BN51" s="16">
        <f t="shared" si="94"/>
        <v>0</v>
      </c>
      <c r="BO51" s="16">
        <v>34</v>
      </c>
      <c r="BP51" s="16">
        <v>147</v>
      </c>
      <c r="BQ51" s="16">
        <v>34.196350000000002</v>
      </c>
      <c r="BR51" s="16">
        <f t="shared" si="99"/>
        <v>56</v>
      </c>
      <c r="BS51" s="16">
        <v>154</v>
      </c>
      <c r="BT51" s="16">
        <v>108</v>
      </c>
      <c r="BU51" s="16"/>
      <c r="BV51" s="16"/>
      <c r="BW51" s="16"/>
      <c r="BX51" s="16"/>
      <c r="BY51" s="12"/>
      <c r="BZ51" s="12"/>
      <c r="CC51">
        <v>97</v>
      </c>
      <c r="CD51">
        <f t="shared" si="44"/>
        <v>205</v>
      </c>
      <c r="CE51" s="16">
        <f t="shared" si="117"/>
        <v>0</v>
      </c>
      <c r="CF51" s="54">
        <f t="shared" si="118"/>
        <v>80.496830000000003</v>
      </c>
      <c r="CG51" s="16">
        <f t="shared" si="119"/>
        <v>157.735255</v>
      </c>
      <c r="CH51" s="54">
        <f t="shared" si="120"/>
        <v>121.25675675675676</v>
      </c>
      <c r="CI51" s="54">
        <v>116.0355</v>
      </c>
      <c r="CJ51" s="54">
        <f t="shared" si="95"/>
        <v>25.743243243243242</v>
      </c>
      <c r="CK51" s="54">
        <f t="shared" si="96"/>
        <v>30.964500000000001</v>
      </c>
      <c r="CL51" s="54">
        <f t="shared" si="100"/>
        <v>55.803649999999998</v>
      </c>
      <c r="CM51" s="12">
        <v>0.42899999999999999</v>
      </c>
      <c r="CN51" s="16">
        <f t="shared" si="48"/>
        <v>205</v>
      </c>
      <c r="CO51" s="54">
        <f t="shared" si="49"/>
        <v>27.503169999999997</v>
      </c>
      <c r="CP51" s="14">
        <f t="shared" si="135"/>
        <v>0.2084137917451124</v>
      </c>
      <c r="CQ51" s="14">
        <f t="shared" si="136"/>
        <v>0.22150064041385206</v>
      </c>
      <c r="CR51" s="16">
        <f t="shared" si="50"/>
        <v>-3.7352549999999951</v>
      </c>
      <c r="CS51" s="12">
        <f t="shared" si="137"/>
        <v>-2.7401376459843519E-2</v>
      </c>
      <c r="CT51" s="12">
        <f t="shared" si="138"/>
        <v>0.17243805837163384</v>
      </c>
      <c r="CU51" s="14">
        <f t="shared" si="139"/>
        <v>0.33658766995890754</v>
      </c>
      <c r="CV51" s="12">
        <f t="shared" si="140"/>
        <v>0.45434739048751627</v>
      </c>
      <c r="CW51" s="54">
        <v>3</v>
      </c>
      <c r="CX51" s="54">
        <f t="shared" si="121"/>
        <v>116.03803099999999</v>
      </c>
      <c r="CY51" s="54">
        <f t="shared" si="51"/>
        <v>30.961969000000011</v>
      </c>
      <c r="CZ51" s="12">
        <f t="shared" si="141"/>
        <v>0.16948353930659701</v>
      </c>
      <c r="DA51" s="12">
        <f t="shared" si="114"/>
        <v>0.83680997297297322</v>
      </c>
      <c r="DB51" s="12">
        <f t="shared" si="142"/>
        <v>0.25441851304279151</v>
      </c>
      <c r="DC51" s="54">
        <v>9</v>
      </c>
      <c r="DD51" s="54">
        <v>10</v>
      </c>
      <c r="DE51" s="54">
        <f t="shared" si="122"/>
        <v>21.509998100000001</v>
      </c>
      <c r="DF51" s="54">
        <v>24</v>
      </c>
      <c r="DG51" s="54">
        <v>49.5</v>
      </c>
      <c r="DH51" s="54">
        <f t="shared" si="52"/>
        <v>170.5</v>
      </c>
      <c r="DI51" s="54">
        <f t="shared" si="123"/>
        <v>122.54408260524225</v>
      </c>
      <c r="DJ51" s="16">
        <f t="shared" si="53"/>
        <v>47.955917394757748</v>
      </c>
      <c r="DK51" s="12">
        <f t="shared" si="124"/>
        <v>0.24873677760163368</v>
      </c>
      <c r="DL51" s="54">
        <v>0</v>
      </c>
      <c r="DM51" s="54">
        <v>2</v>
      </c>
      <c r="DN51" s="54">
        <v>0</v>
      </c>
      <c r="DO51" s="54">
        <f t="shared" si="54"/>
        <v>2</v>
      </c>
      <c r="DP51" s="54">
        <f t="shared" si="125"/>
        <v>13.194996028594122</v>
      </c>
      <c r="DQ51" s="16">
        <f t="shared" si="55"/>
        <v>-11.194996028594122</v>
      </c>
      <c r="DR51" s="12">
        <f t="shared" si="126"/>
        <v>-0.56172667529278142</v>
      </c>
      <c r="DS51" s="54">
        <f t="shared" si="56"/>
        <v>9</v>
      </c>
      <c r="DT51" s="54">
        <f t="shared" si="127"/>
        <v>0</v>
      </c>
      <c r="DU51" s="54">
        <f t="shared" si="128"/>
        <v>16.108108108108109</v>
      </c>
      <c r="DV51" s="54">
        <f t="shared" si="57"/>
        <v>-11.509998100000001</v>
      </c>
      <c r="DW51" s="54">
        <f t="shared" si="58"/>
        <v>9</v>
      </c>
      <c r="DX51" s="54">
        <f t="shared" si="115"/>
        <v>-7.1081081081081088</v>
      </c>
      <c r="DY51" s="12">
        <f t="shared" si="143"/>
        <v>-0.45066063250878219</v>
      </c>
      <c r="DZ51" s="12">
        <f t="shared" si="144"/>
        <v>-0.44332801866325605</v>
      </c>
      <c r="EA51" s="12">
        <f t="shared" si="145"/>
        <v>-0.36269607339282273</v>
      </c>
      <c r="EB51" s="12">
        <f t="shared" si="59"/>
        <v>-0.13321619047207819</v>
      </c>
      <c r="EC51" s="12">
        <f t="shared" si="60"/>
        <v>7.5451461962183358E-2</v>
      </c>
      <c r="ED51" s="12">
        <f t="shared" si="116"/>
        <v>3.8654525430519698E-2</v>
      </c>
      <c r="EE51" s="54">
        <v>5</v>
      </c>
      <c r="EF51" s="54">
        <f t="shared" si="102"/>
        <v>-2</v>
      </c>
      <c r="EG51" s="12">
        <v>-0.24199999999999999</v>
      </c>
      <c r="EH51" s="12">
        <v>0.26100000000000001</v>
      </c>
      <c r="EI51" s="12">
        <f t="shared" si="103"/>
        <v>0.28026054286563717</v>
      </c>
      <c r="EJ51" s="16">
        <v>50580</v>
      </c>
      <c r="EK51" s="16">
        <v>50580</v>
      </c>
      <c r="EL51" s="16">
        <v>36119</v>
      </c>
      <c r="EM51" s="12">
        <f t="shared" si="151"/>
        <v>4.6120914378029898E-2</v>
      </c>
      <c r="EN51" s="12">
        <f t="shared" si="61"/>
        <v>4.5478339143020283E-2</v>
      </c>
      <c r="EO51" s="16">
        <v>50580</v>
      </c>
      <c r="EP51" s="16">
        <v>50580</v>
      </c>
      <c r="EQ51" s="16">
        <f t="shared" si="129"/>
        <v>91301.089000000007</v>
      </c>
      <c r="ER51" s="16">
        <v>0</v>
      </c>
      <c r="ES51" s="16">
        <f t="shared" si="62"/>
        <v>50580</v>
      </c>
      <c r="ET51" s="16">
        <f t="shared" si="130"/>
        <v>0</v>
      </c>
      <c r="EU51" s="16">
        <f t="shared" si="131"/>
        <v>70322.432432432426</v>
      </c>
      <c r="EV51" s="16">
        <f t="shared" si="63"/>
        <v>-40721.089000000007</v>
      </c>
      <c r="EW51" s="16">
        <f t="shared" si="64"/>
        <v>50580</v>
      </c>
      <c r="EX51" s="16">
        <f t="shared" si="65"/>
        <v>-19742.432432432426</v>
      </c>
      <c r="EY51" s="12">
        <f t="shared" si="146"/>
        <v>-0.23357158865312558</v>
      </c>
      <c r="EZ51" s="17">
        <f t="shared" si="147"/>
        <v>-9.0915830165362643E-2</v>
      </c>
      <c r="FA51" s="17">
        <f t="shared" si="148"/>
        <v>-0.18085518485231933</v>
      </c>
      <c r="FB51" s="17">
        <f t="shared" si="97"/>
        <v>-1.3173616807833237E-2</v>
      </c>
      <c r="FC51" s="16">
        <v>32446.44</v>
      </c>
      <c r="FD51">
        <f t="shared" si="104"/>
        <v>14461</v>
      </c>
      <c r="FE51" s="16">
        <f t="shared" si="105"/>
        <v>18133.560000000001</v>
      </c>
      <c r="FF51" s="12">
        <v>9.0999999999999998E-2</v>
      </c>
      <c r="FG51" s="12">
        <f t="shared" si="149"/>
        <v>0.10079360199037748</v>
      </c>
      <c r="FH51" s="12">
        <f t="shared" si="68"/>
        <v>-0.15227178822417464</v>
      </c>
      <c r="FI51" s="12">
        <f t="shared" si="69"/>
        <v>8.904545111164959E-3</v>
      </c>
      <c r="FJ51" s="16">
        <v>0</v>
      </c>
      <c r="FK51" s="16">
        <v>0</v>
      </c>
      <c r="FL51" s="16">
        <f t="shared" si="70"/>
        <v>0</v>
      </c>
      <c r="FM51" s="16">
        <f t="shared" si="132"/>
        <v>121472.53772835583</v>
      </c>
      <c r="FN51" s="16">
        <f t="shared" si="71"/>
        <v>-121472.53772835583</v>
      </c>
      <c r="FO51" s="12">
        <f t="shared" si="133"/>
        <v>-0.27763224888365751</v>
      </c>
      <c r="FP51" s="12">
        <f t="shared" si="134"/>
        <v>-8.3380350926645072E-2</v>
      </c>
      <c r="FQ51" s="12">
        <f t="shared" si="72"/>
        <v>-6.614163197543807E-2</v>
      </c>
    </row>
    <row r="52" spans="1:173" x14ac:dyDescent="0.35">
      <c r="A52" s="7" t="s">
        <v>221</v>
      </c>
      <c r="B52" s="7" t="s">
        <v>126</v>
      </c>
      <c r="C52" s="144">
        <f t="shared" si="108"/>
        <v>29</v>
      </c>
      <c r="D52" s="144">
        <v>18</v>
      </c>
      <c r="E52" s="144">
        <v>0</v>
      </c>
      <c r="F52" s="144">
        <v>0</v>
      </c>
      <c r="G52" s="144">
        <v>9</v>
      </c>
      <c r="H52" s="157">
        <v>2</v>
      </c>
      <c r="I52" s="144">
        <v>0</v>
      </c>
      <c r="J52" s="157">
        <v>0</v>
      </c>
      <c r="K52" s="144"/>
      <c r="L52" s="9">
        <v>23.5</v>
      </c>
      <c r="M52" s="149">
        <f t="shared" si="109"/>
        <v>0.81034482758620685</v>
      </c>
      <c r="N52" s="149">
        <f>M52/M73</f>
        <v>1.2703160677677612E-2</v>
      </c>
      <c r="O52" s="9">
        <v>2.5</v>
      </c>
      <c r="P52" s="149">
        <f t="shared" si="110"/>
        <v>8.6206896551724144E-2</v>
      </c>
      <c r="Q52" s="147">
        <f>P52/P73</f>
        <v>5.8374386861523176E-3</v>
      </c>
      <c r="R52" s="149">
        <f t="shared" si="111"/>
        <v>0.62931034482758619</v>
      </c>
      <c r="S52" s="147">
        <f>R52/R73</f>
        <v>1.2211299099073075E-2</v>
      </c>
      <c r="T52" s="147">
        <f t="shared" si="112"/>
        <v>1.0986730179796287E-2</v>
      </c>
      <c r="U52" s="142"/>
      <c r="V52" s="142">
        <f t="shared" si="107"/>
        <v>0</v>
      </c>
      <c r="W52" s="142"/>
      <c r="X52" s="147">
        <f>V52/V73</f>
        <v>0</v>
      </c>
      <c r="Y52" s="147">
        <f t="shared" si="113"/>
        <v>6.5920381078777724E-3</v>
      </c>
      <c r="Z52" s="147">
        <v>-0.187</v>
      </c>
      <c r="AA52" s="149">
        <v>-0.20300000000000001</v>
      </c>
      <c r="AB52" s="145">
        <v>23</v>
      </c>
      <c r="AC52" s="149">
        <v>-6.9011671712928255E-2</v>
      </c>
      <c r="AD52" s="149">
        <f t="shared" si="93"/>
        <v>-0.19645948066731855</v>
      </c>
      <c r="AE52" s="142">
        <v>21</v>
      </c>
      <c r="AF52" s="209"/>
      <c r="AG52" s="209"/>
      <c r="AH52" s="12"/>
      <c r="AI52" s="12"/>
      <c r="AJ52" s="23"/>
      <c r="AK52" s="30"/>
      <c r="AL52" s="23"/>
      <c r="AM52" s="30"/>
      <c r="AN52" s="30"/>
      <c r="AO52" s="30"/>
      <c r="AP52" s="209"/>
      <c r="AQ52" s="142"/>
      <c r="AR52" s="24"/>
      <c r="AS52" s="24"/>
      <c r="AT52" s="24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>
        <v>68</v>
      </c>
      <c r="BM52" s="16">
        <v>68</v>
      </c>
      <c r="BN52" s="16">
        <f t="shared" si="94"/>
        <v>0</v>
      </c>
      <c r="BO52" s="16">
        <v>66</v>
      </c>
      <c r="BP52" s="16">
        <v>95</v>
      </c>
      <c r="BQ52" s="16">
        <v>66.112949999999998</v>
      </c>
      <c r="BR52" s="16">
        <f t="shared" si="99"/>
        <v>2</v>
      </c>
      <c r="BS52" s="16">
        <v>122</v>
      </c>
      <c r="BT52" s="16">
        <v>87</v>
      </c>
      <c r="BU52" s="16"/>
      <c r="BV52" s="16"/>
      <c r="BW52" s="16"/>
      <c r="BX52" s="16"/>
      <c r="BY52" s="12"/>
      <c r="BZ52" s="12"/>
      <c r="CC52">
        <v>43</v>
      </c>
      <c r="CD52">
        <f t="shared" si="44"/>
        <v>130</v>
      </c>
      <c r="CE52" s="16">
        <f t="shared" si="117"/>
        <v>0</v>
      </c>
      <c r="CF52" s="54">
        <f t="shared" si="118"/>
        <v>50.03857</v>
      </c>
      <c r="CG52" s="16">
        <f t="shared" si="119"/>
        <v>98.051644999999994</v>
      </c>
      <c r="CH52" s="54">
        <f t="shared" si="120"/>
        <v>75.37582176771366</v>
      </c>
      <c r="CI52" s="54">
        <v>72.130179999999996</v>
      </c>
      <c r="CJ52" s="54">
        <f t="shared" si="95"/>
        <v>19.62417823228634</v>
      </c>
      <c r="CK52" s="54">
        <f t="shared" si="96"/>
        <v>22.869820000000004</v>
      </c>
      <c r="CL52" s="54">
        <f t="shared" si="100"/>
        <v>1.8870500000000021</v>
      </c>
      <c r="CM52" s="12">
        <v>-5.3999999999999999E-2</v>
      </c>
      <c r="CN52" s="16">
        <f t="shared" si="48"/>
        <v>130</v>
      </c>
      <c r="CO52" s="54">
        <f t="shared" si="49"/>
        <v>36.96143</v>
      </c>
      <c r="CP52" s="14">
        <f t="shared" si="135"/>
        <v>-0.16871235284228039</v>
      </c>
      <c r="CQ52" s="14">
        <f t="shared" si="136"/>
        <v>0.30936772218724351</v>
      </c>
      <c r="CR52" s="16">
        <f t="shared" si="50"/>
        <v>23.948355000000006</v>
      </c>
      <c r="CS52" s="12">
        <f t="shared" si="137"/>
        <v>0.11870658548120643</v>
      </c>
      <c r="CT52" s="12">
        <f t="shared" si="138"/>
        <v>0.13145022791184305</v>
      </c>
      <c r="CU52" s="12">
        <f t="shared" si="139"/>
        <v>-2.6057664833234209E-2</v>
      </c>
      <c r="CV52" s="12">
        <f t="shared" si="140"/>
        <v>-2.732058866495669E-2</v>
      </c>
      <c r="CW52" s="54">
        <v>5</v>
      </c>
      <c r="CX52" s="54">
        <f t="shared" si="121"/>
        <v>72.131748999999999</v>
      </c>
      <c r="CY52" s="54">
        <f t="shared" si="51"/>
        <v>22.868251000000001</v>
      </c>
      <c r="CZ52" s="12">
        <f t="shared" si="141"/>
        <v>0.1150446236596239</v>
      </c>
      <c r="DA52" s="12">
        <f t="shared" si="114"/>
        <v>0.99427178260869564</v>
      </c>
      <c r="DB52" s="14">
        <f t="shared" si="142"/>
        <v>0.30846739641838461</v>
      </c>
      <c r="DC52" s="54">
        <v>3</v>
      </c>
      <c r="DD52" s="54">
        <v>6</v>
      </c>
      <c r="DE52" s="54">
        <f t="shared" si="122"/>
        <v>13.3710799</v>
      </c>
      <c r="DF52" s="54">
        <v>57</v>
      </c>
      <c r="DG52" s="54">
        <v>18</v>
      </c>
      <c r="DH52" s="54">
        <f t="shared" si="52"/>
        <v>118</v>
      </c>
      <c r="DI52" s="54">
        <f t="shared" si="123"/>
        <v>102.93702938840349</v>
      </c>
      <c r="DJ52" s="16">
        <f t="shared" si="53"/>
        <v>15.062970611596512</v>
      </c>
      <c r="DK52" s="12">
        <f t="shared" si="124"/>
        <v>7.8128309801580254E-2</v>
      </c>
      <c r="DL52" s="54">
        <v>5</v>
      </c>
      <c r="DM52" s="54">
        <v>0</v>
      </c>
      <c r="DN52" s="54">
        <v>2</v>
      </c>
      <c r="DO52" s="54">
        <f t="shared" si="54"/>
        <v>7</v>
      </c>
      <c r="DP52" s="54">
        <f t="shared" si="125"/>
        <v>11.083796664019063</v>
      </c>
      <c r="DQ52" s="16">
        <f t="shared" si="55"/>
        <v>-4.0837966640190633</v>
      </c>
      <c r="DR52" s="12">
        <f t="shared" si="126"/>
        <v>-0.20491097243732206</v>
      </c>
      <c r="DS52" s="54">
        <f t="shared" si="56"/>
        <v>8</v>
      </c>
      <c r="DT52" s="54">
        <f t="shared" si="127"/>
        <v>0</v>
      </c>
      <c r="DU52" s="54">
        <f t="shared" si="128"/>
        <v>10.013148283418554</v>
      </c>
      <c r="DV52" s="54">
        <f t="shared" si="57"/>
        <v>-7.3710798999999998</v>
      </c>
      <c r="DW52" s="54">
        <f t="shared" si="58"/>
        <v>8</v>
      </c>
      <c r="DX52" s="54">
        <f t="shared" si="115"/>
        <v>-7.0131482834185537</v>
      </c>
      <c r="DY52" s="12">
        <f t="shared" si="143"/>
        <v>-0.32267236874179273</v>
      </c>
      <c r="DZ52" s="12">
        <f t="shared" si="144"/>
        <v>-0.47704308932209621</v>
      </c>
      <c r="EA52" s="12">
        <f t="shared" si="145"/>
        <v>-0.35785068344923343</v>
      </c>
      <c r="EB52" s="12">
        <f t="shared" si="59"/>
        <v>8.3618469254566341E-3</v>
      </c>
      <c r="EC52" s="12">
        <f t="shared" si="60"/>
        <v>0.14256312077812427</v>
      </c>
      <c r="ED52" s="12">
        <f t="shared" si="116"/>
        <v>9.1250000715739354E-3</v>
      </c>
      <c r="EE52" s="54">
        <v>9</v>
      </c>
      <c r="EF52" s="54">
        <f t="shared" si="102"/>
        <v>-4</v>
      </c>
      <c r="EG52" s="12">
        <v>-0.32200000000000001</v>
      </c>
      <c r="EH52" s="12">
        <v>-0.121</v>
      </c>
      <c r="EI52" s="12">
        <f t="shared" si="103"/>
        <v>-0.10099044149871753</v>
      </c>
      <c r="EJ52" s="16">
        <v>2817</v>
      </c>
      <c r="EK52" s="16">
        <v>2817</v>
      </c>
      <c r="EL52" s="16">
        <v>65316</v>
      </c>
      <c r="EM52" s="12">
        <f t="shared" si="151"/>
        <v>7.3684892418546741E-3</v>
      </c>
      <c r="EN52" s="12">
        <f t="shared" si="61"/>
        <v>-0.24579503696223437</v>
      </c>
      <c r="EO52" s="16">
        <v>2817</v>
      </c>
      <c r="EP52" s="16">
        <v>2817</v>
      </c>
      <c r="EQ52" s="16">
        <f t="shared" si="129"/>
        <v>56754.731000000007</v>
      </c>
      <c r="ER52" s="16">
        <v>0</v>
      </c>
      <c r="ES52" s="16">
        <f t="shared" si="62"/>
        <v>2817</v>
      </c>
      <c r="ET52" s="16">
        <f t="shared" si="130"/>
        <v>0</v>
      </c>
      <c r="EU52" s="16">
        <f t="shared" si="131"/>
        <v>43713.94448502556</v>
      </c>
      <c r="EV52" s="16">
        <f t="shared" si="63"/>
        <v>-53937.731000000007</v>
      </c>
      <c r="EW52" s="16">
        <f t="shared" si="64"/>
        <v>2817</v>
      </c>
      <c r="EX52" s="16">
        <f t="shared" si="65"/>
        <v>-40896.94448502556</v>
      </c>
      <c r="EY52" s="12">
        <f t="shared" si="146"/>
        <v>-0.34334912420761587</v>
      </c>
      <c r="EZ52" s="17">
        <f t="shared" si="147"/>
        <v>-0.18833442494019662</v>
      </c>
      <c r="FA52" s="17">
        <f t="shared" si="148"/>
        <v>-0.23369654677243951</v>
      </c>
      <c r="FB52" s="17">
        <f t="shared" si="97"/>
        <v>-6.9858769933134293E-2</v>
      </c>
      <c r="FC52" s="16">
        <v>59674.06</v>
      </c>
      <c r="FD52">
        <f t="shared" si="104"/>
        <v>-62499</v>
      </c>
      <c r="FE52" s="16">
        <f t="shared" si="105"/>
        <v>-56857.06</v>
      </c>
      <c r="FF52" s="12">
        <v>-0.32700000000000001</v>
      </c>
      <c r="FG52" s="12">
        <f t="shared" si="149"/>
        <v>-0.33966303942022014</v>
      </c>
      <c r="FH52" s="12">
        <f t="shared" si="68"/>
        <v>-8.8461510553701828E-2</v>
      </c>
      <c r="FI52" s="12">
        <f t="shared" si="69"/>
        <v>1.020410249079591E-2</v>
      </c>
      <c r="FJ52" s="16">
        <v>0</v>
      </c>
      <c r="FK52" s="16">
        <v>0</v>
      </c>
      <c r="FL52" s="16">
        <f t="shared" si="70"/>
        <v>0</v>
      </c>
      <c r="FM52" s="16">
        <f t="shared" si="132"/>
        <v>102036.9316918189</v>
      </c>
      <c r="FN52" s="16">
        <f t="shared" si="71"/>
        <v>-102036.9316918189</v>
      </c>
      <c r="FO52" s="12">
        <f t="shared" si="133"/>
        <v>-0.23321108906227234</v>
      </c>
      <c r="FP52" s="12">
        <f t="shared" si="134"/>
        <v>-8.886334207979614E-2</v>
      </c>
      <c r="FQ52" s="12">
        <f t="shared" si="72"/>
        <v>-0.28481667186038695</v>
      </c>
    </row>
    <row r="53" spans="1:173" x14ac:dyDescent="0.35">
      <c r="A53" s="8" t="s">
        <v>223</v>
      </c>
      <c r="B53" s="8" t="s">
        <v>49</v>
      </c>
      <c r="C53" s="144">
        <f t="shared" si="108"/>
        <v>32</v>
      </c>
      <c r="D53" s="144">
        <v>26</v>
      </c>
      <c r="E53" s="144">
        <v>6</v>
      </c>
      <c r="F53" s="144">
        <v>0</v>
      </c>
      <c r="G53" s="144">
        <v>0</v>
      </c>
      <c r="H53" s="144">
        <v>0</v>
      </c>
      <c r="I53" s="144">
        <v>0</v>
      </c>
      <c r="J53" s="144">
        <v>0</v>
      </c>
      <c r="K53" s="144"/>
      <c r="L53" s="9">
        <v>10.5</v>
      </c>
      <c r="M53" s="149">
        <f t="shared" si="109"/>
        <v>0.328125</v>
      </c>
      <c r="N53" s="149">
        <f>M53/M73</f>
        <v>5.143766524405363E-3</v>
      </c>
      <c r="O53" s="9">
        <v>5.5</v>
      </c>
      <c r="P53" s="149">
        <f t="shared" si="110"/>
        <v>0.171875</v>
      </c>
      <c r="Q53" s="147">
        <f>P53/P73</f>
        <v>1.1638393380516181E-2</v>
      </c>
      <c r="R53" s="149">
        <f t="shared" si="111"/>
        <v>0.2890625</v>
      </c>
      <c r="S53" s="147">
        <f>R53/R73</f>
        <v>5.6090427796684113E-3</v>
      </c>
      <c r="T53" s="147">
        <f t="shared" si="112"/>
        <v>6.7674232384330674E-3</v>
      </c>
      <c r="U53" s="142"/>
      <c r="V53" s="142">
        <f t="shared" si="107"/>
        <v>0</v>
      </c>
      <c r="W53" s="142"/>
      <c r="X53" s="147">
        <f>V53/V73</f>
        <v>0</v>
      </c>
      <c r="Y53" s="147">
        <f t="shared" si="113"/>
        <v>4.0604539430598406E-3</v>
      </c>
      <c r="Z53" s="147">
        <v>-0.32600000000000001</v>
      </c>
      <c r="AA53" s="149">
        <v>-0.42899999999999999</v>
      </c>
      <c r="AB53" s="145">
        <v>26</v>
      </c>
      <c r="AC53" s="149">
        <v>-0.16664053256311911</v>
      </c>
      <c r="AD53" s="149">
        <f t="shared" si="93"/>
        <v>-0.4268713405056711</v>
      </c>
      <c r="AE53" s="142">
        <v>16</v>
      </c>
      <c r="AF53" s="209"/>
      <c r="AG53" s="209"/>
      <c r="AH53" s="12"/>
      <c r="AI53" s="12"/>
      <c r="AJ53" s="23"/>
      <c r="AK53" s="30"/>
      <c r="AL53" s="23"/>
      <c r="AM53" s="30"/>
      <c r="AN53" s="30"/>
      <c r="AO53" s="30"/>
      <c r="AP53" s="209"/>
      <c r="AQ53" s="142"/>
      <c r="AR53" s="24"/>
      <c r="AS53" s="24"/>
      <c r="AT53" s="24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>
        <v>21</v>
      </c>
      <c r="BM53" s="16">
        <v>21</v>
      </c>
      <c r="BN53" s="16">
        <f t="shared" si="94"/>
        <v>0</v>
      </c>
      <c r="BO53" s="16">
        <v>72</v>
      </c>
      <c r="BP53" s="16">
        <v>41</v>
      </c>
      <c r="BQ53" s="16">
        <v>72.952219999999997</v>
      </c>
      <c r="BR53" s="16">
        <f t="shared" si="99"/>
        <v>-51</v>
      </c>
      <c r="BS53" s="16">
        <v>52</v>
      </c>
      <c r="BT53" s="16">
        <v>15</v>
      </c>
      <c r="BU53" s="16"/>
      <c r="BV53" s="16"/>
      <c r="BW53" s="16"/>
      <c r="BX53" s="16"/>
      <c r="BY53" s="12"/>
      <c r="BZ53" s="12"/>
      <c r="CC53">
        <v>12</v>
      </c>
      <c r="CD53">
        <f t="shared" si="44"/>
        <v>27</v>
      </c>
      <c r="CE53" s="16">
        <f t="shared" si="117"/>
        <v>0</v>
      </c>
      <c r="CF53" s="54">
        <f t="shared" si="118"/>
        <v>56.565340000000006</v>
      </c>
      <c r="CG53" s="16">
        <f t="shared" si="119"/>
        <v>110.84099000000001</v>
      </c>
      <c r="CH53" s="54">
        <f t="shared" si="120"/>
        <v>85.207450693937176</v>
      </c>
      <c r="CI53" s="54">
        <v>81.538460000000001</v>
      </c>
      <c r="CJ53" s="54">
        <f t="shared" si="95"/>
        <v>-44.207450693937176</v>
      </c>
      <c r="CK53" s="54">
        <f t="shared" si="96"/>
        <v>-40.538460000000001</v>
      </c>
      <c r="CL53" s="54">
        <f t="shared" si="100"/>
        <v>-51.952219999999997</v>
      </c>
      <c r="CM53" s="12">
        <v>-0.52700000000000002</v>
      </c>
      <c r="CN53" s="16">
        <f t="shared" si="48"/>
        <v>27</v>
      </c>
      <c r="CO53" s="54">
        <f t="shared" si="49"/>
        <v>-41.565340000000006</v>
      </c>
      <c r="CP53" s="12">
        <f t="shared" si="135"/>
        <v>-0.68663225807563322</v>
      </c>
      <c r="CQ53" s="12">
        <f t="shared" si="136"/>
        <v>-0.42014469563488238</v>
      </c>
      <c r="CR53" s="16">
        <f t="shared" si="50"/>
        <v>-58.840990000000005</v>
      </c>
      <c r="CS53" s="12">
        <f t="shared" si="137"/>
        <v>-0.31823724042821988</v>
      </c>
      <c r="CT53" s="12">
        <f t="shared" si="138"/>
        <v>-0.29611835972621925</v>
      </c>
      <c r="CU53" s="12">
        <f t="shared" si="139"/>
        <v>-0.38818287477070273</v>
      </c>
      <c r="CV53" s="12">
        <f t="shared" si="140"/>
        <v>-0.50829773447801552</v>
      </c>
      <c r="CW53" s="54">
        <v>7</v>
      </c>
      <c r="CX53" s="54">
        <f t="shared" si="121"/>
        <v>81.540237999999988</v>
      </c>
      <c r="CY53" s="54">
        <f t="shared" si="51"/>
        <v>-40.540237999999988</v>
      </c>
      <c r="CZ53" s="12">
        <f t="shared" si="141"/>
        <v>-0.31144532619692139</v>
      </c>
      <c r="DA53" s="12">
        <f t="shared" si="114"/>
        <v>-1.5592399230769227</v>
      </c>
      <c r="DB53" s="12">
        <f t="shared" si="142"/>
        <v>-0.56802739745005426</v>
      </c>
      <c r="DC53" s="54">
        <v>19</v>
      </c>
      <c r="DD53" s="54">
        <v>21</v>
      </c>
      <c r="DE53" s="54">
        <f t="shared" si="122"/>
        <v>15.115133800000001</v>
      </c>
      <c r="DF53" s="54">
        <v>8</v>
      </c>
      <c r="DG53" s="54">
        <v>11</v>
      </c>
      <c r="DH53" s="54">
        <f t="shared" si="52"/>
        <v>31</v>
      </c>
      <c r="DI53" s="54">
        <f t="shared" si="123"/>
        <v>78.428212867355043</v>
      </c>
      <c r="DJ53" s="16">
        <f t="shared" si="53"/>
        <v>-47.428212867355043</v>
      </c>
      <c r="DK53" s="12">
        <f t="shared" si="124"/>
        <v>-0.2459996904849083</v>
      </c>
      <c r="DL53" s="54">
        <v>1</v>
      </c>
      <c r="DM53" s="54">
        <v>13</v>
      </c>
      <c r="DN53" s="54">
        <v>2.5</v>
      </c>
      <c r="DO53" s="54">
        <f t="shared" si="54"/>
        <v>16.5</v>
      </c>
      <c r="DP53" s="54">
        <f t="shared" si="125"/>
        <v>8.4447974583002381</v>
      </c>
      <c r="DQ53" s="16">
        <f t="shared" si="55"/>
        <v>8.0552025416997619</v>
      </c>
      <c r="DR53" s="14">
        <f t="shared" si="126"/>
        <v>0.40418255897561056</v>
      </c>
      <c r="DS53" s="54">
        <f t="shared" si="56"/>
        <v>20</v>
      </c>
      <c r="DT53" s="54">
        <f t="shared" si="127"/>
        <v>0</v>
      </c>
      <c r="DU53" s="54">
        <f t="shared" si="128"/>
        <v>11.319211102994887</v>
      </c>
      <c r="DV53" s="54">
        <f t="shared" si="57"/>
        <v>5.8848661999999994</v>
      </c>
      <c r="DW53" s="54">
        <f t="shared" si="58"/>
        <v>20</v>
      </c>
      <c r="DX53" s="54">
        <f t="shared" si="115"/>
        <v>7.6807888970051135</v>
      </c>
      <c r="DY53" s="12">
        <f t="shared" si="143"/>
        <v>8.7242841935189178E-2</v>
      </c>
      <c r="DZ53" s="12">
        <f t="shared" si="144"/>
        <v>-7.2462241416014594E-2</v>
      </c>
      <c r="EA53" s="12">
        <f t="shared" si="145"/>
        <v>0.39191750197569936</v>
      </c>
      <c r="EB53" s="12">
        <f t="shared" si="59"/>
        <v>-0.21686721983736762</v>
      </c>
      <c r="EC53" s="12">
        <f t="shared" si="60"/>
        <v>-0.21712914623223695</v>
      </c>
      <c r="ED53" s="12">
        <f t="shared" si="116"/>
        <v>-0.1241093943007396</v>
      </c>
      <c r="EE53" s="54">
        <v>10</v>
      </c>
      <c r="EF53" s="54">
        <f t="shared" si="102"/>
        <v>-3</v>
      </c>
      <c r="EG53" s="12">
        <v>-0.28199999999999997</v>
      </c>
      <c r="EH53" s="12">
        <v>-0.46600000000000003</v>
      </c>
      <c r="EI53" s="12">
        <f t="shared" si="103"/>
        <v>-0.45172330085851164</v>
      </c>
      <c r="EJ53" s="16">
        <v>0</v>
      </c>
      <c r="EK53" s="16">
        <v>0</v>
      </c>
      <c r="EL53" s="16">
        <v>71357</v>
      </c>
      <c r="EM53" s="12">
        <f t="shared" si="151"/>
        <v>-8.3454128119778578E-2</v>
      </c>
      <c r="EN53" s="12">
        <f t="shared" si="61"/>
        <v>-0.53308975391072855</v>
      </c>
      <c r="EO53" s="16">
        <v>0</v>
      </c>
      <c r="EP53" s="16">
        <v>0</v>
      </c>
      <c r="EQ53" s="16">
        <f t="shared" si="129"/>
        <v>64157.522000000004</v>
      </c>
      <c r="ER53" s="16">
        <v>0</v>
      </c>
      <c r="ES53" s="16">
        <f t="shared" si="62"/>
        <v>0</v>
      </c>
      <c r="ET53" s="16">
        <f t="shared" si="130"/>
        <v>0</v>
      </c>
      <c r="EU53" s="16">
        <f t="shared" si="131"/>
        <v>49415.763330898466</v>
      </c>
      <c r="EV53" s="16">
        <f t="shared" si="63"/>
        <v>-64157.522000000004</v>
      </c>
      <c r="EW53" s="16">
        <f t="shared" si="64"/>
        <v>0</v>
      </c>
      <c r="EX53" s="16">
        <f t="shared" si="65"/>
        <v>-49415.763330898466</v>
      </c>
      <c r="EY53" s="12">
        <f t="shared" si="146"/>
        <v>-0.34982366135262349</v>
      </c>
      <c r="EZ53" s="17">
        <f t="shared" si="147"/>
        <v>-0.22756441800470609</v>
      </c>
      <c r="FA53" s="17">
        <f t="shared" si="148"/>
        <v>-0.27455622012812142</v>
      </c>
      <c r="FB53" s="17">
        <f t="shared" si="97"/>
        <v>-0.16549140378232619</v>
      </c>
      <c r="FC53" s="16">
        <v>65358.03</v>
      </c>
      <c r="FD53">
        <f t="shared" si="104"/>
        <v>-71357</v>
      </c>
      <c r="FE53" s="16">
        <f t="shared" si="105"/>
        <v>-65358.03</v>
      </c>
      <c r="FF53" s="12">
        <v>-0.375</v>
      </c>
      <c r="FG53" s="12">
        <f t="shared" si="149"/>
        <v>-0.38959339997641035</v>
      </c>
      <c r="FH53" s="12">
        <f t="shared" si="68"/>
        <v>-0.23994281995366912</v>
      </c>
      <c r="FI53" s="12">
        <f t="shared" si="69"/>
        <v>-0.2213032549412246</v>
      </c>
      <c r="FJ53" s="16">
        <v>0</v>
      </c>
      <c r="FK53" s="16">
        <v>0</v>
      </c>
      <c r="FL53" s="16">
        <f t="shared" si="70"/>
        <v>0</v>
      </c>
      <c r="FM53" s="16">
        <f t="shared" si="132"/>
        <v>77742.424146147736</v>
      </c>
      <c r="FN53" s="16">
        <f t="shared" si="71"/>
        <v>-77742.424146147736</v>
      </c>
      <c r="FO53" s="12">
        <f t="shared" si="133"/>
        <v>-0.17768463928554085</v>
      </c>
      <c r="FP53" s="12">
        <f t="shared" si="134"/>
        <v>-0.12114633258608348</v>
      </c>
      <c r="FQ53" s="12">
        <f t="shared" si="72"/>
        <v>-0.45978331688748653</v>
      </c>
    </row>
    <row r="54" spans="1:173" x14ac:dyDescent="0.35">
      <c r="A54" s="7" t="s">
        <v>223</v>
      </c>
      <c r="B54" s="7" t="s">
        <v>107</v>
      </c>
      <c r="C54" s="144">
        <f t="shared" si="108"/>
        <v>69</v>
      </c>
      <c r="D54" s="144">
        <v>0</v>
      </c>
      <c r="E54" s="144">
        <v>0</v>
      </c>
      <c r="F54" s="144">
        <v>0</v>
      </c>
      <c r="G54" s="144">
        <v>69</v>
      </c>
      <c r="H54" s="144">
        <v>0</v>
      </c>
      <c r="I54" s="144">
        <v>0</v>
      </c>
      <c r="J54" s="144">
        <v>0</v>
      </c>
      <c r="K54" s="144"/>
      <c r="L54" s="9">
        <v>174</v>
      </c>
      <c r="M54" s="150">
        <f t="shared" si="109"/>
        <v>2.5217391304347827</v>
      </c>
      <c r="N54" s="149">
        <f>M54/M73</f>
        <v>3.9531389934974549E-2</v>
      </c>
      <c r="O54" s="9">
        <v>18.5</v>
      </c>
      <c r="P54" s="149">
        <f t="shared" si="110"/>
        <v>0.26811594202898553</v>
      </c>
      <c r="Q54" s="147">
        <f>P54/P73</f>
        <v>1.8155280319540397E-2</v>
      </c>
      <c r="R54" s="149">
        <f t="shared" si="111"/>
        <v>1.9583333333333333</v>
      </c>
      <c r="S54" s="156">
        <f>R54/R73</f>
        <v>3.8000001534330134E-2</v>
      </c>
      <c r="T54" s="156">
        <f t="shared" si="112"/>
        <v>3.4187362531116011E-2</v>
      </c>
      <c r="U54" s="142">
        <v>80256</v>
      </c>
      <c r="V54" s="154">
        <f>U54/C54</f>
        <v>1163.1304347826087</v>
      </c>
      <c r="W54" s="154"/>
      <c r="X54" s="147">
        <f>V54/V73</f>
        <v>1.4936227925758739E-2</v>
      </c>
      <c r="Y54" s="155">
        <f t="shared" si="113"/>
        <v>2.6486908688973101E-2</v>
      </c>
      <c r="Z54" s="155">
        <v>2.1720000000000002</v>
      </c>
      <c r="AA54" s="150">
        <v>1.3839999999999999</v>
      </c>
      <c r="AB54" s="145">
        <v>67</v>
      </c>
      <c r="AC54" s="150">
        <v>1.0705336695070193</v>
      </c>
      <c r="AD54" s="150">
        <f t="shared" si="93"/>
        <v>1.39785048321923</v>
      </c>
      <c r="AE54" s="142">
        <v>64</v>
      </c>
      <c r="AF54" s="209">
        <v>401408.73960272537</v>
      </c>
      <c r="AG54" s="209">
        <f>AT54*BK$32</f>
        <v>218726.04474637457</v>
      </c>
      <c r="AH54" s="12">
        <f>C54*BA54</f>
        <v>6.8002563554795978</v>
      </c>
      <c r="AI54" s="35" t="e">
        <f>AU54*BK$9</f>
        <v>#DIV/0!</v>
      </c>
      <c r="AJ54" s="34" t="e">
        <f>AV54*BK$16</f>
        <v>#DIV/0!</v>
      </c>
      <c r="AK54" s="34" t="e">
        <f>SUM(AL54:AM54)</f>
        <v>#DIV/0!</v>
      </c>
      <c r="AL54" s="34" t="e">
        <f>AW54*BK$24</f>
        <v>#DIV/0!</v>
      </c>
      <c r="AM54" s="30"/>
      <c r="AN54" s="30">
        <f>AS54*BK$35</f>
        <v>248733.62184798811</v>
      </c>
      <c r="AO54" s="30">
        <f>AVERAGE(AF54,AR54,AN54)</f>
        <v>322258.905144491</v>
      </c>
      <c r="AP54" s="209">
        <f>AVERAGE(AF54:AG54)</f>
        <v>310067.39217454998</v>
      </c>
      <c r="AQ54" s="154">
        <f>AO54-(AO$72*BE54)</f>
        <v>342321.38073138177</v>
      </c>
      <c r="AR54" s="130">
        <f>AP54+(AP$72*BF54)</f>
        <v>316634.35398275952</v>
      </c>
      <c r="AS54" s="24">
        <f>AB54*BE54</f>
        <v>5.0849100756756256</v>
      </c>
      <c r="AT54" s="24">
        <f>AB54*BF54</f>
        <v>3.8769032131251913</v>
      </c>
      <c r="AU54" s="16" t="e">
        <f>AB54*BG54</f>
        <v>#DIV/0!</v>
      </c>
      <c r="AV54" s="16" t="e">
        <f>AB54*BB54</f>
        <v>#DIV/0!</v>
      </c>
      <c r="AW54" s="16" t="e">
        <f t="shared" ref="AW54:AW55" si="152">AB54*BC54</f>
        <v>#DIV/0!</v>
      </c>
      <c r="AX54" s="16"/>
      <c r="AY54" s="16"/>
      <c r="AZ54" s="16"/>
      <c r="BA54" s="16">
        <f>AA54/BH$2</f>
        <v>9.8554439934486926E-2</v>
      </c>
      <c r="BB54" s="16" t="e">
        <f>FH54/BK$14</f>
        <v>#DIV/0!</v>
      </c>
      <c r="BC54" s="16" t="e">
        <f>EB54/BK$19</f>
        <v>#DIV/0!</v>
      </c>
      <c r="BD54" s="16"/>
      <c r="BE54" s="142">
        <f>FQ54/BK$26</f>
        <v>7.5894180233964562E-2</v>
      </c>
      <c r="BF54" s="16">
        <f>FI54/BK$29</f>
        <v>5.7864227061570017E-2</v>
      </c>
      <c r="BG54" s="142" t="e">
        <f>AC54/BK$5</f>
        <v>#DIV/0!</v>
      </c>
      <c r="BH54" s="16"/>
      <c r="BI54" s="16"/>
      <c r="BJ54" s="16"/>
      <c r="BK54" s="16"/>
      <c r="BL54" s="16">
        <v>528</v>
      </c>
      <c r="BM54" s="16">
        <v>528</v>
      </c>
      <c r="BN54" s="16">
        <f t="shared" si="94"/>
        <v>0</v>
      </c>
      <c r="BO54" s="16">
        <v>156</v>
      </c>
      <c r="BP54" s="16">
        <v>595</v>
      </c>
      <c r="BQ54" s="16">
        <v>157.30323000000001</v>
      </c>
      <c r="BR54" s="16">
        <f t="shared" si="99"/>
        <v>372</v>
      </c>
      <c r="BS54" s="16">
        <v>832</v>
      </c>
      <c r="BT54" s="16">
        <v>335</v>
      </c>
      <c r="BU54" s="211">
        <v>270407.25416013756</v>
      </c>
      <c r="BV54" s="285">
        <f>BY54*CB$4</f>
        <v>203607.25292569978</v>
      </c>
      <c r="BW54" s="16">
        <f>AVERAGE(AQ54,BU54,BV54)</f>
        <v>272111.96260573971</v>
      </c>
      <c r="BX54" s="285">
        <f>BW54-(BZ54*BW$72)</f>
        <v>274170.26284527953</v>
      </c>
      <c r="BY54" s="12">
        <f>AE54*BZ54</f>
        <v>3.2220461882135396</v>
      </c>
      <c r="BZ54" s="12">
        <f>FP54/CB3</f>
        <v>5.0344471690836556E-2</v>
      </c>
      <c r="CC54">
        <v>211</v>
      </c>
      <c r="CD54">
        <f t="shared" si="44"/>
        <v>546</v>
      </c>
      <c r="CE54" s="16">
        <f t="shared" si="117"/>
        <v>0</v>
      </c>
      <c r="CF54" s="54">
        <f t="shared" si="118"/>
        <v>145.76453000000001</v>
      </c>
      <c r="CG54" s="16">
        <f t="shared" si="119"/>
        <v>285.62870500000002</v>
      </c>
      <c r="CH54" s="54">
        <f t="shared" si="120"/>
        <v>219.57304601899196</v>
      </c>
      <c r="CI54" s="54">
        <v>210.11833999999999</v>
      </c>
      <c r="CJ54" s="54">
        <f t="shared" si="95"/>
        <v>375.42695398100807</v>
      </c>
      <c r="CK54" s="54">
        <f t="shared" si="96"/>
        <v>384.88166000000001</v>
      </c>
      <c r="CL54" s="54">
        <f t="shared" si="100"/>
        <v>370.69677000000001</v>
      </c>
      <c r="CM54" s="12">
        <v>3.2519999999999998</v>
      </c>
      <c r="CN54" s="16">
        <f t="shared" si="48"/>
        <v>546</v>
      </c>
      <c r="CO54" s="54">
        <f t="shared" si="49"/>
        <v>189.23546999999999</v>
      </c>
      <c r="CP54" s="14">
        <f t="shared" si="135"/>
        <v>1.923080662469125</v>
      </c>
      <c r="CQ54" s="14">
        <f t="shared" si="136"/>
        <v>1.7239910804629386</v>
      </c>
      <c r="CR54" s="16">
        <f t="shared" si="50"/>
        <v>546.37129499999992</v>
      </c>
      <c r="CS54" s="14">
        <f t="shared" si="137"/>
        <v>2.8759391514164796</v>
      </c>
      <c r="CT54" s="14">
        <f t="shared" si="138"/>
        <v>2.514752876829276</v>
      </c>
      <c r="CU54" s="14">
        <f t="shared" si="139"/>
        <v>2.4545721297754035</v>
      </c>
      <c r="CV54" s="12">
        <f t="shared" si="140"/>
        <v>3.2674686325431574</v>
      </c>
      <c r="CW54" s="54">
        <v>28</v>
      </c>
      <c r="CX54" s="54">
        <f t="shared" si="121"/>
        <v>210.12292099999999</v>
      </c>
      <c r="CY54" s="54">
        <f t="shared" si="51"/>
        <v>384.87707899999998</v>
      </c>
      <c r="CZ54" s="14">
        <f t="shared" si="141"/>
        <v>2.5499414227514099</v>
      </c>
      <c r="DA54" s="12">
        <f t="shared" si="114"/>
        <v>5.744434014925373</v>
      </c>
      <c r="DB54" s="14">
        <f t="shared" si="142"/>
        <v>1.9389641187892546</v>
      </c>
      <c r="DC54" s="54">
        <v>38</v>
      </c>
      <c r="DD54" s="54">
        <v>56</v>
      </c>
      <c r="DE54" s="54">
        <f t="shared" si="122"/>
        <v>38.950537099999998</v>
      </c>
      <c r="DF54" s="54">
        <v>132</v>
      </c>
      <c r="DG54" s="54">
        <v>80.7</v>
      </c>
      <c r="DH54" s="54">
        <f t="shared" si="52"/>
        <v>423.7</v>
      </c>
      <c r="DI54" s="54">
        <f t="shared" si="123"/>
        <v>313.71285146942017</v>
      </c>
      <c r="DJ54" s="16">
        <f t="shared" si="53"/>
        <v>109.98714853057982</v>
      </c>
      <c r="DK54" s="14">
        <f t="shared" si="124"/>
        <v>0.57047910642366906</v>
      </c>
      <c r="DL54" s="54">
        <v>20</v>
      </c>
      <c r="DM54" s="54">
        <v>40</v>
      </c>
      <c r="DN54" s="54">
        <v>16</v>
      </c>
      <c r="DO54" s="54">
        <f t="shared" si="54"/>
        <v>76</v>
      </c>
      <c r="DP54" s="54">
        <f t="shared" si="125"/>
        <v>33.779189833200952</v>
      </c>
      <c r="DQ54" s="16">
        <f t="shared" si="55"/>
        <v>42.220810166799048</v>
      </c>
      <c r="DR54" s="14">
        <f t="shared" si="126"/>
        <v>2.1184960908058525</v>
      </c>
      <c r="DS54" s="54">
        <f t="shared" si="56"/>
        <v>58</v>
      </c>
      <c r="DT54" s="54">
        <f t="shared" si="127"/>
        <v>0</v>
      </c>
      <c r="DU54" s="54">
        <f t="shared" si="128"/>
        <v>29.168736303871437</v>
      </c>
      <c r="DV54" s="54">
        <f t="shared" si="57"/>
        <v>17.049462900000002</v>
      </c>
      <c r="DW54" s="54">
        <f t="shared" si="58"/>
        <v>58</v>
      </c>
      <c r="DX54" s="54">
        <f t="shared" si="115"/>
        <v>8.8312636961285627</v>
      </c>
      <c r="DY54" s="12">
        <f t="shared" si="143"/>
        <v>0.43248700435706555</v>
      </c>
      <c r="DZ54" s="12">
        <f t="shared" si="144"/>
        <v>1.2087104436199108</v>
      </c>
      <c r="EA54" s="12">
        <f t="shared" si="145"/>
        <v>0.45062126475379993</v>
      </c>
      <c r="EB54" s="14">
        <f t="shared" si="59"/>
        <v>2.2650761146516261</v>
      </c>
      <c r="EC54" s="14">
        <f t="shared" si="60"/>
        <v>1.405648626535654</v>
      </c>
      <c r="ED54" s="14">
        <f t="shared" si="116"/>
        <v>1.9987199738104071</v>
      </c>
      <c r="EE54" s="54">
        <v>22</v>
      </c>
      <c r="EF54" s="54">
        <f t="shared" si="102"/>
        <v>6</v>
      </c>
      <c r="EG54" s="12">
        <v>7.6999999999999999E-2</v>
      </c>
      <c r="EH54" s="12">
        <v>2.4580000000000002</v>
      </c>
      <c r="EI54" s="12">
        <f t="shared" si="103"/>
        <v>2.4698514744073683</v>
      </c>
      <c r="EJ54" s="16">
        <v>98152</v>
      </c>
      <c r="EK54" s="16">
        <v>98152.82</v>
      </c>
      <c r="EL54" s="16">
        <v>142334</v>
      </c>
      <c r="EM54" s="14">
        <f t="shared" si="151"/>
        <v>0.9574833525192149</v>
      </c>
      <c r="EN54" s="14">
        <f t="shared" si="61"/>
        <v>1.7444881077568213</v>
      </c>
      <c r="EO54" s="16">
        <v>40932</v>
      </c>
      <c r="EP54" s="16">
        <v>98153</v>
      </c>
      <c r="EQ54" s="16">
        <f t="shared" si="129"/>
        <v>165328.99900000001</v>
      </c>
      <c r="ER54" s="16">
        <v>80526</v>
      </c>
      <c r="ES54" s="16">
        <f t="shared" si="62"/>
        <v>121458</v>
      </c>
      <c r="ET54" s="16">
        <f t="shared" si="130"/>
        <v>0</v>
      </c>
      <c r="EU54" s="16">
        <f t="shared" si="131"/>
        <v>127340.62089116142</v>
      </c>
      <c r="EV54" s="16">
        <f t="shared" si="63"/>
        <v>-67175.999000000011</v>
      </c>
      <c r="EW54" s="16">
        <f t="shared" si="64"/>
        <v>121458</v>
      </c>
      <c r="EX54" s="16">
        <f t="shared" si="65"/>
        <v>-86408.620891161423</v>
      </c>
      <c r="EY54" s="12">
        <f t="shared" si="146"/>
        <v>-7.0666993777779352E-2</v>
      </c>
      <c r="EZ54" s="17">
        <f t="shared" si="147"/>
        <v>-0.39792014123135711</v>
      </c>
      <c r="FA54" s="17">
        <f t="shared" si="148"/>
        <v>-0.28662437144859748</v>
      </c>
      <c r="FB54" s="109">
        <f t="shared" si="97"/>
        <v>1.0400639277937014</v>
      </c>
      <c r="FC54" s="16">
        <v>132959.60999999999</v>
      </c>
      <c r="FD54">
        <f t="shared" si="104"/>
        <v>-44182</v>
      </c>
      <c r="FE54" s="16">
        <f t="shared" si="105"/>
        <v>-34806.789999999979</v>
      </c>
      <c r="FF54" s="12">
        <v>-0.22700000000000001</v>
      </c>
      <c r="FG54" s="12">
        <f t="shared" si="149"/>
        <v>-0.21015100356297739</v>
      </c>
      <c r="FH54" s="14">
        <f t="shared" si="68"/>
        <v>1.2443959202115367</v>
      </c>
      <c r="FI54" s="14">
        <f t="shared" si="69"/>
        <v>0.68422111942884956</v>
      </c>
      <c r="FJ54" s="16">
        <v>161052</v>
      </c>
      <c r="FK54" s="16">
        <v>161001</v>
      </c>
      <c r="FL54" s="16">
        <f t="shared" si="70"/>
        <v>402579</v>
      </c>
      <c r="FM54" s="16">
        <f t="shared" si="132"/>
        <v>310969.69658459094</v>
      </c>
      <c r="FN54" s="16">
        <f t="shared" si="71"/>
        <v>91609.303415409056</v>
      </c>
      <c r="FO54" s="14">
        <f t="shared" si="133"/>
        <v>0.20937816399918879</v>
      </c>
      <c r="FP54" s="14">
        <f t="shared" si="134"/>
        <v>0.65824127711120439</v>
      </c>
      <c r="FQ54" s="14">
        <f t="shared" si="72"/>
        <v>1.018426067142981</v>
      </c>
    </row>
    <row r="55" spans="1:173" x14ac:dyDescent="0.35">
      <c r="A55" s="8" t="s">
        <v>223</v>
      </c>
      <c r="B55" s="8" t="s">
        <v>110</v>
      </c>
      <c r="C55" s="144">
        <f t="shared" si="108"/>
        <v>24</v>
      </c>
      <c r="D55" s="144">
        <v>0</v>
      </c>
      <c r="E55" s="144">
        <v>0</v>
      </c>
      <c r="F55" s="144">
        <v>0</v>
      </c>
      <c r="G55" s="144">
        <v>0</v>
      </c>
      <c r="H55" s="144">
        <v>24</v>
      </c>
      <c r="I55" s="144">
        <v>0</v>
      </c>
      <c r="J55" s="144">
        <v>0</v>
      </c>
      <c r="K55" s="144"/>
      <c r="L55" s="9">
        <v>11.5</v>
      </c>
      <c r="M55" s="149">
        <f t="shared" si="109"/>
        <v>0.47916666666666669</v>
      </c>
      <c r="N55" s="149">
        <f>M55/M73</f>
        <v>7.5115320673856097E-3</v>
      </c>
      <c r="O55" s="9">
        <v>5</v>
      </c>
      <c r="P55" s="149">
        <f t="shared" si="110"/>
        <v>0.20833333333333334</v>
      </c>
      <c r="Q55" s="147">
        <f>P55/P73</f>
        <v>1.4107143491534767E-2</v>
      </c>
      <c r="R55" s="149">
        <f t="shared" si="111"/>
        <v>0.41145833333333331</v>
      </c>
      <c r="S55" s="147">
        <f>R55/R73</f>
        <v>7.9840428755640451E-3</v>
      </c>
      <c r="T55" s="147">
        <f t="shared" si="112"/>
        <v>9.1604349234228992E-3</v>
      </c>
      <c r="U55" s="142"/>
      <c r="V55" s="142">
        <f t="shared" si="107"/>
        <v>0</v>
      </c>
      <c r="W55" s="142"/>
      <c r="X55" s="147">
        <f>V55/V73</f>
        <v>0</v>
      </c>
      <c r="Y55" s="147">
        <f t="shared" si="113"/>
        <v>5.496260954053739E-3</v>
      </c>
      <c r="Z55" s="147">
        <v>-0.217</v>
      </c>
      <c r="AA55" s="150">
        <v>0.314</v>
      </c>
      <c r="AB55" s="145">
        <v>24</v>
      </c>
      <c r="AC55" s="150">
        <v>0.75937557776161735</v>
      </c>
      <c r="AD55" s="150">
        <f t="shared" si="93"/>
        <v>0.36846615070207844</v>
      </c>
      <c r="AE55" s="142">
        <v>21</v>
      </c>
      <c r="AF55" s="209">
        <v>37772.854564454989</v>
      </c>
      <c r="AG55" s="209">
        <f>AT55*BK$32</f>
        <v>84300.333997146823</v>
      </c>
      <c r="AH55" s="12">
        <f>C55*BA55</f>
        <v>0.5366374706259347</v>
      </c>
      <c r="AI55" s="35" t="e">
        <f>AU55*BK$9</f>
        <v>#DIV/0!</v>
      </c>
      <c r="AJ55" s="34" t="e">
        <f>AV55*BK$16</f>
        <v>#DIV/0!</v>
      </c>
      <c r="AK55" s="34" t="e">
        <f>SUM(AL55:AM55)</f>
        <v>#DIV/0!</v>
      </c>
      <c r="AL55" s="34" t="e">
        <f>AW55*BK$24</f>
        <v>#DIV/0!</v>
      </c>
      <c r="AM55" s="34" t="e">
        <f>AX55*BK$26</f>
        <v>#DIV/0!</v>
      </c>
      <c r="AN55" s="30">
        <f>AS55*BK$35</f>
        <v>9568.3882223783094</v>
      </c>
      <c r="AO55" s="30">
        <f>AVERAGE(AF55,AR55,AN55)</f>
        <v>38481.187988505473</v>
      </c>
      <c r="AP55" s="209">
        <f>AVERAGE(AF55:AG55)</f>
        <v>61036.594280800906</v>
      </c>
      <c r="AQ55" s="154">
        <f>AO55-(AO$72*BE55)</f>
        <v>40635.717148607539</v>
      </c>
      <c r="AR55" s="130">
        <f>AP55+(AP$72*BF55)</f>
        <v>68102.321178683109</v>
      </c>
      <c r="AS55" s="24">
        <f>AB55*BE55</f>
        <v>0.19560843169679032</v>
      </c>
      <c r="AT55" s="24">
        <f>AB55*BF55</f>
        <v>1.4942172804342382</v>
      </c>
      <c r="AU55" s="16" t="e">
        <f>AB55*BG55</f>
        <v>#DIV/0!</v>
      </c>
      <c r="AV55" s="16" t="e">
        <f>AB55*BB55</f>
        <v>#DIV/0!</v>
      </c>
      <c r="AW55" s="16" t="e">
        <f t="shared" si="152"/>
        <v>#DIV/0!</v>
      </c>
      <c r="AX55" s="16" t="e">
        <f>AB55*BD55</f>
        <v>#DIV/0!</v>
      </c>
      <c r="AY55" s="16"/>
      <c r="AZ55" s="16"/>
      <c r="BA55" s="16">
        <f>AA55/BH$2</f>
        <v>2.2359894609413945E-2</v>
      </c>
      <c r="BB55" s="16" t="e">
        <f>FH55/BK$14</f>
        <v>#DIV/0!</v>
      </c>
      <c r="BC55" s="16" t="e">
        <f>EB55/BK$19</f>
        <v>#DIV/0!</v>
      </c>
      <c r="BD55" s="16" t="e">
        <f>FA55/BK$21</f>
        <v>#DIV/0!</v>
      </c>
      <c r="BE55" s="142">
        <f>FQ55/BK$26</f>
        <v>8.1503513206995972E-3</v>
      </c>
      <c r="BF55" s="16">
        <f>FI55/BK$29</f>
        <v>6.2259053351426591E-2</v>
      </c>
      <c r="BG55" s="142" t="e">
        <f>AC55/BK$5</f>
        <v>#DIV/0!</v>
      </c>
      <c r="BH55" s="16"/>
      <c r="BI55" s="16"/>
      <c r="BJ55" s="16"/>
      <c r="BK55" s="16"/>
      <c r="BL55" s="16">
        <v>31</v>
      </c>
      <c r="BM55" s="16">
        <v>31</v>
      </c>
      <c r="BN55" s="16">
        <f t="shared" si="94"/>
        <v>0</v>
      </c>
      <c r="BO55" s="16">
        <v>54</v>
      </c>
      <c r="BP55" s="16">
        <v>205</v>
      </c>
      <c r="BQ55" s="16">
        <v>54.714170000000003</v>
      </c>
      <c r="BR55" s="16">
        <f t="shared" si="99"/>
        <v>-23</v>
      </c>
      <c r="BS55" s="16">
        <v>220</v>
      </c>
      <c r="BT55" s="16">
        <v>146</v>
      </c>
      <c r="BU55" s="211">
        <v>42138.714982276724</v>
      </c>
      <c r="BV55" s="285">
        <v>0</v>
      </c>
      <c r="BW55" s="16">
        <f>AVERAGE(AQ55,BU55,BV55)</f>
        <v>27591.477376961422</v>
      </c>
      <c r="BX55" s="285">
        <f>BW55-(BZ55*BW$72)</f>
        <v>27591.477376961422</v>
      </c>
      <c r="BY55" s="12"/>
      <c r="BZ55" s="12"/>
      <c r="CC55">
        <v>59</v>
      </c>
      <c r="CD55">
        <f t="shared" si="44"/>
        <v>205</v>
      </c>
      <c r="CE55" s="16">
        <f t="shared" si="117"/>
        <v>0</v>
      </c>
      <c r="CF55" s="54">
        <f t="shared" si="118"/>
        <v>52.214160000000007</v>
      </c>
      <c r="CG55" s="16">
        <f t="shared" si="119"/>
        <v>102.31476000000001</v>
      </c>
      <c r="CH55" s="54">
        <f t="shared" si="120"/>
        <v>78.65303140978817</v>
      </c>
      <c r="CI55" s="54">
        <v>75.266270000000006</v>
      </c>
      <c r="CJ55" s="54">
        <f t="shared" si="95"/>
        <v>126.34696859021183</v>
      </c>
      <c r="CK55" s="54">
        <f t="shared" si="96"/>
        <v>129.73372999999998</v>
      </c>
      <c r="CL55" s="54">
        <f t="shared" si="100"/>
        <v>-23.714170000000003</v>
      </c>
      <c r="CM55" s="12">
        <v>-0.27700000000000002</v>
      </c>
      <c r="CN55" s="16">
        <f t="shared" si="48"/>
        <v>205</v>
      </c>
      <c r="CO55" s="54">
        <f t="shared" si="49"/>
        <v>93.785839999999993</v>
      </c>
      <c r="CP55" s="14">
        <f t="shared" si="135"/>
        <v>0.2084137917451124</v>
      </c>
      <c r="CQ55" s="14">
        <f t="shared" si="136"/>
        <v>0.83726556811183428</v>
      </c>
      <c r="CR55" s="16">
        <f t="shared" si="50"/>
        <v>117.68523999999999</v>
      </c>
      <c r="CS55" s="14">
        <f t="shared" si="137"/>
        <v>0.61342910274151208</v>
      </c>
      <c r="CT55" s="14">
        <f t="shared" si="138"/>
        <v>0.84632016793596188</v>
      </c>
      <c r="CU55" s="12">
        <f t="shared" si="139"/>
        <v>-0.19825255468139374</v>
      </c>
      <c r="CV55" s="12">
        <f t="shared" si="140"/>
        <v>-0.25603100254932398</v>
      </c>
      <c r="CW55" s="54">
        <v>3</v>
      </c>
      <c r="CX55" s="54">
        <f t="shared" si="121"/>
        <v>75.267911999999995</v>
      </c>
      <c r="CY55" s="54">
        <f t="shared" si="51"/>
        <v>129.732088</v>
      </c>
      <c r="CZ55" s="14">
        <f t="shared" si="141"/>
        <v>0.83381829580323918</v>
      </c>
      <c r="DA55" s="12">
        <f t="shared" si="114"/>
        <v>5.4055036666666672</v>
      </c>
      <c r="DB55" s="14">
        <f t="shared" si="142"/>
        <v>1.8226260244420389</v>
      </c>
      <c r="DC55" s="54">
        <v>1</v>
      </c>
      <c r="DD55" s="54">
        <v>4</v>
      </c>
      <c r="DE55" s="54">
        <f t="shared" si="122"/>
        <v>13.952431199999999</v>
      </c>
      <c r="DF55" s="54">
        <v>22</v>
      </c>
      <c r="DG55" s="54">
        <v>52.3</v>
      </c>
      <c r="DH55" s="54">
        <f t="shared" si="52"/>
        <v>133.30000000000001</v>
      </c>
      <c r="DI55" s="54">
        <f t="shared" si="123"/>
        <v>102.93702938840349</v>
      </c>
      <c r="DJ55" s="16">
        <f t="shared" si="53"/>
        <v>30.362970611596523</v>
      </c>
      <c r="DK55" s="12">
        <f t="shared" si="124"/>
        <v>0.15748603881712425</v>
      </c>
      <c r="DL55" s="54">
        <v>1</v>
      </c>
      <c r="DM55" s="54">
        <v>0</v>
      </c>
      <c r="DN55" s="54">
        <v>1</v>
      </c>
      <c r="DO55" s="54">
        <f t="shared" si="54"/>
        <v>2</v>
      </c>
      <c r="DP55" s="54">
        <f t="shared" si="125"/>
        <v>11.083796664019063</v>
      </c>
      <c r="DQ55" s="16">
        <f t="shared" si="55"/>
        <v>-9.0837966640190633</v>
      </c>
      <c r="DR55" s="12">
        <f t="shared" si="126"/>
        <v>-0.4557938998890273</v>
      </c>
      <c r="DS55" s="54">
        <f t="shared" si="56"/>
        <v>2</v>
      </c>
      <c r="DT55" s="54">
        <f t="shared" si="127"/>
        <v>0</v>
      </c>
      <c r="DU55" s="54">
        <f t="shared" si="128"/>
        <v>10.448502556610665</v>
      </c>
      <c r="DV55" s="54">
        <f t="shared" si="57"/>
        <v>-9.9524311999999995</v>
      </c>
      <c r="DW55" s="54">
        <f t="shared" si="58"/>
        <v>2</v>
      </c>
      <c r="DX55" s="54">
        <f t="shared" si="115"/>
        <v>-9.4485025566106646</v>
      </c>
      <c r="DY55" s="12">
        <f t="shared" si="143"/>
        <v>-0.40249580450325839</v>
      </c>
      <c r="DZ55" s="12">
        <f t="shared" si="144"/>
        <v>-0.67933351327513702</v>
      </c>
      <c r="EA55" s="12">
        <f t="shared" si="145"/>
        <v>-0.48211629938712991</v>
      </c>
      <c r="EB55" s="14">
        <f t="shared" si="59"/>
        <v>0.35944787593031946</v>
      </c>
      <c r="EC55" s="14">
        <f t="shared" si="60"/>
        <v>0.50742010123709325</v>
      </c>
      <c r="ED55" s="14">
        <f t="shared" si="116"/>
        <v>0.51421105110518894</v>
      </c>
      <c r="EE55" s="54">
        <v>8</v>
      </c>
      <c r="EF55" s="54">
        <f t="shared" si="102"/>
        <v>-5</v>
      </c>
      <c r="EG55" s="12">
        <v>-0.36099999999999999</v>
      </c>
      <c r="EH55" s="12">
        <v>-0.29799999999999999</v>
      </c>
      <c r="EI55" s="12">
        <f t="shared" si="103"/>
        <v>-0.28227325191199298</v>
      </c>
      <c r="EJ55" s="16">
        <v>279994</v>
      </c>
      <c r="EK55" s="16">
        <v>279994</v>
      </c>
      <c r="EL55" s="16">
        <v>55101</v>
      </c>
      <c r="EM55" s="12">
        <f t="shared" si="151"/>
        <v>4.1660541405863644E-3</v>
      </c>
      <c r="EN55" s="14">
        <f t="shared" si="61"/>
        <v>-1.352303450994996E-2</v>
      </c>
      <c r="EO55" s="16">
        <v>279994</v>
      </c>
      <c r="EP55" s="16">
        <v>279994</v>
      </c>
      <c r="EQ55" s="16">
        <f t="shared" si="129"/>
        <v>59222.328000000009</v>
      </c>
      <c r="ER55" s="16">
        <v>0</v>
      </c>
      <c r="ES55" s="16">
        <f t="shared" si="62"/>
        <v>279994</v>
      </c>
      <c r="ET55" s="16">
        <f t="shared" si="130"/>
        <v>0</v>
      </c>
      <c r="EU55" s="16">
        <f t="shared" si="131"/>
        <v>45614.5507669832</v>
      </c>
      <c r="EV55" s="16">
        <f t="shared" si="63"/>
        <v>220771.67199999999</v>
      </c>
      <c r="EW55" s="16">
        <f t="shared" si="64"/>
        <v>279994</v>
      </c>
      <c r="EX55" s="16">
        <f t="shared" si="65"/>
        <v>234379.44923301681</v>
      </c>
      <c r="EY55" s="12">
        <f t="shared" si="146"/>
        <v>0.29370901645329223</v>
      </c>
      <c r="EZ55" s="17">
        <f t="shared" si="147"/>
        <v>1.0793402623333566</v>
      </c>
      <c r="FA55" s="109">
        <f t="shared" si="148"/>
        <v>0.86461715399838768</v>
      </c>
      <c r="FB55" s="109">
        <f t="shared" si="97"/>
        <v>0.74026273559645595</v>
      </c>
      <c r="FC55" s="16">
        <v>50098.49</v>
      </c>
      <c r="FD55">
        <f t="shared" si="104"/>
        <v>224893</v>
      </c>
      <c r="FE55" s="16">
        <f t="shared" si="105"/>
        <v>229895.51</v>
      </c>
      <c r="FF55" s="12">
        <v>1.2330000000000001</v>
      </c>
      <c r="FG55" s="12">
        <f t="shared" si="149"/>
        <v>1.3445752546231855</v>
      </c>
      <c r="FH55" s="14">
        <f t="shared" si="68"/>
        <v>0.56151558715754679</v>
      </c>
      <c r="FI55" s="14">
        <f t="shared" si="69"/>
        <v>0.73618816567559864</v>
      </c>
      <c r="FJ55" s="16">
        <v>0</v>
      </c>
      <c r="FK55" s="16">
        <v>57181</v>
      </c>
      <c r="FL55" s="16">
        <f t="shared" si="70"/>
        <v>57181</v>
      </c>
      <c r="FM55" s="16">
        <f t="shared" si="132"/>
        <v>102036.9316918189</v>
      </c>
      <c r="FN55" s="16">
        <f t="shared" si="71"/>
        <v>-44855.9316918189</v>
      </c>
      <c r="FO55" s="12">
        <f t="shared" si="133"/>
        <v>-0.10252072957610031</v>
      </c>
      <c r="FP55" s="12">
        <f t="shared" si="134"/>
        <v>-3.8508659346088311E-2</v>
      </c>
      <c r="FQ55" s="14">
        <f t="shared" si="72"/>
        <v>0.10936978587534693</v>
      </c>
    </row>
    <row r="56" spans="1:173" x14ac:dyDescent="0.35">
      <c r="A56" s="7" t="s">
        <v>223</v>
      </c>
      <c r="B56" s="7" t="s">
        <v>96</v>
      </c>
      <c r="C56" s="144">
        <f t="shared" si="108"/>
        <v>83</v>
      </c>
      <c r="D56" s="144">
        <v>43</v>
      </c>
      <c r="E56" s="144">
        <v>40</v>
      </c>
      <c r="F56" s="144">
        <v>0</v>
      </c>
      <c r="G56" s="144">
        <v>0</v>
      </c>
      <c r="H56" s="144">
        <v>0</v>
      </c>
      <c r="I56" s="144">
        <v>0</v>
      </c>
      <c r="J56" s="144">
        <v>0</v>
      </c>
      <c r="K56" s="144"/>
      <c r="L56" s="9">
        <v>38</v>
      </c>
      <c r="M56" s="149">
        <f t="shared" si="109"/>
        <v>0.45783132530120479</v>
      </c>
      <c r="N56" s="149">
        <f>M56/M73</f>
        <v>7.1770741178163178E-3</v>
      </c>
      <c r="O56" s="9">
        <v>9.5</v>
      </c>
      <c r="P56" s="149">
        <f t="shared" si="110"/>
        <v>0.1144578313253012</v>
      </c>
      <c r="Q56" s="147">
        <f>P56/P73</f>
        <v>7.7504306411323529E-3</v>
      </c>
      <c r="R56" s="149">
        <f t="shared" si="111"/>
        <v>0.37198795180722893</v>
      </c>
      <c r="S56" s="147">
        <f>R56/R73</f>
        <v>7.2181494839627363E-3</v>
      </c>
      <c r="T56" s="147">
        <f t="shared" si="112"/>
        <v>7.3204132486453261E-3</v>
      </c>
      <c r="U56" s="142"/>
      <c r="V56" s="142">
        <f t="shared" si="107"/>
        <v>0</v>
      </c>
      <c r="W56" s="142"/>
      <c r="X56" s="147">
        <f>V56/V73</f>
        <v>0</v>
      </c>
      <c r="Y56" s="147">
        <f t="shared" si="113"/>
        <v>4.3922479491871952E-3</v>
      </c>
      <c r="Z56" s="147">
        <v>-0.13200000000000001</v>
      </c>
      <c r="AA56" s="149">
        <v>-0.89400000000000002</v>
      </c>
      <c r="AB56" s="145">
        <v>75</v>
      </c>
      <c r="AC56" s="149">
        <v>-0.52389960875926356</v>
      </c>
      <c r="AD56" s="149">
        <f t="shared" si="93"/>
        <v>-0.89990483154932666</v>
      </c>
      <c r="AE56" s="142">
        <v>76</v>
      </c>
      <c r="AF56" s="209"/>
      <c r="AG56" s="209"/>
      <c r="AH56" s="12"/>
      <c r="AI56" s="12"/>
      <c r="AJ56" s="23"/>
      <c r="AK56" s="30"/>
      <c r="AL56" s="23"/>
      <c r="AM56" s="30"/>
      <c r="AN56" s="30"/>
      <c r="AO56" s="30"/>
      <c r="AP56" s="209"/>
      <c r="AQ56" s="142"/>
      <c r="AR56" s="24"/>
      <c r="AS56" s="24"/>
      <c r="AT56" s="24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>
        <v>81</v>
      </c>
      <c r="BM56" s="16">
        <v>81</v>
      </c>
      <c r="BN56" s="16">
        <f t="shared" si="94"/>
        <v>0</v>
      </c>
      <c r="BO56" s="16">
        <v>188</v>
      </c>
      <c r="BP56" s="16">
        <v>190</v>
      </c>
      <c r="BQ56" s="16">
        <v>189.21983</v>
      </c>
      <c r="BR56" s="16">
        <f t="shared" si="99"/>
        <v>-107</v>
      </c>
      <c r="BS56" s="16">
        <v>213</v>
      </c>
      <c r="BT56" s="16">
        <v>116</v>
      </c>
      <c r="BU56" s="16"/>
      <c r="BV56" s="16"/>
      <c r="BW56" s="16"/>
      <c r="BX56" s="16"/>
      <c r="BY56" s="12"/>
      <c r="BZ56" s="12"/>
      <c r="CC56">
        <v>60</v>
      </c>
      <c r="CD56">
        <f t="shared" si="44"/>
        <v>176</v>
      </c>
      <c r="CE56" s="16">
        <f t="shared" si="117"/>
        <v>0</v>
      </c>
      <c r="CF56" s="54">
        <f t="shared" si="118"/>
        <v>163.16925000000001</v>
      </c>
      <c r="CG56" s="16">
        <f t="shared" si="119"/>
        <v>319.73362500000002</v>
      </c>
      <c r="CH56" s="54">
        <f t="shared" si="120"/>
        <v>245.79072315558801</v>
      </c>
      <c r="CI56" s="54">
        <v>235.2071</v>
      </c>
      <c r="CJ56" s="54">
        <f t="shared" si="95"/>
        <v>-55.790723155588012</v>
      </c>
      <c r="CK56" s="54">
        <f t="shared" si="96"/>
        <v>-45.207099999999997</v>
      </c>
      <c r="CL56" s="54">
        <f t="shared" si="100"/>
        <v>-108.21983</v>
      </c>
      <c r="CM56" s="12">
        <v>-1.028</v>
      </c>
      <c r="CN56" s="16">
        <f t="shared" si="48"/>
        <v>176</v>
      </c>
      <c r="CO56" s="54">
        <f t="shared" si="49"/>
        <v>-47.169250000000005</v>
      </c>
      <c r="CP56" s="12">
        <f t="shared" si="135"/>
        <v>6.2591682504653856E-2</v>
      </c>
      <c r="CQ56" s="12">
        <f t="shared" si="136"/>
        <v>-0.47220492851288803</v>
      </c>
      <c r="CR56" s="16">
        <f t="shared" si="50"/>
        <v>-106.73362500000002</v>
      </c>
      <c r="CS56" s="12">
        <f t="shared" si="137"/>
        <v>-0.57100396022511768</v>
      </c>
      <c r="CT56" s="12">
        <f t="shared" si="138"/>
        <v>-0.37370753502956555</v>
      </c>
      <c r="CU56" s="12">
        <f t="shared" si="139"/>
        <v>-0.7666412023804493</v>
      </c>
      <c r="CV56" s="12">
        <f t="shared" si="140"/>
        <v>-1.0109686373249955</v>
      </c>
      <c r="CW56" s="54">
        <v>19</v>
      </c>
      <c r="CX56" s="54">
        <f t="shared" si="121"/>
        <v>235.21222499999999</v>
      </c>
      <c r="CY56" s="54">
        <f t="shared" si="51"/>
        <v>-45.212224999999989</v>
      </c>
      <c r="CZ56" s="12">
        <f t="shared" si="141"/>
        <v>-0.34286943884783838</v>
      </c>
      <c r="DA56" s="12">
        <f t="shared" si="114"/>
        <v>-0.60282966666666649</v>
      </c>
      <c r="DB56" s="12">
        <f t="shared" si="142"/>
        <v>-0.23973886496381386</v>
      </c>
      <c r="DC56" s="54">
        <v>21</v>
      </c>
      <c r="DD56" s="54">
        <v>27</v>
      </c>
      <c r="DE56" s="54">
        <f t="shared" si="122"/>
        <v>43.601347500000003</v>
      </c>
      <c r="DF56" s="54">
        <v>60</v>
      </c>
      <c r="DG56" s="54">
        <v>39.5</v>
      </c>
      <c r="DH56" s="54">
        <f t="shared" si="52"/>
        <v>159.5</v>
      </c>
      <c r="DI56" s="54">
        <f t="shared" si="123"/>
        <v>372.53401111993645</v>
      </c>
      <c r="DJ56" s="16">
        <f t="shared" si="53"/>
        <v>-213.03401111993645</v>
      </c>
      <c r="DK56" s="12">
        <f t="shared" si="124"/>
        <v>-1.1049604787941369</v>
      </c>
      <c r="DL56" s="54">
        <v>5</v>
      </c>
      <c r="DM56" s="54">
        <v>10</v>
      </c>
      <c r="DN56" s="54">
        <v>21</v>
      </c>
      <c r="DO56" s="54">
        <f t="shared" si="54"/>
        <v>36</v>
      </c>
      <c r="DP56" s="54">
        <f t="shared" si="125"/>
        <v>40.112787926926131</v>
      </c>
      <c r="DQ56" s="16">
        <f t="shared" si="55"/>
        <v>-4.1127879269261314</v>
      </c>
      <c r="DR56" s="12">
        <f t="shared" si="126"/>
        <v>-0.20636565501905152</v>
      </c>
      <c r="DS56" s="54">
        <f t="shared" si="56"/>
        <v>26</v>
      </c>
      <c r="DT56" s="54">
        <f t="shared" si="127"/>
        <v>0</v>
      </c>
      <c r="DU56" s="54">
        <f t="shared" si="128"/>
        <v>32.651570489408329</v>
      </c>
      <c r="DV56" s="54">
        <f t="shared" si="57"/>
        <v>-16.601347500000003</v>
      </c>
      <c r="DW56" s="54">
        <f t="shared" si="58"/>
        <v>26</v>
      </c>
      <c r="DX56" s="54">
        <f t="shared" si="115"/>
        <v>-11.651570489408329</v>
      </c>
      <c r="DY56" s="12">
        <f t="shared" si="143"/>
        <v>-0.60810104047265634</v>
      </c>
      <c r="DZ56" s="12">
        <f t="shared" si="144"/>
        <v>0.12982818253702622</v>
      </c>
      <c r="EA56" s="12">
        <f t="shared" si="145"/>
        <v>-0.59452934607840047</v>
      </c>
      <c r="EB56" s="12">
        <f t="shared" si="59"/>
        <v>-0.58027823028700232</v>
      </c>
      <c r="EC56" s="12">
        <f t="shared" si="60"/>
        <v>-0.50278603290426616</v>
      </c>
      <c r="ED56" s="12">
        <f t="shared" si="116"/>
        <v>-0.42891298779177428</v>
      </c>
      <c r="EE56" s="54">
        <v>27</v>
      </c>
      <c r="EF56" s="54">
        <f t="shared" si="102"/>
        <v>-8</v>
      </c>
      <c r="EG56" s="12">
        <v>-0.48099999999999998</v>
      </c>
      <c r="EH56" s="12">
        <v>-0.89100000000000001</v>
      </c>
      <c r="EI56" s="12">
        <f t="shared" si="103"/>
        <v>-0.87847647799374662</v>
      </c>
      <c r="EJ56" s="16">
        <v>0</v>
      </c>
      <c r="EK56" s="16">
        <v>0</v>
      </c>
      <c r="EL56" s="16">
        <v>168037</v>
      </c>
      <c r="EM56" s="12">
        <f t="shared" si="151"/>
        <v>-0.88031177285036555</v>
      </c>
      <c r="EN56" s="12">
        <f t="shared" si="61"/>
        <v>7.9400807512746946E-2</v>
      </c>
      <c r="EO56" s="16">
        <v>0</v>
      </c>
      <c r="EP56" s="16">
        <v>0</v>
      </c>
      <c r="EQ56" s="16">
        <f t="shared" si="129"/>
        <v>185069.77500000002</v>
      </c>
      <c r="ER56" s="16">
        <v>0</v>
      </c>
      <c r="ES56" s="16">
        <f t="shared" si="62"/>
        <v>0</v>
      </c>
      <c r="ET56" s="16">
        <f t="shared" si="130"/>
        <v>0</v>
      </c>
      <c r="EU56" s="16">
        <f t="shared" si="131"/>
        <v>142545.4711468225</v>
      </c>
      <c r="EV56" s="16">
        <f t="shared" si="63"/>
        <v>-185069.77500000002</v>
      </c>
      <c r="EW56" s="16">
        <f t="shared" si="64"/>
        <v>0</v>
      </c>
      <c r="EX56" s="16">
        <f t="shared" si="65"/>
        <v>-142545.4711468225</v>
      </c>
      <c r="EY56" s="12">
        <f t="shared" si="146"/>
        <v>-0.34982366135262349</v>
      </c>
      <c r="EZ56" s="17">
        <f t="shared" si="147"/>
        <v>-0.65643582116742127</v>
      </c>
      <c r="FA56" s="17">
        <f t="shared" si="148"/>
        <v>-0.75797463468078452</v>
      </c>
      <c r="FB56" s="17">
        <f t="shared" si="97"/>
        <v>-0.51992212114203307</v>
      </c>
      <c r="FC56" s="16">
        <v>157714.35999999999</v>
      </c>
      <c r="FD56">
        <f t="shared" si="104"/>
        <v>-168037</v>
      </c>
      <c r="FE56" s="16">
        <f t="shared" si="105"/>
        <v>-157714.35999999999</v>
      </c>
      <c r="FF56" s="12">
        <v>-0.9</v>
      </c>
      <c r="FG56" s="12">
        <f t="shared" si="149"/>
        <v>-0.93204736188269688</v>
      </c>
      <c r="FH56" s="12">
        <f t="shared" si="68"/>
        <v>-0.65135679204451524</v>
      </c>
      <c r="FI56" s="12">
        <f t="shared" si="69"/>
        <v>-0.56424594820952823</v>
      </c>
      <c r="FJ56" s="16">
        <v>0</v>
      </c>
      <c r="FK56" s="16">
        <v>0</v>
      </c>
      <c r="FL56" s="16">
        <f t="shared" si="70"/>
        <v>0</v>
      </c>
      <c r="FM56" s="16">
        <f t="shared" si="132"/>
        <v>369276.51469420176</v>
      </c>
      <c r="FN56" s="16">
        <f t="shared" si="71"/>
        <v>-369276.51469420176</v>
      </c>
      <c r="FO56" s="12">
        <f t="shared" si="133"/>
        <v>-0.84400203660631878</v>
      </c>
      <c r="FP56" s="12">
        <f t="shared" si="134"/>
        <v>-0.86578787835274684</v>
      </c>
      <c r="FQ56" s="12">
        <f t="shared" si="72"/>
        <v>-9.2288980033401247E-2</v>
      </c>
    </row>
    <row r="57" spans="1:173" x14ac:dyDescent="0.35">
      <c r="A57" s="7" t="s">
        <v>223</v>
      </c>
      <c r="B57" s="7" t="s">
        <v>22</v>
      </c>
      <c r="C57" s="144">
        <f t="shared" si="108"/>
        <v>57</v>
      </c>
      <c r="D57" s="144">
        <v>57</v>
      </c>
      <c r="E57" s="144">
        <v>0</v>
      </c>
      <c r="F57" s="144">
        <v>0</v>
      </c>
      <c r="G57" s="144">
        <v>0</v>
      </c>
      <c r="H57" s="144">
        <v>0</v>
      </c>
      <c r="I57" s="144">
        <v>0</v>
      </c>
      <c r="J57" s="144">
        <v>0</v>
      </c>
      <c r="K57" s="144"/>
      <c r="L57" s="9">
        <v>12</v>
      </c>
      <c r="M57" s="149">
        <f t="shared" si="109"/>
        <v>0.21052631578947367</v>
      </c>
      <c r="N57" s="149">
        <f>M57/M73</f>
        <v>3.3002612286911603E-3</v>
      </c>
      <c r="O57" s="9">
        <v>8</v>
      </c>
      <c r="P57" s="149">
        <f t="shared" si="110"/>
        <v>0.14035087719298245</v>
      </c>
      <c r="Q57" s="147">
        <f>P57/P73</f>
        <v>9.5037598258760521E-3</v>
      </c>
      <c r="R57" s="149">
        <f t="shared" si="111"/>
        <v>0.19298245614035087</v>
      </c>
      <c r="S57" s="147">
        <f>R57/R73</f>
        <v>3.7446810022632162E-3</v>
      </c>
      <c r="T57" s="147">
        <f t="shared" si="112"/>
        <v>4.8511358779873837E-3</v>
      </c>
      <c r="U57" s="142"/>
      <c r="V57" s="142">
        <f t="shared" si="107"/>
        <v>0</v>
      </c>
      <c r="W57" s="142"/>
      <c r="X57" s="147">
        <f>V57/V73</f>
        <v>0</v>
      </c>
      <c r="Y57" s="147">
        <f t="shared" si="113"/>
        <v>2.91068152679243E-3</v>
      </c>
      <c r="Z57" s="147">
        <v>-0.435</v>
      </c>
      <c r="AA57" s="149">
        <v>-0.80400000000000005</v>
      </c>
      <c r="AB57" s="145">
        <v>57</v>
      </c>
      <c r="AC57" s="149">
        <v>-0.44934554079477329</v>
      </c>
      <c r="AD57" s="149">
        <f t="shared" si="93"/>
        <v>-0.80424257654607345</v>
      </c>
      <c r="AE57" s="142">
        <v>58</v>
      </c>
      <c r="AF57" s="209"/>
      <c r="AG57" s="209"/>
      <c r="AH57" s="12"/>
      <c r="AI57" s="12"/>
      <c r="AJ57" s="23"/>
      <c r="AK57" s="30"/>
      <c r="AL57" s="23"/>
      <c r="AM57" s="30"/>
      <c r="AN57" s="30"/>
      <c r="AO57" s="30"/>
      <c r="AP57" s="209"/>
      <c r="AQ57" s="142"/>
      <c r="AR57" s="24"/>
      <c r="AS57" s="24"/>
      <c r="AT57" s="24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>
        <v>14</v>
      </c>
      <c r="BM57" s="16">
        <v>14</v>
      </c>
      <c r="BN57" s="16">
        <f t="shared" si="94"/>
        <v>0</v>
      </c>
      <c r="BO57" s="16">
        <v>129</v>
      </c>
      <c r="BP57" s="16">
        <v>94</v>
      </c>
      <c r="BQ57" s="16">
        <v>129.94614999999999</v>
      </c>
      <c r="BR57" s="16">
        <f t="shared" si="99"/>
        <v>-115</v>
      </c>
      <c r="BS57" s="16">
        <v>102</v>
      </c>
      <c r="BT57" s="16">
        <v>45</v>
      </c>
      <c r="BU57" s="16"/>
      <c r="BV57" s="16"/>
      <c r="BW57" s="16"/>
      <c r="BX57" s="16"/>
      <c r="BY57" s="12"/>
      <c r="BZ57" s="12"/>
      <c r="CC57">
        <v>11</v>
      </c>
      <c r="CD57">
        <f t="shared" si="44"/>
        <v>56</v>
      </c>
      <c r="CE57" s="16">
        <f t="shared" si="117"/>
        <v>0</v>
      </c>
      <c r="CF57" s="54">
        <f t="shared" si="118"/>
        <v>124.00863000000001</v>
      </c>
      <c r="CG57" s="16">
        <f t="shared" si="119"/>
        <v>242.99755500000001</v>
      </c>
      <c r="CH57" s="54">
        <f t="shared" si="120"/>
        <v>186.80094959824689</v>
      </c>
      <c r="CI57" s="54">
        <v>178.75739999999999</v>
      </c>
      <c r="CJ57" s="54">
        <f t="shared" si="95"/>
        <v>-92.800949598246888</v>
      </c>
      <c r="CK57" s="54">
        <f t="shared" si="96"/>
        <v>-84.75739999999999</v>
      </c>
      <c r="CL57" s="54">
        <f t="shared" si="100"/>
        <v>-115.94614999999999</v>
      </c>
      <c r="CM57" s="12">
        <v>-1.099</v>
      </c>
      <c r="CN57" s="16">
        <f t="shared" si="48"/>
        <v>56</v>
      </c>
      <c r="CO57" s="54">
        <f t="shared" si="49"/>
        <v>-79.008630000000011</v>
      </c>
      <c r="CP57" s="12">
        <f t="shared" si="135"/>
        <v>-0.54081014883517464</v>
      </c>
      <c r="CQ57" s="12">
        <f t="shared" si="136"/>
        <v>-0.76799225155899631</v>
      </c>
      <c r="CR57" s="16">
        <f t="shared" si="50"/>
        <v>-140.99755500000001</v>
      </c>
      <c r="CS57" s="12">
        <f t="shared" si="137"/>
        <v>-0.75184139365200087</v>
      </c>
      <c r="CT57" s="12">
        <f t="shared" si="138"/>
        <v>-0.6216161426344623</v>
      </c>
      <c r="CU57" s="12">
        <f t="shared" si="139"/>
        <v>-0.81860875788489906</v>
      </c>
      <c r="CV57" s="12">
        <f t="shared" si="140"/>
        <v>-1.0799922949867422</v>
      </c>
      <c r="CW57" s="54">
        <v>13</v>
      </c>
      <c r="CX57" s="54">
        <f t="shared" si="121"/>
        <v>178.761291</v>
      </c>
      <c r="CY57" s="54">
        <f t="shared" si="51"/>
        <v>-84.761291</v>
      </c>
      <c r="CZ57" s="12">
        <f t="shared" si="141"/>
        <v>-0.60887923408540046</v>
      </c>
      <c r="DA57" s="12">
        <f t="shared" si="114"/>
        <v>-1.4870401929824562</v>
      </c>
      <c r="DB57" s="12">
        <f t="shared" si="142"/>
        <v>-0.54324478634801709</v>
      </c>
      <c r="DC57" s="54">
        <v>23</v>
      </c>
      <c r="DD57" s="54">
        <v>27</v>
      </c>
      <c r="DE57" s="54">
        <f t="shared" si="122"/>
        <v>33.137024099999998</v>
      </c>
      <c r="DF57" s="54">
        <v>70</v>
      </c>
      <c r="DG57" s="54">
        <v>51</v>
      </c>
      <c r="DH57" s="54">
        <f t="shared" si="52"/>
        <v>132</v>
      </c>
      <c r="DI57" s="54">
        <f t="shared" si="123"/>
        <v>284.30227164416203</v>
      </c>
      <c r="DJ57" s="16">
        <f t="shared" si="53"/>
        <v>-152.30227164416203</v>
      </c>
      <c r="DK57" s="12">
        <f t="shared" si="124"/>
        <v>-0.78995832690125323</v>
      </c>
      <c r="DL57" s="54">
        <v>2</v>
      </c>
      <c r="DM57" s="54">
        <v>49</v>
      </c>
      <c r="DN57" s="54">
        <v>9.5</v>
      </c>
      <c r="DO57" s="54">
        <f t="shared" si="54"/>
        <v>60.5</v>
      </c>
      <c r="DP57" s="54">
        <f t="shared" si="125"/>
        <v>30.612390786338363</v>
      </c>
      <c r="DQ57" s="16">
        <f t="shared" si="55"/>
        <v>29.887609213661637</v>
      </c>
      <c r="DR57" s="14">
        <f t="shared" si="126"/>
        <v>1.4996581788111978</v>
      </c>
      <c r="DS57" s="54">
        <f t="shared" si="56"/>
        <v>25</v>
      </c>
      <c r="DT57" s="54">
        <f t="shared" si="127"/>
        <v>0</v>
      </c>
      <c r="DU57" s="54">
        <f t="shared" si="128"/>
        <v>24.815193571950328</v>
      </c>
      <c r="DV57" s="54">
        <f t="shared" si="57"/>
        <v>-6.1370240999999979</v>
      </c>
      <c r="DW57" s="54">
        <f t="shared" si="58"/>
        <v>25</v>
      </c>
      <c r="DX57" s="54">
        <f t="shared" si="115"/>
        <v>-1.8151935719503278</v>
      </c>
      <c r="DY57" s="12">
        <f t="shared" si="143"/>
        <v>-0.28451151327149538</v>
      </c>
      <c r="DZ57" s="12">
        <f t="shared" si="144"/>
        <v>9.6113111878186094E-2</v>
      </c>
      <c r="EA57" s="12">
        <f t="shared" si="145"/>
        <v>-9.2621492383225132E-2</v>
      </c>
      <c r="EB57" s="12">
        <f t="shared" si="59"/>
        <v>-0.63500892355687444</v>
      </c>
      <c r="EC57" s="12">
        <f t="shared" si="60"/>
        <v>-0.59914956176505352</v>
      </c>
      <c r="ED57" s="12">
        <f t="shared" si="116"/>
        <v>-0.48936748007165298</v>
      </c>
      <c r="EE57" s="54">
        <v>18</v>
      </c>
      <c r="EF57" s="54">
        <f t="shared" si="102"/>
        <v>-5</v>
      </c>
      <c r="EG57" s="12">
        <v>-0.36099999999999999</v>
      </c>
      <c r="EH57" s="12">
        <v>-0.91500000000000004</v>
      </c>
      <c r="EI57" s="12">
        <f t="shared" si="103"/>
        <v>-0.90024422124005654</v>
      </c>
      <c r="EJ57" s="16">
        <v>0</v>
      </c>
      <c r="EK57" s="16">
        <v>0</v>
      </c>
      <c r="EL57" s="16">
        <v>119880</v>
      </c>
      <c r="EM57" s="12">
        <f t="shared" si="151"/>
        <v>-0.2175542004731405</v>
      </c>
      <c r="EN57" s="12">
        <f t="shared" si="61"/>
        <v>-0.38157933365683444</v>
      </c>
      <c r="EO57" s="16">
        <v>26103</v>
      </c>
      <c r="EP57" s="16">
        <v>26103</v>
      </c>
      <c r="EQ57" s="16">
        <f t="shared" si="129"/>
        <v>140653.02900000001</v>
      </c>
      <c r="ER57" s="16">
        <v>6252</v>
      </c>
      <c r="ES57" s="16">
        <f t="shared" si="62"/>
        <v>32355</v>
      </c>
      <c r="ET57" s="16">
        <f t="shared" si="130"/>
        <v>0</v>
      </c>
      <c r="EU57" s="16">
        <f t="shared" si="131"/>
        <v>108334.5580715851</v>
      </c>
      <c r="EV57" s="16">
        <f t="shared" si="63"/>
        <v>-114550.02900000001</v>
      </c>
      <c r="EW57" s="16">
        <f t="shared" si="64"/>
        <v>32355</v>
      </c>
      <c r="EX57" s="16">
        <f t="shared" si="65"/>
        <v>-82231.558071585096</v>
      </c>
      <c r="EY57" s="12">
        <f t="shared" si="146"/>
        <v>-0.27545956858488418</v>
      </c>
      <c r="EZ57" s="17">
        <f t="shared" si="147"/>
        <v>-0.37868435885274865</v>
      </c>
      <c r="FA57" s="17">
        <f t="shared" si="148"/>
        <v>-0.4760301422067546</v>
      </c>
      <c r="FB57" s="17">
        <f t="shared" si="97"/>
        <v>-0.44509423158409123</v>
      </c>
      <c r="FC57" s="16">
        <v>111437.4</v>
      </c>
      <c r="FD57">
        <f t="shared" si="104"/>
        <v>-119880</v>
      </c>
      <c r="FE57" s="16">
        <f t="shared" si="105"/>
        <v>-111437.4</v>
      </c>
      <c r="FF57" s="12">
        <v>-0.63800000000000001</v>
      </c>
      <c r="FG57" s="12">
        <f t="shared" si="149"/>
        <v>-0.6602401095050987</v>
      </c>
      <c r="FH57" s="12">
        <f t="shared" si="68"/>
        <v>-0.57141741101682653</v>
      </c>
      <c r="FI57" s="12">
        <f t="shared" si="69"/>
        <v>-0.51096348060013153</v>
      </c>
      <c r="FJ57" s="16">
        <v>58010</v>
      </c>
      <c r="FK57" s="16">
        <v>0</v>
      </c>
      <c r="FL57" s="16">
        <f t="shared" si="70"/>
        <v>64262</v>
      </c>
      <c r="FM57" s="16">
        <f t="shared" si="132"/>
        <v>281816.28752978554</v>
      </c>
      <c r="FN57" s="16">
        <f t="shared" si="71"/>
        <v>-217554.28752978554</v>
      </c>
      <c r="FO57" s="12">
        <f t="shared" si="133"/>
        <v>-0.49723243813549445</v>
      </c>
      <c r="FP57" s="12">
        <f t="shared" si="134"/>
        <v>-0.32942549553808209</v>
      </c>
      <c r="FQ57" s="12">
        <f t="shared" si="72"/>
        <v>-0.33913142762805432</v>
      </c>
    </row>
    <row r="58" spans="1:173" x14ac:dyDescent="0.35">
      <c r="A58" s="8" t="s">
        <v>223</v>
      </c>
      <c r="B58" s="8" t="s">
        <v>108</v>
      </c>
      <c r="C58" s="144">
        <f t="shared" si="108"/>
        <v>12</v>
      </c>
      <c r="D58" s="144">
        <v>0</v>
      </c>
      <c r="E58" s="144">
        <v>12</v>
      </c>
      <c r="F58" s="144">
        <v>0</v>
      </c>
      <c r="G58" s="144">
        <v>0</v>
      </c>
      <c r="H58" s="144">
        <v>0</v>
      </c>
      <c r="I58" s="144">
        <v>0</v>
      </c>
      <c r="J58" s="144">
        <v>0</v>
      </c>
      <c r="K58" s="144"/>
      <c r="L58" s="9">
        <v>2.5</v>
      </c>
      <c r="M58" s="149">
        <f t="shared" si="109"/>
        <v>0.20833333333333334</v>
      </c>
      <c r="N58" s="149">
        <f>M58/M73</f>
        <v>3.2658835075589608E-3</v>
      </c>
      <c r="O58" s="9">
        <v>2.5</v>
      </c>
      <c r="P58" s="149">
        <f t="shared" si="110"/>
        <v>0.20833333333333334</v>
      </c>
      <c r="Q58" s="147">
        <f>P58/P73</f>
        <v>1.4107143491534767E-2</v>
      </c>
      <c r="R58" s="149">
        <f t="shared" si="111"/>
        <v>0.20833333333333334</v>
      </c>
      <c r="S58" s="147">
        <f>R58/R73</f>
        <v>4.0425533547159727E-3</v>
      </c>
      <c r="T58" s="147">
        <f t="shared" si="112"/>
        <v>5.9761985035529123E-3</v>
      </c>
      <c r="U58" s="142"/>
      <c r="V58" s="142">
        <f t="shared" si="107"/>
        <v>0</v>
      </c>
      <c r="W58" s="142"/>
      <c r="X58" s="147">
        <f>V58/V73</f>
        <v>0</v>
      </c>
      <c r="Y58" s="147">
        <f t="shared" si="113"/>
        <v>3.5857191021317473E-3</v>
      </c>
      <c r="Z58" s="147">
        <v>-0.313</v>
      </c>
      <c r="AA58" s="149">
        <v>-0.17</v>
      </c>
      <c r="AB58" s="145">
        <v>7</v>
      </c>
      <c r="AC58" s="149">
        <v>4.177679290339717E-2</v>
      </c>
      <c r="AD58" s="149">
        <f t="shared" si="93"/>
        <v>-0.16449689424577107</v>
      </c>
      <c r="AE58" s="142">
        <v>7</v>
      </c>
      <c r="AF58" s="209"/>
      <c r="AG58" s="209"/>
      <c r="AH58" s="12"/>
      <c r="AI58" s="12"/>
      <c r="AJ58" s="23"/>
      <c r="AK58" s="30"/>
      <c r="AL58" s="23"/>
      <c r="AM58" s="30"/>
      <c r="AN58" s="30"/>
      <c r="AO58" s="30"/>
      <c r="AP58" s="209"/>
      <c r="AQ58" s="142">
        <v>0</v>
      </c>
      <c r="AR58" s="24">
        <v>0</v>
      </c>
      <c r="AS58" s="24"/>
      <c r="AT58" s="24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>
        <v>6</v>
      </c>
      <c r="BM58" s="16">
        <v>6</v>
      </c>
      <c r="BN58" s="16">
        <f t="shared" si="94"/>
        <v>0</v>
      </c>
      <c r="BO58" s="16">
        <v>27</v>
      </c>
      <c r="BP58" s="16">
        <v>9</v>
      </c>
      <c r="BQ58" s="16">
        <v>27.35708</v>
      </c>
      <c r="BR58" s="16">
        <f t="shared" si="99"/>
        <v>-21</v>
      </c>
      <c r="BS58" s="16">
        <v>12</v>
      </c>
      <c r="BT58" s="16">
        <v>7</v>
      </c>
      <c r="BU58" s="211">
        <v>1140.6993995551857</v>
      </c>
      <c r="BV58" s="285">
        <f>BY58*CB$4</f>
        <v>6703.1123213628116</v>
      </c>
      <c r="BW58" s="16">
        <f>AVERAGE(AQ58,BU58,BV58)</f>
        <v>2614.6039069726658</v>
      </c>
      <c r="BX58" s="285">
        <f>BW58-(BZ58*BW$72)</f>
        <v>3234.1504112646603</v>
      </c>
      <c r="BY58" s="12">
        <f>AE58*BZ58</f>
        <v>0.10607548205611167</v>
      </c>
      <c r="BZ58" s="12">
        <f>FP58/CB3</f>
        <v>1.5153640293730239E-2</v>
      </c>
      <c r="CC58">
        <v>3</v>
      </c>
      <c r="CD58">
        <f t="shared" si="44"/>
        <v>10</v>
      </c>
      <c r="CE58" s="16">
        <f t="shared" si="117"/>
        <v>0</v>
      </c>
      <c r="CF58" s="54">
        <f t="shared" si="118"/>
        <v>15.229130000000001</v>
      </c>
      <c r="CG58" s="16">
        <f t="shared" si="119"/>
        <v>29.841805000000001</v>
      </c>
      <c r="CH58" s="54">
        <f t="shared" si="120"/>
        <v>22.940467494521549</v>
      </c>
      <c r="CI58" s="54">
        <v>21.952660000000002</v>
      </c>
      <c r="CJ58" s="54">
        <f t="shared" si="95"/>
        <v>-13.940467494521549</v>
      </c>
      <c r="CK58" s="54">
        <f t="shared" si="96"/>
        <v>-12.952660000000002</v>
      </c>
      <c r="CL58" s="54">
        <f t="shared" si="100"/>
        <v>-21.35708</v>
      </c>
      <c r="CM58" s="12">
        <v>-0.25900000000000001</v>
      </c>
      <c r="CN58" s="16">
        <f t="shared" si="48"/>
        <v>10</v>
      </c>
      <c r="CO58" s="54">
        <f t="shared" si="49"/>
        <v>-8.2291300000000014</v>
      </c>
      <c r="CP58" s="12">
        <f t="shared" si="135"/>
        <v>-0.77211418418210886</v>
      </c>
      <c r="CQ58" s="12">
        <f t="shared" si="136"/>
        <v>-0.1104518462011653</v>
      </c>
      <c r="CR58" s="16">
        <f t="shared" si="50"/>
        <v>-17.841805000000001</v>
      </c>
      <c r="CS58" s="12">
        <f t="shared" si="137"/>
        <v>-0.10185262290203508</v>
      </c>
      <c r="CT58" s="12">
        <f t="shared" si="138"/>
        <v>-9.3378566361451296E-2</v>
      </c>
      <c r="CU58" s="12">
        <f t="shared" si="139"/>
        <v>-0.1823986675263207</v>
      </c>
      <c r="CV58" s="12">
        <f t="shared" si="140"/>
        <v>-0.23497376272002271</v>
      </c>
      <c r="CW58" s="54">
        <v>9</v>
      </c>
      <c r="CX58" s="54">
        <f t="shared" si="121"/>
        <v>21.953140999999999</v>
      </c>
      <c r="CY58" s="54">
        <f t="shared" si="51"/>
        <v>-12.953140999999999</v>
      </c>
      <c r="CZ58" s="12">
        <f t="shared" si="141"/>
        <v>-0.12589257447912461</v>
      </c>
      <c r="DA58" s="12">
        <f t="shared" si="114"/>
        <v>-1.850448714285714</v>
      </c>
      <c r="DB58" s="12">
        <f t="shared" si="142"/>
        <v>-0.66798503181488056</v>
      </c>
      <c r="DC58" s="54">
        <v>17</v>
      </c>
      <c r="DD58" s="54">
        <v>20</v>
      </c>
      <c r="DE58" s="54">
        <f t="shared" si="122"/>
        <v>4.0694591000000004</v>
      </c>
      <c r="DF58" s="54">
        <v>6</v>
      </c>
      <c r="DG58" s="54">
        <v>0</v>
      </c>
      <c r="DH58" s="54">
        <f t="shared" si="52"/>
        <v>9</v>
      </c>
      <c r="DI58" s="54">
        <f t="shared" si="123"/>
        <v>34.312343129467834</v>
      </c>
      <c r="DJ58" s="16">
        <f t="shared" si="53"/>
        <v>-25.312343129467834</v>
      </c>
      <c r="DK58" s="12">
        <f t="shared" si="124"/>
        <v>-0.1312895468507696</v>
      </c>
      <c r="DL58" s="54">
        <v>8</v>
      </c>
      <c r="DM58" s="54">
        <v>25</v>
      </c>
      <c r="DN58" s="54">
        <v>9</v>
      </c>
      <c r="DO58" s="54">
        <f t="shared" si="54"/>
        <v>42</v>
      </c>
      <c r="DP58" s="54">
        <f t="shared" si="125"/>
        <v>3.6945988880063543</v>
      </c>
      <c r="DQ58" s="16">
        <f t="shared" si="55"/>
        <v>38.305401111993646</v>
      </c>
      <c r="DR58" s="14">
        <f t="shared" si="126"/>
        <v>1.9220342336377541</v>
      </c>
      <c r="DS58" s="54">
        <f t="shared" si="56"/>
        <v>25</v>
      </c>
      <c r="DT58" s="54">
        <f t="shared" si="127"/>
        <v>0</v>
      </c>
      <c r="DU58" s="54">
        <f t="shared" si="128"/>
        <v>3.0474799123447771</v>
      </c>
      <c r="DV58" s="54">
        <f t="shared" si="57"/>
        <v>15.9305409</v>
      </c>
      <c r="DW58" s="54">
        <f t="shared" si="58"/>
        <v>25</v>
      </c>
      <c r="DX58" s="54">
        <f t="shared" si="115"/>
        <v>13.952520087655223</v>
      </c>
      <c r="DY58" s="12">
        <f t="shared" si="143"/>
        <v>0.39788644518904731</v>
      </c>
      <c r="DZ58" s="12">
        <f t="shared" si="144"/>
        <v>9.6113111878186094E-2</v>
      </c>
      <c r="EA58" s="12">
        <f t="shared" si="145"/>
        <v>0.7119368716346014</v>
      </c>
      <c r="EB58" s="12">
        <f t="shared" si="59"/>
        <v>2.3082144120735518E-2</v>
      </c>
      <c r="EC58" s="12">
        <f t="shared" si="60"/>
        <v>9.5145333257776382E-2</v>
      </c>
      <c r="ED58" s="14">
        <f t="shared" si="116"/>
        <v>0.10795029313756188</v>
      </c>
      <c r="EE58" s="54">
        <v>4</v>
      </c>
      <c r="EF58" s="54">
        <f t="shared" si="102"/>
        <v>5</v>
      </c>
      <c r="EG58" s="12">
        <v>3.6999999999999998E-2</v>
      </c>
      <c r="EH58" s="12">
        <v>-0.185</v>
      </c>
      <c r="EI58" s="12">
        <f t="shared" si="103"/>
        <v>-0.16698032204001703</v>
      </c>
      <c r="EJ58" s="16">
        <v>0</v>
      </c>
      <c r="EK58" s="16">
        <v>0</v>
      </c>
      <c r="EL58" s="16">
        <v>29556</v>
      </c>
      <c r="EM58" s="14">
        <f t="shared" si="151"/>
        <v>0.3820413982713613</v>
      </c>
      <c r="EN58" s="12">
        <f t="shared" si="61"/>
        <v>-0.55505736016703511</v>
      </c>
      <c r="EO58" s="16">
        <v>0</v>
      </c>
      <c r="EP58" s="16">
        <v>0</v>
      </c>
      <c r="EQ58" s="16">
        <f t="shared" si="129"/>
        <v>17273.179</v>
      </c>
      <c r="ER58" s="16">
        <v>0</v>
      </c>
      <c r="ES58" s="16">
        <f t="shared" si="62"/>
        <v>0</v>
      </c>
      <c r="ET58" s="16">
        <f t="shared" si="130"/>
        <v>0</v>
      </c>
      <c r="EU58" s="16">
        <f t="shared" si="131"/>
        <v>13304.243973703433</v>
      </c>
      <c r="EV58" s="16">
        <f t="shared" si="63"/>
        <v>-17273.179</v>
      </c>
      <c r="EW58" s="16">
        <f t="shared" si="64"/>
        <v>0</v>
      </c>
      <c r="EX58" s="16">
        <f t="shared" si="65"/>
        <v>-13304.243973703433</v>
      </c>
      <c r="EY58" s="12">
        <f t="shared" si="146"/>
        <v>-0.34982366135262349</v>
      </c>
      <c r="EZ58" s="17">
        <f t="shared" si="147"/>
        <v>-6.1267343308959374E-2</v>
      </c>
      <c r="FA58" s="17">
        <f t="shared" si="148"/>
        <v>-8.7108263464843946E-2</v>
      </c>
      <c r="FB58" s="17">
        <f t="shared" si="97"/>
        <v>4.0263238558953376E-2</v>
      </c>
      <c r="FC58" s="16">
        <v>26399.65</v>
      </c>
      <c r="FD58">
        <f t="shared" si="104"/>
        <v>-29556</v>
      </c>
      <c r="FE58" s="16">
        <f t="shared" si="105"/>
        <v>-26399.65</v>
      </c>
      <c r="FF58" s="12">
        <v>-0.14799999999999999</v>
      </c>
      <c r="FG58" s="12">
        <f t="shared" si="149"/>
        <v>-0.16077175255440215</v>
      </c>
      <c r="FH58" s="12">
        <f t="shared" si="68"/>
        <v>-2.0994018913496268E-2</v>
      </c>
      <c r="FI58" s="12">
        <f t="shared" si="69"/>
        <v>3.2580262631082074E-2</v>
      </c>
      <c r="FJ58" s="16">
        <v>0</v>
      </c>
      <c r="FK58" s="16">
        <v>0</v>
      </c>
      <c r="FL58" s="16">
        <f t="shared" si="70"/>
        <v>0</v>
      </c>
      <c r="FM58" s="16">
        <f t="shared" si="132"/>
        <v>34012.310563939638</v>
      </c>
      <c r="FN58" s="16">
        <f t="shared" si="71"/>
        <v>-34012.310563939638</v>
      </c>
      <c r="FO58" s="12">
        <f t="shared" si="133"/>
        <v>-7.7737029687424158E-2</v>
      </c>
      <c r="FP58" s="14">
        <f t="shared" si="134"/>
        <v>0.1981300270878471</v>
      </c>
      <c r="FQ58" s="12">
        <f t="shared" si="72"/>
        <v>-0.47296388064127048</v>
      </c>
    </row>
    <row r="59" spans="1:173" x14ac:dyDescent="0.35">
      <c r="A59" s="8" t="s">
        <v>223</v>
      </c>
      <c r="B59" s="8" t="s">
        <v>226</v>
      </c>
      <c r="C59" s="144">
        <f t="shared" si="108"/>
        <v>13</v>
      </c>
      <c r="D59" s="144">
        <v>13</v>
      </c>
      <c r="E59" s="144">
        <v>0</v>
      </c>
      <c r="F59" s="144">
        <v>0</v>
      </c>
      <c r="G59" s="144">
        <v>0</v>
      </c>
      <c r="H59" s="144">
        <v>0</v>
      </c>
      <c r="I59" s="144">
        <v>0</v>
      </c>
      <c r="J59" s="144">
        <v>0</v>
      </c>
      <c r="K59" s="144"/>
      <c r="L59" s="9">
        <v>1.5</v>
      </c>
      <c r="M59" s="149">
        <f t="shared" si="109"/>
        <v>0.11538461538461539</v>
      </c>
      <c r="N59" s="149">
        <f>M59/M73</f>
        <v>1.8087970195711169E-3</v>
      </c>
      <c r="O59" s="9">
        <v>1</v>
      </c>
      <c r="P59" s="149">
        <f t="shared" si="110"/>
        <v>7.6923076923076927E-2</v>
      </c>
      <c r="Q59" s="147">
        <f>P59/P73</f>
        <v>5.2087914430282217E-3</v>
      </c>
      <c r="R59" s="149">
        <f t="shared" si="111"/>
        <v>0.10576923076923077</v>
      </c>
      <c r="S59" s="147">
        <f>R59/R73</f>
        <v>2.0523732416250322E-3</v>
      </c>
      <c r="T59" s="147">
        <f t="shared" si="112"/>
        <v>2.658795625435393E-3</v>
      </c>
      <c r="U59" s="142"/>
      <c r="V59" s="142">
        <f t="shared" si="107"/>
        <v>0</v>
      </c>
      <c r="W59" s="142"/>
      <c r="X59" s="147">
        <f>V59/V73</f>
        <v>0</v>
      </c>
      <c r="Y59" s="147">
        <f t="shared" si="113"/>
        <v>1.5952773752612357E-3</v>
      </c>
      <c r="Z59" s="147">
        <v>-0.76300000000000001</v>
      </c>
      <c r="AA59" s="149">
        <v>-0.247</v>
      </c>
      <c r="AB59" s="145">
        <v>10</v>
      </c>
      <c r="AC59" s="149">
        <v>-0.12194957287237718</v>
      </c>
      <c r="AD59" s="149">
        <f t="shared" si="93"/>
        <v>-0.24235464878196614</v>
      </c>
      <c r="AE59" s="142">
        <v>10</v>
      </c>
      <c r="AF59" s="209"/>
      <c r="AG59" s="209"/>
      <c r="AH59" s="12"/>
      <c r="AI59" s="12"/>
      <c r="AJ59" s="23"/>
      <c r="AK59" s="34" t="e">
        <f>SUM(AL59:AM59)</f>
        <v>#DIV/0!</v>
      </c>
      <c r="AL59" s="23"/>
      <c r="AM59" s="34" t="e">
        <f>AX59*BK$26</f>
        <v>#DIV/0!</v>
      </c>
      <c r="AN59" s="30"/>
      <c r="AO59" s="30"/>
      <c r="AP59" s="209"/>
      <c r="AQ59" s="142"/>
      <c r="AR59" s="24"/>
      <c r="AS59" s="24"/>
      <c r="AT59" s="24"/>
      <c r="AU59" s="16"/>
      <c r="AV59" s="16"/>
      <c r="AW59" s="16"/>
      <c r="AX59" s="16" t="e">
        <f>AB59*BD59</f>
        <v>#DIV/0!</v>
      </c>
      <c r="AY59" s="16"/>
      <c r="AZ59" s="16"/>
      <c r="BA59" s="16"/>
      <c r="BB59" s="16"/>
      <c r="BC59" s="16"/>
      <c r="BD59" s="16" t="e">
        <f>FA59/BK$21</f>
        <v>#DIV/0!</v>
      </c>
      <c r="BE59" s="16"/>
      <c r="BF59" s="16"/>
      <c r="BG59" s="16"/>
      <c r="BH59" s="16"/>
      <c r="BI59" s="16"/>
      <c r="BJ59" s="16"/>
      <c r="BK59" s="16"/>
      <c r="BL59" s="16">
        <v>2</v>
      </c>
      <c r="BM59" s="16">
        <v>2</v>
      </c>
      <c r="BN59" s="16">
        <f t="shared" si="94"/>
        <v>0</v>
      </c>
      <c r="BO59" s="16">
        <v>29</v>
      </c>
      <c r="BP59" s="16">
        <v>13</v>
      </c>
      <c r="BQ59" s="16">
        <v>29.636839999999999</v>
      </c>
      <c r="BR59" s="16">
        <f t="shared" si="99"/>
        <v>-27</v>
      </c>
      <c r="BS59" s="16">
        <v>13</v>
      </c>
      <c r="BT59" s="16">
        <v>7</v>
      </c>
      <c r="BU59" s="16"/>
      <c r="BV59" s="16"/>
      <c r="BW59" s="16"/>
      <c r="BX59" s="16"/>
      <c r="BY59" s="12"/>
      <c r="BZ59" s="12"/>
      <c r="CC59">
        <v>1</v>
      </c>
      <c r="CD59">
        <f t="shared" si="44"/>
        <v>8</v>
      </c>
      <c r="CE59" s="16">
        <f t="shared" si="117"/>
        <v>0</v>
      </c>
      <c r="CF59" s="54">
        <f t="shared" si="118"/>
        <v>21.7559</v>
      </c>
      <c r="CG59" s="16">
        <f t="shared" si="119"/>
        <v>42.631149999999998</v>
      </c>
      <c r="CH59" s="54">
        <f t="shared" si="120"/>
        <v>32.772096420745072</v>
      </c>
      <c r="CI59" s="54">
        <v>31.360949999999999</v>
      </c>
      <c r="CJ59" s="54">
        <f t="shared" si="95"/>
        <v>-19.772096420745072</v>
      </c>
      <c r="CK59" s="54">
        <f t="shared" si="96"/>
        <v>-18.360949999999999</v>
      </c>
      <c r="CL59" s="54">
        <f t="shared" si="100"/>
        <v>-27.636839999999999</v>
      </c>
      <c r="CM59" s="12">
        <v>-0.313</v>
      </c>
      <c r="CN59" s="16">
        <f t="shared" si="48"/>
        <v>8</v>
      </c>
      <c r="CO59" s="54">
        <f t="shared" si="49"/>
        <v>-14.7559</v>
      </c>
      <c r="CP59" s="12">
        <f t="shared" si="135"/>
        <v>-0.78217088137110602</v>
      </c>
      <c r="CQ59" s="12">
        <f t="shared" si="136"/>
        <v>-0.17108543348953731</v>
      </c>
      <c r="CR59" s="16">
        <f t="shared" si="50"/>
        <v>-29.631149999999998</v>
      </c>
      <c r="CS59" s="12">
        <f t="shared" si="137"/>
        <v>-0.16407417459164156</v>
      </c>
      <c r="CT59" s="12">
        <f t="shared" si="138"/>
        <v>-0.1324410403349191</v>
      </c>
      <c r="CU59" s="12">
        <f t="shared" si="139"/>
        <v>-0.22463659921367302</v>
      </c>
      <c r="CV59" s="12">
        <f t="shared" si="140"/>
        <v>-0.29107446841664558</v>
      </c>
      <c r="CW59" s="54">
        <v>1</v>
      </c>
      <c r="CX59" s="54">
        <f t="shared" si="121"/>
        <v>31.361629999999998</v>
      </c>
      <c r="CY59" s="54">
        <f t="shared" si="51"/>
        <v>-18.361629999999998</v>
      </c>
      <c r="CZ59" s="12">
        <f t="shared" si="141"/>
        <v>-0.16227045130267856</v>
      </c>
      <c r="DA59" s="12">
        <f t="shared" si="114"/>
        <v>-1.8361629999999998</v>
      </c>
      <c r="DB59" s="12">
        <f t="shared" si="142"/>
        <v>-0.66308144975170036</v>
      </c>
      <c r="DC59" s="54">
        <v>1</v>
      </c>
      <c r="DD59" s="54">
        <v>2</v>
      </c>
      <c r="DE59" s="54">
        <f t="shared" si="122"/>
        <v>5.8135130000000004</v>
      </c>
      <c r="DF59" s="54">
        <v>1</v>
      </c>
      <c r="DG59" s="54">
        <v>0.5</v>
      </c>
      <c r="DH59" s="54">
        <f t="shared" si="52"/>
        <v>2.5</v>
      </c>
      <c r="DI59" s="54">
        <f t="shared" si="123"/>
        <v>49.017633042096904</v>
      </c>
      <c r="DJ59" s="16">
        <f t="shared" si="53"/>
        <v>-46.517633042096904</v>
      </c>
      <c r="DK59" s="12">
        <f t="shared" si="124"/>
        <v>-0.2412767135555059</v>
      </c>
      <c r="DL59" s="54">
        <v>0</v>
      </c>
      <c r="DM59" s="54">
        <v>5</v>
      </c>
      <c r="DN59" s="54">
        <v>0.5</v>
      </c>
      <c r="DO59" s="54">
        <f t="shared" si="54"/>
        <v>5.5</v>
      </c>
      <c r="DP59" s="54">
        <f t="shared" si="125"/>
        <v>5.2779984114376486</v>
      </c>
      <c r="DQ59" s="16">
        <f t="shared" si="55"/>
        <v>0.22200158856235142</v>
      </c>
      <c r="DR59" s="12">
        <f t="shared" si="126"/>
        <v>1.1139281687490333E-2</v>
      </c>
      <c r="DS59" s="54">
        <f t="shared" si="56"/>
        <v>1</v>
      </c>
      <c r="DT59" s="54">
        <f t="shared" si="127"/>
        <v>0</v>
      </c>
      <c r="DU59" s="54">
        <f t="shared" si="128"/>
        <v>4.3535427319211104</v>
      </c>
      <c r="DV59" s="54">
        <f t="shared" si="57"/>
        <v>-3.8135130000000004</v>
      </c>
      <c r="DW59" s="54">
        <f t="shared" si="58"/>
        <v>1</v>
      </c>
      <c r="DX59" s="54">
        <f t="shared" si="115"/>
        <v>-3.3535427319211104</v>
      </c>
      <c r="DY59" s="12">
        <f t="shared" si="143"/>
        <v>-0.21266130093042337</v>
      </c>
      <c r="DZ59" s="12">
        <f t="shared" si="144"/>
        <v>-0.71304858393397719</v>
      </c>
      <c r="EA59" s="12">
        <f t="shared" si="145"/>
        <v>-0.17111680946937097</v>
      </c>
      <c r="EB59" s="12">
        <f t="shared" si="59"/>
        <v>-0.17622095617633701</v>
      </c>
      <c r="EC59" s="12">
        <f t="shared" si="60"/>
        <v>-0.17109327748449571</v>
      </c>
      <c r="ED59" s="12">
        <f t="shared" si="116"/>
        <v>-0.14210998261853208</v>
      </c>
      <c r="EE59" s="54">
        <v>4</v>
      </c>
      <c r="EF59" s="54">
        <f t="shared" si="102"/>
        <v>-3</v>
      </c>
      <c r="EG59" s="12">
        <v>-0.28199999999999997</v>
      </c>
      <c r="EH59" s="12">
        <v>-0.30499999999999999</v>
      </c>
      <c r="EI59" s="12">
        <f t="shared" si="103"/>
        <v>-0.28880585131248421</v>
      </c>
      <c r="EJ59" s="16">
        <v>0</v>
      </c>
      <c r="EK59" s="16">
        <v>0</v>
      </c>
      <c r="EL59" s="16">
        <v>31760</v>
      </c>
      <c r="EM59" s="12">
        <f t="shared" si="151"/>
        <v>-0.17817271474475685</v>
      </c>
      <c r="EN59" s="12">
        <f t="shared" si="61"/>
        <v>-0.76489030701182381</v>
      </c>
      <c r="EO59" s="16">
        <v>0</v>
      </c>
      <c r="EP59" s="16">
        <v>84410</v>
      </c>
      <c r="EQ59" s="16">
        <f t="shared" si="129"/>
        <v>24675.97</v>
      </c>
      <c r="ER59" s="16">
        <v>0</v>
      </c>
      <c r="ES59" s="16">
        <f t="shared" si="62"/>
        <v>0</v>
      </c>
      <c r="ET59" s="16">
        <f t="shared" si="130"/>
        <v>0</v>
      </c>
      <c r="EU59" s="16">
        <f t="shared" si="131"/>
        <v>19006.062819576331</v>
      </c>
      <c r="EV59" s="16">
        <f t="shared" si="63"/>
        <v>59734.03</v>
      </c>
      <c r="EW59" s="16">
        <f t="shared" si="64"/>
        <v>0</v>
      </c>
      <c r="EX59" s="16">
        <f t="shared" si="65"/>
        <v>-19006.062819576331</v>
      </c>
      <c r="EY59" s="12">
        <f t="shared" si="146"/>
        <v>-0.34982366135262349</v>
      </c>
      <c r="EZ59" s="17">
        <f t="shared" si="147"/>
        <v>-8.7524776155656209E-2</v>
      </c>
      <c r="FA59" s="109">
        <f t="shared" si="148"/>
        <v>0.22077370846322492</v>
      </c>
      <c r="FB59" s="17">
        <f t="shared" si="97"/>
        <v>-0.12027590003338173</v>
      </c>
      <c r="FC59" s="16">
        <v>28426.74</v>
      </c>
      <c r="FD59">
        <f t="shared" si="104"/>
        <v>-31760</v>
      </c>
      <c r="FE59" s="16">
        <f t="shared" si="105"/>
        <v>-28426.74</v>
      </c>
      <c r="FF59" s="12">
        <v>-0.16</v>
      </c>
      <c r="FG59" s="12">
        <f t="shared" si="149"/>
        <v>-0.17267784498618904</v>
      </c>
      <c r="FH59" s="12">
        <f t="shared" si="68"/>
        <v>-1.742309032051223E-2</v>
      </c>
      <c r="FI59" s="12">
        <f t="shared" si="69"/>
        <v>-0.1376658769529599</v>
      </c>
      <c r="FJ59" s="16">
        <v>0</v>
      </c>
      <c r="FK59" s="16">
        <v>0</v>
      </c>
      <c r="FL59" s="16">
        <f t="shared" si="70"/>
        <v>0</v>
      </c>
      <c r="FM59" s="16">
        <f t="shared" si="132"/>
        <v>48589.015091342335</v>
      </c>
      <c r="FN59" s="16">
        <f t="shared" si="71"/>
        <v>-48589.015091342335</v>
      </c>
      <c r="FO59" s="12">
        <f t="shared" si="133"/>
        <v>-0.11105289955346305</v>
      </c>
      <c r="FP59" s="12">
        <f t="shared" si="134"/>
        <v>-0.15132478866823934</v>
      </c>
      <c r="FQ59" s="12">
        <f t="shared" si="72"/>
        <v>-0.59886364874814368</v>
      </c>
    </row>
    <row r="60" spans="1:173" x14ac:dyDescent="0.35">
      <c r="A60" s="7" t="s">
        <v>231</v>
      </c>
      <c r="B60" s="7" t="s">
        <v>114</v>
      </c>
      <c r="C60" s="144">
        <f t="shared" si="108"/>
        <v>27</v>
      </c>
      <c r="D60" s="144">
        <v>0</v>
      </c>
      <c r="E60" s="144">
        <v>0</v>
      </c>
      <c r="F60" s="144">
        <v>0</v>
      </c>
      <c r="G60" s="144">
        <v>27</v>
      </c>
      <c r="H60" s="144">
        <v>0</v>
      </c>
      <c r="I60" s="144">
        <v>0</v>
      </c>
      <c r="J60" s="144">
        <v>0</v>
      </c>
      <c r="K60" s="144"/>
      <c r="L60" s="9">
        <v>86</v>
      </c>
      <c r="M60" s="150">
        <f t="shared" si="109"/>
        <v>3.1851851851851851</v>
      </c>
      <c r="N60" s="149">
        <f>M60/M73</f>
        <v>4.9931730071123663E-2</v>
      </c>
      <c r="O60" s="9">
        <v>0.5</v>
      </c>
      <c r="P60" s="149">
        <f t="shared" si="110"/>
        <v>1.8518518518518517E-2</v>
      </c>
      <c r="Q60" s="147">
        <f>P60/P73</f>
        <v>1.2539683103586457E-3</v>
      </c>
      <c r="R60" s="149">
        <f t="shared" si="111"/>
        <v>2.3935185185185186</v>
      </c>
      <c r="S60" s="156">
        <f>R60/R73</f>
        <v>4.6444446319736842E-2</v>
      </c>
      <c r="T60" s="156">
        <f t="shared" si="112"/>
        <v>3.7762289630932408E-2</v>
      </c>
      <c r="U60" s="142"/>
      <c r="V60" s="142">
        <f t="shared" si="107"/>
        <v>0</v>
      </c>
      <c r="W60" s="142"/>
      <c r="X60" s="147">
        <f>V60/V73</f>
        <v>0</v>
      </c>
      <c r="Y60" s="155">
        <f t="shared" si="113"/>
        <v>2.2657373778559444E-2</v>
      </c>
      <c r="Z60" s="155">
        <v>0.64600000000000002</v>
      </c>
      <c r="AA60" s="150">
        <v>0.33</v>
      </c>
      <c r="AB60" s="145">
        <v>26</v>
      </c>
      <c r="AC60" s="150">
        <v>0.17376899560241721</v>
      </c>
      <c r="AD60" s="150">
        <f t="shared" si="93"/>
        <v>0.33497646016833693</v>
      </c>
      <c r="AE60" s="142">
        <v>23</v>
      </c>
      <c r="AF60" s="209">
        <v>37199.265187124824</v>
      </c>
      <c r="AG60" s="209">
        <f>AT60*BK$32</f>
        <v>28403.190386187318</v>
      </c>
      <c r="AH60" s="12">
        <f>C60*BA60</f>
        <v>0.63447981200598169</v>
      </c>
      <c r="AI60" s="35" t="e">
        <f>AU60*BK$9</f>
        <v>#DIV/0!</v>
      </c>
      <c r="AJ60" s="34" t="e">
        <f>AV60*BK$16</f>
        <v>#DIV/0!</v>
      </c>
      <c r="AK60" s="34" t="e">
        <f>SUM(AL60:AM60)</f>
        <v>#DIV/0!</v>
      </c>
      <c r="AL60" s="34" t="e">
        <f>AW60*BK$24</f>
        <v>#DIV/0!</v>
      </c>
      <c r="AM60" s="30"/>
      <c r="AN60" s="30">
        <f>AS60*BK$35</f>
        <v>-7925.5095708553163</v>
      </c>
      <c r="AO60" s="30">
        <f>AVERAGE(AF60,AR60,AN60)</f>
        <v>21424.167352644672</v>
      </c>
      <c r="AP60" s="209">
        <f>AVERAGE(AF60:AG60)</f>
        <v>32801.227786656069</v>
      </c>
      <c r="AQ60" s="154">
        <f>AO60-(AO$72*BE60)</f>
        <v>19776.844675362623</v>
      </c>
      <c r="AR60" s="130">
        <f>AP60+(AP$72*BF60)</f>
        <v>34998.746441664509</v>
      </c>
      <c r="AS60" s="24">
        <f>AB60*BE60</f>
        <v>-0.1620227421298725</v>
      </c>
      <c r="AT60" s="24">
        <f>AB60*BF60</f>
        <v>0.50344448096660133</v>
      </c>
      <c r="AU60" s="16" t="e">
        <f>AB60*BG60</f>
        <v>#DIV/0!</v>
      </c>
      <c r="AV60" s="16" t="e">
        <f>AB60*BB60</f>
        <v>#DIV/0!</v>
      </c>
      <c r="AW60" s="16" t="e">
        <f>AB60*BC60</f>
        <v>#DIV/0!</v>
      </c>
      <c r="AX60" s="16"/>
      <c r="AY60" s="16"/>
      <c r="AZ60" s="16"/>
      <c r="BA60" s="16">
        <f>AA60/BH$2</f>
        <v>2.349925229651784E-2</v>
      </c>
      <c r="BB60" s="16" t="e">
        <f>FH60/BK$14</f>
        <v>#DIV/0!</v>
      </c>
      <c r="BC60" s="16" t="e">
        <f>EB60/BK$19</f>
        <v>#DIV/0!</v>
      </c>
      <c r="BD60" s="16"/>
      <c r="BE60" s="142">
        <f>FQ60/BK$26</f>
        <v>-6.2316439280720197E-3</v>
      </c>
      <c r="BF60" s="16">
        <f>FI60/BK$29</f>
        <v>1.9363249267946206E-2</v>
      </c>
      <c r="BG60" s="142" t="e">
        <f>AC60/BK$5</f>
        <v>#DIV/0!</v>
      </c>
      <c r="BH60" s="16"/>
      <c r="BI60" s="16"/>
      <c r="BJ60" s="16"/>
      <c r="BK60" s="16"/>
      <c r="BL60" s="16">
        <v>198</v>
      </c>
      <c r="BM60" s="16">
        <v>198</v>
      </c>
      <c r="BN60" s="16">
        <f t="shared" si="94"/>
        <v>0</v>
      </c>
      <c r="BO60" s="16">
        <v>61</v>
      </c>
      <c r="BP60" s="16">
        <v>192</v>
      </c>
      <c r="BQ60" s="16">
        <v>61.553440000000002</v>
      </c>
      <c r="BR60" s="16">
        <f t="shared" si="99"/>
        <v>137</v>
      </c>
      <c r="BS60" s="16">
        <v>315</v>
      </c>
      <c r="BT60" s="16">
        <v>152</v>
      </c>
      <c r="BU60" s="211">
        <v>22757.526120948241</v>
      </c>
      <c r="BV60" s="285">
        <f>BY60*CB$4</f>
        <v>31618.246728128372</v>
      </c>
      <c r="BW60" s="16">
        <f>AVERAGE(AQ60,BU60,BV60)</f>
        <v>24717.539174813079</v>
      </c>
      <c r="BX60" s="285">
        <f>BW60-(BZ60*BW$72)</f>
        <v>25606.956125780674</v>
      </c>
      <c r="BY60" s="12">
        <f>AE60*BZ60</f>
        <v>0.50035276192021294</v>
      </c>
      <c r="BZ60" s="12">
        <f>FP60/CB3</f>
        <v>2.1754467909574474E-2</v>
      </c>
      <c r="CC60">
        <v>77</v>
      </c>
      <c r="CD60">
        <f t="shared" si="44"/>
        <v>229</v>
      </c>
      <c r="CE60" s="16">
        <f t="shared" si="117"/>
        <v>0</v>
      </c>
      <c r="CF60" s="54">
        <f t="shared" si="118"/>
        <v>56.565340000000006</v>
      </c>
      <c r="CG60" s="16">
        <f t="shared" si="119"/>
        <v>110.84099000000001</v>
      </c>
      <c r="CH60" s="54">
        <f t="shared" si="120"/>
        <v>85.207450693937176</v>
      </c>
      <c r="CI60" s="54">
        <v>81.538460000000001</v>
      </c>
      <c r="CJ60" s="54">
        <f t="shared" si="95"/>
        <v>106.79254930606282</v>
      </c>
      <c r="CK60" s="54">
        <f t="shared" si="96"/>
        <v>110.46154</v>
      </c>
      <c r="CL60" s="54">
        <f t="shared" si="100"/>
        <v>136.44656000000001</v>
      </c>
      <c r="CM60" s="12">
        <v>1.153</v>
      </c>
      <c r="CN60" s="16">
        <f t="shared" si="48"/>
        <v>229</v>
      </c>
      <c r="CO60" s="54">
        <f t="shared" si="49"/>
        <v>95.434659999999994</v>
      </c>
      <c r="CP60" s="14">
        <f t="shared" si="135"/>
        <v>0.32909415801307812</v>
      </c>
      <c r="CQ60" s="14">
        <f t="shared" si="136"/>
        <v>0.85258307913073239</v>
      </c>
      <c r="CR60" s="16">
        <f t="shared" si="50"/>
        <v>204.15900999999999</v>
      </c>
      <c r="CS60" s="14">
        <f t="shared" si="137"/>
        <v>1.0698185077381548</v>
      </c>
      <c r="CT60" s="14">
        <f t="shared" si="138"/>
        <v>0.7153372120557423</v>
      </c>
      <c r="CU60" s="14">
        <f t="shared" si="139"/>
        <v>0.87899529758310047</v>
      </c>
      <c r="CV60" s="12">
        <f t="shared" si="140"/>
        <v>1.1747768591979835</v>
      </c>
      <c r="CW60" s="54">
        <v>3</v>
      </c>
      <c r="CX60" s="54">
        <f t="shared" si="121"/>
        <v>81.540237999999988</v>
      </c>
      <c r="CY60" s="54">
        <f t="shared" si="51"/>
        <v>110.45976200000001</v>
      </c>
      <c r="CZ60" s="14">
        <f t="shared" si="141"/>
        <v>0.70419127773379753</v>
      </c>
      <c r="DA60" s="12">
        <f t="shared" si="114"/>
        <v>4.2484523846153852</v>
      </c>
      <c r="DB60" s="14">
        <f t="shared" si="142"/>
        <v>1.4254673105428004</v>
      </c>
      <c r="DC60" s="54">
        <v>3</v>
      </c>
      <c r="DD60" s="54">
        <v>4</v>
      </c>
      <c r="DE60" s="54">
        <f t="shared" si="122"/>
        <v>15.115133800000001</v>
      </c>
      <c r="DF60" s="54">
        <v>56</v>
      </c>
      <c r="DG60" s="54">
        <v>155.5</v>
      </c>
      <c r="DH60" s="54">
        <f t="shared" si="52"/>
        <v>288.5</v>
      </c>
      <c r="DI60" s="54">
        <f t="shared" si="123"/>
        <v>112.74055599682288</v>
      </c>
      <c r="DJ60" s="16">
        <f t="shared" si="53"/>
        <v>175.75944400317712</v>
      </c>
      <c r="DK60" s="14">
        <f t="shared" si="124"/>
        <v>0.91162551170763417</v>
      </c>
      <c r="DL60" s="54">
        <v>1</v>
      </c>
      <c r="DM60" s="54">
        <v>3</v>
      </c>
      <c r="DN60" s="54">
        <v>5</v>
      </c>
      <c r="DO60" s="54">
        <f t="shared" si="54"/>
        <v>9</v>
      </c>
      <c r="DP60" s="54">
        <f t="shared" si="125"/>
        <v>12.139396346306592</v>
      </c>
      <c r="DQ60" s="16">
        <f t="shared" si="55"/>
        <v>-3.1393963463065919</v>
      </c>
      <c r="DR60" s="12">
        <f t="shared" si="126"/>
        <v>-0.15752418915851704</v>
      </c>
      <c r="DS60" s="54">
        <f t="shared" si="56"/>
        <v>4</v>
      </c>
      <c r="DT60" s="54">
        <f t="shared" si="127"/>
        <v>0</v>
      </c>
      <c r="DU60" s="54">
        <f t="shared" si="128"/>
        <v>11.319211102994887</v>
      </c>
      <c r="DV60" s="54">
        <f t="shared" si="57"/>
        <v>-11.115133800000001</v>
      </c>
      <c r="DW60" s="54">
        <f t="shared" si="58"/>
        <v>4</v>
      </c>
      <c r="DX60" s="54">
        <f t="shared" si="115"/>
        <v>-8.3192111029948865</v>
      </c>
      <c r="DY60" s="12">
        <f t="shared" si="143"/>
        <v>-0.43845019641449851</v>
      </c>
      <c r="DZ60" s="12">
        <f t="shared" si="144"/>
        <v>-0.6119033719574567</v>
      </c>
      <c r="EA60" s="12">
        <f t="shared" si="145"/>
        <v>-0.42449343128875316</v>
      </c>
      <c r="EB60" s="14">
        <f t="shared" si="59"/>
        <v>0.69275133169999148</v>
      </c>
      <c r="EC60" s="14">
        <f t="shared" si="60"/>
        <v>0.53331395152586103</v>
      </c>
      <c r="ED60" s="14">
        <f t="shared" si="116"/>
        <v>0.43037955121961846</v>
      </c>
      <c r="EE60" s="54">
        <v>9</v>
      </c>
      <c r="EF60" s="54">
        <f t="shared" si="102"/>
        <v>-6</v>
      </c>
      <c r="EG60" s="12">
        <v>-0.40100000000000002</v>
      </c>
      <c r="EH60" s="12">
        <v>0.76400000000000001</v>
      </c>
      <c r="EI60" s="12">
        <f t="shared" si="103"/>
        <v>0.78083264439848765</v>
      </c>
      <c r="EJ60" s="16">
        <v>0</v>
      </c>
      <c r="EK60" s="16">
        <v>0</v>
      </c>
      <c r="EL60" s="16">
        <v>61253</v>
      </c>
      <c r="EM60" s="14">
        <f t="shared" si="151"/>
        <v>0.64433808649109636</v>
      </c>
      <c r="EN60" s="14">
        <f t="shared" si="61"/>
        <v>9.3844775520444401E-2</v>
      </c>
      <c r="EO60" s="16">
        <v>0</v>
      </c>
      <c r="EP60" s="16">
        <v>0</v>
      </c>
      <c r="EQ60" s="16">
        <f t="shared" si="129"/>
        <v>64157.522000000004</v>
      </c>
      <c r="ER60" s="16">
        <v>0</v>
      </c>
      <c r="ES60" s="16">
        <f t="shared" si="62"/>
        <v>0</v>
      </c>
      <c r="ET60" s="16">
        <f t="shared" si="130"/>
        <v>0</v>
      </c>
      <c r="EU60" s="16">
        <f t="shared" si="131"/>
        <v>49415.763330898466</v>
      </c>
      <c r="EV60" s="16">
        <f t="shared" si="63"/>
        <v>-64157.522000000004</v>
      </c>
      <c r="EW60" s="16">
        <f t="shared" si="64"/>
        <v>0</v>
      </c>
      <c r="EX60" s="16">
        <f t="shared" si="65"/>
        <v>-49415.763330898466</v>
      </c>
      <c r="EY60" s="12">
        <f t="shared" si="146"/>
        <v>-0.34982366135262349</v>
      </c>
      <c r="EZ60" s="17">
        <f t="shared" si="147"/>
        <v>-0.22756441800470609</v>
      </c>
      <c r="FA60" s="17">
        <f t="shared" si="148"/>
        <v>-0.27455622012812142</v>
      </c>
      <c r="FB60" s="109">
        <f t="shared" si="97"/>
        <v>0.16720196352988864</v>
      </c>
      <c r="FC60" s="16">
        <v>55860.17</v>
      </c>
      <c r="FD60">
        <f t="shared" si="104"/>
        <v>-61253</v>
      </c>
      <c r="FE60" s="16">
        <f t="shared" si="105"/>
        <v>-55860.17</v>
      </c>
      <c r="FF60" s="12">
        <v>-0.32</v>
      </c>
      <c r="FG60" s="12">
        <f t="shared" si="149"/>
        <v>-0.33380781617688904</v>
      </c>
      <c r="FH60" s="14">
        <f t="shared" si="68"/>
        <v>0.3058283109687463</v>
      </c>
      <c r="FI60" s="14">
        <f t="shared" si="69"/>
        <v>0.22896260371363419</v>
      </c>
      <c r="FJ60" s="16">
        <v>0</v>
      </c>
      <c r="FK60" s="16">
        <v>0</v>
      </c>
      <c r="FL60" s="16">
        <f t="shared" si="70"/>
        <v>0</v>
      </c>
      <c r="FM60" s="16">
        <f t="shared" si="132"/>
        <v>111754.73471008737</v>
      </c>
      <c r="FN60" s="16">
        <f t="shared" si="71"/>
        <v>-111754.73471008737</v>
      </c>
      <c r="FO60" s="12">
        <f t="shared" si="133"/>
        <v>-0.25542166897296492</v>
      </c>
      <c r="FP60" s="14">
        <f t="shared" si="134"/>
        <v>0.28443418430547185</v>
      </c>
      <c r="FQ60" s="14">
        <f t="shared" si="72"/>
        <v>-8.3622599228782762E-2</v>
      </c>
    </row>
    <row r="61" spans="1:173" x14ac:dyDescent="0.35">
      <c r="A61" s="7" t="s">
        <v>231</v>
      </c>
      <c r="B61" s="7" t="s">
        <v>530</v>
      </c>
      <c r="C61" s="144">
        <f t="shared" si="108"/>
        <v>9</v>
      </c>
      <c r="D61" s="144">
        <v>0</v>
      </c>
      <c r="E61" s="144">
        <v>9</v>
      </c>
      <c r="F61" s="144">
        <v>0</v>
      </c>
      <c r="G61" s="144">
        <v>0</v>
      </c>
      <c r="H61" s="144">
        <v>0</v>
      </c>
      <c r="I61" s="144">
        <v>0</v>
      </c>
      <c r="J61" s="144">
        <v>0</v>
      </c>
      <c r="K61" s="144"/>
      <c r="L61" s="9">
        <v>2</v>
      </c>
      <c r="M61" s="149">
        <f t="shared" si="109"/>
        <v>0.22222222222222221</v>
      </c>
      <c r="N61" s="149">
        <f>M61/M73</f>
        <v>3.483609074729558E-3</v>
      </c>
      <c r="O61" s="9">
        <v>1</v>
      </c>
      <c r="P61" s="149">
        <f t="shared" si="110"/>
        <v>0.1111111111111111</v>
      </c>
      <c r="Q61" s="147">
        <f>P61/P73</f>
        <v>7.5238098621518753E-3</v>
      </c>
      <c r="R61" s="149">
        <f t="shared" si="111"/>
        <v>0.19444444444444442</v>
      </c>
      <c r="S61" s="147">
        <f>R61/R73</f>
        <v>3.7730497977349069E-3</v>
      </c>
      <c r="T61" s="147">
        <f t="shared" si="112"/>
        <v>4.4936592715851369E-3</v>
      </c>
      <c r="U61" s="142"/>
      <c r="V61" s="142">
        <f t="shared" si="107"/>
        <v>0</v>
      </c>
      <c r="W61" s="142"/>
      <c r="X61" s="147">
        <f>V61/V73</f>
        <v>0</v>
      </c>
      <c r="Y61" s="147">
        <f t="shared" si="113"/>
        <v>2.6961955629510822E-3</v>
      </c>
      <c r="Z61" s="147">
        <v>-0.67300000000000004</v>
      </c>
      <c r="AA61" s="149">
        <v>-0.158</v>
      </c>
      <c r="AB61" s="145">
        <v>7</v>
      </c>
      <c r="AC61" s="149">
        <v>-6.8895234403194491E-2</v>
      </c>
      <c r="AD61" s="149">
        <f t="shared" si="93"/>
        <v>-0.15258166353802499</v>
      </c>
      <c r="AE61" s="142">
        <v>10</v>
      </c>
      <c r="AF61" s="209"/>
      <c r="AG61" s="209"/>
      <c r="AH61" s="12"/>
      <c r="AI61" s="12"/>
      <c r="AJ61" s="23"/>
      <c r="AK61" s="30"/>
      <c r="AL61" s="23"/>
      <c r="AM61" s="30"/>
      <c r="AN61" s="30"/>
      <c r="AO61" s="30"/>
      <c r="AP61" s="209"/>
      <c r="AQ61" s="142"/>
      <c r="AR61" s="24"/>
      <c r="AS61" s="24"/>
      <c r="AT61" s="24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>
        <v>3</v>
      </c>
      <c r="BM61" s="16">
        <v>3</v>
      </c>
      <c r="BN61" s="16">
        <f t="shared" si="94"/>
        <v>0</v>
      </c>
      <c r="BO61" s="16">
        <v>20</v>
      </c>
      <c r="BP61" s="16">
        <v>1</v>
      </c>
      <c r="BQ61" s="16">
        <v>20.517810000000001</v>
      </c>
      <c r="BR61" s="16">
        <f t="shared" si="99"/>
        <v>-17</v>
      </c>
      <c r="BS61" s="16">
        <v>4</v>
      </c>
      <c r="BT61" s="16">
        <v>1</v>
      </c>
      <c r="BU61" s="16"/>
      <c r="BV61" s="16"/>
      <c r="BW61" s="16"/>
      <c r="BX61" s="16"/>
      <c r="BY61" s="12"/>
      <c r="BZ61" s="12"/>
      <c r="CC61">
        <v>4</v>
      </c>
      <c r="CD61">
        <f t="shared" si="44"/>
        <v>5</v>
      </c>
      <c r="CE61" s="16">
        <f t="shared" si="117"/>
        <v>0</v>
      </c>
      <c r="CF61" s="54">
        <f t="shared" si="118"/>
        <v>15.229130000000001</v>
      </c>
      <c r="CG61" s="16">
        <f t="shared" si="119"/>
        <v>29.841805000000001</v>
      </c>
      <c r="CH61" s="54">
        <f t="shared" si="120"/>
        <v>22.940467494521549</v>
      </c>
      <c r="CI61" s="54">
        <v>21.952660000000002</v>
      </c>
      <c r="CJ61" s="54">
        <f t="shared" si="95"/>
        <v>-21.940467494521549</v>
      </c>
      <c r="CK61" s="54">
        <f t="shared" si="96"/>
        <v>-20.952660000000002</v>
      </c>
      <c r="CL61" s="54">
        <f t="shared" si="100"/>
        <v>-17.517810000000001</v>
      </c>
      <c r="CM61" s="12">
        <v>-0.224</v>
      </c>
      <c r="CN61" s="16">
        <f t="shared" si="48"/>
        <v>5</v>
      </c>
      <c r="CO61" s="54">
        <f t="shared" si="49"/>
        <v>-14.229130000000001</v>
      </c>
      <c r="CP61" s="12">
        <f t="shared" si="135"/>
        <v>-0.7972559271546017</v>
      </c>
      <c r="CQ61" s="12">
        <f t="shared" si="136"/>
        <v>-0.16619174874564477</v>
      </c>
      <c r="CR61" s="16">
        <f t="shared" si="50"/>
        <v>-25.841805000000001</v>
      </c>
      <c r="CS61" s="12">
        <f t="shared" si="137"/>
        <v>-0.14407485098314152</v>
      </c>
      <c r="CT61" s="12">
        <f t="shared" si="138"/>
        <v>-0.14696561652208501</v>
      </c>
      <c r="CU61" s="12">
        <f t="shared" si="139"/>
        <v>-0.15657557492575935</v>
      </c>
      <c r="CV61" s="12">
        <f t="shared" si="140"/>
        <v>-0.20067535699116157</v>
      </c>
      <c r="CW61" s="54">
        <v>5</v>
      </c>
      <c r="CX61" s="54">
        <f t="shared" si="121"/>
        <v>21.953140999999999</v>
      </c>
      <c r="CY61" s="54">
        <f t="shared" si="51"/>
        <v>-20.953140999999999</v>
      </c>
      <c r="CZ61" s="12">
        <f t="shared" si="141"/>
        <v>-0.17970113627677858</v>
      </c>
      <c r="DA61" s="12">
        <f t="shared" si="114"/>
        <v>-2.993305857142857</v>
      </c>
      <c r="DB61" s="12">
        <f t="shared" si="142"/>
        <v>-1.0602715968692928</v>
      </c>
      <c r="DC61" s="54">
        <v>6</v>
      </c>
      <c r="DD61" s="54">
        <v>8</v>
      </c>
      <c r="DE61" s="54">
        <f t="shared" si="122"/>
        <v>4.0694591000000004</v>
      </c>
      <c r="DF61" s="54">
        <v>1</v>
      </c>
      <c r="DG61" s="54">
        <v>6.3</v>
      </c>
      <c r="DH61" s="54">
        <f t="shared" si="52"/>
        <v>11.3</v>
      </c>
      <c r="DI61" s="54">
        <f t="shared" si="123"/>
        <v>49.017633042096904</v>
      </c>
      <c r="DJ61" s="16">
        <f t="shared" si="53"/>
        <v>-37.717633042096907</v>
      </c>
      <c r="DK61" s="12">
        <f t="shared" si="124"/>
        <v>-0.1956330524223826</v>
      </c>
      <c r="DL61" s="54">
        <v>1</v>
      </c>
      <c r="DM61" s="54">
        <v>4</v>
      </c>
      <c r="DN61" s="54">
        <v>5</v>
      </c>
      <c r="DO61" s="54">
        <f t="shared" si="54"/>
        <v>10</v>
      </c>
      <c r="DP61" s="54">
        <f t="shared" si="125"/>
        <v>5.2779984114376486</v>
      </c>
      <c r="DQ61" s="16">
        <f t="shared" si="55"/>
        <v>4.7220015885623514</v>
      </c>
      <c r="DR61" s="14">
        <f t="shared" si="126"/>
        <v>0.23693391639402503</v>
      </c>
      <c r="DS61" s="54">
        <f t="shared" si="56"/>
        <v>7</v>
      </c>
      <c r="DT61" s="54">
        <f t="shared" si="127"/>
        <v>0</v>
      </c>
      <c r="DU61" s="54">
        <f t="shared" si="128"/>
        <v>3.0474799123447771</v>
      </c>
      <c r="DV61" s="54">
        <f t="shared" si="57"/>
        <v>3.9305408999999996</v>
      </c>
      <c r="DW61" s="54">
        <f t="shared" si="58"/>
        <v>7</v>
      </c>
      <c r="DX61" s="54">
        <f t="shared" si="115"/>
        <v>2.9525200876552229</v>
      </c>
      <c r="DY61" s="12">
        <f t="shared" si="143"/>
        <v>2.6809006353973593E-2</v>
      </c>
      <c r="DZ61" s="12">
        <f t="shared" si="144"/>
        <v>-0.51075815998093632</v>
      </c>
      <c r="EA61" s="12">
        <f t="shared" si="145"/>
        <v>0.15065435501529023</v>
      </c>
      <c r="EB61" s="12">
        <f t="shared" si="59"/>
        <v>-0.10135388664886273</v>
      </c>
      <c r="EC61" s="12">
        <f t="shared" si="60"/>
        <v>-8.6980222805411012E-2</v>
      </c>
      <c r="ED61" s="12">
        <f t="shared" si="116"/>
        <v>-7.2560623637741198E-2</v>
      </c>
      <c r="EE61" s="54">
        <v>3</v>
      </c>
      <c r="EF61" s="54">
        <f t="shared" si="102"/>
        <v>2</v>
      </c>
      <c r="EG61" s="12">
        <v>-8.3000000000000004E-2</v>
      </c>
      <c r="EH61" s="12">
        <v>-0.188</v>
      </c>
      <c r="EI61" s="12">
        <f t="shared" si="103"/>
        <v>-0.17125651774337117</v>
      </c>
      <c r="EJ61" s="16">
        <v>0</v>
      </c>
      <c r="EK61" s="16">
        <v>0</v>
      </c>
      <c r="EL61" s="16">
        <v>22823</v>
      </c>
      <c r="EM61" s="12">
        <f t="shared" si="151"/>
        <v>-8.7491310218280688E-2</v>
      </c>
      <c r="EN61" s="12">
        <f t="shared" si="61"/>
        <v>-0.72563148536118538</v>
      </c>
      <c r="EO61" s="16">
        <v>0</v>
      </c>
      <c r="EP61" s="16">
        <v>0</v>
      </c>
      <c r="EQ61" s="16">
        <f t="shared" si="129"/>
        <v>17273.179</v>
      </c>
      <c r="ER61" s="16">
        <v>0</v>
      </c>
      <c r="ES61" s="16">
        <f t="shared" si="62"/>
        <v>0</v>
      </c>
      <c r="ET61" s="16">
        <f t="shared" si="130"/>
        <v>0</v>
      </c>
      <c r="EU61" s="16">
        <f t="shared" si="131"/>
        <v>13304.243973703433</v>
      </c>
      <c r="EV61" s="16">
        <f t="shared" si="63"/>
        <v>-17273.179</v>
      </c>
      <c r="EW61" s="16">
        <f t="shared" si="64"/>
        <v>0</v>
      </c>
      <c r="EX61" s="16">
        <f t="shared" si="65"/>
        <v>-13304.243973703433</v>
      </c>
      <c r="EY61" s="12">
        <f t="shared" si="146"/>
        <v>-0.34982366135262349</v>
      </c>
      <c r="EZ61" s="17">
        <f t="shared" si="147"/>
        <v>-6.1267343308959374E-2</v>
      </c>
      <c r="FA61" s="17">
        <f t="shared" si="148"/>
        <v>-8.7108263464843946E-2</v>
      </c>
      <c r="FB61" s="17">
        <f t="shared" si="97"/>
        <v>-6.8043311506228471E-2</v>
      </c>
      <c r="FC61" s="16">
        <v>20235.96</v>
      </c>
      <c r="FD61">
        <f t="shared" si="104"/>
        <v>-22823</v>
      </c>
      <c r="FE61" s="16">
        <f t="shared" si="105"/>
        <v>-20235.96</v>
      </c>
      <c r="FF61" s="12">
        <v>-0.111</v>
      </c>
      <c r="FG61" s="12">
        <f t="shared" si="149"/>
        <v>-0.12456938223000574</v>
      </c>
      <c r="FH61" s="12">
        <f t="shared" si="68"/>
        <v>-9.5655637375255217E-2</v>
      </c>
      <c r="FI61" s="12">
        <f t="shared" si="69"/>
        <v>-7.6695071006830345E-2</v>
      </c>
      <c r="FJ61" s="16">
        <v>0</v>
      </c>
      <c r="FK61" s="16">
        <v>0</v>
      </c>
      <c r="FL61" s="16">
        <f t="shared" si="70"/>
        <v>0</v>
      </c>
      <c r="FM61" s="16">
        <f t="shared" si="132"/>
        <v>48589.015091342335</v>
      </c>
      <c r="FN61" s="16">
        <f t="shared" si="71"/>
        <v>-48589.015091342335</v>
      </c>
      <c r="FO61" s="12">
        <f t="shared" si="133"/>
        <v>-0.11105289955346305</v>
      </c>
      <c r="FP61" s="12">
        <f t="shared" si="134"/>
        <v>-9.6915945952353644E-2</v>
      </c>
      <c r="FQ61" s="12">
        <f t="shared" si="72"/>
        <v>-0.57530835575776063</v>
      </c>
    </row>
    <row r="62" spans="1:173" x14ac:dyDescent="0.35">
      <c r="A62" s="8" t="s">
        <v>237</v>
      </c>
      <c r="B62" s="8" t="s">
        <v>96</v>
      </c>
      <c r="C62" s="144">
        <f t="shared" si="108"/>
        <v>19</v>
      </c>
      <c r="D62" s="144">
        <v>6</v>
      </c>
      <c r="E62" s="144">
        <v>13</v>
      </c>
      <c r="F62" s="144">
        <v>0</v>
      </c>
      <c r="G62" s="144">
        <v>0</v>
      </c>
      <c r="H62" s="144">
        <v>0</v>
      </c>
      <c r="I62" s="144">
        <v>0</v>
      </c>
      <c r="J62" s="144">
        <v>0</v>
      </c>
      <c r="K62" s="144"/>
      <c r="L62" s="9">
        <v>12</v>
      </c>
      <c r="M62" s="149">
        <f t="shared" si="109"/>
        <v>0.63157894736842102</v>
      </c>
      <c r="N62" s="149">
        <f>M62/M73</f>
        <v>9.9007836860734808E-3</v>
      </c>
      <c r="O62" s="9">
        <v>6</v>
      </c>
      <c r="P62" s="149">
        <f t="shared" si="110"/>
        <v>0.31578947368421051</v>
      </c>
      <c r="Q62" s="147">
        <f>P62/P73</f>
        <v>2.138345960822112E-2</v>
      </c>
      <c r="R62" s="149">
        <f t="shared" si="111"/>
        <v>0.55263157894736836</v>
      </c>
      <c r="S62" s="147">
        <f>R62/R73</f>
        <v>1.072340468829921E-2</v>
      </c>
      <c r="T62" s="147">
        <f t="shared" si="112"/>
        <v>1.2771452666610391E-2</v>
      </c>
      <c r="U62" s="142"/>
      <c r="V62" s="142">
        <f t="shared" si="107"/>
        <v>0</v>
      </c>
      <c r="W62" s="142"/>
      <c r="X62" s="147">
        <f>V62/V73</f>
        <v>0</v>
      </c>
      <c r="Y62" s="147">
        <f t="shared" si="113"/>
        <v>7.6628715999662346E-3</v>
      </c>
      <c r="Z62" s="147">
        <v>-0.59399999999999997</v>
      </c>
      <c r="AA62" s="149">
        <v>-0.113</v>
      </c>
      <c r="AB62" s="145">
        <v>16</v>
      </c>
      <c r="AC62" s="149">
        <v>-7.806754556051447E-2</v>
      </c>
      <c r="AD62" s="149">
        <f t="shared" si="93"/>
        <v>-0.10705849590181461</v>
      </c>
      <c r="AE62" s="142">
        <v>19</v>
      </c>
      <c r="AF62" s="209"/>
      <c r="AG62" s="209"/>
      <c r="AH62" s="12"/>
      <c r="AI62" s="12"/>
      <c r="AJ62" s="23"/>
      <c r="AK62" s="30"/>
      <c r="AL62" s="23"/>
      <c r="AM62" s="30"/>
      <c r="AN62" s="30"/>
      <c r="AO62" s="30"/>
      <c r="AP62" s="209"/>
      <c r="AQ62" s="142"/>
      <c r="AR62" s="24"/>
      <c r="AS62" s="24"/>
      <c r="AT62" s="24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>
        <v>34</v>
      </c>
      <c r="BM62" s="16">
        <v>34</v>
      </c>
      <c r="BN62" s="16">
        <f t="shared" si="94"/>
        <v>0</v>
      </c>
      <c r="BO62" s="16">
        <v>43</v>
      </c>
      <c r="BP62" s="16">
        <v>40</v>
      </c>
      <c r="BQ62" s="16">
        <v>43.315379999999998</v>
      </c>
      <c r="BR62" s="16">
        <f t="shared" si="99"/>
        <v>-9</v>
      </c>
      <c r="BS62" s="16">
        <v>56</v>
      </c>
      <c r="BT62" s="16">
        <v>33</v>
      </c>
      <c r="BU62" s="16"/>
      <c r="BV62" s="16"/>
      <c r="BW62" s="16"/>
      <c r="BX62" s="16"/>
      <c r="BY62" s="12"/>
      <c r="BZ62" s="12"/>
      <c r="CC62">
        <v>49</v>
      </c>
      <c r="CD62">
        <f t="shared" si="44"/>
        <v>82</v>
      </c>
      <c r="CE62" s="16">
        <f t="shared" si="117"/>
        <v>0</v>
      </c>
      <c r="CF62" s="54">
        <f t="shared" si="118"/>
        <v>34.809440000000002</v>
      </c>
      <c r="CG62" s="16">
        <f t="shared" si="119"/>
        <v>68.20984</v>
      </c>
      <c r="CH62" s="54">
        <f t="shared" si="120"/>
        <v>52.435354273192111</v>
      </c>
      <c r="CI62" s="54">
        <v>50.177509999999998</v>
      </c>
      <c r="CJ62" s="54">
        <f t="shared" si="95"/>
        <v>-12.435354273192111</v>
      </c>
      <c r="CK62" s="54">
        <f t="shared" si="96"/>
        <v>-10.177509999999998</v>
      </c>
      <c r="CL62" s="54">
        <f t="shared" si="100"/>
        <v>-9.3153799999999976</v>
      </c>
      <c r="CM62" s="12">
        <v>-0.152</v>
      </c>
      <c r="CN62" s="16">
        <f t="shared" si="48"/>
        <v>82</v>
      </c>
      <c r="CO62" s="54">
        <f t="shared" si="49"/>
        <v>-1.8094400000000022</v>
      </c>
      <c r="CP62" s="12">
        <f t="shared" si="135"/>
        <v>-0.4100730853782118</v>
      </c>
      <c r="CQ62" s="12">
        <f t="shared" si="136"/>
        <v>-5.0813030373537058E-2</v>
      </c>
      <c r="CR62" s="16">
        <f t="shared" si="50"/>
        <v>-12.20984</v>
      </c>
      <c r="CS62" s="12">
        <f t="shared" si="137"/>
        <v>-7.2128359055183985E-2</v>
      </c>
      <c r="CT62" s="12">
        <f t="shared" si="138"/>
        <v>-8.32967441503496E-2</v>
      </c>
      <c r="CU62" s="12">
        <f t="shared" si="139"/>
        <v>-0.10140568339960399</v>
      </c>
      <c r="CV62" s="12">
        <f t="shared" si="140"/>
        <v>-0.12739833503058506</v>
      </c>
      <c r="CW62" s="54">
        <v>18</v>
      </c>
      <c r="CX62" s="54">
        <f t="shared" si="121"/>
        <v>50.178607999999997</v>
      </c>
      <c r="CY62" s="54">
        <f t="shared" si="51"/>
        <v>-10.178607999999997</v>
      </c>
      <c r="CZ62" s="12">
        <f t="shared" si="141"/>
        <v>-0.1072308706803583</v>
      </c>
      <c r="DA62" s="12">
        <f t="shared" si="114"/>
        <v>-0.63616299999999981</v>
      </c>
      <c r="DB62" s="12">
        <f t="shared" si="142"/>
        <v>-0.25118055644456755</v>
      </c>
      <c r="DC62" s="54">
        <v>9</v>
      </c>
      <c r="DD62" s="54">
        <v>27</v>
      </c>
      <c r="DE62" s="54">
        <f t="shared" si="122"/>
        <v>9.3016208000000002</v>
      </c>
      <c r="DF62" s="54">
        <v>21</v>
      </c>
      <c r="DG62" s="54">
        <v>69.8</v>
      </c>
      <c r="DH62" s="54">
        <f t="shared" si="52"/>
        <v>139.80000000000001</v>
      </c>
      <c r="DI62" s="54">
        <f t="shared" si="123"/>
        <v>93.133502779984113</v>
      </c>
      <c r="DJ62" s="16">
        <f t="shared" si="53"/>
        <v>46.666497220015899</v>
      </c>
      <c r="DK62" s="12">
        <f t="shared" si="124"/>
        <v>0.24204883924775533</v>
      </c>
      <c r="DL62" s="54">
        <v>1</v>
      </c>
      <c r="DM62" s="54">
        <v>4</v>
      </c>
      <c r="DN62" s="54">
        <v>5.5</v>
      </c>
      <c r="DO62" s="54">
        <f t="shared" si="54"/>
        <v>10.5</v>
      </c>
      <c r="DP62" s="54">
        <f t="shared" si="125"/>
        <v>10.028196981731533</v>
      </c>
      <c r="DQ62" s="16">
        <f t="shared" si="55"/>
        <v>0.47180301826846716</v>
      </c>
      <c r="DR62" s="12">
        <f t="shared" si="126"/>
        <v>2.3673464480748668E-2</v>
      </c>
      <c r="DS62" s="54">
        <f t="shared" si="56"/>
        <v>10</v>
      </c>
      <c r="DT62" s="54">
        <f t="shared" si="127"/>
        <v>0</v>
      </c>
      <c r="DU62" s="54">
        <f t="shared" si="128"/>
        <v>6.9656683710737761</v>
      </c>
      <c r="DV62" s="54">
        <f t="shared" si="57"/>
        <v>17.698379199999998</v>
      </c>
      <c r="DW62" s="54">
        <f t="shared" si="58"/>
        <v>10</v>
      </c>
      <c r="DX62" s="54">
        <f t="shared" si="115"/>
        <v>2.0343316289262239</v>
      </c>
      <c r="DY62" s="12">
        <f t="shared" si="143"/>
        <v>0.45255352090892642</v>
      </c>
      <c r="DZ62" s="12">
        <f t="shared" si="144"/>
        <v>-0.40961294800441594</v>
      </c>
      <c r="EA62" s="12">
        <f t="shared" si="145"/>
        <v>0.10380316148381577</v>
      </c>
      <c r="EB62" s="12">
        <f t="shared" si="59"/>
        <v>5.904211093584362E-2</v>
      </c>
      <c r="EC62" s="12">
        <f t="shared" si="60"/>
        <v>-1.2158982409198847E-2</v>
      </c>
      <c r="ED62" s="12">
        <f t="shared" si="116"/>
        <v>-3.6521767741808257E-2</v>
      </c>
      <c r="EE62" s="54">
        <v>6</v>
      </c>
      <c r="EF62" s="54">
        <f t="shared" si="102"/>
        <v>12</v>
      </c>
      <c r="EG62" s="12">
        <v>0.316</v>
      </c>
      <c r="EH62" s="12">
        <v>-3.5000000000000003E-2</v>
      </c>
      <c r="EI62" s="12">
        <f t="shared" si="103"/>
        <v>-1.6548751272938797E-2</v>
      </c>
      <c r="EJ62" s="16">
        <v>0</v>
      </c>
      <c r="EK62" s="16">
        <v>0</v>
      </c>
      <c r="EL62" s="16">
        <v>44667</v>
      </c>
      <c r="EM62" s="12">
        <f t="shared" si="151"/>
        <v>0.18745499555600367</v>
      </c>
      <c r="EN62" s="12">
        <f t="shared" si="61"/>
        <v>-0.40995805103476285</v>
      </c>
      <c r="EO62" s="16">
        <v>0</v>
      </c>
      <c r="EP62" s="16">
        <v>0</v>
      </c>
      <c r="EQ62" s="16">
        <f t="shared" si="129"/>
        <v>39481.552000000003</v>
      </c>
      <c r="ER62" s="16">
        <v>0</v>
      </c>
      <c r="ES62" s="16">
        <f t="shared" si="62"/>
        <v>0</v>
      </c>
      <c r="ET62" s="16">
        <f t="shared" si="130"/>
        <v>0</v>
      </c>
      <c r="EU62" s="16">
        <f t="shared" si="131"/>
        <v>30409.700511322131</v>
      </c>
      <c r="EV62" s="16">
        <f t="shared" si="63"/>
        <v>-39481.552000000003</v>
      </c>
      <c r="EW62" s="16">
        <f t="shared" si="64"/>
        <v>0</v>
      </c>
      <c r="EX62" s="16">
        <f t="shared" si="65"/>
        <v>-30409.700511322131</v>
      </c>
      <c r="EY62" s="12">
        <f t="shared" si="146"/>
        <v>-0.34982366135262349</v>
      </c>
      <c r="EZ62" s="17">
        <f t="shared" si="147"/>
        <v>-0.14003964184904991</v>
      </c>
      <c r="FA62" s="17">
        <f t="shared" si="148"/>
        <v>-0.17589940083165961</v>
      </c>
      <c r="FB62" s="17">
        <f t="shared" si="97"/>
        <v>-7.7928917384704921E-2</v>
      </c>
      <c r="FC62" s="16">
        <v>40369.43</v>
      </c>
      <c r="FD62">
        <f t="shared" si="104"/>
        <v>-44667</v>
      </c>
      <c r="FE62" s="16">
        <f t="shared" si="105"/>
        <v>-40369.43</v>
      </c>
      <c r="FF62" s="12">
        <v>-0.23</v>
      </c>
      <c r="FG62" s="12">
        <f t="shared" si="149"/>
        <v>-0.24282311284512834</v>
      </c>
      <c r="FH62" s="12">
        <f t="shared" si="68"/>
        <v>-3.4934493771157676E-2</v>
      </c>
      <c r="FI62" s="12">
        <f t="shared" si="69"/>
        <v>-6.331124618513928E-2</v>
      </c>
      <c r="FJ62" s="16">
        <v>0</v>
      </c>
      <c r="FK62" s="16">
        <v>28158</v>
      </c>
      <c r="FL62" s="16">
        <f t="shared" si="70"/>
        <v>28158</v>
      </c>
      <c r="FM62" s="16">
        <f t="shared" si="132"/>
        <v>92319.12867355044</v>
      </c>
      <c r="FN62" s="16">
        <f t="shared" si="71"/>
        <v>-64161.12867355044</v>
      </c>
      <c r="FO62" s="12">
        <f t="shared" si="133"/>
        <v>-0.14664383224121386</v>
      </c>
      <c r="FP62" s="12">
        <f t="shared" si="134"/>
        <v>5.3815464437116649E-2</v>
      </c>
      <c r="FQ62" s="12">
        <f t="shared" si="72"/>
        <v>-0.38590429516190711</v>
      </c>
    </row>
    <row r="63" spans="1:173" x14ac:dyDescent="0.35">
      <c r="A63" s="7" t="s">
        <v>237</v>
      </c>
      <c r="B63" s="7" t="s">
        <v>238</v>
      </c>
      <c r="C63" s="144">
        <f t="shared" si="108"/>
        <v>43</v>
      </c>
      <c r="D63" s="144">
        <v>0</v>
      </c>
      <c r="E63" s="144">
        <v>43</v>
      </c>
      <c r="F63" s="144">
        <v>0</v>
      </c>
      <c r="G63" s="144">
        <v>0</v>
      </c>
      <c r="H63" s="144">
        <v>0</v>
      </c>
      <c r="I63" s="144">
        <v>0</v>
      </c>
      <c r="J63" s="144">
        <v>0</v>
      </c>
      <c r="K63" s="144"/>
      <c r="L63" s="9">
        <v>34.5</v>
      </c>
      <c r="M63" s="149">
        <f t="shared" si="109"/>
        <v>0.80232558139534882</v>
      </c>
      <c r="N63" s="149">
        <f>M63/M73</f>
        <v>1.2577449043064275E-2</v>
      </c>
      <c r="O63" s="9">
        <v>3</v>
      </c>
      <c r="P63" s="149">
        <f t="shared" si="110"/>
        <v>6.9767441860465115E-2</v>
      </c>
      <c r="Q63" s="147">
        <f>P63/P73</f>
        <v>4.724252704141875E-3</v>
      </c>
      <c r="R63" s="149">
        <f t="shared" si="111"/>
        <v>0.6191860465116279</v>
      </c>
      <c r="S63" s="147">
        <f>R63/R73</f>
        <v>1.2014844621690727E-2</v>
      </c>
      <c r="T63" s="147">
        <f t="shared" si="112"/>
        <v>1.0614149958333674E-2</v>
      </c>
      <c r="U63" s="142">
        <v>41945</v>
      </c>
      <c r="V63" s="142">
        <f>U63/C63</f>
        <v>975.46511627906978</v>
      </c>
      <c r="W63" s="142"/>
      <c r="X63" s="147">
        <f>V63/V73</f>
        <v>1.2526341736637693E-2</v>
      </c>
      <c r="Y63" s="147">
        <f t="shared" si="113"/>
        <v>1.1379026669655283E-2</v>
      </c>
      <c r="Z63" s="147">
        <v>8.9999999999999993E-3</v>
      </c>
      <c r="AA63" s="149">
        <v>-0.46</v>
      </c>
      <c r="AB63" s="145">
        <v>39</v>
      </c>
      <c r="AC63" s="149">
        <v>-0.39021173557172451</v>
      </c>
      <c r="AD63" s="149">
        <f t="shared" si="93"/>
        <v>-0.46279716755339995</v>
      </c>
      <c r="AE63" s="142">
        <v>32</v>
      </c>
      <c r="AF63" s="209"/>
      <c r="AG63" s="209"/>
      <c r="AH63" s="12"/>
      <c r="AI63" s="12"/>
      <c r="AJ63" s="23"/>
      <c r="AK63" s="30"/>
      <c r="AL63" s="23"/>
      <c r="AM63" s="30"/>
      <c r="AN63" s="30"/>
      <c r="AO63" s="30"/>
      <c r="AP63" s="209"/>
      <c r="AQ63" s="142"/>
      <c r="AR63" s="24"/>
      <c r="AS63" s="24"/>
      <c r="AT63" s="24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>
        <v>62</v>
      </c>
      <c r="BM63" s="16">
        <v>61</v>
      </c>
      <c r="BN63" s="16">
        <f t="shared" si="94"/>
        <v>1</v>
      </c>
      <c r="BO63" s="16">
        <v>97</v>
      </c>
      <c r="BP63" s="16">
        <v>68</v>
      </c>
      <c r="BQ63" s="16">
        <v>98.02955</v>
      </c>
      <c r="BR63" s="16">
        <f t="shared" si="99"/>
        <v>-35</v>
      </c>
      <c r="BS63" s="16">
        <v>93</v>
      </c>
      <c r="BT63" s="16">
        <v>50</v>
      </c>
      <c r="BU63" s="16"/>
      <c r="BV63" s="16"/>
      <c r="BW63" s="16"/>
      <c r="BX63" s="16"/>
      <c r="BY63" s="12"/>
      <c r="BZ63" s="12"/>
      <c r="CC63">
        <v>41</v>
      </c>
      <c r="CD63">
        <f t="shared" si="44"/>
        <v>91</v>
      </c>
      <c r="CE63" s="16">
        <f t="shared" si="117"/>
        <v>0</v>
      </c>
      <c r="CF63" s="54">
        <f t="shared" si="118"/>
        <v>84.848010000000002</v>
      </c>
      <c r="CG63" s="16">
        <f t="shared" si="119"/>
        <v>166.26148499999999</v>
      </c>
      <c r="CH63" s="54">
        <f t="shared" si="120"/>
        <v>127.81117604090576</v>
      </c>
      <c r="CI63" s="54">
        <v>122.30768999999999</v>
      </c>
      <c r="CJ63" s="54">
        <f t="shared" si="95"/>
        <v>-59.811176040905764</v>
      </c>
      <c r="CK63" s="54">
        <f t="shared" si="96"/>
        <v>-54.307689999999994</v>
      </c>
      <c r="CL63" s="54">
        <f t="shared" si="100"/>
        <v>-37.02955</v>
      </c>
      <c r="CM63" s="12">
        <v>-0.38400000000000001</v>
      </c>
      <c r="CN63" s="16">
        <f t="shared" si="48"/>
        <v>91</v>
      </c>
      <c r="CO63" s="54">
        <f t="shared" si="49"/>
        <v>-34.848010000000002</v>
      </c>
      <c r="CP63" s="12">
        <f t="shared" si="135"/>
        <v>-0.36481794802772466</v>
      </c>
      <c r="CQ63" s="12">
        <f t="shared" si="136"/>
        <v>-0.35774080904169758</v>
      </c>
      <c r="CR63" s="16">
        <f t="shared" si="50"/>
        <v>-73.261484999999993</v>
      </c>
      <c r="CS63" s="12">
        <f t="shared" si="137"/>
        <v>-0.39434541904477677</v>
      </c>
      <c r="CT63" s="12">
        <f t="shared" si="138"/>
        <v>-0.40063806133381397</v>
      </c>
      <c r="CU63" s="12">
        <f t="shared" si="139"/>
        <v>-0.28781236442430386</v>
      </c>
      <c r="CV63" s="12">
        <f t="shared" si="140"/>
        <v>-0.37498494579217045</v>
      </c>
      <c r="CW63" s="54">
        <v>3</v>
      </c>
      <c r="CX63" s="54">
        <f t="shared" si="121"/>
        <v>122.310357</v>
      </c>
      <c r="CY63" s="54">
        <f t="shared" ref="CY63:CY70" si="153">BP63-CX63</f>
        <v>-54.310356999999996</v>
      </c>
      <c r="CZ63" s="12">
        <f t="shared" si="141"/>
        <v>-0.40406411359349009</v>
      </c>
      <c r="DA63" s="12">
        <f t="shared" si="114"/>
        <v>-1.3925732564102564</v>
      </c>
      <c r="DB63" s="12">
        <f t="shared" si="142"/>
        <v>-0.51081894004628592</v>
      </c>
      <c r="DC63" s="54">
        <v>8</v>
      </c>
      <c r="DD63" s="54">
        <v>9</v>
      </c>
      <c r="DE63" s="54">
        <f t="shared" si="122"/>
        <v>22.6727007</v>
      </c>
      <c r="DF63" s="54">
        <v>20</v>
      </c>
      <c r="DG63" s="54">
        <v>18.600000000000001</v>
      </c>
      <c r="DH63" s="54">
        <f t="shared" si="52"/>
        <v>79.599999999999994</v>
      </c>
      <c r="DI63" s="54">
        <f t="shared" si="123"/>
        <v>156.85642573471009</v>
      </c>
      <c r="DJ63" s="16">
        <f t="shared" si="53"/>
        <v>-77.256425734710092</v>
      </c>
      <c r="DK63" s="12">
        <f t="shared" si="124"/>
        <v>-0.40071205870356991</v>
      </c>
      <c r="DL63" s="54">
        <v>4</v>
      </c>
      <c r="DM63" s="54">
        <v>19</v>
      </c>
      <c r="DN63" s="54">
        <v>13</v>
      </c>
      <c r="DO63" s="54">
        <f t="shared" si="54"/>
        <v>36</v>
      </c>
      <c r="DP63" s="54">
        <f t="shared" si="125"/>
        <v>16.889594916600476</v>
      </c>
      <c r="DQ63" s="16">
        <f t="shared" si="55"/>
        <v>19.110405083399524</v>
      </c>
      <c r="DR63" s="14">
        <f t="shared" si="126"/>
        <v>0.95889487442224419</v>
      </c>
      <c r="DS63" s="54">
        <f t="shared" si="56"/>
        <v>12</v>
      </c>
      <c r="DT63" s="54">
        <f t="shared" si="127"/>
        <v>0</v>
      </c>
      <c r="DU63" s="54">
        <f t="shared" si="128"/>
        <v>16.978816654492331</v>
      </c>
      <c r="DV63" s="54">
        <f t="shared" si="57"/>
        <v>-13.6727007</v>
      </c>
      <c r="DW63" s="54">
        <f t="shared" si="58"/>
        <v>12</v>
      </c>
      <c r="DX63" s="54">
        <f t="shared" si="115"/>
        <v>-8.9788166544923307</v>
      </c>
      <c r="DY63" s="12">
        <f t="shared" si="143"/>
        <v>-0.51753814432294509</v>
      </c>
      <c r="DZ63" s="12">
        <f t="shared" si="144"/>
        <v>-0.34218280668673567</v>
      </c>
      <c r="EA63" s="12">
        <f t="shared" si="145"/>
        <v>-0.4581502552815308</v>
      </c>
      <c r="EB63" s="12">
        <f t="shared" si="59"/>
        <v>-0.42514360036431886</v>
      </c>
      <c r="EC63" s="12">
        <f t="shared" si="60"/>
        <v>-0.3828431706016559</v>
      </c>
      <c r="ED63" s="12">
        <f t="shared" si="116"/>
        <v>-0.41501610982074322</v>
      </c>
      <c r="EE63" s="54">
        <v>14</v>
      </c>
      <c r="EF63" s="54">
        <f t="shared" si="102"/>
        <v>-11</v>
      </c>
      <c r="EG63" s="12">
        <v>-0.6</v>
      </c>
      <c r="EH63" s="12">
        <v>-0.438</v>
      </c>
      <c r="EI63" s="12">
        <f t="shared" si="103"/>
        <v>-0.43123870934412789</v>
      </c>
      <c r="EJ63" s="16">
        <v>0</v>
      </c>
      <c r="EK63" s="16">
        <v>0</v>
      </c>
      <c r="EL63" s="16">
        <v>93056</v>
      </c>
      <c r="EM63" s="12">
        <f t="shared" si="151"/>
        <v>-6.0810325422116368E-2</v>
      </c>
      <c r="EN63" s="12">
        <f t="shared" si="61"/>
        <v>-0.35915916269247739</v>
      </c>
      <c r="EO63" s="16">
        <v>0</v>
      </c>
      <c r="EP63" s="16">
        <v>0</v>
      </c>
      <c r="EQ63" s="16">
        <f t="shared" si="129"/>
        <v>96236.28300000001</v>
      </c>
      <c r="ER63" s="16">
        <v>24482</v>
      </c>
      <c r="ES63" s="16">
        <f t="shared" si="62"/>
        <v>24482</v>
      </c>
      <c r="ET63" s="16">
        <f t="shared" si="130"/>
        <v>0</v>
      </c>
      <c r="EU63" s="16">
        <f t="shared" si="131"/>
        <v>74123.644996347692</v>
      </c>
      <c r="EV63" s="16">
        <f t="shared" si="63"/>
        <v>-96236.28300000001</v>
      </c>
      <c r="EW63" s="16">
        <f t="shared" si="64"/>
        <v>24482</v>
      </c>
      <c r="EX63" s="16">
        <f t="shared" ref="EX63:EX70" si="154">EO63-EU63</f>
        <v>-74123.644996347692</v>
      </c>
      <c r="EY63" s="12">
        <f t="shared" si="146"/>
        <v>-0.29355471623935525</v>
      </c>
      <c r="EZ63" s="17">
        <f t="shared" si="147"/>
        <v>-0.34134662700705909</v>
      </c>
      <c r="FA63" s="17">
        <f t="shared" si="148"/>
        <v>-0.40281008521352191</v>
      </c>
      <c r="FB63" s="17">
        <f t="shared" si="97"/>
        <v>-0.38554831669526957</v>
      </c>
      <c r="FC63" s="16">
        <v>85881</v>
      </c>
      <c r="FD63">
        <f t="shared" si="104"/>
        <v>-93056</v>
      </c>
      <c r="FE63" s="16">
        <f t="shared" si="105"/>
        <v>-85881</v>
      </c>
      <c r="FF63" s="12">
        <v>-0.49299999999999999</v>
      </c>
      <c r="FG63" s="12">
        <f t="shared" si="149"/>
        <v>-0.51013485486730803</v>
      </c>
      <c r="FH63" s="12">
        <f t="shared" si="68"/>
        <v>-0.41621019430400008</v>
      </c>
      <c r="FI63" s="12">
        <f t="shared" si="69"/>
        <v>-0.36624455316381721</v>
      </c>
      <c r="FJ63" s="16">
        <v>155840</v>
      </c>
      <c r="FK63" s="16">
        <v>0</v>
      </c>
      <c r="FL63" s="16">
        <f t="shared" si="70"/>
        <v>180322</v>
      </c>
      <c r="FM63" s="16">
        <f t="shared" si="132"/>
        <v>155484.84829229547</v>
      </c>
      <c r="FN63" s="16">
        <f t="shared" si="71"/>
        <v>24837.151707704528</v>
      </c>
      <c r="FO63" s="14">
        <f t="shared" si="133"/>
        <v>5.6766693224891029E-2</v>
      </c>
      <c r="FP63" s="12">
        <f t="shared" si="134"/>
        <v>-1.3779517963313406E-2</v>
      </c>
      <c r="FQ63" s="12">
        <f t="shared" si="72"/>
        <v>-0.33291738411122851</v>
      </c>
    </row>
    <row r="64" spans="1:173" x14ac:dyDescent="0.35">
      <c r="A64" s="8" t="s">
        <v>237</v>
      </c>
      <c r="B64" s="8" t="s">
        <v>239</v>
      </c>
      <c r="C64" s="144">
        <f t="shared" ref="C64:C70" si="155">SUM(D64:J64)</f>
        <v>75</v>
      </c>
      <c r="D64" s="144">
        <v>0</v>
      </c>
      <c r="E64" s="144">
        <v>75</v>
      </c>
      <c r="F64" s="144">
        <v>0</v>
      </c>
      <c r="G64" s="144">
        <v>0</v>
      </c>
      <c r="H64" s="144">
        <v>0</v>
      </c>
      <c r="I64" s="144">
        <v>0</v>
      </c>
      <c r="J64" s="144">
        <v>0</v>
      </c>
      <c r="K64" s="144"/>
      <c r="L64" s="9">
        <v>34</v>
      </c>
      <c r="M64" s="149">
        <f t="shared" ref="M64:M71" si="156">L64/C64</f>
        <v>0.45333333333333331</v>
      </c>
      <c r="N64" s="149">
        <f>M64/M73</f>
        <v>7.1065625124482985E-3</v>
      </c>
      <c r="O64" s="9">
        <v>11.5</v>
      </c>
      <c r="P64" s="149">
        <f t="shared" ref="P64:P71" si="157">O64/C64</f>
        <v>0.15333333333333332</v>
      </c>
      <c r="Q64" s="147">
        <f>P64/P73</f>
        <v>1.0382857609769588E-2</v>
      </c>
      <c r="R64" s="149">
        <f t="shared" ref="R64:R71" si="158">(0.75*M64)+(0.25*P64)</f>
        <v>0.3783333333333333</v>
      </c>
      <c r="S64" s="147">
        <f>R64/R73</f>
        <v>7.3412768921642052E-3</v>
      </c>
      <c r="T64" s="147">
        <f t="shared" ref="T64:T70" si="159">(0.75*N64)+(0.25*Q64)</f>
        <v>7.9256362867786215E-3</v>
      </c>
      <c r="U64" s="142"/>
      <c r="V64" s="142">
        <f t="shared" si="107"/>
        <v>0</v>
      </c>
      <c r="W64" s="142"/>
      <c r="X64" s="147">
        <f>V64/V73</f>
        <v>0</v>
      </c>
      <c r="Y64" s="147">
        <f t="shared" ref="Y64:Y70" si="160">(0.6*T64)+(0.4*X64)</f>
        <v>4.7553817720671727E-3</v>
      </c>
      <c r="Z64" s="147">
        <v>-0.312</v>
      </c>
      <c r="AA64" s="149">
        <v>-0.64100000000000001</v>
      </c>
      <c r="AB64" s="145">
        <v>85</v>
      </c>
      <c r="AC64" s="149">
        <v>-0.76558958318512782</v>
      </c>
      <c r="AD64" s="149">
        <f t="shared" si="93"/>
        <v>-0.63544751081567263</v>
      </c>
      <c r="AE64" s="142">
        <v>77</v>
      </c>
      <c r="AF64" s="147"/>
      <c r="AG64" s="147"/>
      <c r="AH64" s="12"/>
      <c r="AI64" s="12"/>
      <c r="AJ64" s="23"/>
      <c r="AK64" s="30"/>
      <c r="AL64" s="23"/>
      <c r="AM64" s="30"/>
      <c r="AN64" s="30"/>
      <c r="AO64" s="30"/>
      <c r="AP64" s="209"/>
      <c r="AQ64" s="142"/>
      <c r="AR64" s="24"/>
      <c r="AS64" s="24"/>
      <c r="AT64" s="24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>
        <v>82</v>
      </c>
      <c r="BM64" s="16">
        <v>82</v>
      </c>
      <c r="BN64" s="16">
        <f t="shared" si="94"/>
        <v>0</v>
      </c>
      <c r="BO64" s="16">
        <v>170</v>
      </c>
      <c r="BP64" s="16">
        <v>118</v>
      </c>
      <c r="BQ64" s="16">
        <v>170.98177000000001</v>
      </c>
      <c r="BR64" s="16">
        <f t="shared" si="99"/>
        <v>-88</v>
      </c>
      <c r="BS64" s="16">
        <v>151</v>
      </c>
      <c r="BT64" s="16">
        <v>86</v>
      </c>
      <c r="BU64" s="16"/>
      <c r="BV64" s="16"/>
      <c r="BW64" s="16"/>
      <c r="BX64" s="16"/>
      <c r="BY64" s="12"/>
      <c r="BZ64" s="12"/>
      <c r="CC64">
        <v>224</v>
      </c>
      <c r="CD64">
        <f t="shared" si="44"/>
        <v>310</v>
      </c>
      <c r="CE64" s="16">
        <f t="shared" si="117"/>
        <v>0</v>
      </c>
      <c r="CF64" s="54">
        <f t="shared" si="118"/>
        <v>184.92515</v>
      </c>
      <c r="CG64" s="16">
        <f t="shared" si="119"/>
        <v>362.36477500000001</v>
      </c>
      <c r="CH64" s="54">
        <f t="shared" si="120"/>
        <v>278.56281957633308</v>
      </c>
      <c r="CI64" s="54">
        <v>266.56805000000003</v>
      </c>
      <c r="CJ64" s="54">
        <f t="shared" si="95"/>
        <v>-160.56281957633308</v>
      </c>
      <c r="CK64" s="54">
        <f t="shared" si="96"/>
        <v>-148.56805000000003</v>
      </c>
      <c r="CL64" s="54">
        <f t="shared" si="100"/>
        <v>-88.981770000000012</v>
      </c>
      <c r="CM64" s="12">
        <v>-0.85799999999999998</v>
      </c>
      <c r="CN64" s="16">
        <f t="shared" si="48"/>
        <v>310</v>
      </c>
      <c r="CO64" s="54">
        <f t="shared" si="49"/>
        <v>-98.925150000000002</v>
      </c>
      <c r="CP64" s="12">
        <f t="shared" si="135"/>
        <v>0.73639039416746233</v>
      </c>
      <c r="CQ64" s="12">
        <f t="shared" si="136"/>
        <v>-0.95301639886319234</v>
      </c>
      <c r="CR64" s="16">
        <f t="shared" si="50"/>
        <v>-211.36477500000001</v>
      </c>
      <c r="CS64" s="12">
        <f t="shared" si="137"/>
        <v>-1.1232239951861753</v>
      </c>
      <c r="CT64" s="12">
        <f t="shared" si="138"/>
        <v>-1.075510983321218</v>
      </c>
      <c r="CU64" s="12">
        <f t="shared" si="139"/>
        <v>-0.63724519615136022</v>
      </c>
      <c r="CV64" s="12">
        <f t="shared" si="140"/>
        <v>-0.83910398927571161</v>
      </c>
      <c r="CW64" s="54">
        <v>22</v>
      </c>
      <c r="CX64" s="54">
        <f t="shared" si="121"/>
        <v>266.57385499999998</v>
      </c>
      <c r="CY64" s="54">
        <f t="shared" si="153"/>
        <v>-148.57385499999998</v>
      </c>
      <c r="CZ64" s="12">
        <f t="shared" si="141"/>
        <v>-1.038087020767994</v>
      </c>
      <c r="DA64" s="12">
        <f t="shared" si="114"/>
        <v>-1.7479277058823528</v>
      </c>
      <c r="DB64" s="12">
        <f t="shared" si="142"/>
        <v>-0.63279461936147008</v>
      </c>
      <c r="DC64" s="54">
        <v>36</v>
      </c>
      <c r="DD64" s="54">
        <v>46</v>
      </c>
      <c r="DE64" s="54">
        <f t="shared" si="122"/>
        <v>49.414860500000003</v>
      </c>
      <c r="DF64" s="54">
        <v>96</v>
      </c>
      <c r="DG64" s="54">
        <v>64</v>
      </c>
      <c r="DH64" s="54">
        <f t="shared" si="52"/>
        <v>384</v>
      </c>
      <c r="DI64" s="54">
        <f t="shared" si="123"/>
        <v>377.43577442414613</v>
      </c>
      <c r="DJ64" s="16">
        <f t="shared" si="53"/>
        <v>6.5642255758538681</v>
      </c>
      <c r="DK64" s="12">
        <f t="shared" si="124"/>
        <v>3.4047191793824434E-2</v>
      </c>
      <c r="DL64" s="54">
        <v>25</v>
      </c>
      <c r="DM64" s="54">
        <v>30</v>
      </c>
      <c r="DN64" s="54">
        <v>31.5</v>
      </c>
      <c r="DO64" s="54">
        <f t="shared" si="54"/>
        <v>86.5</v>
      </c>
      <c r="DP64" s="54">
        <f t="shared" si="125"/>
        <v>40.640587768069899</v>
      </c>
      <c r="DQ64" s="16">
        <f t="shared" si="55"/>
        <v>45.859412231930101</v>
      </c>
      <c r="DR64" s="14">
        <f t="shared" si="126"/>
        <v>2.3010687183922323</v>
      </c>
      <c r="DS64" s="54">
        <f t="shared" si="56"/>
        <v>61</v>
      </c>
      <c r="DT64" s="54">
        <f t="shared" si="127"/>
        <v>0</v>
      </c>
      <c r="DU64" s="54">
        <f t="shared" si="128"/>
        <v>37.005113221329438</v>
      </c>
      <c r="DV64" s="54">
        <f t="shared" si="57"/>
        <v>-3.4148605000000032</v>
      </c>
      <c r="DW64" s="54">
        <f t="shared" si="58"/>
        <v>61</v>
      </c>
      <c r="DX64" s="54">
        <f t="shared" si="115"/>
        <v>-1.005113221329438</v>
      </c>
      <c r="DY64" s="12">
        <f t="shared" si="143"/>
        <v>-0.20033372187332354</v>
      </c>
      <c r="DZ64" s="12">
        <f t="shared" si="144"/>
        <v>1.3098556555964311</v>
      </c>
      <c r="EA64" s="12">
        <f t="shared" si="145"/>
        <v>-5.1286588941375409E-2</v>
      </c>
      <c r="EB64" s="12">
        <f t="shared" si="59"/>
        <v>-0.8925014268579623</v>
      </c>
      <c r="EC64" s="12">
        <f t="shared" si="60"/>
        <v>-0.72758394638273816</v>
      </c>
      <c r="ED64" s="12">
        <f t="shared" si="116"/>
        <v>-0.81945488472625738</v>
      </c>
      <c r="EE64" s="54">
        <v>24</v>
      </c>
      <c r="EF64" s="54">
        <f t="shared" si="102"/>
        <v>-2</v>
      </c>
      <c r="EG64" s="12">
        <v>-0.24199999999999999</v>
      </c>
      <c r="EH64" s="12">
        <v>-0.70399999999999996</v>
      </c>
      <c r="EI64" s="12">
        <f t="shared" si="103"/>
        <v>-0.68982799195678368</v>
      </c>
      <c r="EJ64" s="16">
        <v>50283</v>
      </c>
      <c r="EK64" s="16">
        <v>50283</v>
      </c>
      <c r="EL64" s="16">
        <v>153409</v>
      </c>
      <c r="EM64" s="14">
        <f t="shared" si="151"/>
        <v>0.60080257344342636</v>
      </c>
      <c r="EN64" s="12">
        <f t="shared" si="61"/>
        <v>0.87975670952470453</v>
      </c>
      <c r="EO64" s="16">
        <v>17440</v>
      </c>
      <c r="EP64" s="16">
        <v>159407</v>
      </c>
      <c r="EQ64" s="16">
        <f t="shared" si="129"/>
        <v>209745.74500000002</v>
      </c>
      <c r="ER64" s="16">
        <v>75017</v>
      </c>
      <c r="ES64" s="16">
        <f t="shared" si="62"/>
        <v>92457</v>
      </c>
      <c r="ET64" s="16">
        <f t="shared" si="130"/>
        <v>0</v>
      </c>
      <c r="EU64" s="16">
        <f t="shared" si="131"/>
        <v>161551.53396639883</v>
      </c>
      <c r="EV64" s="16">
        <f t="shared" si="63"/>
        <v>-50338.745000000024</v>
      </c>
      <c r="EW64" s="16">
        <f t="shared" si="64"/>
        <v>92457</v>
      </c>
      <c r="EX64" s="16">
        <f t="shared" si="154"/>
        <v>-144111.53396639883</v>
      </c>
      <c r="EY64" s="12">
        <f t="shared" si="146"/>
        <v>-0.13732231920992918</v>
      </c>
      <c r="EZ64" s="17">
        <f t="shared" si="147"/>
        <v>-0.66364769345419128</v>
      </c>
      <c r="FA64" s="17">
        <f t="shared" si="148"/>
        <v>-0.21930746656799388</v>
      </c>
      <c r="FB64" s="17">
        <f t="shared" si="97"/>
        <v>-0.75713200821743087</v>
      </c>
      <c r="FC64" s="16">
        <v>143611.35</v>
      </c>
      <c r="FD64">
        <f t="shared" si="104"/>
        <v>-103126</v>
      </c>
      <c r="FE64" s="16">
        <f t="shared" si="105"/>
        <v>-93328.35</v>
      </c>
      <c r="FF64" s="12">
        <v>-0.54700000000000004</v>
      </c>
      <c r="FG64" s="12">
        <f t="shared" si="149"/>
        <v>-0.55387678910400617</v>
      </c>
      <c r="FH64" s="12">
        <f t="shared" si="68"/>
        <v>-0.62322384274197495</v>
      </c>
      <c r="FI64" s="12">
        <f t="shared" si="69"/>
        <v>-0.70200944521131947</v>
      </c>
      <c r="FJ64" s="16">
        <v>15315</v>
      </c>
      <c r="FK64" s="16">
        <v>73336</v>
      </c>
      <c r="FL64" s="16">
        <f t="shared" si="70"/>
        <v>163668</v>
      </c>
      <c r="FM64" s="16">
        <f t="shared" si="132"/>
        <v>374135.41620333598</v>
      </c>
      <c r="FN64" s="16">
        <f t="shared" si="71"/>
        <v>-210467.41620333598</v>
      </c>
      <c r="FO64" s="12">
        <f t="shared" si="133"/>
        <v>-0.48103499910354436</v>
      </c>
      <c r="FP64" s="12">
        <f t="shared" si="134"/>
        <v>0.16806754442463806</v>
      </c>
      <c r="FQ64" s="12">
        <f t="shared" si="72"/>
        <v>0.47292509803085098</v>
      </c>
    </row>
    <row r="65" spans="1:173" x14ac:dyDescent="0.35">
      <c r="A65" s="8" t="s">
        <v>237</v>
      </c>
      <c r="B65" s="141" t="s">
        <v>240</v>
      </c>
      <c r="C65" s="144">
        <f t="shared" si="155"/>
        <v>6</v>
      </c>
      <c r="D65" s="144">
        <v>0</v>
      </c>
      <c r="E65" s="144">
        <v>0</v>
      </c>
      <c r="F65" s="144">
        <v>0</v>
      </c>
      <c r="G65" s="144">
        <v>6</v>
      </c>
      <c r="H65" s="144">
        <v>0</v>
      </c>
      <c r="I65" s="144">
        <v>0</v>
      </c>
      <c r="J65" s="144">
        <v>0</v>
      </c>
      <c r="K65" s="144"/>
      <c r="L65" s="9">
        <v>5</v>
      </c>
      <c r="M65" s="149">
        <f t="shared" si="156"/>
        <v>0.83333333333333337</v>
      </c>
      <c r="N65" s="149">
        <f>M65/M73</f>
        <v>1.3063534030235843E-2</v>
      </c>
      <c r="O65" s="9">
        <v>0</v>
      </c>
      <c r="P65" s="149">
        <f t="shared" si="157"/>
        <v>0</v>
      </c>
      <c r="Q65" s="147">
        <f>P65/P73</f>
        <v>0</v>
      </c>
      <c r="R65" s="149">
        <f t="shared" si="158"/>
        <v>0.625</v>
      </c>
      <c r="S65" s="147">
        <f>R65/R73</f>
        <v>1.2127660064147916E-2</v>
      </c>
      <c r="T65" s="147">
        <f t="shared" si="159"/>
        <v>9.7976505226768824E-3</v>
      </c>
      <c r="U65" s="142"/>
      <c r="V65" s="142">
        <f t="shared" si="107"/>
        <v>0</v>
      </c>
      <c r="W65" s="142"/>
      <c r="X65" s="147">
        <f>V65/V73</f>
        <v>0</v>
      </c>
      <c r="Y65" s="147">
        <f t="shared" si="160"/>
        <v>5.8785903136061293E-3</v>
      </c>
      <c r="Z65" s="147">
        <v>-0.36299999999999999</v>
      </c>
      <c r="AA65" s="149">
        <v>-4.5999999999999999E-2</v>
      </c>
      <c r="AB65" s="145">
        <v>10</v>
      </c>
      <c r="AC65" s="149">
        <v>-4.2553565460634157E-2</v>
      </c>
      <c r="AD65" s="149">
        <f t="shared" ref="AD65:AD70" si="161">(0.6*EI65)+(0.4*FG65)</f>
        <v>-3.7595622150264942E-2</v>
      </c>
      <c r="AE65" s="142">
        <v>12</v>
      </c>
      <c r="AF65" s="147"/>
      <c r="AG65" s="147"/>
      <c r="AH65" s="12"/>
      <c r="AI65" s="12"/>
      <c r="AJ65" s="23"/>
      <c r="AK65" s="30"/>
      <c r="AL65" s="23"/>
      <c r="AM65" s="30"/>
      <c r="AN65" s="30"/>
      <c r="AO65" s="30"/>
      <c r="AP65" s="209"/>
      <c r="AQ65" s="142"/>
      <c r="AR65" s="24"/>
      <c r="AS65" s="24"/>
      <c r="AT65" s="24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>
        <v>27</v>
      </c>
      <c r="BM65" s="16">
        <v>27</v>
      </c>
      <c r="BN65" s="16"/>
      <c r="BO65" s="16">
        <v>14</v>
      </c>
      <c r="BP65" s="16">
        <v>21</v>
      </c>
      <c r="BQ65" s="16">
        <v>13.67854</v>
      </c>
      <c r="BR65" s="16">
        <f t="shared" ref="BR65:BR70" si="162">BL65-BO65</f>
        <v>13</v>
      </c>
      <c r="BS65" s="16">
        <v>21</v>
      </c>
      <c r="BT65" s="16">
        <v>13</v>
      </c>
      <c r="BU65" s="16"/>
      <c r="BV65" s="16"/>
      <c r="BW65" s="16"/>
      <c r="BX65" s="16"/>
      <c r="BY65" s="12"/>
      <c r="BZ65" s="12"/>
      <c r="CC65">
        <v>8</v>
      </c>
      <c r="CD65">
        <f t="shared" si="44"/>
        <v>21</v>
      </c>
      <c r="CE65" s="16">
        <f t="shared" si="117"/>
        <v>0</v>
      </c>
      <c r="CF65" s="54">
        <f t="shared" si="118"/>
        <v>21.7559</v>
      </c>
      <c r="CG65" s="16">
        <f t="shared" ref="CG65:CG70" si="163">AB65*BS$75</f>
        <v>42.631149999999998</v>
      </c>
      <c r="CH65" s="54">
        <f t="shared" ref="CH65:CH70" si="164">AB65*BP$72</f>
        <v>32.772096420745072</v>
      </c>
      <c r="CI65" s="54">
        <v>31.360949999999999</v>
      </c>
      <c r="CJ65" s="54">
        <f t="shared" si="95"/>
        <v>-11.772096420745072</v>
      </c>
      <c r="CK65" s="54">
        <f t="shared" si="96"/>
        <v>-10.360949999999999</v>
      </c>
      <c r="CL65" s="54">
        <f t="shared" ref="CL65:CL70" si="165">BM65-BQ65</f>
        <v>13.32146</v>
      </c>
      <c r="CM65" s="12">
        <v>4.4999999999999998E-2</v>
      </c>
      <c r="CN65" s="16">
        <f t="shared" si="48"/>
        <v>21</v>
      </c>
      <c r="CO65" s="54">
        <f t="shared" si="49"/>
        <v>-8.7559000000000005</v>
      </c>
      <c r="CP65" s="12">
        <f t="shared" si="135"/>
        <v>-0.71680234964262457</v>
      </c>
      <c r="CQ65" s="12">
        <f t="shared" si="136"/>
        <v>-0.11534553094505785</v>
      </c>
      <c r="CR65" s="16">
        <f t="shared" si="50"/>
        <v>-21.631149999999998</v>
      </c>
      <c r="CS65" s="12">
        <f t="shared" si="137"/>
        <v>-0.1218519465105351</v>
      </c>
      <c r="CT65" s="12">
        <f t="shared" ref="CT65:CT70" si="166">(CJ65-CJ$71)/CJ$72</f>
        <v>-7.885399017428539E-2</v>
      </c>
      <c r="CU65" s="12">
        <f t="shared" si="139"/>
        <v>5.0850661036731873E-2</v>
      </c>
      <c r="CV65" s="12">
        <f t="shared" ref="CV65:CV70" si="167">(CL65-CL$72)/CL$73</f>
        <v>7.4829568383166303E-2</v>
      </c>
      <c r="CW65" s="54">
        <v>0</v>
      </c>
      <c r="CX65" s="54">
        <f t="shared" ref="CX65:CX70" si="168">AB65*BP$75</f>
        <v>31.361629999999998</v>
      </c>
      <c r="CY65" s="54">
        <f t="shared" si="153"/>
        <v>-10.361629999999998</v>
      </c>
      <c r="CZ65" s="12">
        <f t="shared" si="141"/>
        <v>-0.10846188950502458</v>
      </c>
      <c r="DA65" s="12">
        <f t="shared" ref="DA65:DA70" si="169">CY65/AB65</f>
        <v>-1.0361629999999997</v>
      </c>
      <c r="DB65" s="12">
        <f t="shared" si="142"/>
        <v>-0.38848085421361178</v>
      </c>
      <c r="DC65" s="54">
        <v>8</v>
      </c>
      <c r="DD65" s="54">
        <v>8</v>
      </c>
      <c r="DE65" s="54">
        <f t="shared" ref="DE65:DE70" si="170">AB65*DD$74</f>
        <v>5.8135130000000004</v>
      </c>
      <c r="DF65" s="54">
        <v>4</v>
      </c>
      <c r="DG65" s="54">
        <v>3.6</v>
      </c>
      <c r="DH65" s="54">
        <f t="shared" si="52"/>
        <v>15.6</v>
      </c>
      <c r="DI65" s="54">
        <f t="shared" si="123"/>
        <v>58.821159650516279</v>
      </c>
      <c r="DJ65" s="16">
        <f t="shared" si="53"/>
        <v>-43.221159650516277</v>
      </c>
      <c r="DK65" s="12">
        <f t="shared" si="124"/>
        <v>-0.22417863237145319</v>
      </c>
      <c r="DL65" s="54">
        <v>0</v>
      </c>
      <c r="DM65" s="54">
        <v>0</v>
      </c>
      <c r="DN65" s="54">
        <v>1</v>
      </c>
      <c r="DO65" s="54">
        <f t="shared" si="54"/>
        <v>1</v>
      </c>
      <c r="DP65" s="54">
        <f t="shared" si="125"/>
        <v>6.333598093725179</v>
      </c>
      <c r="DQ65" s="16">
        <f t="shared" si="55"/>
        <v>-5.333598093725179</v>
      </c>
      <c r="DR65" s="12">
        <f t="shared" si="126"/>
        <v>-0.26762174072092143</v>
      </c>
      <c r="DS65" s="54">
        <f t="shared" si="56"/>
        <v>8</v>
      </c>
      <c r="DT65" s="54">
        <f t="shared" si="127"/>
        <v>0</v>
      </c>
      <c r="DU65" s="54">
        <f t="shared" ref="DU65:DU70" si="171">AB65*DC$72</f>
        <v>4.3535427319211104</v>
      </c>
      <c r="DV65" s="54">
        <f t="shared" si="57"/>
        <v>2.1864869999999996</v>
      </c>
      <c r="DW65" s="54">
        <f t="shared" si="58"/>
        <v>8</v>
      </c>
      <c r="DX65" s="54">
        <f t="shared" ref="DX65:DX70" si="172">DC65-DU65</f>
        <v>3.6464572680788896</v>
      </c>
      <c r="DY65" s="12">
        <f t="shared" si="143"/>
        <v>-2.7122581512886546E-2</v>
      </c>
      <c r="DZ65" s="12">
        <f t="shared" si="144"/>
        <v>-0.47704308932209621</v>
      </c>
      <c r="EA65" s="12">
        <f t="shared" si="145"/>
        <v>0.18606297383382703</v>
      </c>
      <c r="EB65" s="12">
        <f t="shared" si="59"/>
        <v>-9.8169605261122964E-2</v>
      </c>
      <c r="EC65" s="12">
        <f t="shared" si="60"/>
        <v>-3.9993404750336636E-2</v>
      </c>
      <c r="ED65" s="12">
        <f t="shared" ref="ED65:ED70" si="173">(0.75*CT65)+(0.25*EA65)</f>
        <v>-1.2624749172257282E-2</v>
      </c>
      <c r="EE65" s="54">
        <v>2</v>
      </c>
      <c r="EF65" s="54">
        <f t="shared" ref="EF65:EF70" si="174">CW65-EE65</f>
        <v>-2</v>
      </c>
      <c r="EG65" s="12">
        <v>-0.24199999999999999</v>
      </c>
      <c r="EH65" s="12">
        <v>-2.7E-2</v>
      </c>
      <c r="EI65" s="12">
        <f t="shared" ref="EI65:EI70" si="175">(0.75*CV65)+(0.25*EG65)</f>
        <v>-4.3778237126252673E-3</v>
      </c>
      <c r="EJ65" s="16">
        <v>0</v>
      </c>
      <c r="EK65" s="16">
        <v>0</v>
      </c>
      <c r="EL65" s="16">
        <v>15854</v>
      </c>
      <c r="EM65" s="12">
        <f t="shared" si="151"/>
        <v>-0.23503940945882024</v>
      </c>
      <c r="EN65" s="12">
        <f t="shared" si="61"/>
        <v>-0.65686253456249244</v>
      </c>
      <c r="EO65" s="16">
        <v>0</v>
      </c>
      <c r="EP65" s="16">
        <v>0</v>
      </c>
      <c r="EQ65" s="16">
        <f t="shared" ref="EQ65:EQ70" si="176">AB65*EP$74</f>
        <v>24675.97</v>
      </c>
      <c r="ER65" s="16">
        <v>0</v>
      </c>
      <c r="ES65" s="16">
        <f t="shared" si="62"/>
        <v>0</v>
      </c>
      <c r="ET65" s="16">
        <f t="shared" si="130"/>
        <v>0</v>
      </c>
      <c r="EU65" s="16">
        <f t="shared" ref="EU65:EU70" si="177">AB65*EO$72</f>
        <v>19006.062819576331</v>
      </c>
      <c r="EV65" s="16">
        <f t="shared" si="63"/>
        <v>-24675.97</v>
      </c>
      <c r="EW65" s="16">
        <f t="shared" si="64"/>
        <v>0</v>
      </c>
      <c r="EX65" s="16">
        <f t="shared" si="154"/>
        <v>-19006.062819576331</v>
      </c>
      <c r="EY65" s="12">
        <f t="shared" si="146"/>
        <v>-0.34982366135262349</v>
      </c>
      <c r="EZ65" s="17">
        <f t="shared" si="147"/>
        <v>-8.7524776155656209E-2</v>
      </c>
      <c r="FA65" s="17">
        <f t="shared" si="148"/>
        <v>-0.1167053092537825</v>
      </c>
      <c r="FB65" s="17">
        <f t="shared" si="97"/>
        <v>-4.258475996561685E-2</v>
      </c>
      <c r="FC65" s="16">
        <v>13911.43</v>
      </c>
      <c r="FD65">
        <f t="shared" ref="FD65:FD70" si="178">EJ65-EL65</f>
        <v>-15854</v>
      </c>
      <c r="FE65" s="16">
        <f t="shared" ref="FE65:FE70" si="179">EK65-FC65</f>
        <v>-13911.43</v>
      </c>
      <c r="FF65" s="12">
        <v>-7.3999999999999996E-2</v>
      </c>
      <c r="FG65" s="12">
        <f t="shared" ref="FG65:FG70" si="180">(FE65-FE$72)/FE$73</f>
        <v>-8.7422319806724449E-2</v>
      </c>
      <c r="FH65" s="12">
        <f t="shared" si="68"/>
        <v>-0.10558388685818679</v>
      </c>
      <c r="FI65" s="12">
        <f t="shared" si="69"/>
        <v>-5.9005953312464464E-2</v>
      </c>
      <c r="FJ65" s="16">
        <v>0</v>
      </c>
      <c r="FK65" s="16">
        <v>0</v>
      </c>
      <c r="FL65" s="16">
        <f t="shared" si="70"/>
        <v>0</v>
      </c>
      <c r="FM65" s="16">
        <f t="shared" si="132"/>
        <v>58306.818109610802</v>
      </c>
      <c r="FN65" s="16">
        <f t="shared" si="71"/>
        <v>-58306.818109610802</v>
      </c>
      <c r="FO65" s="12">
        <f t="shared" si="133"/>
        <v>-0.13326347946415565</v>
      </c>
      <c r="FP65" s="12">
        <f t="shared" si="134"/>
        <v>-0.1943290374609544</v>
      </c>
      <c r="FQ65" s="12">
        <f t="shared" si="72"/>
        <v>-0.53404698527854488</v>
      </c>
    </row>
    <row r="66" spans="1:173" x14ac:dyDescent="0.35">
      <c r="A66" s="8" t="s">
        <v>241</v>
      </c>
      <c r="B66" s="8" t="s">
        <v>22</v>
      </c>
      <c r="C66" s="144">
        <f t="shared" si="155"/>
        <v>86</v>
      </c>
      <c r="D66" s="144">
        <v>57</v>
      </c>
      <c r="E66" s="144">
        <v>13</v>
      </c>
      <c r="F66" s="144">
        <v>0</v>
      </c>
      <c r="G66" s="144">
        <v>10</v>
      </c>
      <c r="H66" s="144">
        <v>6</v>
      </c>
      <c r="I66" s="144">
        <v>0</v>
      </c>
      <c r="J66" s="144">
        <v>0</v>
      </c>
      <c r="K66" s="144"/>
      <c r="L66" s="9">
        <v>32</v>
      </c>
      <c r="M66" s="149">
        <f t="shared" si="156"/>
        <v>0.37209302325581395</v>
      </c>
      <c r="N66" s="149">
        <f>M66/M73</f>
        <v>5.8330198460587951E-3</v>
      </c>
      <c r="O66" s="9">
        <v>19.5</v>
      </c>
      <c r="P66" s="149">
        <f t="shared" si="157"/>
        <v>0.22674418604651161</v>
      </c>
      <c r="Q66" s="147">
        <f>P66/P73</f>
        <v>1.5353821288461094E-2</v>
      </c>
      <c r="R66" s="149">
        <f t="shared" si="158"/>
        <v>0.33575581395348836</v>
      </c>
      <c r="S66" s="147">
        <f>R66/R73</f>
        <v>6.5150918019027176E-3</v>
      </c>
      <c r="T66" s="147">
        <f t="shared" si="159"/>
        <v>8.2132202066593704E-3</v>
      </c>
      <c r="U66" s="142"/>
      <c r="V66" s="142">
        <f t="shared" si="107"/>
        <v>0</v>
      </c>
      <c r="W66" s="142"/>
      <c r="X66" s="147">
        <f>V66/V73</f>
        <v>0</v>
      </c>
      <c r="Y66" s="147">
        <f t="shared" si="160"/>
        <v>4.9279321239956222E-3</v>
      </c>
      <c r="Z66" s="147">
        <v>-0.76800000000000002</v>
      </c>
      <c r="AA66" s="149">
        <v>-1.0049999999999999</v>
      </c>
      <c r="AB66" s="145">
        <v>76</v>
      </c>
      <c r="AC66" s="149">
        <v>-0.83639256658962702</v>
      </c>
      <c r="AD66" s="149">
        <f t="shared" si="161"/>
        <v>-1.0101430157476208</v>
      </c>
      <c r="AE66" s="142">
        <v>69</v>
      </c>
      <c r="AF66" s="147"/>
      <c r="AG66" s="147"/>
      <c r="AH66" s="12"/>
      <c r="AI66" s="12"/>
      <c r="AJ66" s="23"/>
      <c r="AK66" s="30"/>
      <c r="AL66" s="23"/>
      <c r="AM66" s="30"/>
      <c r="AN66" s="30"/>
      <c r="AO66" s="30"/>
      <c r="AP66" s="209"/>
      <c r="AQ66" s="142"/>
      <c r="AR66" s="24"/>
      <c r="AS66" s="24"/>
      <c r="AT66" s="24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>
        <v>62</v>
      </c>
      <c r="BM66" s="16">
        <v>62</v>
      </c>
      <c r="BN66" s="16"/>
      <c r="BO66" s="16">
        <v>195</v>
      </c>
      <c r="BP66" s="16">
        <v>84</v>
      </c>
      <c r="BQ66" s="16">
        <v>196.0591</v>
      </c>
      <c r="BR66" s="16">
        <f t="shared" si="162"/>
        <v>-133</v>
      </c>
      <c r="BS66" s="16">
        <v>110</v>
      </c>
      <c r="BT66" s="16">
        <v>58</v>
      </c>
      <c r="BU66" s="16"/>
      <c r="BV66" s="16"/>
      <c r="BW66" s="16"/>
      <c r="BX66" s="16"/>
      <c r="BY66" s="12"/>
      <c r="BZ66" s="12"/>
      <c r="CC66">
        <v>18</v>
      </c>
      <c r="CD66">
        <f t="shared" ref="CD66:CD70" si="181">BT66+CC66</f>
        <v>76</v>
      </c>
      <c r="CE66" s="16">
        <f t="shared" ref="CE66:CE70" si="182">AB66*CC$75</f>
        <v>0</v>
      </c>
      <c r="CF66" s="54">
        <f t="shared" ref="CF66:CF70" si="183">AB66*BT$75</f>
        <v>165.34484</v>
      </c>
      <c r="CG66" s="16">
        <f t="shared" si="163"/>
        <v>323.99673999999999</v>
      </c>
      <c r="CH66" s="54">
        <f t="shared" si="164"/>
        <v>249.06793279766254</v>
      </c>
      <c r="CI66" s="54">
        <v>238.34318999999999</v>
      </c>
      <c r="CJ66" s="54">
        <f t="shared" si="95"/>
        <v>-165.06793279766254</v>
      </c>
      <c r="CK66" s="54">
        <f t="shared" si="96"/>
        <v>-154.34318999999999</v>
      </c>
      <c r="CL66" s="54">
        <f t="shared" si="165"/>
        <v>-134.0591</v>
      </c>
      <c r="CM66" s="12">
        <v>-1.26</v>
      </c>
      <c r="CN66" s="16">
        <f t="shared" ref="CN66:CN70" si="184">CD66-CE66</f>
        <v>76</v>
      </c>
      <c r="CO66" s="54">
        <f t="shared" ref="CO66:CO70" si="185">BT66-CF66</f>
        <v>-107.34484</v>
      </c>
      <c r="CP66" s="12">
        <f t="shared" ref="CP66:CP70" si="186">(CN66-CN$71)/CN$72</f>
        <v>-0.44024317694520321</v>
      </c>
      <c r="CQ66" s="12">
        <f t="shared" ref="CQ66:CQ70" si="187">(CO66-CO$71)/CO$72</f>
        <v>-1.0312351822056471</v>
      </c>
      <c r="CR66" s="16">
        <f t="shared" ref="CR66:CR70" si="188">BS66-CG66</f>
        <v>-213.99673999999999</v>
      </c>
      <c r="CS66" s="12">
        <f t="shared" si="137"/>
        <v>-1.1371149235026115</v>
      </c>
      <c r="CT66" s="12">
        <f t="shared" si="166"/>
        <v>-1.1056879493425573</v>
      </c>
      <c r="CU66" s="12">
        <f t="shared" si="139"/>
        <v>-0.94043722660924989</v>
      </c>
      <c r="CV66" s="12">
        <f t="shared" si="167"/>
        <v>-1.2418056886909035</v>
      </c>
      <c r="CW66" s="54">
        <v>21</v>
      </c>
      <c r="CX66" s="54">
        <f t="shared" si="168"/>
        <v>238.348388</v>
      </c>
      <c r="CY66" s="54">
        <f t="shared" si="153"/>
        <v>-154.348388</v>
      </c>
      <c r="CZ66" s="12">
        <f t="shared" si="141"/>
        <v>-1.0769269352408806</v>
      </c>
      <c r="DA66" s="12">
        <f t="shared" si="169"/>
        <v>-2.0308998421052631</v>
      </c>
      <c r="DB66" s="12">
        <f t="shared" si="142"/>
        <v>-0.72992501577084046</v>
      </c>
      <c r="DC66" s="54">
        <v>25</v>
      </c>
      <c r="DD66" s="54">
        <v>34</v>
      </c>
      <c r="DE66" s="54">
        <f t="shared" si="170"/>
        <v>44.182698800000004</v>
      </c>
      <c r="DF66" s="54">
        <v>43</v>
      </c>
      <c r="DG66" s="54">
        <v>46</v>
      </c>
      <c r="DH66" s="54">
        <f t="shared" si="52"/>
        <v>107</v>
      </c>
      <c r="DI66" s="54">
        <f t="shared" si="123"/>
        <v>338.22166799046863</v>
      </c>
      <c r="DJ66" s="16">
        <f t="shared" si="53"/>
        <v>-231.22166799046863</v>
      </c>
      <c r="DK66" s="12">
        <f t="shared" si="124"/>
        <v>-1.1992958477718747</v>
      </c>
      <c r="DL66" s="54">
        <v>5</v>
      </c>
      <c r="DM66" s="54">
        <v>4</v>
      </c>
      <c r="DN66" s="54">
        <v>14</v>
      </c>
      <c r="DO66" s="54">
        <f t="shared" si="54"/>
        <v>23</v>
      </c>
      <c r="DP66" s="54">
        <f t="shared" si="125"/>
        <v>36.418189038919778</v>
      </c>
      <c r="DQ66" s="16">
        <f t="shared" si="55"/>
        <v>-13.418189038919778</v>
      </c>
      <c r="DR66" s="12">
        <f t="shared" si="126"/>
        <v>-0.67327890943691526</v>
      </c>
      <c r="DS66" s="54">
        <f t="shared" ref="DS66:DS70" si="189">DC66+DL66</f>
        <v>30</v>
      </c>
      <c r="DT66" s="54">
        <f t="shared" ref="DT66:DT70" si="190">AB66*DL$74</f>
        <v>0</v>
      </c>
      <c r="DU66" s="54">
        <f t="shared" si="171"/>
        <v>33.086924762600439</v>
      </c>
      <c r="DV66" s="54">
        <f t="shared" ref="DV66:DV70" si="191">DD66-DE66</f>
        <v>-10.182698800000004</v>
      </c>
      <c r="DW66" s="54">
        <f t="shared" ref="DW66:DW70" si="192">DS66-DT66</f>
        <v>30</v>
      </c>
      <c r="DX66" s="54">
        <f t="shared" si="172"/>
        <v>-8.0869247626004395</v>
      </c>
      <c r="DY66" s="12">
        <f t="shared" ref="DY66:DY70" si="193">(DV66-DV$71)/DV$72</f>
        <v>-0.40961639710781683</v>
      </c>
      <c r="DZ66" s="12">
        <f t="shared" ref="DZ66:DZ70" si="194">(DW66-DW$71)/DW$72</f>
        <v>0.26468846517238676</v>
      </c>
      <c r="EA66" s="12">
        <f>(DX66-DX$71)/DX$72</f>
        <v>-0.41264086204212724</v>
      </c>
      <c r="EB66" s="12">
        <f t="shared" ref="EB66:EB70" si="195">(0.75*CS66)+(0.25*DY66)</f>
        <v>-0.95524029190391269</v>
      </c>
      <c r="EC66" s="12">
        <f t="shared" ref="EC66:EC70" si="196">(0.75*CQ66)+(0.25*EA66)</f>
        <v>-0.87658660216476714</v>
      </c>
      <c r="ED66" s="12">
        <f t="shared" si="173"/>
        <v>-0.93242617751744983</v>
      </c>
      <c r="EE66" s="54">
        <v>28</v>
      </c>
      <c r="EF66" s="54">
        <f t="shared" si="174"/>
        <v>-7</v>
      </c>
      <c r="EG66" s="12">
        <v>-0.441</v>
      </c>
      <c r="EH66" s="12">
        <v>-1.0549999999999999</v>
      </c>
      <c r="EI66" s="12">
        <f t="shared" si="175"/>
        <v>-1.0416042665181775</v>
      </c>
      <c r="EJ66" s="16">
        <v>0</v>
      </c>
      <c r="EK66" s="16">
        <v>0</v>
      </c>
      <c r="EL66" s="16">
        <v>173485</v>
      </c>
      <c r="EM66" s="12">
        <f t="shared" si="151"/>
        <v>-1.0677916131881349</v>
      </c>
      <c r="EN66" s="12">
        <f t="shared" ref="EN66:EN70" si="197">(0.75*CP66)+(0.25*DZ66)</f>
        <v>-0.26401026641580572</v>
      </c>
      <c r="EO66" s="16">
        <v>0</v>
      </c>
      <c r="EP66" s="16">
        <v>0</v>
      </c>
      <c r="EQ66" s="16">
        <f t="shared" si="176"/>
        <v>187537.372</v>
      </c>
      <c r="ER66" s="16">
        <v>0</v>
      </c>
      <c r="ES66" s="16">
        <f t="shared" ref="ES66:ES70" si="198">EO66+ER66</f>
        <v>0</v>
      </c>
      <c r="ET66" s="16">
        <f t="shared" ref="ET66:ET70" si="199">AB66*ER$74</f>
        <v>0</v>
      </c>
      <c r="EU66" s="16">
        <f t="shared" si="177"/>
        <v>144446.07742878012</v>
      </c>
      <c r="EV66" s="16">
        <f t="shared" ref="EV66:EV70" si="200">EP66-EQ66</f>
        <v>-187537.372</v>
      </c>
      <c r="EW66" s="16">
        <f t="shared" ref="EW66:EW70" si="201">ES66-ET66</f>
        <v>0</v>
      </c>
      <c r="EX66" s="16">
        <f t="shared" si="154"/>
        <v>-144446.07742878012</v>
      </c>
      <c r="EY66" s="12">
        <f t="shared" ref="EY66:EY70" si="202">(EW66-EW$71)/EW$72</f>
        <v>-0.34982366135262349</v>
      </c>
      <c r="EZ66" s="17">
        <f>(EX66-EX$71)/EX$72</f>
        <v>-0.6651882987829868</v>
      </c>
      <c r="FA66" s="17">
        <f t="shared" ref="FA66:FA70" si="203">(EV66-EV$71)/EV$72</f>
        <v>-0.76784031661043062</v>
      </c>
      <c r="FB66" s="17">
        <f t="shared" si="97"/>
        <v>-0.82553102602366457</v>
      </c>
      <c r="FC66" s="16">
        <v>162975.93</v>
      </c>
      <c r="FD66">
        <f t="shared" si="178"/>
        <v>-173485</v>
      </c>
      <c r="FE66" s="16">
        <f t="shared" si="179"/>
        <v>-162975.93</v>
      </c>
      <c r="FF66" s="12">
        <v>-0.92900000000000005</v>
      </c>
      <c r="FG66" s="12">
        <f t="shared" si="180"/>
        <v>-0.9629511395917858</v>
      </c>
      <c r="FH66" s="12">
        <f t="shared" ref="FH66:FH70" si="204">(0.6*EB66)+(0.4*FA66)</f>
        <v>-0.88028030178651995</v>
      </c>
      <c r="FI66" s="12">
        <f t="shared" ref="FI66:FI70" si="205">(0.6*EC66)+(0.4*EZ66)</f>
        <v>-0.79202728081205498</v>
      </c>
      <c r="FJ66" s="16">
        <v>0</v>
      </c>
      <c r="FK66" s="16">
        <v>4435</v>
      </c>
      <c r="FL66" s="16">
        <f t="shared" si="70"/>
        <v>4435</v>
      </c>
      <c r="FM66" s="16">
        <f t="shared" si="132"/>
        <v>335264.20413026214</v>
      </c>
      <c r="FN66" s="16">
        <f t="shared" si="71"/>
        <v>-330829.20413026214</v>
      </c>
      <c r="FO66" s="12">
        <f t="shared" si="133"/>
        <v>-0.75612856746660861</v>
      </c>
      <c r="FP66" s="12">
        <f t="shared" si="134"/>
        <v>-0.94312639489952432</v>
      </c>
      <c r="FQ66" s="12">
        <f t="shared" ref="FQ66:FQ70" si="206">(0.6*EN66)+(0.4*EY66)</f>
        <v>-0.29833562439053285</v>
      </c>
    </row>
    <row r="67" spans="1:173" x14ac:dyDescent="0.35">
      <c r="A67" s="7" t="s">
        <v>241</v>
      </c>
      <c r="B67" s="7" t="s">
        <v>112</v>
      </c>
      <c r="C67" s="144">
        <f t="shared" si="155"/>
        <v>18</v>
      </c>
      <c r="D67" s="144">
        <v>7</v>
      </c>
      <c r="E67" s="144">
        <v>11</v>
      </c>
      <c r="F67" s="144">
        <v>0</v>
      </c>
      <c r="G67" s="144">
        <v>0</v>
      </c>
      <c r="H67" s="144">
        <v>0</v>
      </c>
      <c r="I67" s="144">
        <v>0</v>
      </c>
      <c r="J67" s="144">
        <v>0</v>
      </c>
      <c r="K67" s="144"/>
      <c r="L67" s="9">
        <v>3.5</v>
      </c>
      <c r="M67" s="149">
        <f t="shared" si="156"/>
        <v>0.19444444444444445</v>
      </c>
      <c r="N67" s="149">
        <f>M67/M73</f>
        <v>3.0481579403883632E-3</v>
      </c>
      <c r="O67" s="9">
        <v>7.5</v>
      </c>
      <c r="P67" s="149">
        <f t="shared" si="157"/>
        <v>0.41666666666666669</v>
      </c>
      <c r="Q67" s="147">
        <f>P67/P73</f>
        <v>2.8214286983069534E-2</v>
      </c>
      <c r="R67" s="149">
        <f t="shared" si="158"/>
        <v>0.25</v>
      </c>
      <c r="S67" s="147">
        <f>R67/R73</f>
        <v>4.851064025659167E-3</v>
      </c>
      <c r="T67" s="147">
        <f t="shared" si="159"/>
        <v>9.3396902010586553E-3</v>
      </c>
      <c r="U67" s="142">
        <v>31200</v>
      </c>
      <c r="V67" s="154">
        <f>U67/C67</f>
        <v>1733.3333333333333</v>
      </c>
      <c r="W67" s="154"/>
      <c r="X67" s="147">
        <f>V67/V73</f>
        <v>2.2258433760974194E-2</v>
      </c>
      <c r="Y67" s="147">
        <f t="shared" si="160"/>
        <v>1.4507187625024872E-2</v>
      </c>
      <c r="Z67" s="147">
        <v>-0.47599999999999998</v>
      </c>
      <c r="AA67" s="149">
        <v>-0.24099999999999999</v>
      </c>
      <c r="AB67" s="145">
        <v>19</v>
      </c>
      <c r="AC67" s="149">
        <v>-0.19447410442196197</v>
      </c>
      <c r="AD67" s="149">
        <f t="shared" si="161"/>
        <v>-0.17922438006935665</v>
      </c>
      <c r="AE67" s="142">
        <v>10</v>
      </c>
      <c r="AF67" s="147"/>
      <c r="AG67" s="147"/>
      <c r="AH67" s="12"/>
      <c r="AI67" s="12"/>
      <c r="AJ67" s="23"/>
      <c r="AK67" s="30"/>
      <c r="AL67" s="23"/>
      <c r="AM67" s="30"/>
      <c r="AN67" s="30"/>
      <c r="AO67" s="30"/>
      <c r="AP67" s="209"/>
      <c r="AQ67" s="142">
        <v>0</v>
      </c>
      <c r="AR67" s="24">
        <v>0</v>
      </c>
      <c r="AS67" s="24"/>
      <c r="AT67" s="24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>
        <v>10</v>
      </c>
      <c r="BM67" s="16">
        <v>10</v>
      </c>
      <c r="BN67" s="16"/>
      <c r="BO67" s="16">
        <v>41</v>
      </c>
      <c r="BP67" s="16">
        <v>9</v>
      </c>
      <c r="BQ67" s="16">
        <v>41.035629999999998</v>
      </c>
      <c r="BR67" s="16">
        <f t="shared" si="162"/>
        <v>-31</v>
      </c>
      <c r="BS67" s="16">
        <v>14</v>
      </c>
      <c r="BT67" s="16">
        <v>6</v>
      </c>
      <c r="BU67" s="211">
        <v>4505.448752251019</v>
      </c>
      <c r="BV67" s="285">
        <f>BY67*CB$4</f>
        <v>14785.16027242967</v>
      </c>
      <c r="BW67" s="16">
        <f>AVERAGE(AQ67,BU67,BV67)</f>
        <v>6430.2030082268966</v>
      </c>
      <c r="BX67" s="285">
        <f>BW67-(BZ67*BW$72)</f>
        <v>7386.7834362604872</v>
      </c>
      <c r="BY67" s="12">
        <f>AE67*BZ67</f>
        <v>0.23397235910496997</v>
      </c>
      <c r="BZ67" s="12">
        <f>FP67/CB3</f>
        <v>2.3397235910496996E-2</v>
      </c>
      <c r="CC67">
        <v>40</v>
      </c>
      <c r="CD67">
        <f t="shared" si="181"/>
        <v>46</v>
      </c>
      <c r="CE67" s="16">
        <f t="shared" si="182"/>
        <v>0</v>
      </c>
      <c r="CF67" s="54">
        <f t="shared" si="183"/>
        <v>41.336210000000001</v>
      </c>
      <c r="CG67" s="16">
        <f t="shared" si="163"/>
        <v>80.999184999999997</v>
      </c>
      <c r="CH67" s="54">
        <f t="shared" si="164"/>
        <v>62.266983199415634</v>
      </c>
      <c r="CI67" s="54">
        <v>59.585799999999999</v>
      </c>
      <c r="CJ67" s="54">
        <f t="shared" si="95"/>
        <v>-53.266983199415634</v>
      </c>
      <c r="CK67" s="54">
        <f t="shared" si="96"/>
        <v>-50.585799999999999</v>
      </c>
      <c r="CL67" s="54">
        <f t="shared" si="165"/>
        <v>-31.035629999999998</v>
      </c>
      <c r="CM67" s="12">
        <v>-0.34899999999999998</v>
      </c>
      <c r="CN67" s="16">
        <f t="shared" si="184"/>
        <v>46</v>
      </c>
      <c r="CO67" s="54">
        <f t="shared" si="185"/>
        <v>-35.336210000000001</v>
      </c>
      <c r="CP67" s="12">
        <f t="shared" si="186"/>
        <v>-0.5910936347801603</v>
      </c>
      <c r="CQ67" s="12">
        <f t="shared" si="187"/>
        <v>-0.36227617911206672</v>
      </c>
      <c r="CR67" s="16">
        <f t="shared" si="188"/>
        <v>-66.999184999999997</v>
      </c>
      <c r="CS67" s="12">
        <f t="shared" si="137"/>
        <v>-0.36129438668073766</v>
      </c>
      <c r="CT67" s="12">
        <f t="shared" si="166"/>
        <v>-0.35680256257658999</v>
      </c>
      <c r="CU67" s="12">
        <f t="shared" si="139"/>
        <v>-0.24749700468134314</v>
      </c>
      <c r="CV67" s="12">
        <f t="shared" si="167"/>
        <v>-0.32143781311686098</v>
      </c>
      <c r="CW67" s="54">
        <v>6</v>
      </c>
      <c r="CX67" s="54">
        <f t="shared" si="168"/>
        <v>59.587097</v>
      </c>
      <c r="CY67" s="54">
        <f t="shared" si="153"/>
        <v>-50.587097</v>
      </c>
      <c r="CZ67" s="12">
        <f t="shared" si="141"/>
        <v>-0.37902120536864847</v>
      </c>
      <c r="DA67" s="12">
        <f t="shared" si="169"/>
        <v>-2.6624787894736843</v>
      </c>
      <c r="DB67" s="12">
        <f t="shared" si="142"/>
        <v>-0.94671495961669982</v>
      </c>
      <c r="DC67" s="54">
        <v>7</v>
      </c>
      <c r="DD67" s="54">
        <v>8</v>
      </c>
      <c r="DE67" s="54">
        <f t="shared" si="170"/>
        <v>11.045674700000001</v>
      </c>
      <c r="DF67" s="54">
        <v>14</v>
      </c>
      <c r="DG67" s="54">
        <v>60.2</v>
      </c>
      <c r="DH67" s="54">
        <f t="shared" si="52"/>
        <v>114.2</v>
      </c>
      <c r="DI67" s="54">
        <f t="shared" ref="DI67:DI70" si="207">AE67*DH$73</f>
        <v>49.017633042096904</v>
      </c>
      <c r="DJ67" s="16">
        <f t="shared" si="53"/>
        <v>65.182366957903099</v>
      </c>
      <c r="DK67" s="14">
        <f t="shared" ref="DK67:DK70" si="208">(DJ67-DI$74)/DI$75</f>
        <v>0.33808657605470721</v>
      </c>
      <c r="DL67" s="54">
        <v>1</v>
      </c>
      <c r="DM67" s="54">
        <v>0</v>
      </c>
      <c r="DN67" s="54">
        <v>9.5</v>
      </c>
      <c r="DO67" s="54">
        <f t="shared" si="54"/>
        <v>10.5</v>
      </c>
      <c r="DP67" s="54">
        <f t="shared" ref="DP67:DP70" si="209">AE67*DO$73</f>
        <v>5.2779984114376486</v>
      </c>
      <c r="DQ67" s="16">
        <f t="shared" si="55"/>
        <v>5.2220015885623514</v>
      </c>
      <c r="DR67" s="14">
        <f t="shared" ref="DR67:DR70" si="210">(DQ67-DP$74)/DP$75</f>
        <v>0.26202220913919555</v>
      </c>
      <c r="DS67" s="54">
        <f t="shared" si="189"/>
        <v>8</v>
      </c>
      <c r="DT67" s="54">
        <f t="shared" si="190"/>
        <v>0</v>
      </c>
      <c r="DU67" s="54">
        <f t="shared" si="171"/>
        <v>8.2717311906501099</v>
      </c>
      <c r="DV67" s="54">
        <f t="shared" si="191"/>
        <v>-3.0456747000000011</v>
      </c>
      <c r="DW67" s="54">
        <f t="shared" si="192"/>
        <v>8</v>
      </c>
      <c r="DX67" s="54">
        <f t="shared" si="172"/>
        <v>-1.2717311906501099</v>
      </c>
      <c r="DY67" s="12">
        <f t="shared" si="193"/>
        <v>-0.188917345113467</v>
      </c>
      <c r="DZ67" s="12">
        <f t="shared" si="194"/>
        <v>-0.47704308932209621</v>
      </c>
      <c r="EA67" s="12">
        <f>(DX67-DX$71)/DX$72</f>
        <v>-6.4890953013760591E-2</v>
      </c>
      <c r="EB67" s="12">
        <f t="shared" si="195"/>
        <v>-0.31820012628891997</v>
      </c>
      <c r="EC67" s="12">
        <f t="shared" si="196"/>
        <v>-0.2879298725874902</v>
      </c>
      <c r="ED67" s="12">
        <f t="shared" si="173"/>
        <v>-0.28382466018588265</v>
      </c>
      <c r="EE67" s="54">
        <v>6</v>
      </c>
      <c r="EF67" s="54">
        <f t="shared" si="174"/>
        <v>0</v>
      </c>
      <c r="EG67" s="12">
        <v>-0.16200000000000001</v>
      </c>
      <c r="EH67" s="12">
        <v>-0.30199999999999999</v>
      </c>
      <c r="EI67" s="12">
        <f t="shared" si="175"/>
        <v>-0.28157835983764573</v>
      </c>
      <c r="EJ67" s="16">
        <v>12800</v>
      </c>
      <c r="EK67" s="16">
        <v>35000</v>
      </c>
      <c r="EL67" s="16">
        <v>42549</v>
      </c>
      <c r="EM67" s="14">
        <f t="shared" si="151"/>
        <v>0.3190704843258293</v>
      </c>
      <c r="EN67" s="12">
        <f t="shared" si="197"/>
        <v>-0.56258099841564424</v>
      </c>
      <c r="EO67" s="16">
        <v>24300</v>
      </c>
      <c r="EP67" s="16">
        <v>24300</v>
      </c>
      <c r="EQ67" s="16">
        <f t="shared" si="176"/>
        <v>46884.343000000001</v>
      </c>
      <c r="ER67" s="16">
        <v>21500</v>
      </c>
      <c r="ES67" s="16">
        <f t="shared" si="198"/>
        <v>45800</v>
      </c>
      <c r="ET67" s="16">
        <f t="shared" si="199"/>
        <v>0</v>
      </c>
      <c r="EU67" s="16">
        <f t="shared" si="177"/>
        <v>36111.519357195029</v>
      </c>
      <c r="EV67" s="16">
        <f t="shared" si="200"/>
        <v>-22584.343000000001</v>
      </c>
      <c r="EW67" s="16">
        <f t="shared" si="201"/>
        <v>45800</v>
      </c>
      <c r="EX67" s="16">
        <f t="shared" si="154"/>
        <v>-11811.519357195029</v>
      </c>
      <c r="EY67" s="12">
        <f t="shared" si="202"/>
        <v>-0.24455784621547433</v>
      </c>
      <c r="EZ67" s="17">
        <f>(EX67-EX$71)/EX$72</f>
        <v>-5.4393200612379143E-2</v>
      </c>
      <c r="FA67" s="17">
        <f t="shared" si="203"/>
        <v>-0.10834279029405769</v>
      </c>
      <c r="FB67" s="17">
        <f t="shared" si="97"/>
        <v>-0.19205207635648125</v>
      </c>
      <c r="FC67" s="16">
        <v>38401.68</v>
      </c>
      <c r="FD67">
        <f t="shared" si="178"/>
        <v>-29749</v>
      </c>
      <c r="FE67" s="16">
        <f t="shared" si="179"/>
        <v>-3401.6800000000003</v>
      </c>
      <c r="FF67" s="12">
        <v>-0.14899999999999999</v>
      </c>
      <c r="FG67" s="12">
        <f t="shared" si="180"/>
        <v>-2.5693410416923055E-2</v>
      </c>
      <c r="FH67" s="12">
        <f t="shared" si="204"/>
        <v>-0.23425719189097507</v>
      </c>
      <c r="FI67" s="12">
        <f t="shared" si="205"/>
        <v>-0.19451520379744577</v>
      </c>
      <c r="FJ67" s="16">
        <v>66000</v>
      </c>
      <c r="FK67" s="16">
        <v>86300</v>
      </c>
      <c r="FL67" s="16">
        <f t="shared" si="70"/>
        <v>173800</v>
      </c>
      <c r="FM67" s="16">
        <f t="shared" si="132"/>
        <v>48589.015091342335</v>
      </c>
      <c r="FN67" s="16">
        <f t="shared" si="71"/>
        <v>125210.98490865767</v>
      </c>
      <c r="FO67" s="14">
        <f t="shared" ref="FO67:FO70" si="211">(FN67-FN$74)/FN$75</f>
        <v>0.28617667808065844</v>
      </c>
      <c r="FP67" s="14">
        <f t="shared" ref="FP67:FP70" si="212">(0.6*EM67)+(0.4*FO67)</f>
        <v>0.30591296182776095</v>
      </c>
      <c r="FQ67" s="12">
        <f t="shared" si="206"/>
        <v>-0.43537173753557629</v>
      </c>
    </row>
    <row r="68" spans="1:173" x14ac:dyDescent="0.35">
      <c r="A68" s="8" t="s">
        <v>241</v>
      </c>
      <c r="B68" s="8" t="s">
        <v>96</v>
      </c>
      <c r="C68" s="144">
        <f t="shared" si="155"/>
        <v>8</v>
      </c>
      <c r="D68" s="144">
        <v>0</v>
      </c>
      <c r="E68" s="144">
        <v>8</v>
      </c>
      <c r="F68" s="144">
        <v>0</v>
      </c>
      <c r="G68" s="144">
        <v>0</v>
      </c>
      <c r="H68" s="144">
        <v>0</v>
      </c>
      <c r="I68" s="144">
        <v>0</v>
      </c>
      <c r="J68" s="144">
        <v>0</v>
      </c>
      <c r="K68" s="144"/>
      <c r="L68" s="9">
        <v>17.5</v>
      </c>
      <c r="M68" s="150">
        <f t="shared" si="156"/>
        <v>2.1875</v>
      </c>
      <c r="N68" s="149">
        <f>M68/M73</f>
        <v>3.429177682936909E-2</v>
      </c>
      <c r="O68" s="9">
        <v>1</v>
      </c>
      <c r="P68" s="149">
        <f t="shared" si="157"/>
        <v>0.125</v>
      </c>
      <c r="Q68" s="147">
        <f>P68/P73</f>
        <v>8.4642860949208591E-3</v>
      </c>
      <c r="R68" s="149">
        <f t="shared" si="158"/>
        <v>1.671875</v>
      </c>
      <c r="S68" s="156">
        <f>R68/R73</f>
        <v>3.2441490671595678E-2</v>
      </c>
      <c r="T68" s="156">
        <f t="shared" si="159"/>
        <v>2.7834904145757032E-2</v>
      </c>
      <c r="U68" s="142"/>
      <c r="V68" s="142">
        <f t="shared" si="107"/>
        <v>0</v>
      </c>
      <c r="W68" s="142"/>
      <c r="X68" s="147">
        <f>V68/V73</f>
        <v>0</v>
      </c>
      <c r="Y68" s="147">
        <f t="shared" si="160"/>
        <v>1.6700942487454219E-2</v>
      </c>
      <c r="Z68" s="147">
        <v>-0.153</v>
      </c>
      <c r="AA68" s="149">
        <v>-3.5999999999999997E-2</v>
      </c>
      <c r="AB68" s="145">
        <v>37</v>
      </c>
      <c r="AC68" s="149">
        <v>-0.47259461110151435</v>
      </c>
      <c r="AD68" s="149">
        <f t="shared" si="161"/>
        <v>-2.9759831352667358E-2</v>
      </c>
      <c r="AE68" s="142">
        <v>12</v>
      </c>
      <c r="AF68" s="147"/>
      <c r="AG68" s="147"/>
      <c r="AH68" s="12"/>
      <c r="AI68" s="12"/>
      <c r="AJ68" s="23"/>
      <c r="AK68" s="30"/>
      <c r="AL68" s="23"/>
      <c r="AM68" s="30"/>
      <c r="AN68" s="30"/>
      <c r="AO68" s="30"/>
      <c r="AP68" s="209"/>
      <c r="AQ68" s="142"/>
      <c r="AR68" s="24"/>
      <c r="AS68" s="24"/>
      <c r="AT68" s="24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>
        <v>33</v>
      </c>
      <c r="BM68" s="16">
        <v>33</v>
      </c>
      <c r="BN68" s="16"/>
      <c r="BO68" s="16">
        <v>18</v>
      </c>
      <c r="BP68" s="16">
        <v>17</v>
      </c>
      <c r="BQ68" s="16">
        <v>18.238060000000001</v>
      </c>
      <c r="BR68" s="16">
        <f t="shared" si="162"/>
        <v>15</v>
      </c>
      <c r="BS68" s="16">
        <v>33</v>
      </c>
      <c r="BT68" s="16">
        <v>15</v>
      </c>
      <c r="BU68" s="16"/>
      <c r="BV68" s="16"/>
      <c r="BW68" s="16"/>
      <c r="BX68" s="16"/>
      <c r="BY68" s="12"/>
      <c r="BZ68" s="12"/>
      <c r="CC68">
        <v>5</v>
      </c>
      <c r="CD68">
        <f t="shared" si="181"/>
        <v>20</v>
      </c>
      <c r="CE68" s="16">
        <f t="shared" si="182"/>
        <v>0</v>
      </c>
      <c r="CF68" s="54">
        <f t="shared" si="183"/>
        <v>80.496830000000003</v>
      </c>
      <c r="CG68" s="16">
        <f t="shared" si="163"/>
        <v>157.735255</v>
      </c>
      <c r="CH68" s="54">
        <f t="shared" si="164"/>
        <v>121.25675675675676</v>
      </c>
      <c r="CI68" s="54">
        <v>116.0355</v>
      </c>
      <c r="CJ68" s="54">
        <f t="shared" si="95"/>
        <v>-104.25675675675676</v>
      </c>
      <c r="CK68" s="54">
        <f t="shared" si="96"/>
        <v>-99.035499999999999</v>
      </c>
      <c r="CL68" s="54">
        <f t="shared" si="165"/>
        <v>14.761939999999999</v>
      </c>
      <c r="CM68" s="12">
        <v>6.2E-2</v>
      </c>
      <c r="CN68" s="16">
        <f t="shared" si="184"/>
        <v>20</v>
      </c>
      <c r="CO68" s="54">
        <f t="shared" si="185"/>
        <v>-65.496830000000003</v>
      </c>
      <c r="CP68" s="12">
        <f t="shared" si="186"/>
        <v>-0.7218306982371232</v>
      </c>
      <c r="CQ68" s="12">
        <f t="shared" si="187"/>
        <v>-0.64246784902557996</v>
      </c>
      <c r="CR68" s="16">
        <f t="shared" si="188"/>
        <v>-124.735255</v>
      </c>
      <c r="CS68" s="12">
        <f t="shared" si="137"/>
        <v>-0.66601257618657861</v>
      </c>
      <c r="CT68" s="12">
        <f t="shared" si="166"/>
        <v>-0.6983515067386642</v>
      </c>
      <c r="CU68" s="12">
        <f t="shared" si="139"/>
        <v>6.0539390516361216E-2</v>
      </c>
      <c r="CV68" s="12">
        <f t="shared" si="167"/>
        <v>8.7698204213496E-2</v>
      </c>
      <c r="CW68" s="54">
        <v>3</v>
      </c>
      <c r="CX68" s="54">
        <f t="shared" si="168"/>
        <v>116.03803099999999</v>
      </c>
      <c r="CY68" s="54">
        <f t="shared" si="153"/>
        <v>-99.038030999999989</v>
      </c>
      <c r="CZ68" s="12">
        <f t="shared" si="141"/>
        <v>-0.70490558990528018</v>
      </c>
      <c r="DA68" s="12">
        <f t="shared" si="169"/>
        <v>-2.6767035405405402</v>
      </c>
      <c r="DB68" s="12">
        <f t="shared" si="142"/>
        <v>-0.95159761600962445</v>
      </c>
      <c r="DC68" s="54">
        <v>10</v>
      </c>
      <c r="DD68" s="54">
        <v>11</v>
      </c>
      <c r="DE68" s="54">
        <f t="shared" si="170"/>
        <v>21.509998100000001</v>
      </c>
      <c r="DF68" s="54">
        <v>11</v>
      </c>
      <c r="DG68" s="54">
        <v>9.6</v>
      </c>
      <c r="DH68" s="54">
        <f t="shared" ref="DH68:DH70" si="213">CC68+DF68+DG68</f>
        <v>25.6</v>
      </c>
      <c r="DI68" s="54">
        <f t="shared" si="207"/>
        <v>58.821159650516279</v>
      </c>
      <c r="DJ68" s="16">
        <f t="shared" ref="DJ68:DJ70" si="214">DH68-DI68</f>
        <v>-33.221159650516277</v>
      </c>
      <c r="DK68" s="12">
        <f t="shared" si="208"/>
        <v>-0.17231083562926761</v>
      </c>
      <c r="DL68" s="54">
        <v>2</v>
      </c>
      <c r="DM68" s="54">
        <v>3</v>
      </c>
      <c r="DN68" s="54">
        <v>0</v>
      </c>
      <c r="DO68" s="54">
        <f t="shared" ref="DO68:DO70" si="215">DL68+DM68+DN68</f>
        <v>5</v>
      </c>
      <c r="DP68" s="54">
        <f t="shared" si="209"/>
        <v>6.333598093725179</v>
      </c>
      <c r="DQ68" s="16">
        <f t="shared" ref="DQ68:DQ70" si="216">DO68-DP68</f>
        <v>-1.333598093725179</v>
      </c>
      <c r="DR68" s="12">
        <f t="shared" si="210"/>
        <v>-6.6915398759557293E-2</v>
      </c>
      <c r="DS68" s="54">
        <f t="shared" si="189"/>
        <v>12</v>
      </c>
      <c r="DT68" s="54">
        <f t="shared" si="190"/>
        <v>0</v>
      </c>
      <c r="DU68" s="54">
        <f t="shared" si="171"/>
        <v>16.108108108108109</v>
      </c>
      <c r="DV68" s="54">
        <f t="shared" si="191"/>
        <v>-10.509998100000001</v>
      </c>
      <c r="DW68" s="54">
        <f t="shared" si="192"/>
        <v>12</v>
      </c>
      <c r="DX68" s="54">
        <f t="shared" si="172"/>
        <v>-6.1081081081081088</v>
      </c>
      <c r="DY68" s="12">
        <f t="shared" si="193"/>
        <v>-0.4197375126058594</v>
      </c>
      <c r="DZ68" s="12">
        <f t="shared" si="194"/>
        <v>-0.34218280668673567</v>
      </c>
      <c r="EA68" s="12">
        <f>(DX68-DX$71)/DX$72</f>
        <v>-0.31167039006379443</v>
      </c>
      <c r="EB68" s="12">
        <f t="shared" si="195"/>
        <v>-0.60444381029139882</v>
      </c>
      <c r="EC68" s="12">
        <f t="shared" si="196"/>
        <v>-0.55976848428513359</v>
      </c>
      <c r="ED68" s="12">
        <f t="shared" si="173"/>
        <v>-0.6016812275699468</v>
      </c>
      <c r="EE68" s="54">
        <v>3</v>
      </c>
      <c r="EF68" s="54">
        <f t="shared" si="174"/>
        <v>0</v>
      </c>
      <c r="EG68" s="12">
        <v>-0.16200000000000001</v>
      </c>
      <c r="EH68" s="12">
        <v>6.0000000000000001E-3</v>
      </c>
      <c r="EI68" s="12">
        <f t="shared" si="175"/>
        <v>2.5273653160121999E-2</v>
      </c>
      <c r="EJ68" s="16">
        <v>0</v>
      </c>
      <c r="EK68" s="16">
        <v>0</v>
      </c>
      <c r="EL68" s="16">
        <v>20531</v>
      </c>
      <c r="EM68" s="12">
        <f t="shared" si="151"/>
        <v>-0.14596197641184003</v>
      </c>
      <c r="EN68" s="12">
        <f t="shared" si="197"/>
        <v>-0.62691872534952642</v>
      </c>
      <c r="EO68" s="16">
        <v>13403</v>
      </c>
      <c r="EP68" s="16">
        <v>13403</v>
      </c>
      <c r="EQ68" s="16">
        <f t="shared" si="176"/>
        <v>91301.089000000007</v>
      </c>
      <c r="ER68" s="16">
        <v>34108</v>
      </c>
      <c r="ES68" s="16">
        <f t="shared" si="198"/>
        <v>47511</v>
      </c>
      <c r="ET68" s="16">
        <f t="shared" si="199"/>
        <v>0</v>
      </c>
      <c r="EU68" s="16">
        <f t="shared" si="177"/>
        <v>70322.432432432426</v>
      </c>
      <c r="EV68" s="16">
        <f t="shared" si="200"/>
        <v>-77898.089000000007</v>
      </c>
      <c r="EW68" s="16">
        <f t="shared" si="201"/>
        <v>47511</v>
      </c>
      <c r="EX68" s="16">
        <f t="shared" si="154"/>
        <v>-56919.432432432426</v>
      </c>
      <c r="EY68" s="12">
        <f t="shared" si="202"/>
        <v>-0.24062531761941183</v>
      </c>
      <c r="EZ68" s="17">
        <f>(EX68-EX$71)/EX$72</f>
        <v>-0.2621195473175173</v>
      </c>
      <c r="FA68" s="17">
        <f t="shared" si="203"/>
        <v>-0.3294922828462204</v>
      </c>
      <c r="FB68" s="17">
        <f t="shared" si="97"/>
        <v>-0.46585655546897498</v>
      </c>
      <c r="FC68" s="16">
        <v>18148.73</v>
      </c>
      <c r="FD68">
        <f t="shared" si="178"/>
        <v>-20531</v>
      </c>
      <c r="FE68" s="16">
        <f t="shared" si="179"/>
        <v>-18148.73</v>
      </c>
      <c r="FF68" s="12">
        <v>-9.9000000000000005E-2</v>
      </c>
      <c r="FG68" s="12">
        <f t="shared" si="180"/>
        <v>-0.11231005812185138</v>
      </c>
      <c r="FH68" s="12">
        <f t="shared" si="204"/>
        <v>-0.49446319931332738</v>
      </c>
      <c r="FI68" s="12">
        <f t="shared" si="205"/>
        <v>-0.44070890949808705</v>
      </c>
      <c r="FJ68" s="16">
        <v>0</v>
      </c>
      <c r="FK68" s="16">
        <v>0</v>
      </c>
      <c r="FL68" s="16">
        <f t="shared" ref="FL68:FL70" si="217">ER68+FJ68+FK68</f>
        <v>34108</v>
      </c>
      <c r="FM68" s="16">
        <f t="shared" si="132"/>
        <v>58306.818109610802</v>
      </c>
      <c r="FN68" s="16">
        <f t="shared" ref="FN68:FN70" si="218">FL68-FM68</f>
        <v>-24198.818109610802</v>
      </c>
      <c r="FO68" s="12">
        <f t="shared" si="211"/>
        <v>-5.5307746242379954E-2</v>
      </c>
      <c r="FP68" s="12">
        <f t="shared" si="212"/>
        <v>-0.109700284344056</v>
      </c>
      <c r="FQ68" s="12">
        <f t="shared" si="206"/>
        <v>-0.47240136225748058</v>
      </c>
    </row>
    <row r="69" spans="1:173" x14ac:dyDescent="0.35">
      <c r="A69" s="8" t="s">
        <v>242</v>
      </c>
      <c r="B69" s="8" t="s">
        <v>22</v>
      </c>
      <c r="C69" s="144">
        <f t="shared" si="155"/>
        <v>48</v>
      </c>
      <c r="D69" s="144">
        <v>48</v>
      </c>
      <c r="E69" s="144">
        <v>0</v>
      </c>
      <c r="F69" s="144">
        <v>0</v>
      </c>
      <c r="G69" s="144">
        <v>0</v>
      </c>
      <c r="H69" s="144">
        <v>0</v>
      </c>
      <c r="I69" s="144">
        <v>0</v>
      </c>
      <c r="J69" s="144">
        <v>0</v>
      </c>
      <c r="K69" s="144"/>
      <c r="L69" s="9">
        <v>14.5</v>
      </c>
      <c r="M69" s="149">
        <f t="shared" si="156"/>
        <v>0.30208333333333331</v>
      </c>
      <c r="N69" s="149">
        <f>M69/M73</f>
        <v>4.7355310859604925E-3</v>
      </c>
      <c r="O69" s="9">
        <v>1</v>
      </c>
      <c r="P69" s="149">
        <f t="shared" si="157"/>
        <v>2.0833333333333332E-2</v>
      </c>
      <c r="Q69" s="147">
        <f>P69/P73</f>
        <v>1.4107143491534765E-3</v>
      </c>
      <c r="R69" s="149">
        <f t="shared" si="158"/>
        <v>0.23177083333333334</v>
      </c>
      <c r="S69" s="147">
        <f>R69/R73</f>
        <v>4.4973406071215196E-3</v>
      </c>
      <c r="T69" s="147">
        <f t="shared" si="159"/>
        <v>3.9043269017587385E-3</v>
      </c>
      <c r="U69" s="142"/>
      <c r="V69" s="142">
        <f t="shared" si="107"/>
        <v>0</v>
      </c>
      <c r="W69" s="142"/>
      <c r="X69" s="147">
        <f>V69/V73</f>
        <v>0</v>
      </c>
      <c r="Y69" s="147">
        <f t="shared" si="160"/>
        <v>2.3425961410552432E-3</v>
      </c>
      <c r="Z69" s="147">
        <v>-0.76100000000000001</v>
      </c>
      <c r="AA69" s="149">
        <v>-0.16</v>
      </c>
      <c r="AB69" s="145">
        <v>53</v>
      </c>
      <c r="AC69" s="149">
        <v>-0.18987269588624933</v>
      </c>
      <c r="AD69" s="149">
        <f t="shared" si="161"/>
        <v>-0.11605252236446478</v>
      </c>
      <c r="AE69" s="142">
        <v>19</v>
      </c>
      <c r="AF69" s="147"/>
      <c r="AG69" s="147"/>
      <c r="AH69" s="12"/>
      <c r="AI69" s="12"/>
      <c r="AJ69" s="23"/>
      <c r="AK69" s="34" t="e">
        <f>SUM(AL69:AM69)</f>
        <v>#DIV/0!</v>
      </c>
      <c r="AL69" s="23"/>
      <c r="AM69" s="34" t="e">
        <f>AX69*BK$26</f>
        <v>#DIV/0!</v>
      </c>
      <c r="AN69" s="30"/>
      <c r="AO69" s="30"/>
      <c r="AP69" s="209"/>
      <c r="AQ69" s="142">
        <v>0</v>
      </c>
      <c r="AR69" s="24">
        <v>0</v>
      </c>
      <c r="AS69" s="24"/>
      <c r="AT69" s="24"/>
      <c r="AU69" s="16"/>
      <c r="AV69" s="16"/>
      <c r="AW69" s="16"/>
      <c r="AX69" s="16" t="e">
        <f>AB69*BD69</f>
        <v>#DIV/0!</v>
      </c>
      <c r="AY69" s="16"/>
      <c r="AZ69" s="16"/>
      <c r="BA69" s="16"/>
      <c r="BB69" s="16"/>
      <c r="BC69" s="16"/>
      <c r="BD69" s="16" t="e">
        <f>FA69/BK$21</f>
        <v>#DIV/0!</v>
      </c>
      <c r="BE69" s="16"/>
      <c r="BF69" s="16"/>
      <c r="BG69" s="16"/>
      <c r="BH69" s="16"/>
      <c r="BI69" s="16"/>
      <c r="BJ69" s="16"/>
      <c r="BK69" s="16"/>
      <c r="BL69" s="16">
        <v>35</v>
      </c>
      <c r="BM69" s="16">
        <v>35</v>
      </c>
      <c r="BN69" s="16"/>
      <c r="BO69" s="16">
        <v>109</v>
      </c>
      <c r="BP69" s="16">
        <v>48</v>
      </c>
      <c r="BQ69" s="16">
        <v>109.42833</v>
      </c>
      <c r="BR69" s="16">
        <f t="shared" si="162"/>
        <v>-74</v>
      </c>
      <c r="BS69" s="16">
        <v>57</v>
      </c>
      <c r="BT69" s="16">
        <v>37</v>
      </c>
      <c r="BU69" s="211">
        <v>22338.260064213639</v>
      </c>
      <c r="BV69" s="285">
        <f>BY69*CB$4</f>
        <v>57715.078253064537</v>
      </c>
      <c r="BW69" s="16">
        <f>AVERAGE(AQ69,BU69,BV69)</f>
        <v>26684.446105759391</v>
      </c>
      <c r="BX69" s="285">
        <f>BW69-(BZ69*BW$72)</f>
        <v>28649.756458986682</v>
      </c>
      <c r="BY69" s="12">
        <f>AE69*BZ69</f>
        <v>0.9133301747143231</v>
      </c>
      <c r="BZ69" s="12">
        <f>FP69/CB3</f>
        <v>4.807000919549069E-2</v>
      </c>
      <c r="CC69">
        <v>15</v>
      </c>
      <c r="CD69">
        <f t="shared" si="181"/>
        <v>52</v>
      </c>
      <c r="CE69" s="16">
        <f t="shared" si="182"/>
        <v>0</v>
      </c>
      <c r="CF69" s="54">
        <f t="shared" si="183"/>
        <v>115.30627000000001</v>
      </c>
      <c r="CG69" s="16">
        <f t="shared" si="163"/>
        <v>225.94509500000001</v>
      </c>
      <c r="CH69" s="54">
        <f t="shared" si="164"/>
        <v>173.69211102994888</v>
      </c>
      <c r="CI69" s="54">
        <v>166.21302</v>
      </c>
      <c r="CJ69" s="54">
        <f t="shared" si="95"/>
        <v>-125.69211102994888</v>
      </c>
      <c r="CK69" s="54">
        <f t="shared" si="96"/>
        <v>-118.21302</v>
      </c>
      <c r="CL69" s="54">
        <f t="shared" si="165"/>
        <v>-74.428330000000003</v>
      </c>
      <c r="CM69" s="12">
        <v>-0.73299999999999998</v>
      </c>
      <c r="CN69" s="16">
        <f t="shared" si="184"/>
        <v>52</v>
      </c>
      <c r="CO69" s="54">
        <f t="shared" si="185"/>
        <v>-78.306270000000012</v>
      </c>
      <c r="CP69" s="12">
        <f t="shared" si="186"/>
        <v>-0.56092354321316895</v>
      </c>
      <c r="CQ69" s="12">
        <f t="shared" si="187"/>
        <v>-0.76146733856713955</v>
      </c>
      <c r="CR69" s="16">
        <f t="shared" si="188"/>
        <v>-168.94509500000001</v>
      </c>
      <c r="CS69" s="12">
        <f t="shared" si="137"/>
        <v>-0.89934231967523159</v>
      </c>
      <c r="CT69" s="12">
        <f t="shared" si="166"/>
        <v>-0.84193368231972676</v>
      </c>
      <c r="CU69" s="12">
        <f t="shared" si="139"/>
        <v>-0.53935814242064739</v>
      </c>
      <c r="CV69" s="12">
        <f t="shared" si="167"/>
        <v>-0.70908974441389228</v>
      </c>
      <c r="CW69" s="54">
        <v>1</v>
      </c>
      <c r="CX69" s="54">
        <f t="shared" si="168"/>
        <v>166.21663899999999</v>
      </c>
      <c r="CY69" s="54">
        <f t="shared" si="153"/>
        <v>-118.21663899999999</v>
      </c>
      <c r="CZ69" s="12">
        <f t="shared" si="141"/>
        <v>-0.83390225412540275</v>
      </c>
      <c r="DA69" s="12">
        <f t="shared" si="169"/>
        <v>-2.230502622641509</v>
      </c>
      <c r="DB69" s="12">
        <f t="shared" si="142"/>
        <v>-0.7984388187787298</v>
      </c>
      <c r="DC69" s="54">
        <v>3</v>
      </c>
      <c r="DD69" s="54">
        <v>3</v>
      </c>
      <c r="DE69" s="54">
        <f t="shared" si="170"/>
        <v>30.811618899999999</v>
      </c>
      <c r="DF69" s="54">
        <v>101</v>
      </c>
      <c r="DG69" s="54">
        <v>78</v>
      </c>
      <c r="DH69" s="54">
        <f t="shared" si="213"/>
        <v>194</v>
      </c>
      <c r="DI69" s="54">
        <f t="shared" si="207"/>
        <v>93.133502779984113</v>
      </c>
      <c r="DJ69" s="16">
        <f t="shared" si="214"/>
        <v>100.86649722001589</v>
      </c>
      <c r="DK69" s="14">
        <f t="shared" si="208"/>
        <v>0.52317229759040118</v>
      </c>
      <c r="DL69" s="54">
        <v>2</v>
      </c>
      <c r="DM69" s="54">
        <v>1</v>
      </c>
      <c r="DN69" s="54">
        <v>8</v>
      </c>
      <c r="DO69" s="54">
        <f t="shared" si="215"/>
        <v>11</v>
      </c>
      <c r="DP69" s="54">
        <f t="shared" si="209"/>
        <v>10.028196981731533</v>
      </c>
      <c r="DQ69" s="16">
        <f t="shared" si="216"/>
        <v>0.97180301826846716</v>
      </c>
      <c r="DR69" s="12">
        <f t="shared" si="210"/>
        <v>4.8761757225919189E-2</v>
      </c>
      <c r="DS69" s="54">
        <f t="shared" si="189"/>
        <v>5</v>
      </c>
      <c r="DT69" s="54">
        <f t="shared" si="190"/>
        <v>0</v>
      </c>
      <c r="DU69" s="54">
        <f t="shared" si="171"/>
        <v>23.073776479181884</v>
      </c>
      <c r="DV69" s="54">
        <f t="shared" si="191"/>
        <v>-27.811618899999999</v>
      </c>
      <c r="DW69" s="54">
        <f t="shared" si="192"/>
        <v>5</v>
      </c>
      <c r="DX69" s="54">
        <f t="shared" si="172"/>
        <v>-20.073776479181884</v>
      </c>
      <c r="DY69" s="12">
        <f t="shared" si="193"/>
        <v>-0.95475760711916258</v>
      </c>
      <c r="DZ69" s="12">
        <f t="shared" si="194"/>
        <v>-0.57818830129861665</v>
      </c>
      <c r="EA69" s="12">
        <f>(DX69-DX$71)/DX$72</f>
        <v>-1.0242781618444312</v>
      </c>
      <c r="EB69" s="12">
        <f t="shared" si="195"/>
        <v>-0.91319614153621442</v>
      </c>
      <c r="EC69" s="12">
        <f t="shared" si="196"/>
        <v>-0.82717004438646247</v>
      </c>
      <c r="ED69" s="12">
        <f t="shared" si="173"/>
        <v>-0.88751980220090276</v>
      </c>
      <c r="EE69" s="54">
        <v>15</v>
      </c>
      <c r="EF69" s="54">
        <f t="shared" si="174"/>
        <v>-14</v>
      </c>
      <c r="EG69" s="12">
        <v>-0.72</v>
      </c>
      <c r="EH69" s="12">
        <v>-0.73</v>
      </c>
      <c r="EI69" s="12">
        <f t="shared" si="175"/>
        <v>-0.71181730831041912</v>
      </c>
      <c r="EJ69" s="16">
        <v>228435</v>
      </c>
      <c r="EK69" s="16">
        <v>228435</v>
      </c>
      <c r="EL69" s="16">
        <v>102725</v>
      </c>
      <c r="EM69" s="14">
        <f t="shared" si="151"/>
        <v>0.40456966249928067</v>
      </c>
      <c r="EN69" s="12">
        <f t="shared" si="197"/>
        <v>-0.56523973273453088</v>
      </c>
      <c r="EO69" s="16">
        <v>286196</v>
      </c>
      <c r="EP69" s="16">
        <v>287724</v>
      </c>
      <c r="EQ69" s="16">
        <f t="shared" si="176"/>
        <v>130782.64100000002</v>
      </c>
      <c r="ER69" s="16">
        <v>87164</v>
      </c>
      <c r="ES69" s="16">
        <f t="shared" si="198"/>
        <v>373360</v>
      </c>
      <c r="ET69" s="16">
        <f t="shared" si="199"/>
        <v>0</v>
      </c>
      <c r="EU69" s="16">
        <f t="shared" si="177"/>
        <v>100732.13294375456</v>
      </c>
      <c r="EV69" s="16">
        <f t="shared" si="200"/>
        <v>156941.359</v>
      </c>
      <c r="EW69" s="16">
        <f t="shared" si="201"/>
        <v>373360</v>
      </c>
      <c r="EX69" s="16">
        <f t="shared" si="154"/>
        <v>185463.86705624545</v>
      </c>
      <c r="EY69" s="12">
        <f t="shared" si="202"/>
        <v>0.50829958623702731</v>
      </c>
      <c r="EZ69" s="17">
        <f>(EX69-EX$71)/EX$72</f>
        <v>0.85407922741055642</v>
      </c>
      <c r="FA69" s="109">
        <f t="shared" si="203"/>
        <v>0.60941763579190589</v>
      </c>
      <c r="FB69" s="17">
        <f t="shared" si="97"/>
        <v>-0.19088019035631903</v>
      </c>
      <c r="FC69" s="16">
        <v>95071.64</v>
      </c>
      <c r="FD69">
        <f t="shared" si="178"/>
        <v>125710</v>
      </c>
      <c r="FE69" s="16">
        <f t="shared" si="179"/>
        <v>133363.35999999999</v>
      </c>
      <c r="FF69" s="12">
        <v>0.69499999999999995</v>
      </c>
      <c r="FG69" s="12">
        <f t="shared" si="180"/>
        <v>0.77759465655446669</v>
      </c>
      <c r="FH69" s="12">
        <f t="shared" si="204"/>
        <v>-0.30415063060496628</v>
      </c>
      <c r="FI69" s="12">
        <f t="shared" si="205"/>
        <v>-0.15467033566765487</v>
      </c>
      <c r="FJ69" s="16">
        <v>159192</v>
      </c>
      <c r="FK69" s="16">
        <v>267919</v>
      </c>
      <c r="FL69" s="16">
        <f t="shared" si="217"/>
        <v>514275</v>
      </c>
      <c r="FM69" s="16">
        <f t="shared" si="132"/>
        <v>92319.12867355044</v>
      </c>
      <c r="FN69" s="16">
        <f t="shared" si="218"/>
        <v>421955.87132644956</v>
      </c>
      <c r="FO69" s="14">
        <f t="shared" si="211"/>
        <v>0.96440363951233177</v>
      </c>
      <c r="FP69" s="14">
        <f t="shared" si="212"/>
        <v>0.62850325330450107</v>
      </c>
      <c r="FQ69" s="12">
        <f t="shared" si="206"/>
        <v>-0.13582400514590759</v>
      </c>
    </row>
    <row r="70" spans="1:173" x14ac:dyDescent="0.35">
      <c r="A70" s="7" t="s">
        <v>242</v>
      </c>
      <c r="B70" s="7" t="s">
        <v>117</v>
      </c>
      <c r="C70" s="144">
        <f t="shared" si="155"/>
        <v>17</v>
      </c>
      <c r="D70" s="144">
        <v>0</v>
      </c>
      <c r="E70" s="144">
        <v>0</v>
      </c>
      <c r="F70" s="144">
        <v>0</v>
      </c>
      <c r="G70" s="144">
        <v>17</v>
      </c>
      <c r="H70" s="144">
        <v>0</v>
      </c>
      <c r="I70" s="144">
        <v>0</v>
      </c>
      <c r="J70" s="144">
        <v>0</v>
      </c>
      <c r="K70" s="144"/>
      <c r="L70" s="9">
        <v>27</v>
      </c>
      <c r="M70" s="150">
        <f t="shared" si="156"/>
        <v>1.588235294117647</v>
      </c>
      <c r="N70" s="149">
        <f>M70/M73</f>
        <v>2.4897558975273015E-2</v>
      </c>
      <c r="O70" s="9">
        <v>1</v>
      </c>
      <c r="P70" s="149">
        <f t="shared" si="157"/>
        <v>5.8823529411764705E-2</v>
      </c>
      <c r="Q70" s="147">
        <f>P70/P73</f>
        <v>3.9831934564333454E-3</v>
      </c>
      <c r="R70" s="149">
        <f t="shared" si="158"/>
        <v>1.2058823529411764</v>
      </c>
      <c r="S70" s="156">
        <f>R70/R73</f>
        <v>2.3399250006120684E-2</v>
      </c>
      <c r="T70" s="156">
        <f t="shared" si="159"/>
        <v>1.9668967595563098E-2</v>
      </c>
      <c r="U70" s="142">
        <v>120147</v>
      </c>
      <c r="V70" s="154">
        <f>U70/C70</f>
        <v>7067.4705882352937</v>
      </c>
      <c r="W70" s="154"/>
      <c r="X70" s="147">
        <f>V70/V73</f>
        <v>9.0756245738001132E-2</v>
      </c>
      <c r="Y70" s="155">
        <f t="shared" si="160"/>
        <v>4.8103878852538313E-2</v>
      </c>
      <c r="Z70" s="155">
        <v>0.30199999999999999</v>
      </c>
      <c r="AA70" s="149">
        <v>0.25700000000000001</v>
      </c>
      <c r="AB70" s="145">
        <v>18</v>
      </c>
      <c r="AC70" s="149">
        <v>8.0661371944512256E-2</v>
      </c>
      <c r="AD70" s="150">
        <f t="shared" si="161"/>
        <v>0.2502300657991906</v>
      </c>
      <c r="AE70" s="142">
        <v>20</v>
      </c>
      <c r="AF70" s="209">
        <v>17877.042176830346</v>
      </c>
      <c r="AG70" s="209">
        <v>0</v>
      </c>
      <c r="AH70" s="12"/>
      <c r="AI70" s="12"/>
      <c r="AJ70" s="34" t="e">
        <f>AV70*BK$16</f>
        <v>#DIV/0!</v>
      </c>
      <c r="AK70" s="34" t="e">
        <f>SUM(AL70:AM70)</f>
        <v>#DIV/0!</v>
      </c>
      <c r="AL70" s="30"/>
      <c r="AM70" s="34" t="e">
        <f>AX70*BK$26</f>
        <v>#DIV/0!</v>
      </c>
      <c r="AN70" s="30">
        <f>AS70*BK$35</f>
        <v>6540.4610602745488</v>
      </c>
      <c r="AO70" s="30">
        <f>AVERAGE(AF70,AR70,AN70)</f>
        <v>11118.674775173355</v>
      </c>
      <c r="AP70" s="209">
        <f>AVERAGE(AF70:AG70)</f>
        <v>8938.5210884151729</v>
      </c>
      <c r="AQ70" s="154">
        <f>AO70-(AO$72*BE70)</f>
        <v>13082.309436500673</v>
      </c>
      <c r="AR70" s="130">
        <f>AP70+(AP$72*BF70)</f>
        <v>8938.5210884151729</v>
      </c>
      <c r="AS70" s="24">
        <f>AB70*BE70</f>
        <v>0.13370792455745822</v>
      </c>
      <c r="AT70" s="24"/>
      <c r="AU70" s="16"/>
      <c r="AV70" s="16" t="e">
        <f>AB70*BB70</f>
        <v>#DIV/0!</v>
      </c>
      <c r="AW70" s="16"/>
      <c r="AX70" s="16" t="e">
        <f>AB70*BD70</f>
        <v>#DIV/0!</v>
      </c>
      <c r="AY70" s="16">
        <f>Y70/AZ2</f>
        <v>7.6379610753474617E-2</v>
      </c>
      <c r="AZ70" s="16"/>
      <c r="BA70" s="16"/>
      <c r="BB70" s="16" t="e">
        <f>FH70/BK$14</f>
        <v>#DIV/0!</v>
      </c>
      <c r="BC70" s="16"/>
      <c r="BD70" s="16" t="e">
        <f>FA70/BK$21</f>
        <v>#DIV/0!</v>
      </c>
      <c r="BE70" s="142">
        <f>FQ70/BK$26</f>
        <v>7.4282180309699014E-3</v>
      </c>
      <c r="BF70" s="16"/>
      <c r="BG70" s="16"/>
      <c r="BH70" s="16"/>
      <c r="BI70" s="16"/>
      <c r="BJ70" s="16"/>
      <c r="BK70" s="16"/>
      <c r="BL70" s="16">
        <v>66</v>
      </c>
      <c r="BM70" s="16">
        <v>66</v>
      </c>
      <c r="BN70" s="16"/>
      <c r="BO70" s="16">
        <v>38</v>
      </c>
      <c r="BP70" s="16">
        <v>108</v>
      </c>
      <c r="BQ70" s="16">
        <v>38.755870000000002</v>
      </c>
      <c r="BR70" s="16">
        <f t="shared" si="162"/>
        <v>28</v>
      </c>
      <c r="BS70" s="16">
        <v>125</v>
      </c>
      <c r="BT70" s="16">
        <v>89</v>
      </c>
      <c r="BU70" s="211">
        <v>45625.015345888867</v>
      </c>
      <c r="BV70" s="285">
        <f>BY70*CB$4</f>
        <v>47628.286123934857</v>
      </c>
      <c r="BW70" s="16">
        <f>AVERAGE(AQ70,BU70,BV70)</f>
        <v>35445.203635441467</v>
      </c>
      <c r="BX70" s="285">
        <f>BW70-(BZ70*BW$72)</f>
        <v>36985.94737739121</v>
      </c>
      <c r="BY70" s="12">
        <f>AE70*BZ70</f>
        <v>0.75370860100336823</v>
      </c>
      <c r="BZ70" s="12">
        <f>FP70/CB3</f>
        <v>3.768543005016841E-2</v>
      </c>
      <c r="CC70">
        <v>159</v>
      </c>
      <c r="CD70">
        <f t="shared" si="181"/>
        <v>248</v>
      </c>
      <c r="CE70" s="16">
        <f t="shared" si="182"/>
        <v>0</v>
      </c>
      <c r="CF70" s="54">
        <f t="shared" si="183"/>
        <v>39.160620000000002</v>
      </c>
      <c r="CG70" s="16">
        <f t="shared" si="163"/>
        <v>76.736069999999998</v>
      </c>
      <c r="CH70" s="54">
        <f t="shared" si="164"/>
        <v>58.989773557341124</v>
      </c>
      <c r="CI70" s="54">
        <v>56.4497</v>
      </c>
      <c r="CJ70" s="54">
        <f t="shared" si="95"/>
        <v>49.010226442658876</v>
      </c>
      <c r="CK70" s="54">
        <f t="shared" si="96"/>
        <v>51.5503</v>
      </c>
      <c r="CL70" s="54">
        <f t="shared" si="165"/>
        <v>27.244129999999998</v>
      </c>
      <c r="CM70" s="12">
        <v>0.17899999999999999</v>
      </c>
      <c r="CN70" s="16">
        <f t="shared" si="184"/>
        <v>248</v>
      </c>
      <c r="CO70" s="54">
        <f t="shared" si="185"/>
        <v>49.839379999999998</v>
      </c>
      <c r="CP70" s="14">
        <f t="shared" si="186"/>
        <v>0.42463278130855098</v>
      </c>
      <c r="CQ70" s="14">
        <f t="shared" si="187"/>
        <v>0.4290036685160234</v>
      </c>
      <c r="CR70" s="16">
        <f t="shared" si="188"/>
        <v>48.263930000000002</v>
      </c>
      <c r="CS70" s="14">
        <f t="shared" si="137"/>
        <v>0.24703880467786266</v>
      </c>
      <c r="CT70" s="14">
        <f t="shared" si="166"/>
        <v>0.32828918284584729</v>
      </c>
      <c r="CU70" s="14">
        <f t="shared" si="139"/>
        <v>0.14449512903639261</v>
      </c>
      <c r="CV70" s="12">
        <f t="shared" si="167"/>
        <v>0.19920878226732738</v>
      </c>
      <c r="CW70" s="54">
        <v>4</v>
      </c>
      <c r="CX70" s="54">
        <f t="shared" si="168"/>
        <v>56.450933999999997</v>
      </c>
      <c r="CY70" s="54">
        <f t="shared" si="153"/>
        <v>51.549066000000003</v>
      </c>
      <c r="CZ70" s="14">
        <f t="shared" si="141"/>
        <v>0.30795379945144657</v>
      </c>
      <c r="DA70" s="12">
        <f t="shared" si="169"/>
        <v>2.8638370000000002</v>
      </c>
      <c r="DB70" s="14">
        <f t="shared" si="142"/>
        <v>0.95019704903457003</v>
      </c>
      <c r="DC70" s="54">
        <v>4</v>
      </c>
      <c r="DD70" s="54">
        <v>4</v>
      </c>
      <c r="DE70" s="54">
        <f t="shared" si="170"/>
        <v>10.4643234</v>
      </c>
      <c r="DF70" s="54">
        <v>52</v>
      </c>
      <c r="DG70" s="54">
        <v>70.400000000000006</v>
      </c>
      <c r="DH70" s="54">
        <f t="shared" si="213"/>
        <v>281.39999999999998</v>
      </c>
      <c r="DI70" s="54">
        <f t="shared" si="207"/>
        <v>98.035266084193808</v>
      </c>
      <c r="DJ70" s="16">
        <f t="shared" si="214"/>
        <v>183.36473391580617</v>
      </c>
      <c r="DK70" s="14">
        <f t="shared" si="208"/>
        <v>0.95107247484299795</v>
      </c>
      <c r="DL70" s="54">
        <v>0</v>
      </c>
      <c r="DM70" s="54">
        <v>0</v>
      </c>
      <c r="DN70" s="54">
        <v>8.5</v>
      </c>
      <c r="DO70" s="54">
        <f t="shared" si="215"/>
        <v>8.5</v>
      </c>
      <c r="DP70" s="54">
        <f t="shared" si="209"/>
        <v>10.555996822875297</v>
      </c>
      <c r="DQ70" s="16">
        <f t="shared" si="216"/>
        <v>-2.0559968228752972</v>
      </c>
      <c r="DR70" s="12">
        <f t="shared" si="210"/>
        <v>-0.10316290035087193</v>
      </c>
      <c r="DS70" s="54">
        <f t="shared" si="189"/>
        <v>4</v>
      </c>
      <c r="DT70" s="54">
        <f t="shared" si="190"/>
        <v>0</v>
      </c>
      <c r="DU70" s="54">
        <f t="shared" si="171"/>
        <v>7.836376917457998</v>
      </c>
      <c r="DV70" s="54">
        <f t="shared" si="191"/>
        <v>-6.4643233999999996</v>
      </c>
      <c r="DW70" s="54">
        <f t="shared" si="192"/>
        <v>4</v>
      </c>
      <c r="DX70" s="54">
        <f t="shared" si="172"/>
        <v>-3.836376917457998</v>
      </c>
      <c r="DY70" s="12">
        <f t="shared" si="193"/>
        <v>-0.29463262876953811</v>
      </c>
      <c r="DZ70" s="12">
        <f t="shared" si="194"/>
        <v>-0.6119033719574567</v>
      </c>
      <c r="EA70" s="12">
        <f>(DX70-DX$71)/DX$72</f>
        <v>-0.19575375372100548</v>
      </c>
      <c r="EB70" s="12">
        <f t="shared" si="195"/>
        <v>0.11162094631601246</v>
      </c>
      <c r="EC70" s="14">
        <f t="shared" si="196"/>
        <v>0.27281431295676617</v>
      </c>
      <c r="ED70" s="14">
        <f t="shared" si="173"/>
        <v>0.19727844870413411</v>
      </c>
      <c r="EE70" s="54">
        <v>5</v>
      </c>
      <c r="EF70" s="54">
        <f t="shared" si="174"/>
        <v>-1</v>
      </c>
      <c r="EG70" s="12">
        <v>-0.20200000000000001</v>
      </c>
      <c r="EH70" s="12">
        <v>8.3000000000000004E-2</v>
      </c>
      <c r="EI70" s="12">
        <f t="shared" si="175"/>
        <v>9.8906586700495527E-2</v>
      </c>
      <c r="EJ70" s="16">
        <v>133444</v>
      </c>
      <c r="EK70" s="16">
        <v>118647.44</v>
      </c>
      <c r="EL70" s="16">
        <v>40418</v>
      </c>
      <c r="EM70" s="14">
        <f t="shared" si="151"/>
        <v>0.68751363104453056</v>
      </c>
      <c r="EN70" s="14">
        <f t="shared" si="197"/>
        <v>0.16549874299204903</v>
      </c>
      <c r="EO70" s="16">
        <v>11768</v>
      </c>
      <c r="EP70" s="16">
        <v>130416</v>
      </c>
      <c r="EQ70" s="16">
        <f t="shared" si="176"/>
        <v>44416.746000000006</v>
      </c>
      <c r="ER70" s="16">
        <v>140850</v>
      </c>
      <c r="ES70" s="16">
        <f t="shared" si="198"/>
        <v>152618</v>
      </c>
      <c r="ET70" s="16">
        <f t="shared" si="199"/>
        <v>0</v>
      </c>
      <c r="EU70" s="16">
        <f t="shared" si="177"/>
        <v>34210.913075237397</v>
      </c>
      <c r="EV70" s="16">
        <f t="shared" si="200"/>
        <v>85999.253999999986</v>
      </c>
      <c r="EW70" s="16">
        <f t="shared" si="201"/>
        <v>152618</v>
      </c>
      <c r="EX70" s="16">
        <f t="shared" si="154"/>
        <v>-22442.913075237397</v>
      </c>
      <c r="EY70" s="12">
        <f t="shared" si="202"/>
        <v>9.5053459937278269E-4</v>
      </c>
      <c r="EZ70" s="17">
        <f>(EX70-EX$71)/EX$72</f>
        <v>-0.10335180735947866</v>
      </c>
      <c r="FA70" s="109">
        <f t="shared" si="203"/>
        <v>0.32578451281859944</v>
      </c>
      <c r="FB70" s="17">
        <f t="shared" si="97"/>
        <v>7.7026346278688984E-2</v>
      </c>
      <c r="FC70" s="16">
        <v>36425.629999999997</v>
      </c>
      <c r="FD70">
        <f t="shared" si="178"/>
        <v>93026</v>
      </c>
      <c r="FE70" s="16">
        <f t="shared" si="179"/>
        <v>82221.81</v>
      </c>
      <c r="FF70" s="12">
        <v>0.51700000000000002</v>
      </c>
      <c r="FG70" s="12">
        <f t="shared" si="180"/>
        <v>0.47721528444723316</v>
      </c>
      <c r="FH70" s="14">
        <f t="shared" si="204"/>
        <v>0.19728637291704726</v>
      </c>
      <c r="FI70" s="12">
        <f t="shared" si="205"/>
        <v>0.12234786483026824</v>
      </c>
      <c r="FJ70" s="16">
        <v>23166</v>
      </c>
      <c r="FK70" s="16">
        <v>20908</v>
      </c>
      <c r="FL70" s="16">
        <f t="shared" si="217"/>
        <v>184924</v>
      </c>
      <c r="FM70" s="16">
        <f t="shared" si="132"/>
        <v>97178.03018268467</v>
      </c>
      <c r="FN70" s="16">
        <f t="shared" si="218"/>
        <v>87745.96981731533</v>
      </c>
      <c r="FO70" s="14">
        <f t="shared" si="211"/>
        <v>0.20054829994032528</v>
      </c>
      <c r="FP70" s="14">
        <f t="shared" si="212"/>
        <v>0.49272749860284848</v>
      </c>
      <c r="FQ70" s="14">
        <f t="shared" si="206"/>
        <v>9.9679459634978526E-2</v>
      </c>
    </row>
    <row r="71" spans="1:173" x14ac:dyDescent="0.35">
      <c r="C71" s="1">
        <f t="shared" ref="C71:J71" si="219">SUM(C3:C70)</f>
        <v>2697</v>
      </c>
      <c r="D71" s="1">
        <f t="shared" si="219"/>
        <v>665</v>
      </c>
      <c r="E71" s="1">
        <f t="shared" si="219"/>
        <v>526</v>
      </c>
      <c r="F71" s="1">
        <f t="shared" si="219"/>
        <v>286</v>
      </c>
      <c r="G71" s="1">
        <f t="shared" si="219"/>
        <v>1022</v>
      </c>
      <c r="H71" s="1">
        <f t="shared" si="219"/>
        <v>139</v>
      </c>
      <c r="I71" s="1">
        <f t="shared" si="219"/>
        <v>0</v>
      </c>
      <c r="J71" s="1">
        <f t="shared" si="219"/>
        <v>59</v>
      </c>
      <c r="K71" s="1"/>
      <c r="L71" s="1">
        <f>SUM(L3:L70)</f>
        <v>2362.5</v>
      </c>
      <c r="M71" s="23">
        <f t="shared" si="156"/>
        <v>0.87597330367074522</v>
      </c>
      <c r="N71" s="23">
        <f>SUM(N3:N70)</f>
        <v>1.0000000000000002</v>
      </c>
      <c r="O71" s="1">
        <f>SUM(O3:O70)</f>
        <v>648.5</v>
      </c>
      <c r="P71" s="23">
        <f t="shared" si="157"/>
        <v>0.24045235446792732</v>
      </c>
      <c r="Q71" s="23">
        <f>SUM(Q3:Q70)</f>
        <v>0.99999999999999944</v>
      </c>
      <c r="R71" s="23">
        <f t="shared" si="158"/>
        <v>0.71709306637004078</v>
      </c>
      <c r="S71" s="26">
        <f>SUM(S3:S70)</f>
        <v>0.99999999999999944</v>
      </c>
      <c r="T71" s="26">
        <f>SUM(T3:T70)</f>
        <v>1</v>
      </c>
      <c r="U71" s="24">
        <f>SUM(U3:U70)</f>
        <v>3261352</v>
      </c>
      <c r="V71" s="24">
        <f>U71/C71</f>
        <v>1209.2517612161662</v>
      </c>
      <c r="W71" s="24"/>
      <c r="X71" s="26">
        <f>SUM(X3:X70)</f>
        <v>1.0000000000000004</v>
      </c>
      <c r="Y71" s="26">
        <f>SUM(Y3:Y70)</f>
        <v>1.0000000000000007</v>
      </c>
      <c r="Z71" s="26"/>
      <c r="AB71" s="74">
        <f>SUM(AB3:AB12,AB13,AB14:AB23,AB24,AB25:AB70)</f>
        <v>2738</v>
      </c>
      <c r="AE71" s="24">
        <f t="shared" ref="AE71:AM71" si="220">SUM(AE3:AE70)</f>
        <v>2518</v>
      </c>
      <c r="AF71" s="30">
        <f t="shared" si="220"/>
        <v>2923508.2749242471</v>
      </c>
      <c r="AG71" s="30">
        <f t="shared" si="220"/>
        <v>3150486.5702092433</v>
      </c>
      <c r="AH71" s="23">
        <f t="shared" si="220"/>
        <v>49.448978138574383</v>
      </c>
      <c r="AI71" s="30" t="e">
        <f t="shared" si="220"/>
        <v>#DIV/0!</v>
      </c>
      <c r="AJ71" s="30" t="e">
        <f t="shared" si="220"/>
        <v>#DIV/0!</v>
      </c>
      <c r="AK71" s="30" t="e">
        <f t="shared" si="220"/>
        <v>#DIV/0!</v>
      </c>
      <c r="AL71" s="30" t="e">
        <f t="shared" si="220"/>
        <v>#DIV/0!</v>
      </c>
      <c r="AM71" s="30" t="e">
        <f t="shared" si="220"/>
        <v>#DIV/0!</v>
      </c>
      <c r="AN71" s="30">
        <f t="shared" ref="AN71:AT71" si="221">SUM(AN3:AN70)</f>
        <v>3433519.4389791247</v>
      </c>
      <c r="AO71" s="30">
        <f t="shared" si="221"/>
        <v>3169171.4280375387</v>
      </c>
      <c r="AP71" s="30">
        <f t="shared" si="221"/>
        <v>3036997.4225667454</v>
      </c>
      <c r="AQ71" s="24">
        <f t="shared" si="221"/>
        <v>3443649.68742389</v>
      </c>
      <c r="AR71" s="24">
        <f t="shared" si="221"/>
        <v>3150486.5702092443</v>
      </c>
      <c r="AS71" s="24">
        <f t="shared" si="221"/>
        <v>70.192109376202907</v>
      </c>
      <c r="AT71" s="24">
        <f t="shared" si="221"/>
        <v>55.842145004336203</v>
      </c>
      <c r="AU71" s="24" t="e">
        <f>SUM(AU3:AU70)</f>
        <v>#DIV/0!</v>
      </c>
      <c r="AV71" s="24" t="e">
        <f>SUM(AV3:AV70)</f>
        <v>#DIV/0!</v>
      </c>
      <c r="AW71" s="24" t="e">
        <f>SUM(AW3:AW70)</f>
        <v>#DIV/0!</v>
      </c>
      <c r="AX71" s="24" t="e">
        <f>SUM(AX3:AX70)</f>
        <v>#DIV/0!</v>
      </c>
      <c r="AY71" s="24">
        <f>SUM(AY4:AY70)</f>
        <v>6584006.0855679791</v>
      </c>
      <c r="AZ71" s="16"/>
      <c r="BA71" s="16">
        <f>SUM(BA4:BA70)</f>
        <v>0.94887132379121275</v>
      </c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24">
        <f>SUM(BL3:BL70)</f>
        <v>6475</v>
      </c>
      <c r="BM71" s="24">
        <f>SUM(BM3:BM70)</f>
        <v>6465</v>
      </c>
      <c r="BN71" s="24"/>
      <c r="BO71" s="16"/>
      <c r="BP71" s="24">
        <f>SUM(BP3:BP12,BP13,BP14:BP23,BP24,BP25:BP70)</f>
        <v>8973</v>
      </c>
      <c r="BQ71" s="16"/>
      <c r="BR71" s="16"/>
      <c r="BS71" s="24">
        <f t="shared" ref="BS71:BZ71" si="222">SUM(BS3:BS70)</f>
        <v>11770</v>
      </c>
      <c r="BT71" s="24">
        <f t="shared" si="222"/>
        <v>6202</v>
      </c>
      <c r="BU71" s="24">
        <f t="shared" si="222"/>
        <v>3083975.9999999995</v>
      </c>
      <c r="BV71" s="24">
        <f t="shared" si="222"/>
        <v>3323143.9999999995</v>
      </c>
      <c r="BW71" s="24">
        <f t="shared" si="222"/>
        <v>3282259.665128442</v>
      </c>
      <c r="BX71" s="24">
        <f t="shared" si="222"/>
        <v>3323143.9999999986</v>
      </c>
      <c r="BY71" s="23">
        <f t="shared" si="222"/>
        <v>52.58812397018098</v>
      </c>
      <c r="BZ71" s="23">
        <f t="shared" si="222"/>
        <v>1</v>
      </c>
      <c r="CA71" s="24"/>
      <c r="CB71" s="24"/>
      <c r="CC71" s="24">
        <f>SUM(CC3:CC70)</f>
        <v>4756</v>
      </c>
      <c r="CD71" s="24">
        <f>SUM(CD3:CD70)</f>
        <v>10958</v>
      </c>
      <c r="CE71" s="24"/>
      <c r="CF71" s="24"/>
      <c r="CG71" s="1"/>
      <c r="CJ71" s="12">
        <f>AVERAGE(CJ3:CJ12,CJ13,CJ14:CJ23,CJ24,CJ25:CJ70)</f>
        <v>4.0299438744602695E-15</v>
      </c>
      <c r="CK71" s="12">
        <f>AVERAGE(CK25:CK70,CK3:CK12,CK13,CK14:CK23,CK24)</f>
        <v>5.7611952238805975</v>
      </c>
      <c r="CN71" s="12">
        <f>AVERAGE(CN3:CN12,CN13,CN14:CN23,CN24,CN25:CN70)</f>
        <v>163.55223880597015</v>
      </c>
      <c r="CO71" s="12">
        <f>AVERAGE(CO3:CO12,CO13,CO14:CO23,CO24,CO25:CO70)</f>
        <v>3.6602176119402912</v>
      </c>
      <c r="CP71" s="12"/>
      <c r="CQ71" s="12"/>
      <c r="CR71" s="12">
        <f>AVERAGE(CR3:CR12,CR13,CR14:CR23,CR24,CR25:CR70)</f>
        <v>1.4565840298507391</v>
      </c>
      <c r="CS71" s="12"/>
      <c r="CW71" s="74">
        <f>SUM(CW3:CW70)</f>
        <v>1133</v>
      </c>
      <c r="CX71" s="74"/>
      <c r="CY71" s="12">
        <f>AVERAGE(CY3:CY12,CY13,CY14:CY23,CY24,CY25:CY70)</f>
        <v>5.7639657611940445</v>
      </c>
      <c r="CZ71" s="74"/>
      <c r="DA71" s="12">
        <f>AVERAGE(DA3:DA12,DA13,DA14:DA23,DA24,DA25:DA70)</f>
        <v>9.5606881131892946E-2</v>
      </c>
      <c r="DB71" s="12">
        <f t="shared" si="142"/>
        <v>0</v>
      </c>
      <c r="DC71" s="74">
        <f>SUM(DC3:DC12,DC13,DC14:DC23,DC24,DC25:DC70)</f>
        <v>1192</v>
      </c>
      <c r="DD71" s="74">
        <f>SUM(DD3:DD70)</f>
        <v>1797</v>
      </c>
      <c r="DE71" s="74"/>
      <c r="DF71" s="24">
        <f>SUM(DF3:DF70)</f>
        <v>3545</v>
      </c>
      <c r="DG71" s="24">
        <f>SUM(DG3:DG70)</f>
        <v>4041.6399999999994</v>
      </c>
      <c r="DH71" s="24">
        <f>SUM(DH3:DH70)</f>
        <v>12342.64</v>
      </c>
      <c r="DI71" s="24"/>
      <c r="DJ71" s="74"/>
      <c r="DK71" s="74"/>
      <c r="DL71" s="74">
        <f>SUM(DL3:DL70)</f>
        <v>292</v>
      </c>
      <c r="DM71" s="74">
        <f>SUM(DM3:DM70)</f>
        <v>440</v>
      </c>
      <c r="DN71" s="74">
        <f>SUM(DN3:DN70)</f>
        <v>597</v>
      </c>
      <c r="DO71" s="74">
        <f>SUM(DO3:DO70)</f>
        <v>1329</v>
      </c>
      <c r="DP71" s="74"/>
      <c r="DQ71" s="74"/>
      <c r="DR71" s="74"/>
      <c r="DS71" s="74">
        <f>SUM(DS3:DS70)</f>
        <v>1484</v>
      </c>
      <c r="DT71" s="74"/>
      <c r="DU71" s="74"/>
      <c r="DV71" s="23">
        <f>AVERAGE(DV3:DV12,DV13,DV14:DV23,DV24,DV25:DV70)</f>
        <v>3.0635841880596999</v>
      </c>
      <c r="DW71" s="23">
        <f>AVERAGE(DW3:DW12,DW13,DW14:DW23,DW24,DW25:DW70)</f>
        <v>22.149253731343283</v>
      </c>
      <c r="DX71" s="23">
        <f>AVERAGE(DX3:DX12,DX13,DX14:DX23,DX24,DX25:DX70)</f>
        <v>-1.1930754891494219E-16</v>
      </c>
      <c r="DY71" s="23"/>
      <c r="DZ71" s="23"/>
      <c r="EA71" s="74"/>
      <c r="EB71" s="74"/>
      <c r="EC71" s="74"/>
      <c r="ED71" s="74"/>
      <c r="EJ71" s="24">
        <f>SUM(EJ3:EJ70)</f>
        <v>5635669</v>
      </c>
      <c r="EK71" s="24">
        <f>SUM(EK3:EK70)</f>
        <v>5354514.08</v>
      </c>
      <c r="EO71" s="24">
        <f>SUM(EO25:EO70,EO24,EO14:EO23,EO13,EO3:EO12)</f>
        <v>5203860</v>
      </c>
      <c r="EP71" s="24">
        <f>SUM(EP3:EP70)</f>
        <v>7058737</v>
      </c>
      <c r="EQ71" s="24"/>
      <c r="ER71" s="24">
        <f>SUM(ER3:ER70)</f>
        <v>4993837</v>
      </c>
      <c r="ES71" s="24">
        <f>SUM(ES3:ES70)</f>
        <v>10197697</v>
      </c>
      <c r="ET71" s="24"/>
      <c r="EU71" s="24"/>
      <c r="EV71" s="24">
        <f>AVERAGE(EV25:EV70,EV24,EV14:EV23,EV13,EV3:EV12)</f>
        <v>4514.2748358208855</v>
      </c>
      <c r="EW71" s="24">
        <f>AVERAGE(EW25:EW70,EW24,EW14:EW23,EW13,EW3:EW12)</f>
        <v>152204.43283582089</v>
      </c>
      <c r="EX71" s="24">
        <f>AVERAGE(EX25:EX70,EX24,EX14:EX23,EX13,EX3:EX12)</f>
        <v>1.2162794817739458E-11</v>
      </c>
      <c r="EY71" s="24"/>
      <c r="EZ71" s="24"/>
      <c r="FA71" s="24"/>
      <c r="FB71" s="24"/>
      <c r="FJ71" s="24">
        <f>SUM(FJ3:FJ70)</f>
        <v>3699063</v>
      </c>
      <c r="FK71" s="24">
        <f>SUM(FK3:FK70)</f>
        <v>3541814</v>
      </c>
      <c r="FL71" s="24">
        <f>SUM(FL3:FL70)</f>
        <v>12234714</v>
      </c>
    </row>
    <row r="72" spans="1:173" x14ac:dyDescent="0.35">
      <c r="C72" s="1">
        <v>756</v>
      </c>
      <c r="M72" s="19" t="s">
        <v>444</v>
      </c>
      <c r="P72" s="19" t="s">
        <v>444</v>
      </c>
      <c r="R72" s="19" t="s">
        <v>444</v>
      </c>
      <c r="V72" s="19" t="s">
        <v>444</v>
      </c>
      <c r="W72" s="19"/>
      <c r="AO72" s="18">
        <f>AO71-AN71</f>
        <v>-264348.01094158599</v>
      </c>
      <c r="AP72" s="18">
        <f>AG71-AP71</f>
        <v>113489.1476424979</v>
      </c>
      <c r="AQ72" s="18"/>
      <c r="AR72" s="30"/>
      <c r="AS72" s="30"/>
      <c r="BM72" s="75">
        <f>(BM71/BL71)*100</f>
        <v>99.845559845559848</v>
      </c>
      <c r="BP72">
        <f>BP71/AB71</f>
        <v>3.2772096420745069</v>
      </c>
      <c r="BR72" s="1" t="s">
        <v>466</v>
      </c>
      <c r="BS72" s="1"/>
      <c r="BT72" s="1"/>
      <c r="BU72" s="1"/>
      <c r="BV72" s="1"/>
      <c r="BW72" s="24">
        <f>BW71-BV71</f>
        <v>-40884.334871557541</v>
      </c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49">
        <f>STDEV(CJ3:CJ12,CJ13,CJ14:CJ23,CJ24,CJ25:CJ70)</f>
        <v>149.28979998001427</v>
      </c>
      <c r="CK72" s="149">
        <f>STDEV(CK3:CK12,CK13,CK14:CK23,CK24,CK25:CK70)</f>
        <v>148.67584062787819</v>
      </c>
      <c r="CL72" s="54">
        <f>AVERAGE(CL3:CL13,CL14:CL15,CL16:CL23,CL24:CL64,CL65:CL70)</f>
        <v>4.9452421874999981</v>
      </c>
      <c r="CN72" s="149">
        <f>STDEV(CN3:CN12,CN13,CN14:CN23,CN24,CN25:CN70)</f>
        <v>198.87244911661111</v>
      </c>
      <c r="CO72" s="149">
        <f>STDEV(CO3:CO12,CO13,CO14:CO23,CO24,CO25:CO70)</f>
        <v>107.64281468221269</v>
      </c>
      <c r="CP72" s="149"/>
      <c r="CQ72" s="149" t="s">
        <v>445</v>
      </c>
      <c r="CR72" s="149">
        <f>STDEV(CR3:CR12,CR13,CR14:CR23,CR24,CR25:CR70)</f>
        <v>189.47365791858411</v>
      </c>
      <c r="CS72" s="149"/>
      <c r="CW72" s="74">
        <f>BL71+CW71</f>
        <v>7608</v>
      </c>
      <c r="CX72" s="74"/>
      <c r="CY72" s="149">
        <f>STDEV(CY3:CY12,CY13,CY14:CY23,CY24,CY25:CY70)</f>
        <v>148.67522440171956</v>
      </c>
      <c r="CZ72" s="74"/>
      <c r="DA72" s="149">
        <f>STDEV(DA3:DA12,DA13,DA14:DA23,DA24,DA25:DA70)</f>
        <v>2.9133221595254541</v>
      </c>
      <c r="DB72" s="12">
        <f t="shared" si="142"/>
        <v>0.96718286687955368</v>
      </c>
      <c r="DC72" s="107">
        <f>DC71/AB71</f>
        <v>0.43535427319211101</v>
      </c>
      <c r="DD72" s="107">
        <f>DD71/AB71</f>
        <v>0.65631848064280496</v>
      </c>
      <c r="DE72" s="107"/>
      <c r="DF72" s="108"/>
      <c r="DG72" s="108"/>
      <c r="DH72" s="108"/>
      <c r="DI72" s="108"/>
      <c r="DJ72" s="108"/>
      <c r="DK72" s="108"/>
      <c r="DL72" s="108"/>
      <c r="DM72" s="108"/>
      <c r="DN72" s="108"/>
      <c r="DO72" s="108"/>
      <c r="DP72" s="108"/>
      <c r="DQ72" s="108"/>
      <c r="DR72" s="108"/>
      <c r="DS72" s="108"/>
      <c r="DT72" s="108"/>
      <c r="DU72" s="108"/>
      <c r="DV72" s="108">
        <f>STDEV(DV25:DV70,DV24,DV14:DV23,DV13,DV3:DV12)</f>
        <v>32.338263510904071</v>
      </c>
      <c r="DW72" s="108">
        <f>STDEV(DW25:DW70,DW24,DW14:DW23,DW13,DW3:DW12)</f>
        <v>29.660326389907734</v>
      </c>
      <c r="DX72" s="108">
        <f>STDEV(DX25:DX70,DX24,DX14:DX23,DX13,DX3:DX12)</f>
        <v>19.597973701826046</v>
      </c>
      <c r="DY72" s="108"/>
      <c r="DZ72" s="108"/>
      <c r="EA72" s="108"/>
      <c r="EB72" s="108"/>
      <c r="EC72" s="108"/>
      <c r="ED72" s="108" t="s">
        <v>445</v>
      </c>
      <c r="EN72" s="144" t="s">
        <v>445</v>
      </c>
      <c r="EO72" s="61">
        <f>EO71/AB71</f>
        <v>1900.6062819576332</v>
      </c>
      <c r="EP72" s="61">
        <f>EP71/AB71</f>
        <v>2578.0631848064281</v>
      </c>
      <c r="EQ72" s="61"/>
      <c r="ER72" s="18"/>
      <c r="ES72" s="61"/>
      <c r="ET72" s="61"/>
      <c r="EU72" s="12"/>
      <c r="EV72" s="23">
        <f>STDEV(EV25:EV70,EV24,EV14:EV23,EV13,EV3:EV12)</f>
        <v>250119.25354951073</v>
      </c>
      <c r="EW72" s="23">
        <f>STDEV(EW25:EW70,EW24,EW14:EW23,EW13,EW3:EW12)</f>
        <v>435089.01669861114</v>
      </c>
      <c r="EX72" s="23">
        <f>STDEV(EX25:EX70,EX24,EX14:EX23,EX13,EX3:EX12)</f>
        <v>217150.65898341167</v>
      </c>
      <c r="EY72" s="23"/>
      <c r="EZ72" s="23"/>
      <c r="FA72" s="23"/>
      <c r="FB72" s="23"/>
      <c r="FD72" s="1" t="s">
        <v>406</v>
      </c>
      <c r="FE72" s="16">
        <f>AVERAGE(FE3:FE13,FE14:FE15,FE16:FE23,FE24:FE64,FE65:FE70)</f>
        <v>972.79093749999993</v>
      </c>
    </row>
    <row r="73" spans="1:173" ht="18.5" x14ac:dyDescent="0.45">
      <c r="A73" s="11"/>
      <c r="C73" s="1">
        <f>C72/C71</f>
        <v>0.28031145717463851</v>
      </c>
      <c r="M73" s="12">
        <f>SUM(M3:M70)</f>
        <v>63.790803576165885</v>
      </c>
      <c r="P73" s="12">
        <f>SUM(P3:P70)</f>
        <v>14.767931825344183</v>
      </c>
      <c r="R73" s="12">
        <f>SUM(R3:R70)</f>
        <v>51.53508563846048</v>
      </c>
      <c r="V73" s="16">
        <f>SUM(V3:V70)</f>
        <v>77873.104278001527</v>
      </c>
      <c r="W73" s="16"/>
      <c r="BR73" s="1" t="s">
        <v>409</v>
      </c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74"/>
      <c r="CK73" s="1"/>
      <c r="CL73">
        <f>STDEV(CL3:CL13,CL14:CL15,CL16:CL23,CL24:CL64,CL65:CL70)</f>
        <v>111.93727283858449</v>
      </c>
      <c r="DG73" s="290" t="s">
        <v>596</v>
      </c>
      <c r="DH73" s="12">
        <f>DH71/AE71</f>
        <v>4.9017633042096902</v>
      </c>
      <c r="DI73" s="12"/>
      <c r="DN73" s="290" t="s">
        <v>596</v>
      </c>
      <c r="DO73" s="12">
        <f>DO71/AE71</f>
        <v>0.52779984114376488</v>
      </c>
      <c r="EO73" s="18"/>
      <c r="EP73" s="18"/>
      <c r="EQ73" s="18"/>
      <c r="ER73" s="18"/>
      <c r="ES73" s="18"/>
      <c r="ET73" s="18"/>
      <c r="FD73" s="1" t="s">
        <v>409</v>
      </c>
      <c r="FE73">
        <f>STDEV(FE3:FE13,FE14:FE15,FE16:FE23,FE24:FE64,FE65:FE70)</f>
        <v>170256.53140303786</v>
      </c>
      <c r="FL73" s="290" t="s">
        <v>596</v>
      </c>
      <c r="FM73" s="16">
        <f>FL71/AE71</f>
        <v>4858.9015091342335</v>
      </c>
    </row>
    <row r="74" spans="1:173" ht="18.5" x14ac:dyDescent="0.45">
      <c r="A74" s="11"/>
      <c r="BK74" s="144" t="s">
        <v>445</v>
      </c>
      <c r="BM74" t="s">
        <v>408</v>
      </c>
      <c r="BP74">
        <f>BP71/AB71</f>
        <v>3.2772096420745069</v>
      </c>
      <c r="BS74">
        <f>BS71/AB71</f>
        <v>4.2987582176771362</v>
      </c>
      <c r="BT74">
        <f>BT71/AB71</f>
        <v>2.2651570489408326</v>
      </c>
      <c r="CJ74" s="54"/>
      <c r="CQ74" s="144" t="s">
        <v>414</v>
      </c>
      <c r="CV74" s="144" t="s">
        <v>531</v>
      </c>
      <c r="DB74" s="144" t="s">
        <v>414</v>
      </c>
      <c r="DC74" s="104">
        <v>0.39566000000000001</v>
      </c>
      <c r="DD74" s="104">
        <v>0.58135130000000002</v>
      </c>
      <c r="DE74" s="104"/>
      <c r="DF74" s="1"/>
      <c r="DG74" s="1"/>
      <c r="DH74" s="104" t="s">
        <v>598</v>
      </c>
      <c r="DI74" s="149">
        <f>AVERAGE(DJ3:DJ70)</f>
        <v>5.4335620969890011E-15</v>
      </c>
      <c r="DJ74" s="1"/>
      <c r="DK74" s="1"/>
      <c r="DL74" s="1"/>
      <c r="DM74" s="1"/>
      <c r="DN74" s="1"/>
      <c r="DO74" s="104" t="s">
        <v>598</v>
      </c>
      <c r="DP74" s="23">
        <f>AVERAGE(DQ3:DQ70)</f>
        <v>2.3510605227356256E-16</v>
      </c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 t="s">
        <v>414</v>
      </c>
      <c r="EK74" s="144"/>
      <c r="EN74" s="144" t="s">
        <v>414</v>
      </c>
      <c r="EO74" s="61">
        <v>1755.66</v>
      </c>
      <c r="EP74" s="61">
        <v>2467.5970000000002</v>
      </c>
      <c r="EQ74" s="61"/>
      <c r="ER74" s="18"/>
      <c r="ES74" s="61"/>
      <c r="ET74" s="61"/>
      <c r="FM74" s="104" t="s">
        <v>598</v>
      </c>
      <c r="FN74" s="12">
        <f>AVERAGE(FN3:FN70)</f>
        <v>1.947388655560858E-11</v>
      </c>
    </row>
    <row r="75" spans="1:173" ht="18.5" x14ac:dyDescent="0.45">
      <c r="A75" s="11"/>
      <c r="BK75" s="144" t="s">
        <v>414</v>
      </c>
      <c r="BM75" s="144" t="s">
        <v>413</v>
      </c>
      <c r="BP75">
        <v>3.1361629999999998</v>
      </c>
      <c r="BS75">
        <v>4.263115</v>
      </c>
      <c r="BT75">
        <v>2.1755900000000001</v>
      </c>
      <c r="CJ75" s="54"/>
      <c r="DH75" s="104" t="s">
        <v>599</v>
      </c>
      <c r="DI75" s="149">
        <f>STDEV(DJ3:DJ70)</f>
        <v>192.797855858541</v>
      </c>
      <c r="DO75" s="104" t="s">
        <v>599</v>
      </c>
      <c r="DP75" s="23">
        <f>STDEV(DQ3:DQ70)</f>
        <v>19.929614385428824</v>
      </c>
      <c r="EO75">
        <v>2023</v>
      </c>
      <c r="FM75" s="104" t="s">
        <v>599</v>
      </c>
      <c r="FN75" s="12">
        <f>STDEV(FN3:FN70)</f>
        <v>437530.3597359081</v>
      </c>
    </row>
    <row r="76" spans="1:173" ht="18.5" x14ac:dyDescent="0.45">
      <c r="A76" s="11"/>
      <c r="BM76" t="s">
        <v>416</v>
      </c>
      <c r="BT76">
        <v>2023</v>
      </c>
      <c r="CJ76" s="54"/>
    </row>
    <row r="77" spans="1:173" ht="18.5" x14ac:dyDescent="0.45">
      <c r="A77" s="11"/>
      <c r="CJ77" s="54"/>
    </row>
    <row r="78" spans="1:173" ht="18.5" x14ac:dyDescent="0.45">
      <c r="A78" s="11"/>
      <c r="CJ78" s="54"/>
    </row>
    <row r="79" spans="1:173" ht="18.5" x14ac:dyDescent="0.45">
      <c r="A79" s="11"/>
      <c r="CJ79" s="54"/>
    </row>
    <row r="80" spans="1:173" ht="18.5" x14ac:dyDescent="0.45">
      <c r="A80" s="11"/>
      <c r="CJ80" s="54"/>
    </row>
    <row r="81" spans="1:88" ht="18.5" x14ac:dyDescent="0.45">
      <c r="A81" s="11"/>
      <c r="CJ81" s="54"/>
    </row>
    <row r="82" spans="1:88" ht="18.5" x14ac:dyDescent="0.45">
      <c r="A82" s="11"/>
      <c r="CJ82" s="54"/>
    </row>
    <row r="83" spans="1:88" ht="18.5" x14ac:dyDescent="0.45">
      <c r="A83" s="11"/>
      <c r="CJ83" s="54"/>
    </row>
    <row r="84" spans="1:88" ht="18.5" x14ac:dyDescent="0.45">
      <c r="A84" s="11"/>
      <c r="CJ84" s="54"/>
    </row>
    <row r="85" spans="1:88" ht="18.5" x14ac:dyDescent="0.45">
      <c r="A85" s="11"/>
      <c r="CJ85" s="54"/>
    </row>
    <row r="86" spans="1:88" ht="18.5" x14ac:dyDescent="0.45">
      <c r="A86" s="11"/>
      <c r="CJ86" s="54"/>
    </row>
    <row r="87" spans="1:88" ht="18.5" x14ac:dyDescent="0.45">
      <c r="A87" s="11"/>
      <c r="CJ87" s="54"/>
    </row>
    <row r="88" spans="1:88" ht="18.5" x14ac:dyDescent="0.45">
      <c r="A88" s="11"/>
      <c r="CJ88" s="54"/>
    </row>
    <row r="89" spans="1:88" ht="18.5" x14ac:dyDescent="0.45">
      <c r="A89" s="11"/>
      <c r="CJ89" s="54"/>
    </row>
    <row r="90" spans="1:88" ht="18.5" x14ac:dyDescent="0.45">
      <c r="A90" s="11"/>
      <c r="CJ90" s="54"/>
    </row>
    <row r="91" spans="1:88" ht="18.5" x14ac:dyDescent="0.45">
      <c r="A91" s="11"/>
      <c r="CJ91" s="54"/>
    </row>
    <row r="92" spans="1:88" ht="18.5" x14ac:dyDescent="0.45">
      <c r="A92" s="11"/>
    </row>
    <row r="93" spans="1:88" ht="18.5" x14ac:dyDescent="0.45">
      <c r="A93" s="11"/>
    </row>
    <row r="94" spans="1:88" ht="18.5" x14ac:dyDescent="0.45">
      <c r="A94" s="11"/>
    </row>
    <row r="95" spans="1:88" ht="18.5" x14ac:dyDescent="0.45">
      <c r="A95" s="11"/>
    </row>
    <row r="96" spans="1:88" ht="18.5" x14ac:dyDescent="0.45">
      <c r="A96" s="11"/>
    </row>
    <row r="97" spans="1:1" ht="18.5" x14ac:dyDescent="0.45">
      <c r="A97" s="11"/>
    </row>
  </sheetData>
  <dataValidations disablePrompts="1" count="1">
    <dataValidation type="list" showInputMessage="1" showErrorMessage="1" sqref="D1:J1" xr:uid="{00000000-0002-0000-0800-000000000000}">
      <formula1>$A$73:$A$97</formula1>
    </dataValidation>
  </dataValidations>
  <pageMargins left="0.75" right="0.75" top="1" bottom="1" header="0.5" footer="0.5"/>
  <pageSetup paperSize="9" orientation="portrait" r:id="rId1"/>
  <ignoredErrors>
    <ignoredError sqref="R3:R7 R9:R11 R13 R65:R70 R24 R26:R27 R43:R46 DA3:DA11 DA13 R14:R23 DA14:DA23 DA24 DA43:DA46 R12 DA12 DA25:DA41 R29:R41 R47:R64 DA47:DA64 DA65:DA72" formula="1"/>
    <ignoredError sqref="C74 C3:C7 C65:C71 C26:C27 C43:C46 C9:C24 C29:C41 C47:C6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021EF4742B343A1D85F8700228882" ma:contentTypeVersion="0" ma:contentTypeDescription="Umožňuje vytvoriť nový dokument." ma:contentTypeScope="" ma:versionID="d5ce656bb9126b90eba25d1deb3ab1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8AB54B-7E14-407F-B572-303BFBA6F2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DEF2437-A33C-447F-B9E7-1FB7A7C7FD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337213D-B332-4E50-8BCF-C88BAC9F6C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3</vt:i4>
      </vt:variant>
    </vt:vector>
  </HeadingPairs>
  <TitlesOfParts>
    <vt:vector size="14" baseType="lpstr">
      <vt:lpstr>T14b-exc</vt:lpstr>
      <vt:lpstr>E2_zamestnanci_2023</vt:lpstr>
      <vt:lpstr>E1_alokácia</vt:lpstr>
      <vt:lpstr>E3_oblasti</vt:lpstr>
      <vt:lpstr>E4a_M1_prirodne</vt:lpstr>
      <vt:lpstr>E4b_M2_technicke</vt:lpstr>
      <vt:lpstr>E4c_M3_lekarske</vt:lpstr>
      <vt:lpstr>E4d_M4_polno_les_vet</vt:lpstr>
      <vt:lpstr>E4e_M5_spolocenske</vt:lpstr>
      <vt:lpstr>E4f_M6_humanitne</vt:lpstr>
      <vt:lpstr>E4g_M6_umenie</vt:lpstr>
      <vt:lpstr>exc</vt:lpstr>
      <vt:lpstr>exc_G</vt:lpstr>
      <vt:lpstr>exc_vvs</vt:lpstr>
    </vt:vector>
  </TitlesOfParts>
  <Manager/>
  <Company>Minedu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Kanovský Martin</dc:creator>
  <cp:keywords/>
  <dc:description/>
  <cp:lastModifiedBy>Kanovský Martin</cp:lastModifiedBy>
  <cp:revision/>
  <dcterms:created xsi:type="dcterms:W3CDTF">2021-06-03T13:52:00Z</dcterms:created>
  <dcterms:modified xsi:type="dcterms:W3CDTF">2025-12-04T07:27:45Z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1033-11.2.0.9669</vt:lpwstr>
  </property>
  <property fmtid="{D5CDD505-2E9C-101B-9397-08002B2CF9AE}" pid="3" name="ContentTypeId">
    <vt:lpwstr>0x010100909021EF4742B343A1D85F8700228882</vt:lpwstr>
  </property>
</Properties>
</file>