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3605" windowHeight="11760" tabRatio="942" firstSheet="26"/>
  </bookViews>
  <sheets>
    <sheet name="obal" sheetId="108" r:id="rId1"/>
    <sheet name="zoznam tabuliek" sheetId="107" r:id="rId2"/>
    <sheet name="skratky VŠ" sheetId="47" r:id="rId3"/>
    <sheet name="T1-počet študentov" sheetId="1" r:id="rId4"/>
    <sheet name="T2-študenti podľa odborov" sheetId="2" r:id="rId5"/>
    <sheet name="T3-podiel škol" sheetId="3" r:id="rId6"/>
    <sheet name="T4-abs podľa odborov" sheetId="4" r:id="rId7"/>
    <sheet name="T5-abs podiel skol" sheetId="5" r:id="rId8"/>
    <sheet name="T6-PKIpo odboroch-2013" sheetId="116" r:id="rId9"/>
    <sheet name="T7-PKIvek-2013" sheetId="115" r:id="rId10"/>
    <sheet name="T8-PK maturanti-2013" sheetId="114" r:id="rId11"/>
    <sheet name="T9-PK II. stupeň-2013" sheetId="113" r:id="rId12"/>
    <sheet name="T10-Platy" sheetId="48" r:id="rId13"/>
    <sheet name="T11-profesori" sheetId="50" r:id="rId14"/>
    <sheet name="T12a-VVŠ VEGA" sheetId="51" r:id="rId15"/>
    <sheet name="T12b-komisie VEGA" sheetId="52" r:id="rId16"/>
    <sheet name="T13-VVŠ KEGA" sheetId="53" r:id="rId17"/>
    <sheet name="T14a-VVŠ APVV" sheetId="56" r:id="rId18"/>
    <sheet name="T14b-SVV APVV" sheetId="57" r:id="rId19"/>
    <sheet name="T 15a - CREPŠ 2013 prehľad" sheetId="118" r:id="rId20"/>
    <sheet name="T 15b - CREPC 2013" sheetId="117" r:id="rId21"/>
    <sheet name="T16-soc.štip" sheetId="60" r:id="rId22"/>
    <sheet name="T17-Ubytovanie" sheetId="61" r:id="rId23"/>
    <sheet name="T18a-Súvaha A 2013" sheetId="62" r:id="rId24"/>
    <sheet name="T 18b-Súvaha P 2013" sheetId="75" r:id="rId25"/>
    <sheet name="T19-Výnosy 2013" sheetId="64" r:id="rId26"/>
    <sheet name="T20-Výnosy porovnanie" sheetId="65" r:id="rId27"/>
    <sheet name="T21-Náklady 2013" sheetId="66" r:id="rId28"/>
    <sheet name="T22-Náklady porovnanie" sheetId="67" r:id="rId29"/>
    <sheet name="T23-VH 2013" sheetId="68" r:id="rId30"/>
    <sheet name="T24-náklady soc.star. 2013" sheetId="69" r:id="rId31"/>
    <sheet name="T25-výnosy soc.star. 2013" sheetId="70" r:id="rId32"/>
    <sheet name="T26-VH soc.star. 2013" sheetId="73" r:id="rId33"/>
    <sheet name="T27-384 rok 2013" sheetId="74" r:id="rId34"/>
  </sheets>
  <externalReferences>
    <externalReference r:id="rId35"/>
  </externalReferences>
  <definedNames>
    <definedName name="_______kmp1" localSheetId="8">#REF!</definedName>
    <definedName name="_______kmp1" localSheetId="9">#REF!</definedName>
    <definedName name="_______kmp1" localSheetId="10">#REF!</definedName>
    <definedName name="_______kmp1" localSheetId="11">#REF!</definedName>
    <definedName name="_______kmp1">#REF!</definedName>
    <definedName name="_______kmt1" localSheetId="8">#REF!</definedName>
    <definedName name="_______kmt1" localSheetId="9">#REF!</definedName>
    <definedName name="_______kmt1" localSheetId="10">#REF!</definedName>
    <definedName name="_______kmt1" localSheetId="11">#REF!</definedName>
    <definedName name="_______kmt1">#REF!</definedName>
    <definedName name="____T1">#REF!</definedName>
    <definedName name="____wd1">[1]vahy!$B$1</definedName>
    <definedName name="____wd3">[1]vahy!$B$3</definedName>
    <definedName name="____we1">[1]vahy!$B$2</definedName>
    <definedName name="____we3">[1]vahy!$B$4</definedName>
    <definedName name="___kmp1">#REF!</definedName>
    <definedName name="___kmt1">#REF!</definedName>
    <definedName name="___T1" localSheetId="8">#REF!</definedName>
    <definedName name="___T1" localSheetId="9">#REF!</definedName>
    <definedName name="___T1" localSheetId="10">#REF!</definedName>
    <definedName name="___T1" localSheetId="11">#REF!</definedName>
    <definedName name="___T1">#REF!</definedName>
    <definedName name="___wd1">[1]vahy!$B$1</definedName>
    <definedName name="___wd3">[1]vahy!$B$3</definedName>
    <definedName name="___we1">[1]vahy!$B$2</definedName>
    <definedName name="___we3">[1]vahy!$B$4</definedName>
    <definedName name="__kmp1" localSheetId="8">#REF!</definedName>
    <definedName name="__kmp1" localSheetId="9">#REF!</definedName>
    <definedName name="__kmp1" localSheetId="10">#REF!</definedName>
    <definedName name="__kmp1" localSheetId="11">#REF!</definedName>
    <definedName name="__kmp1">#REF!</definedName>
    <definedName name="__kmt1" localSheetId="8">#REF!</definedName>
    <definedName name="__kmt1" localSheetId="9">#REF!</definedName>
    <definedName name="__kmt1" localSheetId="10">#REF!</definedName>
    <definedName name="__kmt1" localSheetId="11">#REF!</definedName>
    <definedName name="__kmt1">#REF!</definedName>
    <definedName name="__T1" localSheetId="8">#REF!</definedName>
    <definedName name="__T1" localSheetId="9">#REF!</definedName>
    <definedName name="__T1" localSheetId="10">#REF!</definedName>
    <definedName name="__T1" localSheetId="11">#REF!</definedName>
    <definedName name="__T1">#REF!</definedName>
    <definedName name="__wd1">[1]vahy!$B$1</definedName>
    <definedName name="__wd3">[1]vahy!$B$3</definedName>
    <definedName name="__we1">[1]vahy!$B$2</definedName>
    <definedName name="__we3">[1]vahy!$B$4</definedName>
    <definedName name="_kmp1" localSheetId="8">#REF!</definedName>
    <definedName name="_kmp1" localSheetId="9">#REF!</definedName>
    <definedName name="_kmp1" localSheetId="10">#REF!</definedName>
    <definedName name="_kmp1" localSheetId="11">#REF!</definedName>
    <definedName name="_kmp1">#REF!</definedName>
    <definedName name="_kmt1" localSheetId="8">#REF!</definedName>
    <definedName name="_kmt1" localSheetId="9">#REF!</definedName>
    <definedName name="_kmt1" localSheetId="10">#REF!</definedName>
    <definedName name="_kmt1" localSheetId="11">#REF!</definedName>
    <definedName name="_kmt1">#REF!</definedName>
    <definedName name="_T1" localSheetId="8">#REF!</definedName>
    <definedName name="_T1" localSheetId="9">#REF!</definedName>
    <definedName name="_T1" localSheetId="10">#REF!</definedName>
    <definedName name="_T1" localSheetId="11">#REF!</definedName>
    <definedName name="_T1">#REF!</definedName>
    <definedName name="_wd1">[1]vahy!$B$1</definedName>
    <definedName name="_wd3">[1]vahy!$B$3</definedName>
    <definedName name="_we1">[1]vahy!$B$2</definedName>
    <definedName name="_we3">[1]vahy!$B$4</definedName>
    <definedName name="aaa" hidden="1">3</definedName>
    <definedName name="denní" localSheetId="24">#REF!</definedName>
    <definedName name="denní" localSheetId="8">#REF!</definedName>
    <definedName name="denní" localSheetId="9">#REF!</definedName>
    <definedName name="denní" localSheetId="10">#REF!</definedName>
    <definedName name="denní" localSheetId="11">#REF!</definedName>
    <definedName name="denní">#REF!</definedName>
    <definedName name="dokpo" localSheetId="24">#REF!</definedName>
    <definedName name="dokpo" localSheetId="8">#REF!</definedName>
    <definedName name="dokpo" localSheetId="9">#REF!</definedName>
    <definedName name="dokpo" localSheetId="10">#REF!</definedName>
    <definedName name="dokpo" localSheetId="11">#REF!</definedName>
    <definedName name="dokpo">#REF!</definedName>
    <definedName name="dokpred" localSheetId="24">#REF!</definedName>
    <definedName name="dokpred" localSheetId="8">#REF!</definedName>
    <definedName name="dokpred" localSheetId="9">#REF!</definedName>
    <definedName name="dokpred" localSheetId="10">#REF!</definedName>
    <definedName name="dokpred" localSheetId="11">#REF!</definedName>
    <definedName name="dokpred">#REF!</definedName>
    <definedName name="druhý" localSheetId="24">#REF!</definedName>
    <definedName name="druhý" localSheetId="8">#REF!</definedName>
    <definedName name="druhý" localSheetId="9">#REF!</definedName>
    <definedName name="druhý" localSheetId="10">#REF!</definedName>
    <definedName name="druhý" localSheetId="11">#REF!</definedName>
    <definedName name="druhý">#REF!</definedName>
    <definedName name="exterdruhý" localSheetId="24">#REF!</definedName>
    <definedName name="exterdruhý" localSheetId="8">#REF!</definedName>
    <definedName name="exterdruhý" localSheetId="9">#REF!</definedName>
    <definedName name="exterdruhý" localSheetId="10">#REF!</definedName>
    <definedName name="exterdruhý" localSheetId="11">#REF!</definedName>
    <definedName name="exterdruhý">#REF!</definedName>
    <definedName name="externeplat" localSheetId="24">#REF!</definedName>
    <definedName name="externeplat" localSheetId="8">#REF!</definedName>
    <definedName name="externeplat" localSheetId="9">#REF!</definedName>
    <definedName name="externeplat" localSheetId="10">#REF!</definedName>
    <definedName name="externeplat" localSheetId="11">#REF!</definedName>
    <definedName name="externeplat">#REF!</definedName>
    <definedName name="exterplat" localSheetId="24">#REF!</definedName>
    <definedName name="exterplat" localSheetId="8">#REF!</definedName>
    <definedName name="exterplat" localSheetId="9">#REF!</definedName>
    <definedName name="exterplat" localSheetId="10">#REF!</definedName>
    <definedName name="exterplat" localSheetId="11">#REF!</definedName>
    <definedName name="exterplat">#REF!</definedName>
    <definedName name="KKS_doc" localSheetId="24">#REF!</definedName>
    <definedName name="KKS_doc" localSheetId="8">#REF!</definedName>
    <definedName name="KKS_doc" localSheetId="9">#REF!</definedName>
    <definedName name="KKS_doc" localSheetId="10">#REF!</definedName>
    <definedName name="KKS_doc" localSheetId="11">#REF!</definedName>
    <definedName name="KKS_doc">#REF!</definedName>
    <definedName name="KKS_ost" localSheetId="24">#REF!</definedName>
    <definedName name="KKS_ost" localSheetId="8">#REF!</definedName>
    <definedName name="KKS_ost" localSheetId="9">#REF!</definedName>
    <definedName name="KKS_ost" localSheetId="10">#REF!</definedName>
    <definedName name="KKS_ost" localSheetId="11">#REF!</definedName>
    <definedName name="KKS_ost">#REF!</definedName>
    <definedName name="KKS_phd" localSheetId="24">#REF!</definedName>
    <definedName name="KKS_phd" localSheetId="8">#REF!</definedName>
    <definedName name="KKS_phd" localSheetId="9">#REF!</definedName>
    <definedName name="KKS_phd" localSheetId="10">#REF!</definedName>
    <definedName name="KKS_phd" localSheetId="11">#REF!</definedName>
    <definedName name="KKS_phd">#REF!</definedName>
    <definedName name="KKS_prof" localSheetId="24">#REF!</definedName>
    <definedName name="KKS_prof" localSheetId="8">#REF!</definedName>
    <definedName name="KKS_prof" localSheetId="9">#REF!</definedName>
    <definedName name="KKS_prof" localSheetId="10">#REF!</definedName>
    <definedName name="KKS_prof" localSheetId="11">#REF!</definedName>
    <definedName name="KKS_prof">#REF!</definedName>
    <definedName name="koef_gm_mzdy" localSheetId="24">#REF!</definedName>
    <definedName name="koef_gm_mzdy" localSheetId="8">#REF!</definedName>
    <definedName name="koef_gm_mzdy" localSheetId="9">#REF!</definedName>
    <definedName name="koef_gm_mzdy" localSheetId="10">#REF!</definedName>
    <definedName name="koef_gm_mzdy" localSheetId="11">#REF!</definedName>
    <definedName name="koef_gm_mzdy">#REF!</definedName>
    <definedName name="koef_kpn" localSheetId="24">#REF!</definedName>
    <definedName name="koef_kpn" localSheetId="8">#REF!</definedName>
    <definedName name="koef_kpn" localSheetId="9">#REF!</definedName>
    <definedName name="koef_kpn" localSheetId="10">#REF!</definedName>
    <definedName name="koef_kpn" localSheetId="11">#REF!</definedName>
    <definedName name="koef_kpn">#REF!</definedName>
    <definedName name="koef_prer_nad_gm_mzdy" localSheetId="24">#REF!</definedName>
    <definedName name="koef_prer_nad_gm_mzdy" localSheetId="8">#REF!</definedName>
    <definedName name="koef_prer_nad_gm_mzdy" localSheetId="9">#REF!</definedName>
    <definedName name="koef_prer_nad_gm_mzdy" localSheetId="10">#REF!</definedName>
    <definedName name="koef_prer_nad_gm_mzdy" localSheetId="11">#REF!</definedName>
    <definedName name="koef_prer_nad_gm_mzdy">#REF!</definedName>
    <definedName name="koef_PV" localSheetId="24">#REF!</definedName>
    <definedName name="koef_PV" localSheetId="8">#REF!</definedName>
    <definedName name="koef_PV" localSheetId="9">#REF!</definedName>
    <definedName name="koef_PV" localSheetId="10">#REF!</definedName>
    <definedName name="koef_PV" localSheetId="11">#REF!</definedName>
    <definedName name="koef_PV">#REF!</definedName>
    <definedName name="koef_udr_kat1" localSheetId="24">#REF!</definedName>
    <definedName name="koef_udr_kat1" localSheetId="8">#REF!</definedName>
    <definedName name="koef_udr_kat1" localSheetId="9">#REF!</definedName>
    <definedName name="koef_udr_kat1" localSheetId="10">#REF!</definedName>
    <definedName name="koef_udr_kat1" localSheetId="11">#REF!</definedName>
    <definedName name="koef_udr_kat1">#REF!</definedName>
    <definedName name="koef_udr_kat2" localSheetId="24">#REF!</definedName>
    <definedName name="koef_udr_kat2" localSheetId="8">#REF!</definedName>
    <definedName name="koef_udr_kat2" localSheetId="9">#REF!</definedName>
    <definedName name="koef_udr_kat2" localSheetId="10">#REF!</definedName>
    <definedName name="koef_udr_kat2" localSheetId="11">#REF!</definedName>
    <definedName name="koef_udr_kat2">#REF!</definedName>
    <definedName name="koef_udr_kat3" localSheetId="24">#REF!</definedName>
    <definedName name="koef_udr_kat3" localSheetId="8">#REF!</definedName>
    <definedName name="koef_udr_kat3" localSheetId="9">#REF!</definedName>
    <definedName name="koef_udr_kat3" localSheetId="10">#REF!</definedName>
    <definedName name="koef_udr_kat3" localSheetId="11">#REF!</definedName>
    <definedName name="koef_udr_kat3">#REF!</definedName>
    <definedName name="koef_VV" localSheetId="24">#REF!</definedName>
    <definedName name="koef_VV" localSheetId="8">#REF!</definedName>
    <definedName name="koef_VV" localSheetId="9">#REF!</definedName>
    <definedName name="koef_VV" localSheetId="10">#REF!</definedName>
    <definedName name="koef_VV" localSheetId="11">#REF!</definedName>
    <definedName name="koef_VV">#REF!</definedName>
    <definedName name="kpn_ca_do" localSheetId="24">#REF!</definedName>
    <definedName name="kpn_ca_do" localSheetId="8">#REF!</definedName>
    <definedName name="kpn_ca_do" localSheetId="9">#REF!</definedName>
    <definedName name="kpn_ca_do" localSheetId="10">#REF!</definedName>
    <definedName name="kpn_ca_do" localSheetId="11">#REF!</definedName>
    <definedName name="kpn_ca_do">#REF!</definedName>
    <definedName name="kpn_ca_nad" localSheetId="24">#REF!</definedName>
    <definedName name="kpn_ca_nad" localSheetId="8">#REF!</definedName>
    <definedName name="kpn_ca_nad" localSheetId="9">#REF!</definedName>
    <definedName name="kpn_ca_nad" localSheetId="10">#REF!</definedName>
    <definedName name="kpn_ca_nad" localSheetId="11">#REF!</definedName>
    <definedName name="kpn_ca_nad">#REF!</definedName>
    <definedName name="kzk" localSheetId="24">#REF!</definedName>
    <definedName name="kzk" localSheetId="8">#REF!</definedName>
    <definedName name="kzk" localSheetId="9">#REF!</definedName>
    <definedName name="kzk" localSheetId="10">#REF!</definedName>
    <definedName name="kzk" localSheetId="11">#REF!</definedName>
    <definedName name="kzk">#REF!</definedName>
    <definedName name="kzspp" localSheetId="24">#REF!</definedName>
    <definedName name="kzspp" localSheetId="8">#REF!</definedName>
    <definedName name="kzspp" localSheetId="9">#REF!</definedName>
    <definedName name="kzspp" localSheetId="10">#REF!</definedName>
    <definedName name="kzspp" localSheetId="11">#REF!</definedName>
    <definedName name="kzspp">#REF!</definedName>
    <definedName name="l" localSheetId="8">#REF!</definedName>
    <definedName name="l" localSheetId="9">#REF!</definedName>
    <definedName name="l" localSheetId="10">#REF!</definedName>
    <definedName name="l" localSheetId="11">#REF!</definedName>
    <definedName name="l">#REF!</definedName>
    <definedName name="_xlnm.Print_Titles" localSheetId="11">'T9-PK II. stupeň-2013'!$1:$6</definedName>
    <definedName name="nefinanc">1</definedName>
    <definedName name="_xlnm.Print_Area" localSheetId="2">'skratky VŠ'!#REF!</definedName>
    <definedName name="_xlnm.Print_Area" localSheetId="30">'T24-náklady soc.star. 2013'!$A$1:$B$41</definedName>
    <definedName name="_xlnm.Print_Area" localSheetId="31">'T25-výnosy soc.star. 2013'!$A$1:$B$39</definedName>
    <definedName name="_xlnm.Print_Area" localSheetId="11">'T9-PK II. stupeň-2013'!$A$1:$J$71</definedName>
    <definedName name="pocet_jedal" localSheetId="24">#REF!</definedName>
    <definedName name="pocet_jedal" localSheetId="8">#REF!</definedName>
    <definedName name="pocet_jedal" localSheetId="9">#REF!</definedName>
    <definedName name="pocet_jedal" localSheetId="10">#REF!</definedName>
    <definedName name="pocet_jedal" localSheetId="11">#REF!</definedName>
    <definedName name="pocet_jedal">#REF!</definedName>
    <definedName name="podiel" localSheetId="24">#REF!</definedName>
    <definedName name="podiel" localSheetId="8">#REF!</definedName>
    <definedName name="podiel" localSheetId="9">#REF!</definedName>
    <definedName name="podiel" localSheetId="10">#REF!</definedName>
    <definedName name="podiel" localSheetId="11">#REF!</definedName>
    <definedName name="podiel">#REF!</definedName>
    <definedName name="poistné" localSheetId="24">#REF!</definedName>
    <definedName name="poistné" localSheetId="8">#REF!</definedName>
    <definedName name="poistné" localSheetId="9">#REF!</definedName>
    <definedName name="poistné" localSheetId="10">#REF!</definedName>
    <definedName name="poistné" localSheetId="11">#REF!</definedName>
    <definedName name="poistné">#REF!</definedName>
    <definedName name="Pp_DrŠ_exist" localSheetId="24">#REF!</definedName>
    <definedName name="Pp_DrŠ_exist" localSheetId="8">#REF!</definedName>
    <definedName name="Pp_DrŠ_exist" localSheetId="9">#REF!</definedName>
    <definedName name="Pp_DrŠ_exist" localSheetId="10">#REF!</definedName>
    <definedName name="Pp_DrŠ_exist" localSheetId="11">#REF!</definedName>
    <definedName name="Pp_DrŠ_exist">#REF!</definedName>
    <definedName name="Pp_DrŠ_noví" localSheetId="24">#REF!</definedName>
    <definedName name="Pp_DrŠ_noví" localSheetId="8">#REF!</definedName>
    <definedName name="Pp_DrŠ_noví" localSheetId="9">#REF!</definedName>
    <definedName name="Pp_DrŠ_noví" localSheetId="10">#REF!</definedName>
    <definedName name="Pp_DrŠ_noví" localSheetId="11">#REF!</definedName>
    <definedName name="Pp_DrŠ_noví">#REF!</definedName>
    <definedName name="Pp_DrŠ_spolu" localSheetId="24">#REF!</definedName>
    <definedName name="Pp_DrŠ_spolu" localSheetId="8">#REF!</definedName>
    <definedName name="Pp_DrŠ_spolu" localSheetId="9">#REF!</definedName>
    <definedName name="Pp_DrŠ_spolu" localSheetId="10">#REF!</definedName>
    <definedName name="Pp_DrŠ_spolu" localSheetId="11">#REF!</definedName>
    <definedName name="Pp_DrŠ_spolu">#REF!</definedName>
    <definedName name="Pp_klinické_TaS" localSheetId="24">#REF!</definedName>
    <definedName name="Pp_klinické_TaS" localSheetId="8">#REF!</definedName>
    <definedName name="Pp_klinické_TaS" localSheetId="9">#REF!</definedName>
    <definedName name="Pp_klinické_TaS" localSheetId="10">#REF!</definedName>
    <definedName name="Pp_klinické_TaS" localSheetId="11">#REF!</definedName>
    <definedName name="Pp_klinické_TaS">#REF!</definedName>
    <definedName name="Pp_klinické_TaS_rozpísaný" localSheetId="24">#REF!</definedName>
    <definedName name="Pp_klinické_TaS_rozpísaný" localSheetId="8">#REF!</definedName>
    <definedName name="Pp_klinické_TaS_rozpísaný" localSheetId="9">#REF!</definedName>
    <definedName name="Pp_klinické_TaS_rozpísaný" localSheetId="10">#REF!</definedName>
    <definedName name="Pp_klinické_TaS_rozpísaný" localSheetId="11">#REF!</definedName>
    <definedName name="Pp_klinické_TaS_rozpísaný">#REF!</definedName>
    <definedName name="Pp_Rozvoj_BD" localSheetId="24">#REF!</definedName>
    <definedName name="Pp_Rozvoj_BD" localSheetId="8">#REF!</definedName>
    <definedName name="Pp_Rozvoj_BD" localSheetId="9">#REF!</definedName>
    <definedName name="Pp_Rozvoj_BD" localSheetId="10">#REF!</definedName>
    <definedName name="Pp_Rozvoj_BD" localSheetId="11">#REF!</definedName>
    <definedName name="Pp_Rozvoj_BD">#REF!</definedName>
    <definedName name="Pp_Soc_BD" localSheetId="24">#REF!</definedName>
    <definedName name="Pp_Soc_BD" localSheetId="8">#REF!</definedName>
    <definedName name="Pp_Soc_BD" localSheetId="9">#REF!</definedName>
    <definedName name="Pp_Soc_BD" localSheetId="10">#REF!</definedName>
    <definedName name="Pp_Soc_BD" localSheetId="11">#REF!</definedName>
    <definedName name="Pp_Soc_BD">#REF!</definedName>
    <definedName name="Pp_VaT_BD" localSheetId="24">#REF!</definedName>
    <definedName name="Pp_VaT_BD" localSheetId="8">#REF!</definedName>
    <definedName name="Pp_VaT_BD" localSheetId="9">#REF!</definedName>
    <definedName name="Pp_VaT_BD" localSheetId="10">#REF!</definedName>
    <definedName name="Pp_VaT_BD" localSheetId="11">#REF!</definedName>
    <definedName name="Pp_VaT_BD">#REF!</definedName>
    <definedName name="Pp_VaT_mzdy" localSheetId="24">#REF!</definedName>
    <definedName name="Pp_VaT_mzdy" localSheetId="8">#REF!</definedName>
    <definedName name="Pp_VaT_mzdy" localSheetId="9">#REF!</definedName>
    <definedName name="Pp_VaT_mzdy" localSheetId="10">#REF!</definedName>
    <definedName name="Pp_VaT_mzdy" localSheetId="11">#REF!</definedName>
    <definedName name="Pp_VaT_mzdy">#REF!</definedName>
    <definedName name="Pp_VaT_mzdy_rezerva" localSheetId="24">#REF!</definedName>
    <definedName name="Pp_VaT_mzdy_rezerva" localSheetId="8">#REF!</definedName>
    <definedName name="Pp_VaT_mzdy_rezerva" localSheetId="9">#REF!</definedName>
    <definedName name="Pp_VaT_mzdy_rezerva" localSheetId="10">#REF!</definedName>
    <definedName name="Pp_VaT_mzdy_rezerva" localSheetId="11">#REF!</definedName>
    <definedName name="Pp_VaT_mzdy_rezerva">#REF!</definedName>
    <definedName name="Pp_VaT_mzdy_zac_roka" localSheetId="24">#REF!</definedName>
    <definedName name="Pp_VaT_mzdy_zac_roka" localSheetId="8">#REF!</definedName>
    <definedName name="Pp_VaT_mzdy_zac_roka" localSheetId="9">#REF!</definedName>
    <definedName name="Pp_VaT_mzdy_zac_roka" localSheetId="10">#REF!</definedName>
    <definedName name="Pp_VaT_mzdy_zac_roka" localSheetId="11">#REF!</definedName>
    <definedName name="Pp_VaT_mzdy_zac_roka">#REF!</definedName>
    <definedName name="Pp_Vzdel_BD" localSheetId="24">#REF!</definedName>
    <definedName name="Pp_Vzdel_BD" localSheetId="8">#REF!</definedName>
    <definedName name="Pp_Vzdel_BD" localSheetId="9">#REF!</definedName>
    <definedName name="Pp_Vzdel_BD" localSheetId="10">#REF!</definedName>
    <definedName name="Pp_Vzdel_BD" localSheetId="11">#REF!</definedName>
    <definedName name="Pp_Vzdel_BD">#REF!</definedName>
    <definedName name="Pp_Vzdel_mzdy" localSheetId="24">#REF!</definedName>
    <definedName name="Pp_Vzdel_mzdy" localSheetId="8">#REF!</definedName>
    <definedName name="Pp_Vzdel_mzdy" localSheetId="9">#REF!</definedName>
    <definedName name="Pp_Vzdel_mzdy" localSheetId="10">#REF!</definedName>
    <definedName name="Pp_Vzdel_mzdy" localSheetId="11">#REF!</definedName>
    <definedName name="Pp_Vzdel_mzdy">#REF!</definedName>
    <definedName name="Pp_Vzdel_mzdy_kontr" localSheetId="24">#REF!</definedName>
    <definedName name="Pp_Vzdel_mzdy_kontr" localSheetId="8">#REF!</definedName>
    <definedName name="Pp_Vzdel_mzdy_kontr" localSheetId="9">#REF!</definedName>
    <definedName name="Pp_Vzdel_mzdy_kontr" localSheetId="10">#REF!</definedName>
    <definedName name="Pp_Vzdel_mzdy_kontr" localSheetId="11">#REF!</definedName>
    <definedName name="Pp_Vzdel_mzdy_kontr">#REF!</definedName>
    <definedName name="Pp_Vzdel_mzdy_na_prer_modif" localSheetId="24">#REF!</definedName>
    <definedName name="Pp_Vzdel_mzdy_na_prer_modif" localSheetId="8">#REF!</definedName>
    <definedName name="Pp_Vzdel_mzdy_na_prer_modif" localSheetId="9">#REF!</definedName>
    <definedName name="Pp_Vzdel_mzdy_na_prer_modif" localSheetId="10">#REF!</definedName>
    <definedName name="Pp_Vzdel_mzdy_na_prer_modif" localSheetId="11">#REF!</definedName>
    <definedName name="Pp_Vzdel_mzdy_na_prer_modif">#REF!</definedName>
    <definedName name="Pp_Vzdel_mzdy_na_prer_nemodif" localSheetId="24">#REF!</definedName>
    <definedName name="Pp_Vzdel_mzdy_na_prer_nemodif" localSheetId="8">#REF!</definedName>
    <definedName name="Pp_Vzdel_mzdy_na_prer_nemodif" localSheetId="9">#REF!</definedName>
    <definedName name="Pp_Vzdel_mzdy_na_prer_nemodif" localSheetId="10">#REF!</definedName>
    <definedName name="Pp_Vzdel_mzdy_na_prer_nemodif" localSheetId="11">#REF!</definedName>
    <definedName name="Pp_Vzdel_mzdy_na_prer_nemodif">#REF!</definedName>
    <definedName name="Pp_Vzdel_mzdy_prevádz" localSheetId="24">#REF!</definedName>
    <definedName name="Pp_Vzdel_mzdy_prevádz" localSheetId="8">#REF!</definedName>
    <definedName name="Pp_Vzdel_mzdy_prevádz" localSheetId="9">#REF!</definedName>
    <definedName name="Pp_Vzdel_mzdy_prevádz" localSheetId="10">#REF!</definedName>
    <definedName name="Pp_Vzdel_mzdy_prevádz" localSheetId="11">#REF!</definedName>
    <definedName name="Pp_Vzdel_mzdy_prevádz">#REF!</definedName>
    <definedName name="Pp_Vzdel_mzdy_rezerva" localSheetId="24">#REF!</definedName>
    <definedName name="Pp_Vzdel_mzdy_rezerva" localSheetId="8">#REF!</definedName>
    <definedName name="Pp_Vzdel_mzdy_rezerva" localSheetId="9">#REF!</definedName>
    <definedName name="Pp_Vzdel_mzdy_rezerva" localSheetId="10">#REF!</definedName>
    <definedName name="Pp_Vzdel_mzdy_rezerva" localSheetId="11">#REF!</definedName>
    <definedName name="Pp_Vzdel_mzdy_rezerva">#REF!</definedName>
    <definedName name="Pp_Vzdel_mzdy_spec" localSheetId="24">#REF!</definedName>
    <definedName name="Pp_Vzdel_mzdy_spec" localSheetId="8">#REF!</definedName>
    <definedName name="Pp_Vzdel_mzdy_spec" localSheetId="9">#REF!</definedName>
    <definedName name="Pp_Vzdel_mzdy_spec" localSheetId="10">#REF!</definedName>
    <definedName name="Pp_Vzdel_mzdy_spec" localSheetId="11">#REF!</definedName>
    <definedName name="Pp_Vzdel_mzdy_spec">#REF!</definedName>
    <definedName name="Pp_Vzdel_mzdy_výkon" localSheetId="24">#REF!</definedName>
    <definedName name="Pp_Vzdel_mzdy_výkon" localSheetId="8">#REF!</definedName>
    <definedName name="Pp_Vzdel_mzdy_výkon" localSheetId="9">#REF!</definedName>
    <definedName name="Pp_Vzdel_mzdy_výkon" localSheetId="10">#REF!</definedName>
    <definedName name="Pp_Vzdel_mzdy_výkon" localSheetId="11">#REF!</definedName>
    <definedName name="Pp_Vzdel_mzdy_výkon">#REF!</definedName>
    <definedName name="Pp_Vzdel_mzdy_výkon_PV" localSheetId="24">#REF!</definedName>
    <definedName name="Pp_Vzdel_mzdy_výkon_PV" localSheetId="8">#REF!</definedName>
    <definedName name="Pp_Vzdel_mzdy_výkon_PV" localSheetId="9">#REF!</definedName>
    <definedName name="Pp_Vzdel_mzdy_výkon_PV" localSheetId="10">#REF!</definedName>
    <definedName name="Pp_Vzdel_mzdy_výkon_PV" localSheetId="11">#REF!</definedName>
    <definedName name="Pp_Vzdel_mzdy_výkon_PV">#REF!</definedName>
    <definedName name="Pp_Vzdel_mzdy_výkon_PV_bez" localSheetId="24">#REF!</definedName>
    <definedName name="Pp_Vzdel_mzdy_výkon_PV_bez" localSheetId="8">#REF!</definedName>
    <definedName name="Pp_Vzdel_mzdy_výkon_PV_bez" localSheetId="9">#REF!</definedName>
    <definedName name="Pp_Vzdel_mzdy_výkon_PV_bez" localSheetId="10">#REF!</definedName>
    <definedName name="Pp_Vzdel_mzdy_výkon_PV_bez" localSheetId="11">#REF!</definedName>
    <definedName name="Pp_Vzdel_mzdy_výkon_PV_bez">#REF!</definedName>
    <definedName name="Pp_Vzdel_mzdy_výkon_PV_um" localSheetId="24">#REF!</definedName>
    <definedName name="Pp_Vzdel_mzdy_výkon_PV_um" localSheetId="8">#REF!</definedName>
    <definedName name="Pp_Vzdel_mzdy_výkon_PV_um" localSheetId="9">#REF!</definedName>
    <definedName name="Pp_Vzdel_mzdy_výkon_PV_um" localSheetId="10">#REF!</definedName>
    <definedName name="Pp_Vzdel_mzdy_výkon_PV_um" localSheetId="11">#REF!</definedName>
    <definedName name="Pp_Vzdel_mzdy_výkon_PV_um">#REF!</definedName>
    <definedName name="Pp_Vzdel_mzdy_výkon_VV" localSheetId="24">#REF!</definedName>
    <definedName name="Pp_Vzdel_mzdy_výkon_VV" localSheetId="8">#REF!</definedName>
    <definedName name="Pp_Vzdel_mzdy_výkon_VV" localSheetId="9">#REF!</definedName>
    <definedName name="Pp_Vzdel_mzdy_výkon_VV" localSheetId="10">#REF!</definedName>
    <definedName name="Pp_Vzdel_mzdy_výkon_VV" localSheetId="11">#REF!</definedName>
    <definedName name="Pp_Vzdel_mzdy_výkon_VV">#REF!</definedName>
    <definedName name="Pp_Vzdel_mzdy_výkon_VV_bez" localSheetId="24">#REF!</definedName>
    <definedName name="Pp_Vzdel_mzdy_výkon_VV_bez" localSheetId="8">#REF!</definedName>
    <definedName name="Pp_Vzdel_mzdy_výkon_VV_bez" localSheetId="9">#REF!</definedName>
    <definedName name="Pp_Vzdel_mzdy_výkon_VV_bez" localSheetId="10">#REF!</definedName>
    <definedName name="Pp_Vzdel_mzdy_výkon_VV_bez" localSheetId="11">#REF!</definedName>
    <definedName name="Pp_Vzdel_mzdy_výkon_VV_bez">#REF!</definedName>
    <definedName name="Pp_Vzdel_mzdy_výkon_VV_um" localSheetId="24">#REF!</definedName>
    <definedName name="Pp_Vzdel_mzdy_výkon_VV_um" localSheetId="8">#REF!</definedName>
    <definedName name="Pp_Vzdel_mzdy_výkon_VV_um" localSheetId="9">#REF!</definedName>
    <definedName name="Pp_Vzdel_mzdy_výkon_VV_um" localSheetId="10">#REF!</definedName>
    <definedName name="Pp_Vzdel_mzdy_výkon_VV_um" localSheetId="11">#REF!</definedName>
    <definedName name="Pp_Vzdel_mzdy_výkon_VV_um">#REF!</definedName>
    <definedName name="Pp_Vzdel_spec_prax" localSheetId="24">#REF!</definedName>
    <definedName name="Pp_Vzdel_spec_prax" localSheetId="8">#REF!</definedName>
    <definedName name="Pp_Vzdel_spec_prax" localSheetId="9">#REF!</definedName>
    <definedName name="Pp_Vzdel_spec_prax" localSheetId="10">#REF!</definedName>
    <definedName name="Pp_Vzdel_spec_prax" localSheetId="11">#REF!</definedName>
    <definedName name="Pp_Vzdel_spec_prax">#REF!</definedName>
    <definedName name="Pp_Vzdel_TaS" localSheetId="24">#REF!</definedName>
    <definedName name="Pp_Vzdel_TaS" localSheetId="8">#REF!</definedName>
    <definedName name="Pp_Vzdel_TaS" localSheetId="9">#REF!</definedName>
    <definedName name="Pp_Vzdel_TaS" localSheetId="10">#REF!</definedName>
    <definedName name="Pp_Vzdel_TaS" localSheetId="11">#REF!</definedName>
    <definedName name="Pp_Vzdel_TaS">#REF!</definedName>
    <definedName name="Pp_Vzdel_TaS_rezerva" localSheetId="24">#REF!</definedName>
    <definedName name="Pp_Vzdel_TaS_rezerva" localSheetId="8">#REF!</definedName>
    <definedName name="Pp_Vzdel_TaS_rezerva" localSheetId="9">#REF!</definedName>
    <definedName name="Pp_Vzdel_TaS_rezerva" localSheetId="10">#REF!</definedName>
    <definedName name="Pp_Vzdel_TaS_rezerva" localSheetId="11">#REF!</definedName>
    <definedName name="Pp_Vzdel_TaS_rezerva">#REF!</definedName>
    <definedName name="Pp_Vzdel_TaS_spec" localSheetId="24">#REF!</definedName>
    <definedName name="Pp_Vzdel_TaS_spec" localSheetId="8">#REF!</definedName>
    <definedName name="Pp_Vzdel_TaS_spec" localSheetId="9">#REF!</definedName>
    <definedName name="Pp_Vzdel_TaS_spec" localSheetId="10">#REF!</definedName>
    <definedName name="Pp_Vzdel_TaS_spec" localSheetId="11">#REF!</definedName>
    <definedName name="Pp_Vzdel_TaS_spec">#REF!</definedName>
    <definedName name="Pp_Vzdel_TaS_stav" localSheetId="24">#REF!</definedName>
    <definedName name="Pp_Vzdel_TaS_stav" localSheetId="8">#REF!</definedName>
    <definedName name="Pp_Vzdel_TaS_stav" localSheetId="9">#REF!</definedName>
    <definedName name="Pp_Vzdel_TaS_stav" localSheetId="10">#REF!</definedName>
    <definedName name="Pp_Vzdel_TaS_stav" localSheetId="11">#REF!</definedName>
    <definedName name="Pp_Vzdel_TaS_stav">#REF!</definedName>
    <definedName name="Pp_Vzdel_TaS_výkon" localSheetId="24">#REF!</definedName>
    <definedName name="Pp_Vzdel_TaS_výkon" localSheetId="8">#REF!</definedName>
    <definedName name="Pp_Vzdel_TaS_výkon" localSheetId="9">#REF!</definedName>
    <definedName name="Pp_Vzdel_TaS_výkon" localSheetId="10">#REF!</definedName>
    <definedName name="Pp_Vzdel_TaS_výkon" localSheetId="11">#REF!</definedName>
    <definedName name="Pp_Vzdel_TaS_výkon">#REF!</definedName>
    <definedName name="Pp_Vzdel_TaS_výkon_PPŠ" localSheetId="24">#REF!</definedName>
    <definedName name="Pp_Vzdel_TaS_výkon_PPŠ" localSheetId="8">#REF!</definedName>
    <definedName name="Pp_Vzdel_TaS_výkon_PPŠ" localSheetId="9">#REF!</definedName>
    <definedName name="Pp_Vzdel_TaS_výkon_PPŠ" localSheetId="10">#REF!</definedName>
    <definedName name="Pp_Vzdel_TaS_výkon_PPŠ" localSheetId="11">#REF!</definedName>
    <definedName name="Pp_Vzdel_TaS_výkon_PPŠ">#REF!</definedName>
    <definedName name="Pp_Vzdel_TaS_výkon_PPŠ_a_zákl" localSheetId="24">#REF!</definedName>
    <definedName name="Pp_Vzdel_TaS_výkon_PPŠ_a_zákl" localSheetId="8">#REF!</definedName>
    <definedName name="Pp_Vzdel_TaS_výkon_PPŠ_a_zákl" localSheetId="9">#REF!</definedName>
    <definedName name="Pp_Vzdel_TaS_výkon_PPŠ_a_zákl" localSheetId="10">#REF!</definedName>
    <definedName name="Pp_Vzdel_TaS_výkon_PPŠ_a_zákl" localSheetId="11">#REF!</definedName>
    <definedName name="Pp_Vzdel_TaS_výkon_PPŠ_a_zákl">#REF!</definedName>
    <definedName name="Pp_Vzdel_TaS_výkon_PPŠ_KEN" localSheetId="24">#REF!</definedName>
    <definedName name="Pp_Vzdel_TaS_výkon_PPŠ_KEN" localSheetId="8">#REF!</definedName>
    <definedName name="Pp_Vzdel_TaS_výkon_PPŠ_KEN" localSheetId="9">#REF!</definedName>
    <definedName name="Pp_Vzdel_TaS_výkon_PPŠ_KEN" localSheetId="10">#REF!</definedName>
    <definedName name="Pp_Vzdel_TaS_výkon_PPŠ_KEN" localSheetId="11">#REF!</definedName>
    <definedName name="Pp_Vzdel_TaS_výkon_PPŠ_KEN">#REF!</definedName>
    <definedName name="Pp_Vzdel_TaS_zahr_granty" localSheetId="24">#REF!</definedName>
    <definedName name="Pp_Vzdel_TaS_zahr_granty" localSheetId="8">#REF!</definedName>
    <definedName name="Pp_Vzdel_TaS_zahr_granty" localSheetId="9">#REF!</definedName>
    <definedName name="Pp_Vzdel_TaS_zahr_granty" localSheetId="10">#REF!</definedName>
    <definedName name="Pp_Vzdel_TaS_zahr_granty" localSheetId="11">#REF!</definedName>
    <definedName name="Pp_Vzdel_TaS_zahr_granty">#REF!</definedName>
    <definedName name="Pp_Vzdel_TaS_zákl" localSheetId="24">#REF!</definedName>
    <definedName name="Pp_Vzdel_TaS_zákl" localSheetId="8">#REF!</definedName>
    <definedName name="Pp_Vzdel_TaS_zákl" localSheetId="9">#REF!</definedName>
    <definedName name="Pp_Vzdel_TaS_zákl" localSheetId="10">#REF!</definedName>
    <definedName name="Pp_Vzdel_TaS_zákl" localSheetId="11">#REF!</definedName>
    <definedName name="Pp_Vzdel_TaS_zákl">#REF!</definedName>
    <definedName name="Pr_AV_BD" localSheetId="24">#REF!</definedName>
    <definedName name="Pr_AV_BD" localSheetId="8">#REF!</definedName>
    <definedName name="Pr_AV_BD" localSheetId="9">#REF!</definedName>
    <definedName name="Pr_AV_BD" localSheetId="10">#REF!</definedName>
    <definedName name="Pr_AV_BD" localSheetId="11">#REF!</definedName>
    <definedName name="Pr_AV_BD">#REF!</definedName>
    <definedName name="Pr_IV_BD" localSheetId="24">#REF!</definedName>
    <definedName name="Pr_IV_BD" localSheetId="8">#REF!</definedName>
    <definedName name="Pr_IV_BD" localSheetId="9">#REF!</definedName>
    <definedName name="Pr_IV_BD" localSheetId="10">#REF!</definedName>
    <definedName name="Pr_IV_BD" localSheetId="11">#REF!</definedName>
    <definedName name="Pr_IV_BD">#REF!</definedName>
    <definedName name="Pr_IV_KV" localSheetId="24">#REF!</definedName>
    <definedName name="Pr_IV_KV" localSheetId="8">#REF!</definedName>
    <definedName name="Pr_IV_KV" localSheetId="9">#REF!</definedName>
    <definedName name="Pr_IV_KV" localSheetId="10">#REF!</definedName>
    <definedName name="Pr_IV_KV" localSheetId="11">#REF!</definedName>
    <definedName name="Pr_IV_KV">#REF!</definedName>
    <definedName name="Pr_IV_KV_rezerva" localSheetId="24">#REF!</definedName>
    <definedName name="Pr_IV_KV_rezerva" localSheetId="8">#REF!</definedName>
    <definedName name="Pr_IV_KV_rezerva" localSheetId="9">#REF!</definedName>
    <definedName name="Pr_IV_KV_rezerva" localSheetId="10">#REF!</definedName>
    <definedName name="Pr_IV_KV_rezerva" localSheetId="11">#REF!</definedName>
    <definedName name="Pr_IV_KV_rezerva">#REF!</definedName>
    <definedName name="Pr_KEGA_BD" localSheetId="24">#REF!</definedName>
    <definedName name="Pr_KEGA_BD" localSheetId="8">#REF!</definedName>
    <definedName name="Pr_KEGA_BD" localSheetId="9">#REF!</definedName>
    <definedName name="Pr_KEGA_BD" localSheetId="10">#REF!</definedName>
    <definedName name="Pr_KEGA_BD" localSheetId="11">#REF!</definedName>
    <definedName name="Pr_KEGA_BD">#REF!</definedName>
    <definedName name="Pr_klinické" localSheetId="24">#REF!</definedName>
    <definedName name="Pr_klinické" localSheetId="8">#REF!</definedName>
    <definedName name="Pr_klinické" localSheetId="9">#REF!</definedName>
    <definedName name="Pr_klinické" localSheetId="10">#REF!</definedName>
    <definedName name="Pr_klinické" localSheetId="11">#REF!</definedName>
    <definedName name="Pr_klinické">#REF!</definedName>
    <definedName name="Pr_KŠ" localSheetId="24">#REF!</definedName>
    <definedName name="Pr_KŠ" localSheetId="8">#REF!</definedName>
    <definedName name="Pr_KŠ" localSheetId="9">#REF!</definedName>
    <definedName name="Pr_KŠ" localSheetId="10">#REF!</definedName>
    <definedName name="Pr_KŠ" localSheetId="11">#REF!</definedName>
    <definedName name="Pr_KŠ">#REF!</definedName>
    <definedName name="Pr_motštip_BD" localSheetId="24">#REF!</definedName>
    <definedName name="Pr_motštip_BD" localSheetId="8">#REF!</definedName>
    <definedName name="Pr_motštip_BD" localSheetId="9">#REF!</definedName>
    <definedName name="Pr_motštip_BD" localSheetId="10">#REF!</definedName>
    <definedName name="Pr_motštip_BD" localSheetId="11">#REF!</definedName>
    <definedName name="Pr_motštip_BD">#REF!</definedName>
    <definedName name="Pr_MVTS_BD" localSheetId="24">#REF!</definedName>
    <definedName name="Pr_MVTS_BD" localSheetId="8">#REF!</definedName>
    <definedName name="Pr_MVTS_BD" localSheetId="9">#REF!</definedName>
    <definedName name="Pr_MVTS_BD" localSheetId="10">#REF!</definedName>
    <definedName name="Pr_MVTS_BD" localSheetId="11">#REF!</definedName>
    <definedName name="Pr_MVTS_BD">#REF!</definedName>
    <definedName name="Pr_socštip_BD" localSheetId="24">#REF!</definedName>
    <definedName name="Pr_socštip_BD" localSheetId="8">#REF!</definedName>
    <definedName name="Pr_socštip_BD" localSheetId="9">#REF!</definedName>
    <definedName name="Pr_socštip_BD" localSheetId="10">#REF!</definedName>
    <definedName name="Pr_socštip_BD" localSheetId="11">#REF!</definedName>
    <definedName name="Pr_socštip_BD">#REF!</definedName>
    <definedName name="Pr_ŠD" localSheetId="24">#REF!</definedName>
    <definedName name="Pr_ŠD" localSheetId="8">#REF!</definedName>
    <definedName name="Pr_ŠD" localSheetId="9">#REF!</definedName>
    <definedName name="Pr_ŠD" localSheetId="10">#REF!</definedName>
    <definedName name="Pr_ŠD" localSheetId="11">#REF!</definedName>
    <definedName name="Pr_ŠD">#REF!</definedName>
    <definedName name="Pr_ŠDaJKŠPC_BD" localSheetId="24">#REF!</definedName>
    <definedName name="Pr_ŠDaJKŠPC_BD" localSheetId="8">#REF!</definedName>
    <definedName name="Pr_ŠDaJKŠPC_BD" localSheetId="9">#REF!</definedName>
    <definedName name="Pr_ŠDaJKŠPC_BD" localSheetId="10">#REF!</definedName>
    <definedName name="Pr_ŠDaJKŠPC_BD" localSheetId="11">#REF!</definedName>
    <definedName name="Pr_ŠDaJKŠPC_BD">#REF!</definedName>
    <definedName name="Pr_VaT_KV_zac_roka" localSheetId="24">#REF!</definedName>
    <definedName name="Pr_VaT_KV_zac_roka" localSheetId="8">#REF!</definedName>
    <definedName name="Pr_VaT_KV_zac_roka" localSheetId="9">#REF!</definedName>
    <definedName name="Pr_VaT_KV_zac_roka" localSheetId="10">#REF!</definedName>
    <definedName name="Pr_VaT_KV_zac_roka" localSheetId="11">#REF!</definedName>
    <definedName name="Pr_VaT_KV_zac_roka">#REF!</definedName>
    <definedName name="Pr_VaT_TaS" localSheetId="24">#REF!</definedName>
    <definedName name="Pr_VaT_TaS" localSheetId="8">#REF!</definedName>
    <definedName name="Pr_VaT_TaS" localSheetId="9">#REF!</definedName>
    <definedName name="Pr_VaT_TaS" localSheetId="10">#REF!</definedName>
    <definedName name="Pr_VaT_TaS" localSheetId="11">#REF!</definedName>
    <definedName name="Pr_VaT_TaS">#REF!</definedName>
    <definedName name="Pr_VaT_TaS_rezerva" localSheetId="24">#REF!</definedName>
    <definedName name="Pr_VaT_TaS_rezerva" localSheetId="8">#REF!</definedName>
    <definedName name="Pr_VaT_TaS_rezerva" localSheetId="9">#REF!</definedName>
    <definedName name="Pr_VaT_TaS_rezerva" localSheetId="10">#REF!</definedName>
    <definedName name="Pr_VaT_TaS_rezerva" localSheetId="11">#REF!</definedName>
    <definedName name="Pr_VaT_TaS_rezerva">#REF!</definedName>
    <definedName name="Pr_VaT_TaS_zac_roka" localSheetId="24">#REF!</definedName>
    <definedName name="Pr_VaT_TaS_zac_roka" localSheetId="8">#REF!</definedName>
    <definedName name="Pr_VaT_TaS_zac_roka" localSheetId="9">#REF!</definedName>
    <definedName name="Pr_VaT_TaS_zac_roka" localSheetId="10">#REF!</definedName>
    <definedName name="Pr_VaT_TaS_zac_roka" localSheetId="11">#REF!</definedName>
    <definedName name="Pr_VaT_TaS_zac_roka">#REF!</definedName>
    <definedName name="Pr_VEGA_BD" localSheetId="24">#REF!</definedName>
    <definedName name="Pr_VEGA_BD" localSheetId="8">#REF!</definedName>
    <definedName name="Pr_VEGA_BD" localSheetId="9">#REF!</definedName>
    <definedName name="Pr_VEGA_BD" localSheetId="10">#REF!</definedName>
    <definedName name="Pr_VEGA_BD" localSheetId="11">#REF!</definedName>
    <definedName name="Pr_VEGA_BD">#REF!</definedName>
    <definedName name="predmety" localSheetId="24">#REF!</definedName>
    <definedName name="predmety" localSheetId="8">#REF!</definedName>
    <definedName name="predmety" localSheetId="9">#REF!</definedName>
    <definedName name="predmety" localSheetId="10">#REF!</definedName>
    <definedName name="predmety" localSheetId="11">#REF!</definedName>
    <definedName name="predmety">#REF!</definedName>
    <definedName name="prisp_na_1_jedlo" localSheetId="24">#REF!</definedName>
    <definedName name="prisp_na_1_jedlo" localSheetId="8">#REF!</definedName>
    <definedName name="prisp_na_1_jedlo" localSheetId="9">#REF!</definedName>
    <definedName name="prisp_na_1_jedlo" localSheetId="10">#REF!</definedName>
    <definedName name="prisp_na_1_jedlo" localSheetId="11">#REF!</definedName>
    <definedName name="prisp_na_1_jedlo">#REF!</definedName>
    <definedName name="prisp_na_ubyt_stud_SD" localSheetId="24">#REF!</definedName>
    <definedName name="prisp_na_ubyt_stud_SD" localSheetId="8">#REF!</definedName>
    <definedName name="prisp_na_ubyt_stud_SD" localSheetId="9">#REF!</definedName>
    <definedName name="prisp_na_ubyt_stud_SD" localSheetId="10">#REF!</definedName>
    <definedName name="prisp_na_ubyt_stud_SD" localSheetId="11">#REF!</definedName>
    <definedName name="prisp_na_ubyt_stud_SD">#REF!</definedName>
    <definedName name="prisp_na_ubyt_stud_ZZ" localSheetId="24">#REF!</definedName>
    <definedName name="prisp_na_ubyt_stud_ZZ" localSheetId="8">#REF!</definedName>
    <definedName name="prisp_na_ubyt_stud_ZZ" localSheetId="9">#REF!</definedName>
    <definedName name="prisp_na_ubyt_stud_ZZ" localSheetId="10">#REF!</definedName>
    <definedName name="prisp_na_ubyt_stud_ZZ" localSheetId="11">#REF!</definedName>
    <definedName name="prisp_na_ubyt_stud_ZZ">#REF!</definedName>
    <definedName name="prísp_zákl_prev" localSheetId="24">#REF!</definedName>
    <definedName name="prísp_zákl_prev" localSheetId="8">#REF!</definedName>
    <definedName name="prísp_zákl_prev" localSheetId="9">#REF!</definedName>
    <definedName name="prísp_zákl_prev" localSheetId="10">#REF!</definedName>
    <definedName name="prísp_zákl_prev" localSheetId="11">#REF!</definedName>
    <definedName name="prísp_zákl_prev">#REF!</definedName>
    <definedName name="R_vvs" localSheetId="24">#REF!</definedName>
    <definedName name="R_vvs" localSheetId="8">#REF!</definedName>
    <definedName name="R_vvs" localSheetId="9">#REF!</definedName>
    <definedName name="R_vvs" localSheetId="10">#REF!</definedName>
    <definedName name="R_vvs" localSheetId="11">#REF!</definedName>
    <definedName name="R_vvs">#REF!</definedName>
    <definedName name="R_vvs_BD" localSheetId="24">#REF!</definedName>
    <definedName name="R_vvs_BD" localSheetId="8">#REF!</definedName>
    <definedName name="R_vvs_BD" localSheetId="9">#REF!</definedName>
    <definedName name="R_vvs_BD" localSheetId="10">#REF!</definedName>
    <definedName name="R_vvs_BD" localSheetId="11">#REF!</definedName>
    <definedName name="R_vvs_BD">#REF!</definedName>
    <definedName name="R_vvs_VaT_BD" localSheetId="24">#REF!</definedName>
    <definedName name="R_vvs_VaT_BD" localSheetId="8">#REF!</definedName>
    <definedName name="R_vvs_VaT_BD" localSheetId="9">#REF!</definedName>
    <definedName name="R_vvs_VaT_BD" localSheetId="10">#REF!</definedName>
    <definedName name="R_vvs_VaT_BD" localSheetId="11">#REF!</definedName>
    <definedName name="R_vvs_VaT_BD">#REF!</definedName>
    <definedName name="Sanet" localSheetId="24">#REF!</definedName>
    <definedName name="Sanet" localSheetId="8">#REF!</definedName>
    <definedName name="Sanet" localSheetId="9">#REF!</definedName>
    <definedName name="Sanet" localSheetId="10">#REF!</definedName>
    <definedName name="Sanet" localSheetId="11">#REF!</definedName>
    <definedName name="Sanet">#REF!</definedName>
    <definedName name="SAPBEXrevision" hidden="1">7</definedName>
    <definedName name="SAPBEXsysID" hidden="1">"BS1"</definedName>
    <definedName name="SAPBEXwbID" hidden="1">"3TG3S316PX9BHXMQEBSXSYZZO"</definedName>
    <definedName name="stavba_ucelova" localSheetId="24">#REF!</definedName>
    <definedName name="stavba_ucelova" localSheetId="8">#REF!</definedName>
    <definedName name="stavba_ucelova" localSheetId="9">#REF!</definedName>
    <definedName name="stavba_ucelova" localSheetId="10">#REF!</definedName>
    <definedName name="stavba_ucelova" localSheetId="11">#REF!</definedName>
    <definedName name="stavba_ucelova">#REF!</definedName>
    <definedName name="studenti_vstup" localSheetId="24">#REF!</definedName>
    <definedName name="studenti_vstup" localSheetId="8">#REF!</definedName>
    <definedName name="studenti_vstup" localSheetId="9">#REF!</definedName>
    <definedName name="studenti_vstup" localSheetId="10">#REF!</definedName>
    <definedName name="studenti_vstup" localSheetId="11">#REF!</definedName>
    <definedName name="studenti_vstup">#REF!</definedName>
    <definedName name="sustava" localSheetId="24">#REF!</definedName>
    <definedName name="sustava" localSheetId="8">#REF!</definedName>
    <definedName name="sustava" localSheetId="9">#REF!</definedName>
    <definedName name="sustava" localSheetId="10">#REF!</definedName>
    <definedName name="sustava" localSheetId="11">#REF!</definedName>
    <definedName name="sustava">#REF!</definedName>
    <definedName name="T_1" localSheetId="24">#REF!</definedName>
    <definedName name="T_1" localSheetId="8">#REF!</definedName>
    <definedName name="T_1" localSheetId="9">#REF!</definedName>
    <definedName name="T_1" localSheetId="10">#REF!</definedName>
    <definedName name="T_1" localSheetId="11">#REF!</definedName>
    <definedName name="T_1">#REF!</definedName>
    <definedName name="T_25_so_štip_2007" localSheetId="24">#REF!</definedName>
    <definedName name="T_25_so_štip_2007" localSheetId="8">#REF!</definedName>
    <definedName name="T_25_so_štip_2007" localSheetId="9">#REF!</definedName>
    <definedName name="T_25_so_štip_2007" localSheetId="10">#REF!</definedName>
    <definedName name="T_25_so_štip_2007" localSheetId="11">#REF!</definedName>
    <definedName name="T_25_so_štip_2007">#REF!</definedName>
    <definedName name="T_M" localSheetId="24">#REF!</definedName>
    <definedName name="T_M" localSheetId="8">#REF!</definedName>
    <definedName name="T_M" localSheetId="9">#REF!</definedName>
    <definedName name="T_M" localSheetId="10">#REF!</definedName>
    <definedName name="T_M" localSheetId="11">#REF!</definedName>
    <definedName name="T_M">#REF!</definedName>
    <definedName name="váha_absDrš" localSheetId="24">#REF!</definedName>
    <definedName name="váha_absDrš" localSheetId="8">#REF!</definedName>
    <definedName name="váha_absDrš" localSheetId="9">#REF!</definedName>
    <definedName name="váha_absDrš" localSheetId="10">#REF!</definedName>
    <definedName name="váha_absDrš" localSheetId="11">#REF!</definedName>
    <definedName name="váha_absDrš">#REF!</definedName>
    <definedName name="váha_DG" localSheetId="24">#REF!</definedName>
    <definedName name="váha_DG" localSheetId="8">#REF!</definedName>
    <definedName name="váha_DG" localSheetId="9">#REF!</definedName>
    <definedName name="váha_DG" localSheetId="10">#REF!</definedName>
    <definedName name="váha_DG" localSheetId="11">#REF!</definedName>
    <definedName name="váha_DG">#REF!</definedName>
    <definedName name="váha_poDs" localSheetId="24">#REF!</definedName>
    <definedName name="váha_poDs" localSheetId="8">#REF!</definedName>
    <definedName name="váha_poDs" localSheetId="9">#REF!</definedName>
    <definedName name="váha_poDs" localSheetId="10">#REF!</definedName>
    <definedName name="váha_poDs" localSheetId="11">#REF!</definedName>
    <definedName name="váha_poDs">#REF!</definedName>
    <definedName name="váha_Pub" localSheetId="24">#REF!</definedName>
    <definedName name="váha_Pub" localSheetId="8">#REF!</definedName>
    <definedName name="váha_Pub" localSheetId="9">#REF!</definedName>
    <definedName name="váha_Pub" localSheetId="10">#REF!</definedName>
    <definedName name="váha_Pub" localSheetId="11">#REF!</definedName>
    <definedName name="váha_Pub">#REF!</definedName>
    <definedName name="váha_ZG" localSheetId="24">#REF!</definedName>
    <definedName name="váha_ZG" localSheetId="8">#REF!</definedName>
    <definedName name="váha_ZG" localSheetId="9">#REF!</definedName>
    <definedName name="váha_ZG" localSheetId="10">#REF!</definedName>
    <definedName name="váha_ZG" localSheetId="11">#REF!</definedName>
    <definedName name="váha_ZG">#REF!</definedName>
    <definedName name="výkon_um" localSheetId="24">#REF!</definedName>
    <definedName name="výkon_um" localSheetId="8">#REF!</definedName>
    <definedName name="výkon_um" localSheetId="9">#REF!</definedName>
    <definedName name="výkon_um" localSheetId="10">#REF!</definedName>
    <definedName name="výkon_um" localSheetId="11">#REF!</definedName>
    <definedName name="výkon_um">#REF!</definedName>
    <definedName name="xxx" hidden="1">"3TGMUFSSIAIMK2KTNC9DELQD0"</definedName>
    <definedName name="zakl_prisp_na_prev_SD" localSheetId="24">#REF!</definedName>
    <definedName name="zakl_prisp_na_prev_SD" localSheetId="8">#REF!</definedName>
    <definedName name="zakl_prisp_na_prev_SD" localSheetId="9">#REF!</definedName>
    <definedName name="zakl_prisp_na_prev_SD" localSheetId="10">#REF!</definedName>
    <definedName name="zakl_prisp_na_prev_SD" localSheetId="11">#REF!</definedName>
    <definedName name="zakl_prisp_na_prev_SD">#REF!</definedName>
    <definedName name="záloha" localSheetId="24">#REF!</definedName>
    <definedName name="záloha" localSheetId="8">#REF!</definedName>
    <definedName name="záloha" localSheetId="9">#REF!</definedName>
    <definedName name="záloha" localSheetId="10">#REF!</definedName>
    <definedName name="záloha" localSheetId="11">#REF!</definedName>
    <definedName name="záloha">#REF!</definedName>
  </definedNames>
  <calcPr calcId="145621" calcMode="manual"/>
</workbook>
</file>

<file path=xl/calcChain.xml><?xml version="1.0" encoding="utf-8"?>
<calcChain xmlns="http://schemas.openxmlformats.org/spreadsheetml/2006/main">
  <c r="N23" i="117" l="1"/>
  <c r="K23" i="117"/>
  <c r="B23" i="117"/>
  <c r="E23" i="117"/>
  <c r="H23" i="117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G5" i="116"/>
  <c r="D4" i="1"/>
  <c r="B38" i="70"/>
  <c r="C23" i="73"/>
  <c r="B23" i="73"/>
  <c r="D22" i="73"/>
  <c r="D21" i="73"/>
  <c r="D20" i="73"/>
  <c r="D19" i="73"/>
  <c r="D18" i="73"/>
  <c r="D17" i="73"/>
  <c r="D16" i="73"/>
  <c r="D15" i="73"/>
  <c r="D14" i="73"/>
  <c r="D13" i="73"/>
  <c r="D12" i="73"/>
  <c r="D11" i="73"/>
  <c r="D10" i="73"/>
  <c r="D9" i="73"/>
  <c r="D8" i="73"/>
  <c r="D7" i="73"/>
  <c r="D6" i="73"/>
  <c r="D5" i="73"/>
  <c r="D23" i="73" s="1"/>
  <c r="D4" i="73"/>
  <c r="D3" i="73"/>
  <c r="K23" i="68"/>
  <c r="E23" i="68"/>
  <c r="B23" i="68"/>
  <c r="H22" i="68"/>
  <c r="G22" i="68"/>
  <c r="F22" i="68"/>
  <c r="C22" i="68"/>
  <c r="D22" i="68" s="1"/>
  <c r="J22" i="68" s="1"/>
  <c r="L22" i="68" s="1"/>
  <c r="I21" i="68"/>
  <c r="H21" i="68"/>
  <c r="F21" i="68"/>
  <c r="G21" i="68" s="1"/>
  <c r="D21" i="68"/>
  <c r="J21" i="68"/>
  <c r="L21" i="68" s="1"/>
  <c r="C21" i="68"/>
  <c r="I20" i="68"/>
  <c r="H20" i="68"/>
  <c r="F20" i="68"/>
  <c r="G20" i="68" s="1"/>
  <c r="D20" i="68"/>
  <c r="C20" i="68"/>
  <c r="I19" i="68"/>
  <c r="H19" i="68"/>
  <c r="F19" i="68"/>
  <c r="G19" i="68" s="1"/>
  <c r="D19" i="68"/>
  <c r="J19" i="68"/>
  <c r="L19" i="68" s="1"/>
  <c r="C19" i="68"/>
  <c r="I18" i="68"/>
  <c r="H18" i="68"/>
  <c r="F18" i="68"/>
  <c r="G18" i="68" s="1"/>
  <c r="D18" i="68"/>
  <c r="J18" i="68" s="1"/>
  <c r="L18" i="68" s="1"/>
  <c r="C18" i="68"/>
  <c r="I17" i="68"/>
  <c r="H17" i="68"/>
  <c r="G17" i="68"/>
  <c r="F17" i="68"/>
  <c r="D17" i="68"/>
  <c r="J17" i="68" s="1"/>
  <c r="L17" i="68" s="1"/>
  <c r="C17" i="68"/>
  <c r="I16" i="68"/>
  <c r="H16" i="68"/>
  <c r="G16" i="68"/>
  <c r="F16" i="68"/>
  <c r="D16" i="68"/>
  <c r="J16" i="68" s="1"/>
  <c r="L16" i="68" s="1"/>
  <c r="C16" i="68"/>
  <c r="I15" i="68"/>
  <c r="H15" i="68"/>
  <c r="G15" i="68"/>
  <c r="F15" i="68"/>
  <c r="D15" i="68"/>
  <c r="J15" i="68"/>
  <c r="L15" i="68" s="1"/>
  <c r="C15" i="68"/>
  <c r="I14" i="68"/>
  <c r="H14" i="68"/>
  <c r="G14" i="68"/>
  <c r="F14" i="68"/>
  <c r="D14" i="68"/>
  <c r="J14" i="68" s="1"/>
  <c r="L14" i="68" s="1"/>
  <c r="C14" i="68"/>
  <c r="I13" i="68"/>
  <c r="H13" i="68"/>
  <c r="G13" i="68"/>
  <c r="F13" i="68"/>
  <c r="D13" i="68"/>
  <c r="J13" i="68" s="1"/>
  <c r="L13" i="68" s="1"/>
  <c r="C13" i="68"/>
  <c r="I12" i="68"/>
  <c r="H12" i="68"/>
  <c r="G12" i="68"/>
  <c r="F12" i="68"/>
  <c r="D12" i="68"/>
  <c r="J12" i="68"/>
  <c r="L12" i="68" s="1"/>
  <c r="C12" i="68"/>
  <c r="I11" i="68"/>
  <c r="H11" i="68"/>
  <c r="G11" i="68"/>
  <c r="F11" i="68"/>
  <c r="D11" i="68"/>
  <c r="J11" i="68"/>
  <c r="L11" i="68" s="1"/>
  <c r="C11" i="68"/>
  <c r="I10" i="68"/>
  <c r="H10" i="68"/>
  <c r="G10" i="68"/>
  <c r="F10" i="68"/>
  <c r="D10" i="68"/>
  <c r="J10" i="68" s="1"/>
  <c r="L10" i="68" s="1"/>
  <c r="C10" i="68"/>
  <c r="I9" i="68"/>
  <c r="H9" i="68"/>
  <c r="G9" i="68"/>
  <c r="F9" i="68"/>
  <c r="D9" i="68"/>
  <c r="J9" i="68" s="1"/>
  <c r="L9" i="68" s="1"/>
  <c r="C9" i="68"/>
  <c r="I8" i="68"/>
  <c r="H8" i="68"/>
  <c r="G8" i="68"/>
  <c r="F8" i="68"/>
  <c r="D8" i="68"/>
  <c r="J8" i="68" s="1"/>
  <c r="L8" i="68" s="1"/>
  <c r="C8" i="68"/>
  <c r="I7" i="68"/>
  <c r="H7" i="68"/>
  <c r="G7" i="68"/>
  <c r="F7" i="68"/>
  <c r="D7" i="68"/>
  <c r="J7" i="68"/>
  <c r="L7" i="68" s="1"/>
  <c r="C7" i="68"/>
  <c r="I6" i="68"/>
  <c r="H6" i="68"/>
  <c r="G6" i="68"/>
  <c r="F6" i="68"/>
  <c r="D6" i="68"/>
  <c r="J6" i="68" s="1"/>
  <c r="L6" i="68" s="1"/>
  <c r="C6" i="68"/>
  <c r="I5" i="68"/>
  <c r="H5" i="68"/>
  <c r="G5" i="68"/>
  <c r="F5" i="68"/>
  <c r="D5" i="68"/>
  <c r="J5" i="68" s="1"/>
  <c r="L5" i="68" s="1"/>
  <c r="C5" i="68"/>
  <c r="I4" i="68"/>
  <c r="H4" i="68"/>
  <c r="H23" i="68" s="1"/>
  <c r="G4" i="68"/>
  <c r="F4" i="68"/>
  <c r="D4" i="68"/>
  <c r="J4" i="68"/>
  <c r="L4" i="68" s="1"/>
  <c r="C4" i="68"/>
  <c r="H3" i="68"/>
  <c r="F3" i="68"/>
  <c r="G3" i="68" s="1"/>
  <c r="C3" i="68"/>
  <c r="I3" i="68" s="1"/>
  <c r="B45" i="67"/>
  <c r="I44" i="67"/>
  <c r="H44" i="67"/>
  <c r="G44" i="67"/>
  <c r="J44" i="67"/>
  <c r="D44" i="67"/>
  <c r="H43" i="67"/>
  <c r="C43" i="67"/>
  <c r="D43" i="67"/>
  <c r="H42" i="67"/>
  <c r="H45" i="67" s="1"/>
  <c r="C42" i="67"/>
  <c r="D42" i="67"/>
  <c r="D45" i="67"/>
  <c r="D41" i="67"/>
  <c r="C41" i="67"/>
  <c r="B41" i="67"/>
  <c r="I40" i="67"/>
  <c r="H40" i="67"/>
  <c r="G40" i="67"/>
  <c r="J40" i="67"/>
  <c r="I39" i="67"/>
  <c r="H39" i="67"/>
  <c r="G39" i="67"/>
  <c r="J39" i="67"/>
  <c r="I38" i="67"/>
  <c r="H38" i="67"/>
  <c r="G38" i="67"/>
  <c r="J38" i="67"/>
  <c r="I37" i="67"/>
  <c r="H37" i="67"/>
  <c r="G37" i="67"/>
  <c r="J37" i="67"/>
  <c r="I36" i="67"/>
  <c r="H36" i="67"/>
  <c r="G36" i="67"/>
  <c r="J36" i="67"/>
  <c r="I35" i="67"/>
  <c r="H35" i="67"/>
  <c r="G35" i="67"/>
  <c r="J35" i="67"/>
  <c r="I34" i="67"/>
  <c r="H34" i="67"/>
  <c r="G34" i="67"/>
  <c r="J34" i="67"/>
  <c r="I33" i="67"/>
  <c r="H33" i="67"/>
  <c r="G33" i="67"/>
  <c r="J33" i="67"/>
  <c r="I32" i="67"/>
  <c r="H32" i="67"/>
  <c r="G32" i="67"/>
  <c r="J32" i="67"/>
  <c r="I31" i="67"/>
  <c r="H31" i="67"/>
  <c r="G31" i="67"/>
  <c r="J31" i="67"/>
  <c r="I30" i="67"/>
  <c r="H30" i="67"/>
  <c r="G30" i="67"/>
  <c r="J30" i="67"/>
  <c r="I29" i="67"/>
  <c r="H29" i="67"/>
  <c r="G29" i="67"/>
  <c r="J29" i="67"/>
  <c r="I28" i="67"/>
  <c r="H28" i="67"/>
  <c r="G28" i="67"/>
  <c r="J28" i="67"/>
  <c r="I27" i="67"/>
  <c r="H27" i="67"/>
  <c r="G27" i="67"/>
  <c r="J27" i="67"/>
  <c r="I26" i="67"/>
  <c r="H26" i="67"/>
  <c r="G26" i="67"/>
  <c r="J26" i="67"/>
  <c r="I25" i="67"/>
  <c r="H25" i="67"/>
  <c r="G25" i="67"/>
  <c r="J25" i="67"/>
  <c r="I24" i="67"/>
  <c r="H24" i="67"/>
  <c r="G24" i="67"/>
  <c r="J24" i="67"/>
  <c r="I23" i="67"/>
  <c r="H23" i="67"/>
  <c r="G23" i="67"/>
  <c r="J23" i="67"/>
  <c r="I22" i="67"/>
  <c r="H22" i="67"/>
  <c r="G22" i="67"/>
  <c r="J22" i="67"/>
  <c r="I21" i="67"/>
  <c r="H21" i="67"/>
  <c r="G21" i="67"/>
  <c r="J21" i="67"/>
  <c r="I20" i="67"/>
  <c r="H20" i="67"/>
  <c r="G20" i="67"/>
  <c r="J20" i="67"/>
  <c r="I19" i="67"/>
  <c r="H19" i="67"/>
  <c r="G19" i="67"/>
  <c r="J19" i="67"/>
  <c r="I18" i="67"/>
  <c r="H18" i="67"/>
  <c r="G18" i="67"/>
  <c r="J18" i="67"/>
  <c r="I17" i="67"/>
  <c r="H17" i="67"/>
  <c r="G17" i="67"/>
  <c r="J17" i="67"/>
  <c r="I16" i="67"/>
  <c r="H16" i="67"/>
  <c r="G16" i="67"/>
  <c r="J16" i="67"/>
  <c r="I15" i="67"/>
  <c r="H15" i="67"/>
  <c r="G15" i="67"/>
  <c r="J15" i="67"/>
  <c r="I14" i="67"/>
  <c r="H14" i="67"/>
  <c r="G14" i="67"/>
  <c r="J14" i="67"/>
  <c r="I13" i="67"/>
  <c r="H13" i="67"/>
  <c r="G13" i="67"/>
  <c r="J13" i="67"/>
  <c r="I12" i="67"/>
  <c r="H12" i="67"/>
  <c r="G12" i="67"/>
  <c r="J12" i="67"/>
  <c r="I11" i="67"/>
  <c r="H11" i="67"/>
  <c r="G11" i="67"/>
  <c r="J11" i="67"/>
  <c r="I10" i="67"/>
  <c r="H10" i="67"/>
  <c r="G10" i="67"/>
  <c r="J10" i="67"/>
  <c r="I9" i="67"/>
  <c r="H9" i="67"/>
  <c r="G9" i="67"/>
  <c r="J9" i="67"/>
  <c r="I8" i="67"/>
  <c r="H8" i="67"/>
  <c r="G8" i="67"/>
  <c r="J8" i="67"/>
  <c r="I7" i="67"/>
  <c r="H7" i="67"/>
  <c r="G7" i="67"/>
  <c r="J7" i="67"/>
  <c r="I6" i="67"/>
  <c r="H6" i="67"/>
  <c r="G6" i="67"/>
  <c r="J6" i="67"/>
  <c r="I5" i="67"/>
  <c r="H5" i="67"/>
  <c r="G5" i="67"/>
  <c r="J5" i="67"/>
  <c r="I4" i="67"/>
  <c r="I41" i="67" s="1"/>
  <c r="H4" i="67"/>
  <c r="H41" i="67"/>
  <c r="G4" i="67"/>
  <c r="G41" i="67" s="1"/>
  <c r="D44" i="66"/>
  <c r="B44" i="66"/>
  <c r="F44" i="66" s="1"/>
  <c r="F43" i="66"/>
  <c r="F42" i="66"/>
  <c r="F41" i="66"/>
  <c r="D40" i="66"/>
  <c r="E35" i="66" s="1"/>
  <c r="B40" i="66"/>
  <c r="C39" i="66" s="1"/>
  <c r="C40" i="66"/>
  <c r="F39" i="66"/>
  <c r="F38" i="66"/>
  <c r="F37" i="66"/>
  <c r="E37" i="66"/>
  <c r="F36" i="66"/>
  <c r="F35" i="66"/>
  <c r="F34" i="66"/>
  <c r="F33" i="66"/>
  <c r="E33" i="66"/>
  <c r="F32" i="66"/>
  <c r="C32" i="66"/>
  <c r="F31" i="66"/>
  <c r="C31" i="66"/>
  <c r="F30" i="66"/>
  <c r="E30" i="66"/>
  <c r="C30" i="66"/>
  <c r="F29" i="66"/>
  <c r="C29" i="66"/>
  <c r="F28" i="66"/>
  <c r="C28" i="66"/>
  <c r="F27" i="66"/>
  <c r="C27" i="66"/>
  <c r="F26" i="66"/>
  <c r="E26" i="66"/>
  <c r="C26" i="66"/>
  <c r="F25" i="66"/>
  <c r="E25" i="66"/>
  <c r="C25" i="66"/>
  <c r="F24" i="66"/>
  <c r="C24" i="66"/>
  <c r="F23" i="66"/>
  <c r="C23" i="66"/>
  <c r="F22" i="66"/>
  <c r="E22" i="66"/>
  <c r="C22" i="66"/>
  <c r="F21" i="66"/>
  <c r="C21" i="66"/>
  <c r="F20" i="66"/>
  <c r="C20" i="66"/>
  <c r="F19" i="66"/>
  <c r="C19" i="66"/>
  <c r="F18" i="66"/>
  <c r="E18" i="66"/>
  <c r="C18" i="66"/>
  <c r="F17" i="66"/>
  <c r="E17" i="66"/>
  <c r="C17" i="66"/>
  <c r="F16" i="66"/>
  <c r="C16" i="66"/>
  <c r="F15" i="66"/>
  <c r="C15" i="66"/>
  <c r="F14" i="66"/>
  <c r="E14" i="66"/>
  <c r="C14" i="66"/>
  <c r="F13" i="66"/>
  <c r="E13" i="66"/>
  <c r="C13" i="66"/>
  <c r="F12" i="66"/>
  <c r="C12" i="66"/>
  <c r="F11" i="66"/>
  <c r="C11" i="66"/>
  <c r="F10" i="66"/>
  <c r="E10" i="66"/>
  <c r="C10" i="66"/>
  <c r="F9" i="66"/>
  <c r="E9" i="66"/>
  <c r="C9" i="66"/>
  <c r="F8" i="66"/>
  <c r="C8" i="66"/>
  <c r="F7" i="66"/>
  <c r="C7" i="66"/>
  <c r="F6" i="66"/>
  <c r="E6" i="66"/>
  <c r="C6" i="66"/>
  <c r="F5" i="66"/>
  <c r="E5" i="66"/>
  <c r="C5" i="66"/>
  <c r="F4" i="66"/>
  <c r="C4" i="66"/>
  <c r="F3" i="66"/>
  <c r="C3" i="66"/>
  <c r="F39" i="65"/>
  <c r="E39" i="65"/>
  <c r="D39" i="65"/>
  <c r="C39" i="65"/>
  <c r="B39" i="65"/>
  <c r="I38" i="65"/>
  <c r="H38" i="65"/>
  <c r="G38" i="65"/>
  <c r="J38" i="65" s="1"/>
  <c r="I37" i="65"/>
  <c r="H37" i="65"/>
  <c r="G37" i="65"/>
  <c r="J37" i="65" s="1"/>
  <c r="I36" i="65"/>
  <c r="H36" i="65"/>
  <c r="G36" i="65"/>
  <c r="J36" i="65" s="1"/>
  <c r="I35" i="65"/>
  <c r="H35" i="65"/>
  <c r="G35" i="65"/>
  <c r="J35" i="65" s="1"/>
  <c r="I34" i="65"/>
  <c r="H34" i="65"/>
  <c r="G34" i="65"/>
  <c r="J34" i="65" s="1"/>
  <c r="I33" i="65"/>
  <c r="H33" i="65"/>
  <c r="G33" i="65"/>
  <c r="J33" i="65" s="1"/>
  <c r="I32" i="65"/>
  <c r="H32" i="65"/>
  <c r="G32" i="65"/>
  <c r="J32" i="65" s="1"/>
  <c r="I31" i="65"/>
  <c r="H31" i="65"/>
  <c r="G31" i="65"/>
  <c r="J31" i="65" s="1"/>
  <c r="I30" i="65"/>
  <c r="H30" i="65"/>
  <c r="G30" i="65"/>
  <c r="J30" i="65" s="1"/>
  <c r="I29" i="65"/>
  <c r="H29" i="65"/>
  <c r="G29" i="65"/>
  <c r="J29" i="65" s="1"/>
  <c r="I28" i="65"/>
  <c r="H28" i="65"/>
  <c r="G28" i="65"/>
  <c r="J28" i="65" s="1"/>
  <c r="I27" i="65"/>
  <c r="H27" i="65"/>
  <c r="G27" i="65"/>
  <c r="J27" i="65" s="1"/>
  <c r="I26" i="65"/>
  <c r="H26" i="65"/>
  <c r="G26" i="65"/>
  <c r="J26" i="65" s="1"/>
  <c r="I25" i="65"/>
  <c r="H25" i="65"/>
  <c r="G25" i="65"/>
  <c r="J25" i="65" s="1"/>
  <c r="I24" i="65"/>
  <c r="H24" i="65"/>
  <c r="G24" i="65"/>
  <c r="J24" i="65" s="1"/>
  <c r="I23" i="65"/>
  <c r="H23" i="65"/>
  <c r="G23" i="65"/>
  <c r="J23" i="65" s="1"/>
  <c r="I22" i="65"/>
  <c r="H22" i="65"/>
  <c r="G22" i="65"/>
  <c r="J22" i="65" s="1"/>
  <c r="I21" i="65"/>
  <c r="H21" i="65"/>
  <c r="G21" i="65"/>
  <c r="J21" i="65" s="1"/>
  <c r="I20" i="65"/>
  <c r="H20" i="65"/>
  <c r="G20" i="65"/>
  <c r="J20" i="65" s="1"/>
  <c r="I19" i="65"/>
  <c r="H19" i="65"/>
  <c r="G19" i="65"/>
  <c r="J19" i="65" s="1"/>
  <c r="I18" i="65"/>
  <c r="H18" i="65"/>
  <c r="G18" i="65"/>
  <c r="J18" i="65" s="1"/>
  <c r="I17" i="65"/>
  <c r="H17" i="65"/>
  <c r="G17" i="65"/>
  <c r="J17" i="65" s="1"/>
  <c r="I16" i="65"/>
  <c r="H16" i="65"/>
  <c r="G16" i="65"/>
  <c r="J16" i="65" s="1"/>
  <c r="I15" i="65"/>
  <c r="H15" i="65"/>
  <c r="G15" i="65"/>
  <c r="J15" i="65" s="1"/>
  <c r="I14" i="65"/>
  <c r="H14" i="65"/>
  <c r="G14" i="65"/>
  <c r="J14" i="65" s="1"/>
  <c r="I13" i="65"/>
  <c r="H13" i="65"/>
  <c r="G13" i="65"/>
  <c r="J13" i="65" s="1"/>
  <c r="I12" i="65"/>
  <c r="H12" i="65"/>
  <c r="G12" i="65"/>
  <c r="J12" i="65" s="1"/>
  <c r="I11" i="65"/>
  <c r="H11" i="65"/>
  <c r="G11" i="65"/>
  <c r="J11" i="65" s="1"/>
  <c r="I10" i="65"/>
  <c r="H10" i="65"/>
  <c r="G10" i="65"/>
  <c r="J10" i="65" s="1"/>
  <c r="I9" i="65"/>
  <c r="H9" i="65"/>
  <c r="G9" i="65"/>
  <c r="J9" i="65" s="1"/>
  <c r="I8" i="65"/>
  <c r="H8" i="65"/>
  <c r="G8" i="65"/>
  <c r="J8" i="65" s="1"/>
  <c r="I7" i="65"/>
  <c r="H7" i="65"/>
  <c r="G7" i="65"/>
  <c r="J7" i="65" s="1"/>
  <c r="I6" i="65"/>
  <c r="H6" i="65"/>
  <c r="G6" i="65"/>
  <c r="J6" i="65" s="1"/>
  <c r="I5" i="65"/>
  <c r="H5" i="65"/>
  <c r="G5" i="65"/>
  <c r="J5" i="65" s="1"/>
  <c r="I4" i="65"/>
  <c r="I39" i="65" s="1"/>
  <c r="H4" i="65"/>
  <c r="H39" i="65"/>
  <c r="G4" i="65"/>
  <c r="D42" i="64"/>
  <c r="B42" i="64"/>
  <c r="F41" i="64"/>
  <c r="F40" i="64"/>
  <c r="F39" i="64"/>
  <c r="D38" i="64"/>
  <c r="E37" i="64" s="1"/>
  <c r="B38" i="64"/>
  <c r="C12" i="64" s="1"/>
  <c r="F37" i="64"/>
  <c r="F36" i="64"/>
  <c r="F35" i="64"/>
  <c r="E35" i="64"/>
  <c r="F34" i="64"/>
  <c r="F33" i="64"/>
  <c r="E33" i="64"/>
  <c r="F32" i="64"/>
  <c r="F31" i="64"/>
  <c r="E31" i="64"/>
  <c r="F30" i="64"/>
  <c r="E30" i="64"/>
  <c r="F29" i="64"/>
  <c r="E29" i="64"/>
  <c r="F28" i="64"/>
  <c r="E28" i="64"/>
  <c r="F27" i="64"/>
  <c r="E27" i="64"/>
  <c r="F26" i="64"/>
  <c r="E26" i="64"/>
  <c r="F25" i="64"/>
  <c r="E25" i="64"/>
  <c r="F24" i="64"/>
  <c r="E24" i="64"/>
  <c r="F23" i="64"/>
  <c r="E23" i="64"/>
  <c r="F22" i="64"/>
  <c r="E22" i="64"/>
  <c r="F21" i="64"/>
  <c r="E21" i="64"/>
  <c r="F20" i="64"/>
  <c r="E20" i="64"/>
  <c r="F19" i="64"/>
  <c r="E19" i="64"/>
  <c r="F18" i="64"/>
  <c r="E18" i="64"/>
  <c r="F17" i="64"/>
  <c r="E17" i="64"/>
  <c r="F16" i="64"/>
  <c r="E16" i="64"/>
  <c r="F15" i="64"/>
  <c r="E15" i="64"/>
  <c r="F14" i="64"/>
  <c r="E14" i="64"/>
  <c r="F13" i="64"/>
  <c r="E13" i="64"/>
  <c r="F12" i="64"/>
  <c r="E12" i="64"/>
  <c r="F11" i="64"/>
  <c r="E11" i="64"/>
  <c r="C11" i="64"/>
  <c r="F10" i="64"/>
  <c r="E10" i="64"/>
  <c r="F9" i="64"/>
  <c r="E9" i="64"/>
  <c r="F8" i="64"/>
  <c r="E8" i="64"/>
  <c r="F7" i="64"/>
  <c r="E7" i="64"/>
  <c r="F6" i="64"/>
  <c r="E6" i="64"/>
  <c r="F5" i="64"/>
  <c r="E5" i="64"/>
  <c r="F4" i="64"/>
  <c r="E4" i="64"/>
  <c r="C4" i="64"/>
  <c r="F3" i="64"/>
  <c r="E3" i="64"/>
  <c r="C3" i="64"/>
  <c r="D37" i="75"/>
  <c r="D38" i="75" s="1"/>
  <c r="D33" i="75"/>
  <c r="D29" i="75"/>
  <c r="D21" i="75"/>
  <c r="D17" i="75"/>
  <c r="D34" i="75" s="1"/>
  <c r="D39" i="75" s="1"/>
  <c r="D13" i="75"/>
  <c r="D10" i="75"/>
  <c r="D6" i="75"/>
  <c r="D14" i="75" s="1"/>
  <c r="D49" i="62"/>
  <c r="D50" i="62" s="1"/>
  <c r="D45" i="62"/>
  <c r="D42" i="62"/>
  <c r="D35" i="62"/>
  <c r="D31" i="62"/>
  <c r="D23" i="62"/>
  <c r="D19" i="62"/>
  <c r="D7" i="62"/>
  <c r="D24" i="62" s="1"/>
  <c r="M24" i="61"/>
  <c r="K24" i="61"/>
  <c r="J24" i="61"/>
  <c r="I24" i="61"/>
  <c r="G24" i="61"/>
  <c r="F24" i="61"/>
  <c r="E24" i="61"/>
  <c r="C24" i="61"/>
  <c r="B24" i="61"/>
  <c r="L23" i="61"/>
  <c r="H23" i="61"/>
  <c r="D23" i="61"/>
  <c r="L22" i="61"/>
  <c r="H22" i="61"/>
  <c r="D22" i="61"/>
  <c r="L21" i="61"/>
  <c r="H21" i="61"/>
  <c r="D21" i="61"/>
  <c r="L20" i="61"/>
  <c r="H20" i="61"/>
  <c r="D20" i="61"/>
  <c r="L19" i="61"/>
  <c r="H19" i="61"/>
  <c r="D19" i="61"/>
  <c r="L18" i="61"/>
  <c r="H18" i="61"/>
  <c r="D18" i="61"/>
  <c r="L17" i="61"/>
  <c r="H17" i="61"/>
  <c r="D17" i="61"/>
  <c r="L16" i="61"/>
  <c r="H16" i="61"/>
  <c r="D16" i="61"/>
  <c r="L15" i="61"/>
  <c r="H15" i="61"/>
  <c r="D15" i="61"/>
  <c r="L14" i="61"/>
  <c r="H14" i="61"/>
  <c r="D14" i="61"/>
  <c r="L13" i="61"/>
  <c r="H13" i="61"/>
  <c r="D13" i="61"/>
  <c r="L12" i="61"/>
  <c r="H12" i="61"/>
  <c r="D12" i="61"/>
  <c r="L11" i="61"/>
  <c r="H11" i="61"/>
  <c r="D11" i="61"/>
  <c r="L10" i="61"/>
  <c r="H10" i="61"/>
  <c r="D10" i="61"/>
  <c r="L9" i="61"/>
  <c r="H9" i="61"/>
  <c r="D9" i="61"/>
  <c r="L8" i="61"/>
  <c r="H8" i="61"/>
  <c r="D8" i="61"/>
  <c r="L7" i="61"/>
  <c r="H7" i="61"/>
  <c r="D7" i="61"/>
  <c r="L6" i="61"/>
  <c r="H6" i="61"/>
  <c r="D6" i="61"/>
  <c r="L5" i="61"/>
  <c r="H5" i="61"/>
  <c r="D5" i="61"/>
  <c r="L4" i="61"/>
  <c r="L24" i="61"/>
  <c r="H4" i="61"/>
  <c r="D4" i="61"/>
  <c r="D24" i="61"/>
  <c r="I24" i="60"/>
  <c r="H24" i="60"/>
  <c r="G24" i="60"/>
  <c r="K23" i="60"/>
  <c r="J23" i="60"/>
  <c r="K22" i="60"/>
  <c r="J22" i="60"/>
  <c r="K21" i="60"/>
  <c r="J21" i="60"/>
  <c r="K20" i="60"/>
  <c r="J20" i="60"/>
  <c r="K19" i="60"/>
  <c r="J19" i="60"/>
  <c r="K18" i="60"/>
  <c r="J18" i="60"/>
  <c r="K17" i="60"/>
  <c r="J17" i="60"/>
  <c r="K16" i="60"/>
  <c r="J16" i="60"/>
  <c r="K15" i="60"/>
  <c r="J15" i="60"/>
  <c r="K14" i="60"/>
  <c r="J14" i="60"/>
  <c r="K13" i="60"/>
  <c r="J13" i="60"/>
  <c r="K12" i="60"/>
  <c r="J12" i="60"/>
  <c r="K11" i="60"/>
  <c r="J11" i="60"/>
  <c r="K10" i="60"/>
  <c r="J10" i="60"/>
  <c r="K9" i="60"/>
  <c r="J9" i="60"/>
  <c r="K8" i="60"/>
  <c r="J8" i="60"/>
  <c r="K7" i="60"/>
  <c r="J7" i="60"/>
  <c r="K6" i="60"/>
  <c r="J6" i="60"/>
  <c r="K5" i="60"/>
  <c r="J5" i="60"/>
  <c r="K4" i="60"/>
  <c r="J4" i="60"/>
  <c r="J24" i="60"/>
  <c r="H23" i="53"/>
  <c r="G23" i="53"/>
  <c r="D23" i="53"/>
  <c r="C23" i="53"/>
  <c r="B23" i="53"/>
  <c r="I22" i="53"/>
  <c r="E22" i="53"/>
  <c r="I21" i="53"/>
  <c r="J21" i="53" s="1"/>
  <c r="E21" i="53"/>
  <c r="I20" i="53"/>
  <c r="E20" i="53"/>
  <c r="I19" i="53"/>
  <c r="E19" i="53"/>
  <c r="I18" i="53"/>
  <c r="E18" i="53"/>
  <c r="I17" i="53"/>
  <c r="E17" i="53"/>
  <c r="I16" i="53"/>
  <c r="E16" i="53"/>
  <c r="I15" i="53"/>
  <c r="E15" i="53"/>
  <c r="I14" i="53"/>
  <c r="E14" i="53"/>
  <c r="I13" i="53"/>
  <c r="J13" i="53" s="1"/>
  <c r="E13" i="53"/>
  <c r="I12" i="53"/>
  <c r="E12" i="53"/>
  <c r="I11" i="53"/>
  <c r="E11" i="53"/>
  <c r="I10" i="53"/>
  <c r="E10" i="53"/>
  <c r="I9" i="53"/>
  <c r="E9" i="53"/>
  <c r="I8" i="53"/>
  <c r="E8" i="53"/>
  <c r="I7" i="53"/>
  <c r="E7" i="53"/>
  <c r="I6" i="53"/>
  <c r="E6" i="53"/>
  <c r="I5" i="53"/>
  <c r="J5" i="53" s="1"/>
  <c r="E5" i="53"/>
  <c r="I4" i="53"/>
  <c r="E4" i="53"/>
  <c r="I3" i="53"/>
  <c r="I23" i="53" s="1"/>
  <c r="E3" i="53"/>
  <c r="E16" i="52"/>
  <c r="D16" i="52"/>
  <c r="B16" i="52"/>
  <c r="C3" i="52"/>
  <c r="F15" i="52"/>
  <c r="C15" i="52"/>
  <c r="F14" i="52"/>
  <c r="C14" i="52"/>
  <c r="F13" i="52"/>
  <c r="C13" i="52"/>
  <c r="F12" i="52"/>
  <c r="C12" i="52"/>
  <c r="F11" i="52"/>
  <c r="C11" i="52"/>
  <c r="F10" i="52"/>
  <c r="C10" i="52"/>
  <c r="F9" i="52"/>
  <c r="C9" i="52"/>
  <c r="F8" i="52"/>
  <c r="C8" i="52"/>
  <c r="F7" i="52"/>
  <c r="C7" i="52"/>
  <c r="F6" i="52"/>
  <c r="C6" i="52"/>
  <c r="F5" i="52"/>
  <c r="C5" i="52"/>
  <c r="F4" i="52"/>
  <c r="F16" i="52" s="1"/>
  <c r="C4" i="52"/>
  <c r="C16" i="52" s="1"/>
  <c r="F3" i="52"/>
  <c r="H23" i="51"/>
  <c r="G23" i="51"/>
  <c r="E23" i="51"/>
  <c r="F22" i="51" s="1"/>
  <c r="C23" i="51"/>
  <c r="B23" i="51"/>
  <c r="I22" i="51"/>
  <c r="D22" i="51"/>
  <c r="I21" i="51"/>
  <c r="F21" i="51"/>
  <c r="D21" i="51"/>
  <c r="I20" i="51"/>
  <c r="F20" i="51"/>
  <c r="D20" i="51"/>
  <c r="I19" i="51"/>
  <c r="D19" i="51"/>
  <c r="I18" i="51"/>
  <c r="D18" i="51"/>
  <c r="I17" i="51"/>
  <c r="F17" i="51"/>
  <c r="D17" i="51"/>
  <c r="I16" i="51"/>
  <c r="F16" i="51"/>
  <c r="D16" i="51"/>
  <c r="I15" i="51"/>
  <c r="D15" i="51"/>
  <c r="I14" i="51"/>
  <c r="D14" i="51"/>
  <c r="I13" i="51"/>
  <c r="F13" i="51"/>
  <c r="D13" i="51"/>
  <c r="I12" i="51"/>
  <c r="F12" i="51"/>
  <c r="D12" i="51"/>
  <c r="I11" i="51"/>
  <c r="D11" i="51"/>
  <c r="I10" i="51"/>
  <c r="D10" i="51"/>
  <c r="I9" i="51"/>
  <c r="F9" i="51"/>
  <c r="D9" i="51"/>
  <c r="I8" i="51"/>
  <c r="F8" i="51"/>
  <c r="D8" i="51"/>
  <c r="I7" i="51"/>
  <c r="D7" i="51"/>
  <c r="D23" i="51" s="1"/>
  <c r="I6" i="51"/>
  <c r="D6" i="51"/>
  <c r="I5" i="51"/>
  <c r="F5" i="51"/>
  <c r="D5" i="51"/>
  <c r="I4" i="51"/>
  <c r="F4" i="51"/>
  <c r="F23" i="51" s="1"/>
  <c r="D4" i="51"/>
  <c r="I3" i="51"/>
  <c r="F3" i="51"/>
  <c r="D3" i="51"/>
  <c r="B24" i="50"/>
  <c r="C8" i="57"/>
  <c r="B8" i="57"/>
  <c r="D7" i="57"/>
  <c r="D6" i="57"/>
  <c r="D5" i="57"/>
  <c r="D4" i="57"/>
  <c r="D3" i="57"/>
  <c r="E19" i="56"/>
  <c r="D19" i="56"/>
  <c r="B19" i="56"/>
  <c r="C3" i="56" s="1"/>
  <c r="F18" i="56"/>
  <c r="C18" i="56"/>
  <c r="F17" i="56"/>
  <c r="C17" i="56"/>
  <c r="F16" i="56"/>
  <c r="C16" i="56"/>
  <c r="F15" i="56"/>
  <c r="C15" i="56"/>
  <c r="F14" i="56"/>
  <c r="C14" i="56"/>
  <c r="F13" i="56"/>
  <c r="C13" i="56"/>
  <c r="F12" i="56"/>
  <c r="C12" i="56"/>
  <c r="F11" i="56"/>
  <c r="C11" i="56"/>
  <c r="F10" i="56"/>
  <c r="C10" i="56"/>
  <c r="F9" i="56"/>
  <c r="C9" i="56"/>
  <c r="F8" i="56"/>
  <c r="C8" i="56"/>
  <c r="F7" i="56"/>
  <c r="C7" i="56"/>
  <c r="F6" i="56"/>
  <c r="C6" i="56"/>
  <c r="F5" i="56"/>
  <c r="C5" i="56"/>
  <c r="C19" i="56" s="1"/>
  <c r="F4" i="56"/>
  <c r="C4" i="56"/>
  <c r="F3" i="56"/>
  <c r="F19" i="56"/>
  <c r="E37" i="3"/>
  <c r="D37" i="3"/>
  <c r="C37" i="3"/>
  <c r="B37" i="3"/>
  <c r="H37" i="3"/>
  <c r="K16" i="1"/>
  <c r="K4" i="1"/>
  <c r="K28" i="1" s="1"/>
  <c r="F16" i="1"/>
  <c r="F4" i="1"/>
  <c r="K10" i="116"/>
  <c r="J10" i="116"/>
  <c r="G10" i="116"/>
  <c r="D10" i="116"/>
  <c r="K9" i="116"/>
  <c r="J9" i="116"/>
  <c r="G9" i="116"/>
  <c r="D9" i="116"/>
  <c r="K8" i="116"/>
  <c r="J8" i="116"/>
  <c r="G8" i="116"/>
  <c r="D8" i="116"/>
  <c r="K7" i="116"/>
  <c r="J7" i="116"/>
  <c r="G7" i="116"/>
  <c r="D7" i="116"/>
  <c r="K6" i="116"/>
  <c r="J6" i="116"/>
  <c r="G6" i="116"/>
  <c r="D6" i="116"/>
  <c r="K5" i="116"/>
  <c r="J5" i="116"/>
  <c r="D5" i="116"/>
  <c r="K4" i="116"/>
  <c r="J4" i="116"/>
  <c r="G4" i="116"/>
  <c r="D4" i="116"/>
  <c r="K3" i="116"/>
  <c r="J3" i="116"/>
  <c r="G3" i="116"/>
  <c r="D3" i="116"/>
  <c r="G36" i="115"/>
  <c r="E36" i="115"/>
  <c r="C36" i="115"/>
  <c r="G35" i="115"/>
  <c r="E35" i="115"/>
  <c r="C35" i="115"/>
  <c r="G34" i="115"/>
  <c r="E34" i="115"/>
  <c r="C34" i="115"/>
  <c r="G33" i="115"/>
  <c r="E33" i="115"/>
  <c r="C33" i="115"/>
  <c r="G32" i="115"/>
  <c r="E32" i="115"/>
  <c r="C32" i="115"/>
  <c r="G31" i="115"/>
  <c r="E31" i="115"/>
  <c r="C31" i="115"/>
  <c r="G30" i="115"/>
  <c r="E30" i="115"/>
  <c r="C30" i="115"/>
  <c r="G29" i="115"/>
  <c r="E29" i="115"/>
  <c r="C29" i="115"/>
  <c r="G28" i="115"/>
  <c r="E28" i="115"/>
  <c r="C28" i="115"/>
  <c r="G27" i="115"/>
  <c r="E27" i="115"/>
  <c r="C27" i="115"/>
  <c r="G25" i="115"/>
  <c r="E25" i="115"/>
  <c r="C25" i="115"/>
  <c r="G24" i="115"/>
  <c r="E24" i="115"/>
  <c r="C24" i="115"/>
  <c r="G23" i="115"/>
  <c r="E23" i="115"/>
  <c r="C23" i="115"/>
  <c r="G22" i="115"/>
  <c r="E22" i="115"/>
  <c r="C22" i="115"/>
  <c r="G21" i="115"/>
  <c r="E21" i="115"/>
  <c r="C21" i="115"/>
  <c r="G20" i="115"/>
  <c r="E20" i="115"/>
  <c r="C20" i="115"/>
  <c r="G19" i="115"/>
  <c r="E19" i="115"/>
  <c r="C19" i="115"/>
  <c r="G18" i="115"/>
  <c r="E18" i="115"/>
  <c r="C18" i="115"/>
  <c r="G17" i="115"/>
  <c r="E17" i="115"/>
  <c r="C17" i="115"/>
  <c r="G16" i="115"/>
  <c r="E16" i="115"/>
  <c r="C16" i="115"/>
  <c r="G14" i="115"/>
  <c r="E14" i="115"/>
  <c r="C14" i="115"/>
  <c r="G13" i="115"/>
  <c r="E13" i="115"/>
  <c r="C13" i="115"/>
  <c r="G12" i="115"/>
  <c r="E12" i="115"/>
  <c r="C12" i="115"/>
  <c r="G11" i="115"/>
  <c r="E11" i="115"/>
  <c r="C11" i="115"/>
  <c r="G10" i="115"/>
  <c r="E10" i="115"/>
  <c r="C10" i="115"/>
  <c r="G9" i="115"/>
  <c r="E9" i="115"/>
  <c r="C9" i="115"/>
  <c r="G8" i="115"/>
  <c r="E8" i="115"/>
  <c r="C8" i="115"/>
  <c r="G7" i="115"/>
  <c r="E7" i="115"/>
  <c r="C7" i="115"/>
  <c r="G6" i="115"/>
  <c r="E6" i="115"/>
  <c r="C6" i="115"/>
  <c r="G5" i="115"/>
  <c r="E5" i="115"/>
  <c r="C5" i="115"/>
  <c r="I16" i="1"/>
  <c r="D16" i="1"/>
  <c r="D28" i="1"/>
  <c r="B16" i="1"/>
  <c r="B28" i="1" s="1"/>
  <c r="I4" i="1"/>
  <c r="B4" i="1"/>
  <c r="J11" i="2"/>
  <c r="J10" i="2"/>
  <c r="J9" i="2"/>
  <c r="J8" i="2"/>
  <c r="J7" i="2"/>
  <c r="J6" i="2"/>
  <c r="J5" i="2"/>
  <c r="I12" i="4"/>
  <c r="H12" i="4"/>
  <c r="G12" i="4"/>
  <c r="F12" i="4"/>
  <c r="E12" i="4"/>
  <c r="D12" i="4"/>
  <c r="C12" i="4"/>
  <c r="B12" i="4"/>
  <c r="J11" i="4"/>
  <c r="J10" i="4"/>
  <c r="J9" i="4"/>
  <c r="J8" i="4"/>
  <c r="J7" i="4"/>
  <c r="J6" i="4"/>
  <c r="J16" i="4" s="1"/>
  <c r="J5" i="4"/>
  <c r="H16" i="4"/>
  <c r="B17" i="4"/>
  <c r="J15" i="4"/>
  <c r="I15" i="4"/>
  <c r="H19" i="4"/>
  <c r="F20" i="4"/>
  <c r="J19" i="4"/>
  <c r="E16" i="4"/>
  <c r="C17" i="4"/>
  <c r="H15" i="4"/>
  <c r="B19" i="4"/>
  <c r="D18" i="4"/>
  <c r="D20" i="4"/>
  <c r="B18" i="4"/>
  <c r="G16" i="4"/>
  <c r="E17" i="4"/>
  <c r="C15" i="4"/>
  <c r="I28" i="1"/>
  <c r="E14" i="1"/>
  <c r="F28" i="1"/>
  <c r="G11" i="1"/>
  <c r="E13" i="1"/>
  <c r="E7" i="1"/>
  <c r="J18" i="1"/>
  <c r="E12" i="1"/>
  <c r="J26" i="1"/>
  <c r="E9" i="1"/>
  <c r="E8" i="1"/>
  <c r="E18" i="1"/>
  <c r="J11" i="1"/>
  <c r="E23" i="1"/>
  <c r="J21" i="1"/>
  <c r="J4" i="1"/>
  <c r="E26" i="1"/>
  <c r="E25" i="1"/>
  <c r="E6" i="1"/>
  <c r="J7" i="1"/>
  <c r="E11" i="1"/>
  <c r="J14" i="1"/>
  <c r="J13" i="1"/>
  <c r="E20" i="1"/>
  <c r="E19" i="1"/>
  <c r="J24" i="1"/>
  <c r="E24" i="1"/>
  <c r="E16" i="1"/>
  <c r="J9" i="1"/>
  <c r="J16" i="1"/>
  <c r="G4" i="1"/>
  <c r="C18" i="1"/>
  <c r="C16" i="1"/>
  <c r="C24" i="1"/>
  <c r="C12" i="1"/>
  <c r="C20" i="1"/>
  <c r="G12" i="1"/>
  <c r="G24" i="1"/>
  <c r="J28" i="1"/>
  <c r="L13" i="1"/>
  <c r="L7" i="1"/>
  <c r="L26" i="1"/>
  <c r="L21" i="1"/>
  <c r="I17" i="4"/>
  <c r="D8" i="57"/>
  <c r="E4" i="57"/>
  <c r="G11" i="56"/>
  <c r="J8" i="53"/>
  <c r="J9" i="53"/>
  <c r="J12" i="53"/>
  <c r="J16" i="53"/>
  <c r="J17" i="53"/>
  <c r="J20" i="53"/>
  <c r="J3" i="53"/>
  <c r="G13" i="52"/>
  <c r="G11" i="52"/>
  <c r="G9" i="52"/>
  <c r="G7" i="52"/>
  <c r="G5" i="52"/>
  <c r="G3" i="52"/>
  <c r="G4" i="52"/>
  <c r="G16" i="52" s="1"/>
  <c r="G6" i="52"/>
  <c r="G8" i="52"/>
  <c r="G10" i="52"/>
  <c r="G12" i="52"/>
  <c r="G14" i="52"/>
  <c r="G15" i="52"/>
  <c r="J4" i="67"/>
  <c r="J41" i="67" s="1"/>
  <c r="G42" i="67"/>
  <c r="G45" i="67" s="1"/>
  <c r="I42" i="67"/>
  <c r="G43" i="67"/>
  <c r="J43" i="67" s="1"/>
  <c r="C33" i="66"/>
  <c r="C34" i="66"/>
  <c r="C35" i="66"/>
  <c r="C36" i="66"/>
  <c r="C37" i="66"/>
  <c r="C38" i="66"/>
  <c r="E39" i="66"/>
  <c r="J4" i="65"/>
  <c r="E36" i="64"/>
  <c r="E3" i="57"/>
  <c r="G26" i="1"/>
  <c r="C36" i="64"/>
  <c r="C33" i="64"/>
  <c r="C32" i="64"/>
  <c r="C31" i="64"/>
  <c r="F6" i="51"/>
  <c r="F7" i="51"/>
  <c r="F10" i="51"/>
  <c r="F11" i="51"/>
  <c r="F14" i="51"/>
  <c r="F15" i="51"/>
  <c r="F18" i="51"/>
  <c r="F19" i="51"/>
  <c r="C14" i="64"/>
  <c r="C16" i="64"/>
  <c r="C18" i="64"/>
  <c r="C20" i="64"/>
  <c r="C21" i="64"/>
  <c r="C24" i="64"/>
  <c r="C25" i="64"/>
  <c r="C26" i="64"/>
  <c r="C29" i="64"/>
  <c r="C45" i="67"/>
  <c r="I43" i="67"/>
  <c r="I45" i="67"/>
  <c r="C23" i="68"/>
  <c r="F23" i="68"/>
  <c r="D3" i="68"/>
  <c r="D23" i="68"/>
  <c r="J3" i="68"/>
  <c r="L3" i="68"/>
  <c r="G17" i="56"/>
  <c r="G6" i="56"/>
  <c r="G33" i="66" l="1"/>
  <c r="G14" i="56"/>
  <c r="G8" i="56"/>
  <c r="G15" i="56"/>
  <c r="G4" i="56"/>
  <c r="G18" i="56"/>
  <c r="G3" i="56"/>
  <c r="G7" i="56"/>
  <c r="E6" i="57"/>
  <c r="E5" i="57"/>
  <c r="G13" i="1"/>
  <c r="G14" i="1"/>
  <c r="L20" i="1"/>
  <c r="L19" i="1"/>
  <c r="L18" i="1"/>
  <c r="G25" i="1"/>
  <c r="L24" i="1"/>
  <c r="L11" i="1"/>
  <c r="L14" i="1"/>
  <c r="G16" i="1"/>
  <c r="G28" i="1" s="1"/>
  <c r="L25" i="1"/>
  <c r="L12" i="1"/>
  <c r="L9" i="1"/>
  <c r="L6" i="1"/>
  <c r="G23" i="1"/>
  <c r="L28" i="1"/>
  <c r="C38" i="3"/>
  <c r="J6" i="53"/>
  <c r="J10" i="53"/>
  <c r="J14" i="53"/>
  <c r="J18" i="53"/>
  <c r="J22" i="53"/>
  <c r="J7" i="53"/>
  <c r="J11" i="53"/>
  <c r="J15" i="53"/>
  <c r="J19" i="53"/>
  <c r="G23" i="68"/>
  <c r="G4" i="3"/>
  <c r="F37" i="3"/>
  <c r="G10" i="3"/>
  <c r="G20" i="3"/>
  <c r="G26" i="3"/>
  <c r="G36" i="3"/>
  <c r="G9" i="56"/>
  <c r="C28" i="64"/>
  <c r="C22" i="64"/>
  <c r="C17" i="64"/>
  <c r="C35" i="64"/>
  <c r="E7" i="57"/>
  <c r="J39" i="65"/>
  <c r="G12" i="56"/>
  <c r="L23" i="1"/>
  <c r="H21" i="4"/>
  <c r="E20" i="4"/>
  <c r="E15" i="4"/>
  <c r="H18" i="4"/>
  <c r="G20" i="4"/>
  <c r="I21" i="4"/>
  <c r="F18" i="4"/>
  <c r="G15" i="4"/>
  <c r="H20" i="4"/>
  <c r="I19" i="4"/>
  <c r="C16" i="4"/>
  <c r="F16" i="4"/>
  <c r="G17" i="4"/>
  <c r="E19" i="4"/>
  <c r="D19" i="4"/>
  <c r="B15" i="4"/>
  <c r="B16" i="4"/>
  <c r="G21" i="4"/>
  <c r="F21" i="4"/>
  <c r="D17" i="4"/>
  <c r="F19" i="4"/>
  <c r="J12" i="4"/>
  <c r="J21" i="4"/>
  <c r="E18" i="4"/>
  <c r="D21" i="4"/>
  <c r="J17" i="4"/>
  <c r="J22" i="4" s="1"/>
  <c r="B21" i="4"/>
  <c r="I16" i="4"/>
  <c r="I22" i="4" s="1"/>
  <c r="D16" i="4"/>
  <c r="E21" i="4"/>
  <c r="G18" i="4"/>
  <c r="I18" i="4"/>
  <c r="D15" i="4"/>
  <c r="D22" i="4" s="1"/>
  <c r="J18" i="4"/>
  <c r="I20" i="4"/>
  <c r="H17" i="4"/>
  <c r="H22" i="4" s="1"/>
  <c r="C21" i="4"/>
  <c r="F17" i="4"/>
  <c r="B20" i="4"/>
  <c r="C20" i="4"/>
  <c r="C19" i="4"/>
  <c r="C22" i="4" s="1"/>
  <c r="F15" i="4"/>
  <c r="C18" i="4"/>
  <c r="G19" i="4"/>
  <c r="C14" i="1"/>
  <c r="C8" i="1"/>
  <c r="C4" i="1"/>
  <c r="C28" i="1" s="1"/>
  <c r="C19" i="1"/>
  <c r="C23" i="1"/>
  <c r="C13" i="1"/>
  <c r="C9" i="1"/>
  <c r="C25" i="1"/>
  <c r="C21" i="1"/>
  <c r="C11" i="1"/>
  <c r="C6" i="1"/>
  <c r="C26" i="1"/>
  <c r="C7" i="1"/>
  <c r="L16" i="1"/>
  <c r="E23" i="53"/>
  <c r="F4" i="53"/>
  <c r="F16" i="53"/>
  <c r="F20" i="53"/>
  <c r="G39" i="65"/>
  <c r="G5" i="56"/>
  <c r="E8" i="57"/>
  <c r="G10" i="56"/>
  <c r="G13" i="56"/>
  <c r="J42" i="67"/>
  <c r="J45" i="67" s="1"/>
  <c r="J4" i="53"/>
  <c r="J23" i="53" s="1"/>
  <c r="G16" i="56"/>
  <c r="L4" i="1"/>
  <c r="L8" i="1"/>
  <c r="J20" i="4"/>
  <c r="J12" i="2"/>
  <c r="J15" i="2" s="1"/>
  <c r="J19" i="2"/>
  <c r="J9" i="51"/>
  <c r="I23" i="51"/>
  <c r="J12" i="51" s="1"/>
  <c r="J14" i="51"/>
  <c r="C37" i="64"/>
  <c r="C13" i="64"/>
  <c r="C9" i="64"/>
  <c r="C5" i="64"/>
  <c r="C10" i="64"/>
  <c r="C6" i="64"/>
  <c r="C7" i="64"/>
  <c r="C8" i="64"/>
  <c r="F38" i="64"/>
  <c r="G5" i="64" s="1"/>
  <c r="C34" i="64"/>
  <c r="C30" i="64"/>
  <c r="C15" i="64"/>
  <c r="C19" i="64"/>
  <c r="C23" i="64"/>
  <c r="C27" i="64"/>
  <c r="J20" i="68"/>
  <c r="L20" i="68" s="1"/>
  <c r="L23" i="68" s="1"/>
  <c r="G12" i="3"/>
  <c r="G18" i="3"/>
  <c r="G28" i="3"/>
  <c r="G34" i="3"/>
  <c r="J19" i="1"/>
  <c r="J25" i="1"/>
  <c r="J12" i="1"/>
  <c r="J20" i="1"/>
  <c r="J6" i="1"/>
  <c r="E21" i="1"/>
  <c r="J23" i="1"/>
  <c r="J8" i="1"/>
  <c r="K24" i="60"/>
  <c r="H24" i="61"/>
  <c r="F42" i="64"/>
  <c r="F40" i="66"/>
  <c r="E21" i="66"/>
  <c r="E29" i="66"/>
  <c r="E4" i="1"/>
  <c r="E28" i="1" s="1"/>
  <c r="G8" i="3"/>
  <c r="G16" i="3"/>
  <c r="G24" i="3"/>
  <c r="G32" i="3"/>
  <c r="D46" i="62"/>
  <c r="D51" i="62" s="1"/>
  <c r="E40" i="66"/>
  <c r="E31" i="66"/>
  <c r="E27" i="66"/>
  <c r="E23" i="66"/>
  <c r="E19" i="66"/>
  <c r="E15" i="66"/>
  <c r="E11" i="66"/>
  <c r="E7" i="66"/>
  <c r="E36" i="66"/>
  <c r="E34" i="66"/>
  <c r="E32" i="66"/>
  <c r="E28" i="66"/>
  <c r="E24" i="66"/>
  <c r="E20" i="66"/>
  <c r="E16" i="66"/>
  <c r="E12" i="66"/>
  <c r="E8" i="66"/>
  <c r="E4" i="66"/>
  <c r="E3" i="66"/>
  <c r="G6" i="3"/>
  <c r="G14" i="3"/>
  <c r="G22" i="3"/>
  <c r="G30" i="3"/>
  <c r="E32" i="64"/>
  <c r="E38" i="64" s="1"/>
  <c r="E34" i="64"/>
  <c r="I22" i="68"/>
  <c r="I23" i="68" s="1"/>
  <c r="G36" i="66" l="1"/>
  <c r="G32" i="66"/>
  <c r="G28" i="66"/>
  <c r="G24" i="66"/>
  <c r="G20" i="66"/>
  <c r="G16" i="66"/>
  <c r="G12" i="66"/>
  <c r="G8" i="66"/>
  <c r="G4" i="66"/>
  <c r="G35" i="66"/>
  <c r="G27" i="66"/>
  <c r="G19" i="66"/>
  <c r="G11" i="66"/>
  <c r="G3" i="66"/>
  <c r="G34" i="66"/>
  <c r="G26" i="66"/>
  <c r="G18" i="66"/>
  <c r="G10" i="66"/>
  <c r="G38" i="66"/>
  <c r="G14" i="66"/>
  <c r="G13" i="66"/>
  <c r="G25" i="66"/>
  <c r="G17" i="66"/>
  <c r="G9" i="66"/>
  <c r="G39" i="66"/>
  <c r="G40" i="66"/>
  <c r="G30" i="66"/>
  <c r="G22" i="66"/>
  <c r="G6" i="66"/>
  <c r="G37" i="66"/>
  <c r="G29" i="66"/>
  <c r="G21" i="66"/>
  <c r="G5" i="66"/>
  <c r="C38" i="64"/>
  <c r="G15" i="66"/>
  <c r="F7" i="53"/>
  <c r="F11" i="53"/>
  <c r="F15" i="53"/>
  <c r="F19" i="53"/>
  <c r="F3" i="53"/>
  <c r="F9" i="53"/>
  <c r="F17" i="53"/>
  <c r="F5" i="53"/>
  <c r="F13" i="53"/>
  <c r="F6" i="53"/>
  <c r="F22" i="53"/>
  <c r="F10" i="53"/>
  <c r="F18" i="53"/>
  <c r="F21" i="53"/>
  <c r="F14" i="53"/>
  <c r="B22" i="4"/>
  <c r="G22" i="4"/>
  <c r="G23" i="66"/>
  <c r="G19" i="56"/>
  <c r="J11" i="51"/>
  <c r="G7" i="66"/>
  <c r="F12" i="53"/>
  <c r="E22" i="4"/>
  <c r="G33" i="3"/>
  <c r="G25" i="3"/>
  <c r="G37" i="3" s="1"/>
  <c r="G17" i="3"/>
  <c r="G9" i="3"/>
  <c r="E38" i="3"/>
  <c r="G35" i="3"/>
  <c r="G27" i="3"/>
  <c r="G19" i="3"/>
  <c r="G11" i="3"/>
  <c r="G31" i="3"/>
  <c r="G15" i="3"/>
  <c r="G21" i="3"/>
  <c r="G5" i="3"/>
  <c r="D38" i="3"/>
  <c r="G23" i="3"/>
  <c r="G7" i="3"/>
  <c r="B38" i="3"/>
  <c r="G29" i="3"/>
  <c r="G13" i="3"/>
  <c r="G31" i="66"/>
  <c r="J23" i="68"/>
  <c r="G30" i="64"/>
  <c r="G34" i="64"/>
  <c r="G8" i="64"/>
  <c r="G31" i="64"/>
  <c r="G37" i="64"/>
  <c r="G26" i="64"/>
  <c r="G18" i="64"/>
  <c r="G7" i="64"/>
  <c r="G27" i="64"/>
  <c r="G19" i="64"/>
  <c r="G9" i="64"/>
  <c r="G33" i="64"/>
  <c r="G4" i="64"/>
  <c r="G14" i="64"/>
  <c r="G23" i="64"/>
  <c r="G36" i="64"/>
  <c r="G28" i="64"/>
  <c r="G11" i="64"/>
  <c r="G21" i="64"/>
  <c r="G13" i="64"/>
  <c r="G32" i="64"/>
  <c r="G12" i="64"/>
  <c r="G24" i="64"/>
  <c r="G16" i="64"/>
  <c r="G3" i="64"/>
  <c r="G25" i="64"/>
  <c r="G17" i="64"/>
  <c r="G22" i="64"/>
  <c r="G10" i="64"/>
  <c r="G15" i="64"/>
  <c r="G29" i="64"/>
  <c r="G35" i="64"/>
  <c r="G20" i="64"/>
  <c r="G6" i="64"/>
  <c r="J16" i="51"/>
  <c r="J17" i="51"/>
  <c r="J18" i="51"/>
  <c r="J4" i="51"/>
  <c r="J19" i="51"/>
  <c r="J8" i="51"/>
  <c r="J5" i="51"/>
  <c r="J21" i="51"/>
  <c r="J22" i="51"/>
  <c r="J13" i="51"/>
  <c r="J20" i="51"/>
  <c r="J7" i="51"/>
  <c r="J3" i="51"/>
  <c r="J10" i="51"/>
  <c r="J6" i="51"/>
  <c r="J15" i="51"/>
  <c r="E14" i="2"/>
  <c r="D18" i="2"/>
  <c r="J17" i="2"/>
  <c r="F16" i="2"/>
  <c r="I19" i="2"/>
  <c r="C13" i="2"/>
  <c r="H14" i="2"/>
  <c r="H17" i="2"/>
  <c r="D14" i="2"/>
  <c r="I13" i="2"/>
  <c r="I14" i="2"/>
  <c r="F13" i="2"/>
  <c r="E16" i="2"/>
  <c r="B16" i="2"/>
  <c r="J16" i="2"/>
  <c r="C14" i="2"/>
  <c r="D16" i="2"/>
  <c r="G13" i="2"/>
  <c r="G17" i="2"/>
  <c r="G18" i="2"/>
  <c r="D13" i="2"/>
  <c r="F15" i="2"/>
  <c r="E17" i="2"/>
  <c r="D15" i="2"/>
  <c r="J14" i="2"/>
  <c r="F19" i="2"/>
  <c r="I17" i="2"/>
  <c r="C17" i="2"/>
  <c r="H16" i="2"/>
  <c r="F14" i="2"/>
  <c r="B18" i="2"/>
  <c r="J18" i="2"/>
  <c r="B15" i="2"/>
  <c r="I15" i="2"/>
  <c r="B14" i="2"/>
  <c r="D17" i="2"/>
  <c r="I18" i="2"/>
  <c r="G14" i="2"/>
  <c r="B19" i="2"/>
  <c r="H13" i="2"/>
  <c r="D19" i="2"/>
  <c r="E15" i="2"/>
  <c r="C15" i="2"/>
  <c r="I16" i="2"/>
  <c r="J13" i="2"/>
  <c r="G16" i="2"/>
  <c r="B13" i="2"/>
  <c r="C18" i="2"/>
  <c r="C16" i="2"/>
  <c r="H18" i="2"/>
  <c r="G15" i="2"/>
  <c r="E19" i="2"/>
  <c r="H19" i="2"/>
  <c r="F18" i="2"/>
  <c r="C19" i="2"/>
  <c r="G19" i="2"/>
  <c r="B17" i="2"/>
  <c r="E13" i="2"/>
  <c r="E18" i="2"/>
  <c r="F17" i="2"/>
  <c r="H15" i="2"/>
  <c r="F8" i="53"/>
  <c r="F22" i="4"/>
  <c r="G38" i="64" l="1"/>
  <c r="F23" i="53"/>
  <c r="F38" i="3"/>
  <c r="J23" i="51"/>
</calcChain>
</file>

<file path=xl/sharedStrings.xml><?xml version="1.0" encoding="utf-8"?>
<sst xmlns="http://schemas.openxmlformats.org/spreadsheetml/2006/main" count="1475" uniqueCount="653">
  <si>
    <t>I</t>
  </si>
  <si>
    <t>I+II</t>
  </si>
  <si>
    <t>II</t>
  </si>
  <si>
    <t>III</t>
  </si>
  <si>
    <t>Tabuľka č. 1: Počet a štruktúra študentov podľa formy, stupňa štúdia a typu vysokej školy</t>
  </si>
  <si>
    <t>SR</t>
  </si>
  <si>
    <t>denná forma</t>
  </si>
  <si>
    <t>externá forma</t>
  </si>
  <si>
    <t>denná</t>
  </si>
  <si>
    <t>externá</t>
  </si>
  <si>
    <t>Poľnohosp.-lesnícke a veterinárne vedy a náuky</t>
  </si>
  <si>
    <t>Prírodné vedy</t>
  </si>
  <si>
    <t>Spoločenské vedy, náuky a služby</t>
  </si>
  <si>
    <t>Technické vedy a náuky</t>
  </si>
  <si>
    <t>Vedy a náuky o kultúre a umení</t>
  </si>
  <si>
    <t>Vojenské a bezpečnostné vedy a náuky</t>
  </si>
  <si>
    <t>Zdravotníctvo</t>
  </si>
  <si>
    <t>Spolu</t>
  </si>
  <si>
    <t>Typ vysokej školy</t>
  </si>
  <si>
    <t>Stupeň štúdia</t>
  </si>
  <si>
    <t>Skupina študijných odborov</t>
  </si>
  <si>
    <t xml:space="preserve"> v % vyjadrení</t>
  </si>
  <si>
    <t>spolu</t>
  </si>
  <si>
    <t>UK Bratislava</t>
  </si>
  <si>
    <t>STU Bratislava</t>
  </si>
  <si>
    <t>TU Košice</t>
  </si>
  <si>
    <t>VŠZaSP Bratislava</t>
  </si>
  <si>
    <t>EU Bratislava</t>
  </si>
  <si>
    <t>UKF Nitra</t>
  </si>
  <si>
    <t>PU Prešov</t>
  </si>
  <si>
    <t>SPU Nitra</t>
  </si>
  <si>
    <t>UPJŠ Košice</t>
  </si>
  <si>
    <t>TvU Trnava</t>
  </si>
  <si>
    <t>KU Ružomberok</t>
  </si>
  <si>
    <t>UCM Trnava</t>
  </si>
  <si>
    <t>VŠEMVS Bratislava</t>
  </si>
  <si>
    <t>TU Zvolen</t>
  </si>
  <si>
    <t>VŠBM Košice</t>
  </si>
  <si>
    <t>VŠ Sládkovičovo</t>
  </si>
  <si>
    <t>UJS Komárno</t>
  </si>
  <si>
    <t>VŠMU Bratislava</t>
  </si>
  <si>
    <t>VŠVU Bratislava</t>
  </si>
  <si>
    <t>Stupeň</t>
  </si>
  <si>
    <t>Vysoká škola</t>
  </si>
  <si>
    <t>I alebo II</t>
  </si>
  <si>
    <t>ŽU Žilina</t>
  </si>
  <si>
    <t>VŠM Trenčín</t>
  </si>
  <si>
    <t>SEVŠ Skalica</t>
  </si>
  <si>
    <t xml:space="preserve">Prihlášky </t>
  </si>
  <si>
    <t>Prihlásení</t>
  </si>
  <si>
    <t>Prihlášky / prihlásení</t>
  </si>
  <si>
    <t>Prijatia</t>
  </si>
  <si>
    <t>Prijatí</t>
  </si>
  <si>
    <t>Zapísaní</t>
  </si>
  <si>
    <t>počet</t>
  </si>
  <si>
    <t>podiel</t>
  </si>
  <si>
    <t>denná forma štúdia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</si>
  <si>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</si>
  <si>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</si>
  <si>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</si>
  <si>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</si>
  <si>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</si>
  <si>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</si>
  <si>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</si>
  <si>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</si>
  <si>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externá forma štúdia</t>
  </si>
  <si>
    <t>denná a externá forma spolu</t>
  </si>
  <si>
    <t xml:space="preserve">maturanti </t>
  </si>
  <si>
    <t>% maturantov</t>
  </si>
  <si>
    <t>ostatní</t>
  </si>
  <si>
    <t>Prihlášky</t>
  </si>
  <si>
    <t>Zápis</t>
  </si>
  <si>
    <t>celkový počet</t>
  </si>
  <si>
    <t>V tom cudzinci</t>
  </si>
  <si>
    <t>Verejné</t>
  </si>
  <si>
    <t>Súkromné</t>
  </si>
  <si>
    <t>Podiel v SR</t>
  </si>
  <si>
    <t xml:space="preserve">Stupeň </t>
  </si>
  <si>
    <t>Podiel VŠ</t>
  </si>
  <si>
    <t>Prihlásení
 (fyzické osoby)</t>
  </si>
  <si>
    <t>Prijatí 
(fyzické osoby)</t>
  </si>
  <si>
    <t>Zapísaní
(fyzické osoby)</t>
  </si>
  <si>
    <t>Za všetky skupiny</t>
  </si>
  <si>
    <t>Vek</t>
  </si>
  <si>
    <t>≤ 20</t>
  </si>
  <si>
    <t>61 ≤</t>
  </si>
  <si>
    <t>Forma</t>
  </si>
  <si>
    <t>Denná</t>
  </si>
  <si>
    <t>Externá</t>
  </si>
  <si>
    <t>Rok</t>
  </si>
  <si>
    <t>Uchádzači</t>
  </si>
  <si>
    <t>z tej istej školy</t>
  </si>
  <si>
    <t xml:space="preserve"> % z celkového
počtu</t>
  </si>
  <si>
    <t>X</t>
  </si>
  <si>
    <t>Tabuľka č. 1:</t>
  </si>
  <si>
    <t>Počet a štruktúra študentov podľa formy, stupňa a typu vysokej školy</t>
  </si>
  <si>
    <t>Tabuľka č. 2:</t>
  </si>
  <si>
    <t>Tabuľka č. 3:</t>
  </si>
  <si>
    <t>Tabuľka č. 4:</t>
  </si>
  <si>
    <t>Tabuľka č. 7:</t>
  </si>
  <si>
    <t>PEVŠ Bratislava</t>
  </si>
  <si>
    <t>z toho cudzinci</t>
  </si>
  <si>
    <t>UVLF Košice</t>
  </si>
  <si>
    <t>Počet učiteľov</t>
  </si>
  <si>
    <t>Priemerný plat učiteľov</t>
  </si>
  <si>
    <t>z toho:</t>
  </si>
  <si>
    <t>Počet výskumných pracovníkov</t>
  </si>
  <si>
    <t>Priemerný plat výskumných pracovníkov</t>
  </si>
  <si>
    <t>Počet neučiteľov</t>
  </si>
  <si>
    <t>Priemerný plat neučiteľov</t>
  </si>
  <si>
    <t>Počet všetkých zamestnancov</t>
  </si>
  <si>
    <t>Priemerný plat všetkých zamestnancov</t>
  </si>
  <si>
    <t>Počet profesorov</t>
  </si>
  <si>
    <t>Priemerný plat profesorov</t>
  </si>
  <si>
    <t>Priemerný plat docentov</t>
  </si>
  <si>
    <t xml:space="preserve">Počet  odborných asistentov </t>
  </si>
  <si>
    <t>Priemerný plat odborných asistentov</t>
  </si>
  <si>
    <t xml:space="preserve">Počet  asistentov </t>
  </si>
  <si>
    <t>Priemerný plat  asistentov</t>
  </si>
  <si>
    <t>Počet  lektorov</t>
  </si>
  <si>
    <t>Priemerný plat  lektorov</t>
  </si>
  <si>
    <t xml:space="preserve">KU Ružomberok </t>
  </si>
  <si>
    <t>Zdroj: Štvrťročný výkaz o práci vysokých škôl a ostatných organizácií priamo riadených MŠVV a Š SR /Škol (MŠVV a Š SR) 2-04/</t>
  </si>
  <si>
    <t xml:space="preserve">Počet docentov </t>
  </si>
  <si>
    <t>Účet</t>
  </si>
  <si>
    <t>Náklady
hlavnej činnosti</t>
  </si>
  <si>
    <t>501 - Spotreba materiálu</t>
  </si>
  <si>
    <t>502 - Spotreba energie</t>
  </si>
  <si>
    <t>511 - Opravy a udržiavanie</t>
  </si>
  <si>
    <t>512 - Cestovné</t>
  </si>
  <si>
    <t>518 - Ostatné služby</t>
  </si>
  <si>
    <t>521 - Mzdové náklady</t>
  </si>
  <si>
    <t>525 - Ostatné sociálne poistenie</t>
  </si>
  <si>
    <t xml:space="preserve">528 - Ostatné sociálne náklady </t>
  </si>
  <si>
    <t>531 - Daň z motorových vozidiel</t>
  </si>
  <si>
    <t>532 - Daň z nehnuteľností</t>
  </si>
  <si>
    <t>538 - Ostatné dane a poplatky</t>
  </si>
  <si>
    <t>541 - Zmluvné pokuty a penále</t>
  </si>
  <si>
    <t>542 - Ostatné pokuty a penále</t>
  </si>
  <si>
    <t>543 - Odpísanie pohľadávky</t>
  </si>
  <si>
    <t>544 - Úroky</t>
  </si>
  <si>
    <t>545 - Kurzové straty</t>
  </si>
  <si>
    <t>546 - Dary</t>
  </si>
  <si>
    <t>547 - Osobitné náklady</t>
  </si>
  <si>
    <t>548 - Manká a škody</t>
  </si>
  <si>
    <t>549 - Iné ostatné náklady</t>
  </si>
  <si>
    <t>554 - Predaný materiál</t>
  </si>
  <si>
    <t>556 - Tvorba fondov</t>
  </si>
  <si>
    <t>557 - Náklady z precenenie cenných papierov</t>
  </si>
  <si>
    <t>562 - Poskytnuté príspevky iným účtovným jednotkám</t>
  </si>
  <si>
    <t>563 - Poskytnuté príspevky fyzickým osobám</t>
  </si>
  <si>
    <t xml:space="preserve">Počet nových  projektov, 
ktoré získali podporu   </t>
  </si>
  <si>
    <t xml:space="preserve">Počet podporovaných pokračujúcich    projektov </t>
  </si>
  <si>
    <t xml:space="preserve">Celkový počet podporovaných projektov   </t>
  </si>
  <si>
    <t xml:space="preserve">Podiel vysokej školy na celkovom počte podporovaných projektov 
(v %) </t>
  </si>
  <si>
    <t>Objem finančnej podpory na projekty - bežné výdavky 
(v €)</t>
  </si>
  <si>
    <t>Objem finančnej podpory na projekty - kapitálové výdavky 
(v €)</t>
  </si>
  <si>
    <t>Celkový objem finančnej podpory na projekty
(v €)</t>
  </si>
  <si>
    <t xml:space="preserve">Podiel vysokej školy na celkovom objeme pridelených finančných prostriedkov 
(v %) </t>
  </si>
  <si>
    <t>UMB Banská Bystrica</t>
  </si>
  <si>
    <t>AU Banská Bystrica</t>
  </si>
  <si>
    <t>Názov komisie</t>
  </si>
  <si>
    <t>Celkový počet podporovaných projektov</t>
  </si>
  <si>
    <t xml:space="preserve">Podiel komisie na celkovom počte podporovaných projektov 
(v %) </t>
  </si>
  <si>
    <t>Celkový objem finančnej podpory na projekty 
(v €)</t>
  </si>
  <si>
    <t>Podiel komisie na celkovom objeme pridelených finančných prostriedkov 
(v %)</t>
  </si>
  <si>
    <t>Komisia VEGA č. 2 pre vedy o Zemi a vesmíre, environmentálne vedy (aj zemské zdroje)</t>
  </si>
  <si>
    <t>Komisia VEGA č. 9 pre lekárske vedy a farmaceutické vedy</t>
  </si>
  <si>
    <t>Komisia VEGA č. 10 pre historické vedy a vedy o spoločnosti (filozofia, sociológia, politológia, teológia)</t>
  </si>
  <si>
    <t>Komisia VEGA č. 11 pre vedy o človeku (psychológia, pedagogika, vedy o športe)</t>
  </si>
  <si>
    <t>Komisia VEGA č. 12 pre vedy o umení, estetiku a jazykovedu</t>
  </si>
  <si>
    <t>Komisia VEGA č. 13 pre ekonomické a právne vedy</t>
  </si>
  <si>
    <t>Zdroj: APVV</t>
  </si>
  <si>
    <t>stále aktíva</t>
  </si>
  <si>
    <t>dlhodobý nehmotný majetok</t>
  </si>
  <si>
    <t>software</t>
  </si>
  <si>
    <t>oceniteľné práva</t>
  </si>
  <si>
    <t>ostatný dlhodobý nehmotný majetok</t>
  </si>
  <si>
    <t>obstaranie dlhodobého nehmotného majetku</t>
  </si>
  <si>
    <t>dlhodobý nehmotný majetok Celkom</t>
  </si>
  <si>
    <t>dlhodobý hmotný majetok</t>
  </si>
  <si>
    <t>pozemky</t>
  </si>
  <si>
    <t>umelecké diela a zbierky</t>
  </si>
  <si>
    <t>obstaranie dlhodobého hmotného majetku</t>
  </si>
  <si>
    <t>stavby</t>
  </si>
  <si>
    <t>dopravné prostriedky</t>
  </si>
  <si>
    <t>pestovateľské celky trvalých porastov</t>
  </si>
  <si>
    <t>základné stádo a ťažné zvieratá</t>
  </si>
  <si>
    <t>drobný dlhodobý majetok</t>
  </si>
  <si>
    <t>ostatný dlhodobý hmotný majetok</t>
  </si>
  <si>
    <t>poskytnuté preddavky na dlhodobý hmotný majetok</t>
  </si>
  <si>
    <t>dlhodobý hmotný majetok Celkom</t>
  </si>
  <si>
    <t>finančné investície</t>
  </si>
  <si>
    <t xml:space="preserve">Ostatný dlhodobý finančný majetok </t>
  </si>
  <si>
    <t>stále aktíva Celkom</t>
  </si>
  <si>
    <t>obežné aktíva</t>
  </si>
  <si>
    <t>zásoby</t>
  </si>
  <si>
    <t>materiál</t>
  </si>
  <si>
    <t>nedokončená výroba a polotovary</t>
  </si>
  <si>
    <t>výrobky</t>
  </si>
  <si>
    <t>zvieratá</t>
  </si>
  <si>
    <t>tovar</t>
  </si>
  <si>
    <t xml:space="preserve">Poskytnuté prevádzkové preddavky na zásoby </t>
  </si>
  <si>
    <t>zásoby Celkom</t>
  </si>
  <si>
    <t>dlhodobé pohľadávky</t>
  </si>
  <si>
    <t>pohľadávky z obchodného styku</t>
  </si>
  <si>
    <t>ostatné pohľadávky</t>
  </si>
  <si>
    <t>iné pohľadávky</t>
  </si>
  <si>
    <t>dlhodobé pohľadávky Celkom</t>
  </si>
  <si>
    <t>krátkodobé pohľadávky</t>
  </si>
  <si>
    <t>daňové pohľadávky</t>
  </si>
  <si>
    <t>krátkodobé pohľadávky Celkom</t>
  </si>
  <si>
    <t xml:space="preserve">finančný majetok </t>
  </si>
  <si>
    <t>pokladnica</t>
  </si>
  <si>
    <t>bankové účty</t>
  </si>
  <si>
    <t>obežné aktíva Celkom</t>
  </si>
  <si>
    <t>časové rozlíšenie</t>
  </si>
  <si>
    <t>prechodné účty aktív</t>
  </si>
  <si>
    <t>náklady budúcich období</t>
  </si>
  <si>
    <t>príjmy budúcich období</t>
  </si>
  <si>
    <t>prechodné účty aktív Celkom</t>
  </si>
  <si>
    <t>prechodné účty Celkom</t>
  </si>
  <si>
    <t>Celkový súčet</t>
  </si>
  <si>
    <t>vlastné zdroje</t>
  </si>
  <si>
    <t>imanie a peňažné fondy</t>
  </si>
  <si>
    <t>základné imanie</t>
  </si>
  <si>
    <t>fondy podľa osobitného predpisu</t>
  </si>
  <si>
    <t>fond reprodukcie</t>
  </si>
  <si>
    <t>rozdiely z precenenia majetku a záväzkov</t>
  </si>
  <si>
    <t>rezervný fond</t>
  </si>
  <si>
    <t>fondy tvorené zo zisku</t>
  </si>
  <si>
    <t>ostatné fondy</t>
  </si>
  <si>
    <t>výsledok hospodárenia</t>
  </si>
  <si>
    <t>nevysporiadaný výsledok hospodárenia z minulých rokov</t>
  </si>
  <si>
    <t>výsledok hospodárenia Celkom</t>
  </si>
  <si>
    <t>rezervy zákonné</t>
  </si>
  <si>
    <t>krátkodobé  rezervy</t>
  </si>
  <si>
    <t>dlhodobé záväzky</t>
  </si>
  <si>
    <t>sociálny fond</t>
  </si>
  <si>
    <t>ostatné dlhodobé záväzky</t>
  </si>
  <si>
    <t>dlhodobé záväzky Celkom</t>
  </si>
  <si>
    <t>krátkodobé záväzky</t>
  </si>
  <si>
    <t>záväzky z obchodného styku</t>
  </si>
  <si>
    <t>záväzky voči zamestnancom</t>
  </si>
  <si>
    <t>daňové záväzky</t>
  </si>
  <si>
    <t>ostatné záväzky</t>
  </si>
  <si>
    <t>krátkodobé záväzky Celkom</t>
  </si>
  <si>
    <t>banková výpomoc</t>
  </si>
  <si>
    <t>dlhodobé bankové úvery</t>
  </si>
  <si>
    <t>bežné bankové úvery</t>
  </si>
  <si>
    <t>prijaté krátkodobé finančné výpomoci</t>
  </si>
  <si>
    <t>cudzie zdroje Celkom</t>
  </si>
  <si>
    <t>prechodné účty pasív</t>
  </si>
  <si>
    <t>výdavky budúcich období</t>
  </si>
  <si>
    <t>výnosy budúcich období</t>
  </si>
  <si>
    <t>prechodné účty pasív Celkom</t>
  </si>
  <si>
    <t xml:space="preserve">Celkový súčet </t>
  </si>
  <si>
    <t>Výnosy
hlavnej činnosti</t>
  </si>
  <si>
    <t>Výnosy podnikateľskej činnosti</t>
  </si>
  <si>
    <t>Výnosy spolu</t>
  </si>
  <si>
    <t>601 - Tržby za vlastné výrobky</t>
  </si>
  <si>
    <t>602 - Tržby z predaja služieb</t>
  </si>
  <si>
    <t>611 - Zmena stavu nedokončenej výroby</t>
  </si>
  <si>
    <t>612 - Zmena stavu zásob polotovarov</t>
  </si>
  <si>
    <t>614 - Zmena stavu zvierat</t>
  </si>
  <si>
    <t>621 - Aktivácia materiálu a tovaru</t>
  </si>
  <si>
    <t>622 - Aktivácia vnútroorganizačných služieb</t>
  </si>
  <si>
    <t>623 - Aktivácia dlhodobého nehmotného majetku</t>
  </si>
  <si>
    <t>624 - Aktivácia dlhodobého hmotného majetku</t>
  </si>
  <si>
    <t>641 - Zmluvné pokuty a úroky z omeškania</t>
  </si>
  <si>
    <t>642 - Ostatné pokuty a penále</t>
  </si>
  <si>
    <t>643 - Platby za odpísané pohľadávky</t>
  </si>
  <si>
    <t>644 - Úroky</t>
  </si>
  <si>
    <t>645 - Kurzové zisky</t>
  </si>
  <si>
    <t>646 - Prijaté dary</t>
  </si>
  <si>
    <t>647 - Osobitné výnosy</t>
  </si>
  <si>
    <t>648 - Zákonné poplatky</t>
  </si>
  <si>
    <t>649 - Iné ostatné výnosy</t>
  </si>
  <si>
    <t>651 - Tržby z predaja dlhodobého nehmotného a hmotného majetku</t>
  </si>
  <si>
    <t>652 - Výnosy z dlhodobého finančného majetku</t>
  </si>
  <si>
    <t>653 - Tržby z predaja cenných papierov a vkladov</t>
  </si>
  <si>
    <t>654 - Tržby z predaja materiálu</t>
  </si>
  <si>
    <t>655 - Výnosy z krátkodobého finančného majetku</t>
  </si>
  <si>
    <t>656 - Výnosy z použitia fondu</t>
  </si>
  <si>
    <t>657 - Výnosy z precenenia cenných papierov</t>
  </si>
  <si>
    <t>658 - Výnosy z prenájmu majetku</t>
  </si>
  <si>
    <t>661 - Prijaté príspevky od organizačných zložiek</t>
  </si>
  <si>
    <t xml:space="preserve">662 - Prijaté príspevky od iných organizácií </t>
  </si>
  <si>
    <t>663 - Prijaté príspevky od fyzických osôb</t>
  </si>
  <si>
    <t>664 - Prijaté členské príspevky</t>
  </si>
  <si>
    <t>665 - Príspevky z podielu zaplatenej dane</t>
  </si>
  <si>
    <t>667 - Prijaté príspevky z verejných zbierok</t>
  </si>
  <si>
    <t>691 - Dotácie na prevádzku</t>
  </si>
  <si>
    <t>Výsledok hospodárenia pred zdanením</t>
  </si>
  <si>
    <t>591 - Daň z príjmov</t>
  </si>
  <si>
    <t>595 - Dodatočné odvody dane z príjmov</t>
  </si>
  <si>
    <t>Výsledok hospodárenia po zdanení</t>
  </si>
  <si>
    <t>656 - Zúčtovanie zákonných rezerv</t>
  </si>
  <si>
    <t>Náklady podnikateľskej činnosti</t>
  </si>
  <si>
    <t>Náklady spolu</t>
  </si>
  <si>
    <t>551 - Odpisy dlhodobého nehmotného a hmotného majetku</t>
  </si>
  <si>
    <t>552 - Zostatková cena predaného nehmotného a hmotného majetku</t>
  </si>
  <si>
    <t>553 - Predané cenné papiere</t>
  </si>
  <si>
    <t>555- Náklady na krátkodobý finančný majetok</t>
  </si>
  <si>
    <t>557 - Náklady na precenenie cenných papierov</t>
  </si>
  <si>
    <t>558 - Tvorba a zúčtovanie opravných položiek</t>
  </si>
  <si>
    <t>561 - Poskytnuté príspevky organizačným zložkám</t>
  </si>
  <si>
    <t>565 - Poskytnuté príspevky z podielu zaplatenej dane</t>
  </si>
  <si>
    <t xml:space="preserve">567 -  Poskytnuté príspevky z verejnej zbierky </t>
  </si>
  <si>
    <t xml:space="preserve"> Výsledok hospodárenia pred zdanením</t>
  </si>
  <si>
    <t>565 - Poskytnuté príspevky z rozdielu zaplatenej dane</t>
  </si>
  <si>
    <t>Výnosy 
hlavnej 
činnosti</t>
  </si>
  <si>
    <t>Náklady 
hlavnej 
činnosti</t>
  </si>
  <si>
    <t>Výsledok hospodárenia hlavnej činnosti</t>
  </si>
  <si>
    <t>Výnosy podnikateľ
skej činnosti</t>
  </si>
  <si>
    <t>Náklady podnikateľ
skej činnosti</t>
  </si>
  <si>
    <t>Výsledok hospodárenia podnikateľ
skej činnosti</t>
  </si>
  <si>
    <t>Výnosy 
spolu</t>
  </si>
  <si>
    <t xml:space="preserve">Nerozdelený zisk, 
neuhradená 
strata 
minulých 
rokov </t>
  </si>
  <si>
    <t>646 -Prijaté dary</t>
  </si>
  <si>
    <t>647 -Osobitné výnosy</t>
  </si>
  <si>
    <t>648-Zákonné poplatky</t>
  </si>
  <si>
    <t>667- Prijaté príspevky z verejných zbierok</t>
  </si>
  <si>
    <t>Výnosy hlavnej činnosti</t>
  </si>
  <si>
    <t>Náklady hlavnej činnosti</t>
  </si>
  <si>
    <t>Zvyšok prijatej kapitálovej dotácie používanej na kompenzáciu odpisov majetku z nej obstaraného</t>
  </si>
  <si>
    <t xml:space="preserve">Bežná dotácia na úlohy budúcich období </t>
  </si>
  <si>
    <t>Prostriedky zo zahraničných projektov na budúce aktivity</t>
  </si>
  <si>
    <t>Ostatné</t>
  </si>
  <si>
    <t>Tabuľka č. 11:</t>
  </si>
  <si>
    <t>Tabuľka č. 13:</t>
  </si>
  <si>
    <t>Tabuľka č. 12a:</t>
  </si>
  <si>
    <t>Tabuľka č. 12b:</t>
  </si>
  <si>
    <t>Tabuľka č. 14a:</t>
  </si>
  <si>
    <t>Tabuľka č. 14b:</t>
  </si>
  <si>
    <t>Sektor výskumu a vývoja</t>
  </si>
  <si>
    <t>Tabuľka č. 16:</t>
  </si>
  <si>
    <t>Tabuľka č. 20:</t>
  </si>
  <si>
    <t>Tabuľka č. 21:</t>
  </si>
  <si>
    <t>Tabuľka č. 22:</t>
  </si>
  <si>
    <t>Tabuľka č. 23:</t>
  </si>
  <si>
    <t>Tabuľka č. 24:</t>
  </si>
  <si>
    <t>Tabuľka č. 25:</t>
  </si>
  <si>
    <t>Tabuľka č. 26:</t>
  </si>
  <si>
    <t>Počet vymenovaných</t>
  </si>
  <si>
    <t>merná jednotka</t>
  </si>
  <si>
    <t>osoby</t>
  </si>
  <si>
    <t>€</t>
  </si>
  <si>
    <t>TUAD Trenčín</t>
  </si>
  <si>
    <t>Tabuľka č. 10:</t>
  </si>
  <si>
    <t>Sektor ostatných vysokých škôl</t>
  </si>
  <si>
    <t>2011/2012</t>
  </si>
  <si>
    <t>z toho
denné</t>
  </si>
  <si>
    <t>BISLA Bratislava</t>
  </si>
  <si>
    <t>AM Bratislava</t>
  </si>
  <si>
    <t>prijatí / prihlásení</t>
  </si>
  <si>
    <t>Zápisy</t>
  </si>
  <si>
    <t>Zapísaní / prijatí</t>
  </si>
  <si>
    <t>Zapísaní / prihlásení</t>
  </si>
  <si>
    <t>DTI Dubnica nad Váhom</t>
  </si>
  <si>
    <t>Lôžková kapacita študentských domovov k 31.12.2011</t>
  </si>
  <si>
    <t>Počet miest na ubytovanie študentov k 31.12.2011 spolu</t>
  </si>
  <si>
    <t>Počet nevybavených žiadostí o ubytovanie v roku 2011</t>
  </si>
  <si>
    <t>z toho
denne</t>
  </si>
  <si>
    <t>Denná a Externá</t>
  </si>
  <si>
    <t>Výsoká škola</t>
  </si>
  <si>
    <t>Celkový počet podporených projektov</t>
  </si>
  <si>
    <t xml:space="preserve">Celkový objem finančnej podpory na projekty (v €) - Bežné výdavky </t>
  </si>
  <si>
    <t>Celkový objem finančnej podpory na projekty (v €) - Kapitálové výdavky</t>
  </si>
  <si>
    <t xml:space="preserve">Spolu - Celkový objem finančnej podpory na projekty (v €) </t>
  </si>
  <si>
    <t xml:space="preserve">Podiel vysokej školy na celkovom objeme pridelených finančných protriedkov (v %) </t>
  </si>
  <si>
    <t>SPOLU</t>
  </si>
  <si>
    <t xml:space="preserve">Podiel sektora na celkovom objeme pridelených finančných protriedkov (v %) </t>
  </si>
  <si>
    <t>Sektor verejných vysokých škôl</t>
  </si>
  <si>
    <t>Neziskové organizácie</t>
  </si>
  <si>
    <t>Počet zmluvných miest na ubytovanie študentov k 31.12.2010</t>
  </si>
  <si>
    <t>Náklady 
spolu</t>
  </si>
  <si>
    <t>652-Výnosy z dlhodobého finančného majetku</t>
  </si>
  <si>
    <t>Zdroj: MŠVVaŠ SR</t>
  </si>
  <si>
    <t>Tabuľka č. 19:</t>
  </si>
  <si>
    <t>Priemerný vek v čase vymenovania</t>
  </si>
  <si>
    <t>tabuľková príloha</t>
  </si>
  <si>
    <t>fondy</t>
  </si>
  <si>
    <t>VŠMP ISM  Prešov</t>
  </si>
  <si>
    <t>Ekonomická univerzita v Bratislave</t>
  </si>
  <si>
    <t>Slovenská poľnohospodárska univerzita v Nitre</t>
  </si>
  <si>
    <t>Slovenská technická univerzita v Bratislave</t>
  </si>
  <si>
    <t>Technická univerzita v Košiciach</t>
  </si>
  <si>
    <t>Technická univerzita vo Zvolene</t>
  </si>
  <si>
    <t>Trenčianska univerzita Alexandra Dubčeka v Trenčíne</t>
  </si>
  <si>
    <t>Trnavská univerzita v Trnave</t>
  </si>
  <si>
    <t>Univerzita J. Selyeho</t>
  </si>
  <si>
    <t>Univerzita Komenského v Bratislave</t>
  </si>
  <si>
    <t>Univerzita Konštantína Filozofa v Nitre</t>
  </si>
  <si>
    <t>Univerzita Mateja Bela v Banskej Bystrici</t>
  </si>
  <si>
    <t>Univerzita Pavla Jozefa Šafárika v Košiciach</t>
  </si>
  <si>
    <t>Univerzita sv. Cyrila a Metoda v Trnave</t>
  </si>
  <si>
    <t>Univerzita veterinárskeho lekárstva a farmácie v Košiciach</t>
  </si>
  <si>
    <t>Vysoká škola múzických umení v Bratislave</t>
  </si>
  <si>
    <t>Vysoká škola výtvarných umení v Bratislave</t>
  </si>
  <si>
    <t>Žilinská univerzita v Žiline</t>
  </si>
  <si>
    <t>Akadémia médií, odborná vysoká škola mediálnej a marketingovej komunikácie v Bratislave</t>
  </si>
  <si>
    <t xml:space="preserve">Bratislavská medzinárodná škola liberálnych štúdií </t>
  </si>
  <si>
    <t xml:space="preserve">Dubnický technologický inštitút v Dubnici nad Váhom </t>
  </si>
  <si>
    <t>Hudobná a umelecká akadémia Jána Albrechta – Banská Štiavnica, s. r. o., odborná vysoká škola</t>
  </si>
  <si>
    <t>Paneurópska vysoká škola</t>
  </si>
  <si>
    <t xml:space="preserve">Stredoeurópska vysoká škola v Skalici </t>
  </si>
  <si>
    <t xml:space="preserve">Vysoká škola bezpečnostného manažérstva v Košiciach </t>
  </si>
  <si>
    <t xml:space="preserve">Vysoká škola ekonómie a manažmentu verejnej správy v Bratislave </t>
  </si>
  <si>
    <t xml:space="preserve">Vysoká škola manažmentu v Trenčíne </t>
  </si>
  <si>
    <t xml:space="preserve">Vysoká škola medzinárodného podnikania ISM Slovakia v Prešove </t>
  </si>
  <si>
    <t>Vysoká škola zdravotníctva a sociálnej práce sv. Alžbety v Bratislave, n. o.</t>
  </si>
  <si>
    <t>HUAJA Banská Štiavnica</t>
  </si>
  <si>
    <t>Úplný názov vysokej školy</t>
  </si>
  <si>
    <t>Skratka</t>
  </si>
  <si>
    <t>Súkromné vysoké školy</t>
  </si>
  <si>
    <t>Akadémia umení v Banskej Bystrici</t>
  </si>
  <si>
    <t>Katolícka univerzita v Ružmberku</t>
  </si>
  <si>
    <t>Prešovská univerzita v Prešove</t>
  </si>
  <si>
    <t>Verejné vysoké školy</t>
  </si>
  <si>
    <t>Zoznam tabuliek</t>
  </si>
  <si>
    <t>Komisia VEGA č. 4 pre biologické vedy</t>
  </si>
  <si>
    <t>Komisia VEGA č. 6 pre stavebné inžinierstvo (stavebníctvo, dopravu a geodéziu) a environmentálne inžinierstvo vrátane  baníctva, hutníctva a vodohospodárskych vied</t>
  </si>
  <si>
    <t>Komisia VEGA č. 7 pre strojárstvo a príbuzné odbory informačných a komunikačných technológií a materiálové inžinierstvo</t>
  </si>
  <si>
    <t>Štátny sektor</t>
  </si>
  <si>
    <t>Podnikateľský sektor</t>
  </si>
  <si>
    <t>cudzie zdroje</t>
  </si>
  <si>
    <t>604 - Tržby za predaný tovar</t>
  </si>
  <si>
    <t>613 - Zmena stavu zásob výrobkov</t>
  </si>
  <si>
    <t>504 - Predaný tovar</t>
  </si>
  <si>
    <t>513 - Náklady na reprezentáciu</t>
  </si>
  <si>
    <t>2012/2013</t>
  </si>
  <si>
    <t>VŠGU Bratislava</t>
  </si>
  <si>
    <t>Vysoká škola Goethe UNI Bratislava</t>
  </si>
  <si>
    <t>Tabuľka č. 5:</t>
  </si>
  <si>
    <t>Tabuľka č. 6:</t>
  </si>
  <si>
    <t>Tabuľka č. 8:</t>
  </si>
  <si>
    <t>Tabuľka č. 9:</t>
  </si>
  <si>
    <t>Rok 2012</t>
  </si>
  <si>
    <t xml:space="preserve"> fondy tvorené zo zisku Celkom</t>
  </si>
  <si>
    <t>vlastné zdroje Celkom</t>
  </si>
  <si>
    <t>rezervy ostatné</t>
  </si>
  <si>
    <t>rezervy  Celkom</t>
  </si>
  <si>
    <t>záväzky z nájmu</t>
  </si>
  <si>
    <t>bankové výpomoci a pôžičky Celkom</t>
  </si>
  <si>
    <t>dlhodobý finančný majetok Celkom</t>
  </si>
  <si>
    <t>finančné účty  Celkom</t>
  </si>
  <si>
    <t>Lôžková kapacita študentských domovov k 31.12.2012</t>
  </si>
  <si>
    <t>Počet zmluvných miest na ubytovanie študentov k 31.12.2012</t>
  </si>
  <si>
    <t>Počet miest na ubytovanie študentov k 31.12.2012 spolu</t>
  </si>
  <si>
    <t>Počet nevybavených žiadostí o ubytovanie v roku 2012</t>
  </si>
  <si>
    <t>Počet poberateľov sociálnych štipendií k 31.12.2012</t>
  </si>
  <si>
    <t xml:space="preserve">Rozdiel v počte poberateľov sociálnych štipendií v r. 2011 a v r. 2012 </t>
  </si>
  <si>
    <t>TU Trnava</t>
  </si>
  <si>
    <t>Poznámka: V jednotlivých sumách nie sú zahrnuté vratky</t>
  </si>
  <si>
    <t>Komisia VEGA č. 1 pre matematické vedy, počítačové 
a informatické vedy a fyzikálne vedy</t>
  </si>
  <si>
    <t>Komisia VEGA č. 3 pre chemické vedy, chemické inžinierstvo 
a biotechnológie</t>
  </si>
  <si>
    <t>Komisia VEGA č. 5 pre elektrotechniku, automatizáciu 
a riadiace systémy a príbuzné odbory informačných 
a komunikačných technológií</t>
  </si>
  <si>
    <t>Komisia VEGA č. 8 pre pôdohospodárske, veterinárske 
a drevárske vedy</t>
  </si>
  <si>
    <t xml:space="preserve">Počet podporo-vaných pokračujúcich    projektov </t>
  </si>
  <si>
    <t xml:space="preserve">Celkový počet podporo-vaných projektov   </t>
  </si>
  <si>
    <t xml:space="preserve">Podiel vysokej školy na celkovom počte podporo-vaných projektov 
(v %) </t>
  </si>
  <si>
    <t>VŠ Goethe Uni Bratislava</t>
  </si>
  <si>
    <t>Spolu - Objem finančných prostriedkov pridelený pre sektor - Bežné výdavky</t>
  </si>
  <si>
    <t>Spolu - Objem finančných prostriedkov pridelený pre sektor - Kapitálové výdavky</t>
  </si>
  <si>
    <t xml:space="preserve">Spolu - Objem finančných prostriedkov pridelený pre sektor </t>
  </si>
  <si>
    <t>Výročná správa o stave vysokého školstva za rok 2013</t>
  </si>
  <si>
    <t>Tabuľka č. 9: Prijímacie konanie absolventov - bakalárov na 2. stupeň 
v akademickom roku 2013/2014</t>
  </si>
  <si>
    <t>Zdroj: CVTI SR</t>
  </si>
  <si>
    <t>Tabuľka č. 8:   Maturanti v prijímacom konaní na študijné programy prvého stupňa
a spojeného prvého a druhého stupňa vysokoškolského vzdelávania v akademickom roku 2013/2014</t>
  </si>
  <si>
    <t>Tabuľka č. 7: Veková štruktúra uchádzačov, prijatých a zapísaných na študijné programy prvého stupňa a spojeného prvého a druhého stupňa vysokoškolského vzdelávania v akademickom roku 2013/2014</t>
  </si>
  <si>
    <t>Tabuľka č. 6: Prehľad prijímacieho konania podľa hlavných skupín študijných odborov (I. stupeň) 2013</t>
  </si>
  <si>
    <t>2013/2014</t>
  </si>
  <si>
    <t>Tabuľka č. 4: Absolventi podľa skupín študijných odborov (2013)</t>
  </si>
  <si>
    <t>Tabuľka č. 5: Počet absolventov podľa vysokej školy, stupňa
a formy štúdia (2013)</t>
  </si>
  <si>
    <t>Tabuľka č. 3: Podiel vysokých škôl na počte študentov (2013/2014)</t>
  </si>
  <si>
    <t>Lôžková kapacita študentských domovov k 31.12.2013</t>
  </si>
  <si>
    <t>Počet zmluvných miest na ubytovanie študentov k 31.12.2013</t>
  </si>
  <si>
    <t>Počet miest na ubytovanie študentov k 31.12.2013 spolu</t>
  </si>
  <si>
    <t>Počet nevybavených žiadostí o ubytovanie v roku 2013</t>
  </si>
  <si>
    <t>Tabuľka č. 10: Počty a priemerné platy zamestnancov verejných vysokých škôl za rok 2013 (všetky zdroje financovania)</t>
  </si>
  <si>
    <t>Tabuľka č. 14a: Počty výskumných projektov verejných vysokých škôl a objem finančných prostriedkov poskytnutých na ich riešenie agentúrou APVV v roku 2013 podľa verejných vysokých škôl</t>
  </si>
  <si>
    <t>Podiel vysokej školy na celkovom počte podporovaných projektov      (v %)</t>
  </si>
  <si>
    <t>Tabuľka č. 14b: Podiel verejných vysokých škôl na získavaní finančných prostriedkov z APVV v porovnaní s ostatnými sektormi výskumu a vývoja v roku 2013</t>
  </si>
  <si>
    <t>Tabuľka č. 11: Vymenovaní profesori v roku 2013</t>
  </si>
  <si>
    <t>Počet poberateľov sociálnych štipendií k 31.12.2013</t>
  </si>
  <si>
    <t xml:space="preserve">Rozdiel v počte poberateľov sociálnych štipendií v r. 2012 a v r. 2013 </t>
  </si>
  <si>
    <t>UMB B.Bystrica</t>
  </si>
  <si>
    <t>AU B.Bystrica</t>
  </si>
  <si>
    <t>záväzky z upísaných nesplatených cenných papierov a vkladov</t>
  </si>
  <si>
    <t xml:space="preserve">691 - Dotácie </t>
  </si>
  <si>
    <t>Rok 2013</t>
  </si>
  <si>
    <t>Rozdiel 2013 a 2012</t>
  </si>
  <si>
    <t>Výsledok hospodárenia v roku 2013 spolu</t>
  </si>
  <si>
    <t>Výsledok hospodárenia k 31.12.2013</t>
  </si>
  <si>
    <t>UMB B. Bystrica</t>
  </si>
  <si>
    <t>AU B. Bystrica</t>
  </si>
  <si>
    <t>Celkový výsledok hospodárenia
v roku 2013</t>
  </si>
  <si>
    <t>501 -  Spotreba materiálu</t>
  </si>
  <si>
    <t>502 -  Spotreba energie</t>
  </si>
  <si>
    <t>504 -  Predaný tovar</t>
  </si>
  <si>
    <t>511 -  Opravy a udržiavanie</t>
  </si>
  <si>
    <t>512 -  Cestovné</t>
  </si>
  <si>
    <t>513  - Náklady na reprezentáciu</t>
  </si>
  <si>
    <t>518 -  Ostatné služby</t>
  </si>
  <si>
    <t>521 -  Mzdové náklady</t>
  </si>
  <si>
    <t>524 -  Zákonné sociálne poistenie a zdravotné poistenie</t>
  </si>
  <si>
    <t>525  - Ostatné sociálne poistenie</t>
  </si>
  <si>
    <t>527  - Zákonné sociálne náklady</t>
  </si>
  <si>
    <t>528  - Ostatné sociálne náklady</t>
  </si>
  <si>
    <t>531  - Daň z motorových vozidiel</t>
  </si>
  <si>
    <t>538 -  Ostatné dane a poplatky</t>
  </si>
  <si>
    <t>541 -  Zmluvné pokuty a penále</t>
  </si>
  <si>
    <t>542  - Ostatné pokuty a penále</t>
  </si>
  <si>
    <t>544  - Úroky</t>
  </si>
  <si>
    <t>545  - Kurzové straty</t>
  </si>
  <si>
    <t>546  - Dary</t>
  </si>
  <si>
    <t>547  - Osobitné náklady</t>
  </si>
  <si>
    <t>548 -  Manká a škody</t>
  </si>
  <si>
    <t>549  - Iné ostatné náklady</t>
  </si>
  <si>
    <t>551 -  Odpisy dlhodobého nehmotného a hmotného majetku</t>
  </si>
  <si>
    <t>553  - Predané cenné papiere</t>
  </si>
  <si>
    <t>554  - Predaný materiál</t>
  </si>
  <si>
    <t>555  - Náklady na krátkodobý finančný majetok</t>
  </si>
  <si>
    <t>556  - Tvorba fondov</t>
  </si>
  <si>
    <t>557  - Náklady na precenenie cenných papierov</t>
  </si>
  <si>
    <t>561 -  Poskytnuté príspevky organizačným zložkám</t>
  </si>
  <si>
    <t>562 -  Poskytnuté príspevky iným účtovným jednotkám</t>
  </si>
  <si>
    <t>563  - Poskytnuté príspevky fyzickým osobám</t>
  </si>
  <si>
    <t>567  - Poskytnuté príspevky z verejnej zbierky</t>
  </si>
  <si>
    <t>651 - Tržby z predaja dlhodobého majetku</t>
  </si>
  <si>
    <t>653 - Tržby z predaja cenných papierov a pod.</t>
  </si>
  <si>
    <t>691 - Dotácie</t>
  </si>
  <si>
    <t>Stav k 31. 12. 2012  (v €)</t>
  </si>
  <si>
    <t>Stav k 31. 12. 2013  (v € )</t>
  </si>
  <si>
    <t>Tabuľka č. 12a: Počty výskumných projektov verejných vysokých škôl a objem finančných prostriedkov poskytnutých na ich riešenie vnútorným grantovým systémom VEGA v roku 2013 podľa vysokých škôl</t>
  </si>
  <si>
    <t>Počet nových projektov, 
ktoré sa uchádzali 
o podporu
so začiatkom riešenia 
v roku 2013</t>
  </si>
  <si>
    <t>Poznámka: V jednotlivých sumách finančnej podpory nie sú zahrnuté vratky.</t>
  </si>
  <si>
    <t>Tabuľka č. 12b: Počty výskumných projektov verejných vysokých škôl podporovaných vnútorným grantovým systémom VEGA 
a objemy finančných prostriedkov poskytnutých na ich riešenie vnútorným grantovým systémom VEGA v roku 2013 
podľa komisií VEGA</t>
  </si>
  <si>
    <t>Tabuľka č. 13: Počty výskumných projektov verejných vysokých škôl a objem finančných prostriedkov poskytnutých na ich riešenie vnútorným grantovým systémom KEGA v roku 2013 podľa vysokých škôl</t>
  </si>
  <si>
    <t>Poznámka: V jednotlivých sumách fiannčnej podpory nie sú zahrnuté vratky.</t>
  </si>
  <si>
    <t xml:space="preserve">Podiel. cenné papiere a podiely v obch. spol. v ovládan. osobe </t>
  </si>
  <si>
    <t>Podiel. cenné papiere a podiely v obch. spol. s podstatným vplyvom</t>
  </si>
  <si>
    <t>pohľ. z dôvodu fin. vzťahov k ŠR a rozpočtom úz. správ</t>
  </si>
  <si>
    <t xml:space="preserve">zúčtovanie zo Sociálnou poisťovňou a zdravot. poisťovňami </t>
  </si>
  <si>
    <t>poskytnuté preddavky na dlhodobý nehmotný majetok</t>
  </si>
  <si>
    <t xml:space="preserve">samostatné hnuteľné veci a súbory hnuteľných vecí </t>
  </si>
  <si>
    <t>výsledok hospodárenia za účtovné obdobie</t>
  </si>
  <si>
    <t xml:space="preserve">zúčtovanie so sociálnou poisťovňou a zdravot. poisťovňami  </t>
  </si>
  <si>
    <t>záväzky z dôvodu finančných vzťahov k štátnemu rozpočtu a rozpočtom uz. správ</t>
  </si>
  <si>
    <t>524 - Zákonné sociálne poistenie a zdravotné poistenie</t>
  </si>
  <si>
    <t>527 - Zákonné sociálne náklady</t>
  </si>
  <si>
    <t>532  - Daň z nehnuteľností</t>
  </si>
  <si>
    <t>543  - Odpísanie pohľadávky</t>
  </si>
  <si>
    <t>552  - Zostatková cena predaného dlhodobého nehmotného a hmotného majetku</t>
  </si>
  <si>
    <t>611 - Zmena stavu zásob nedokončenej výroby</t>
  </si>
  <si>
    <t>658 -Výnosy z nájmu majetku</t>
  </si>
  <si>
    <t>661 - Prijaté príspevky od org. zložiek</t>
  </si>
  <si>
    <t>Zvyšok prijatej kapitálovej dotácie z prostriedkov EÚ (štrukturálnych fondov) používanej na kompenzáciu odpisov majetku z nej obstaraného</t>
  </si>
  <si>
    <t>Tabuľka č. 2: Študenti podľa skupín študijných odborov (2013/2014)</t>
  </si>
  <si>
    <t>Študenti podľa skupín študijných odborov (2013/2014)</t>
  </si>
  <si>
    <t>Podiel vysokých škôl na počte študentov (2013/2014)</t>
  </si>
  <si>
    <t>Absolventi podľa skupín študijných odborov (2013)</t>
  </si>
  <si>
    <t>Počet absolventov podľa vysokej školy, stupňa a formy štúdia (2013)</t>
  </si>
  <si>
    <t>Prehľad prijímacieho konania podľa skupín študijných odborov (I. stupeň) 2013</t>
  </si>
  <si>
    <t>Veková štruktúra uchádzačov, prijatých a zapísaných na študijné programy prvého stupňa a spojeného prvého a druhého stupňa vysokoškolského vzdelávania na akademický rok 2013/2014</t>
  </si>
  <si>
    <t>Maturanti v prijímacom konaní na študijné programy prvého stupňa a spojeného prvého a druhého stupňa vysokoškolského vzdelávania na akademický rok 2013/2014</t>
  </si>
  <si>
    <t>Prijímacie konanie absolventov - bakalárov na 2. stupeň v akademickom roku 2013/2014</t>
  </si>
  <si>
    <t>Počty a priemerné platy zamestnancov verejných vysokých škôl za rok 2013 (všetky zdroje financovania)</t>
  </si>
  <si>
    <t>Vymenovaní profesori v roku 2013</t>
  </si>
  <si>
    <t xml:space="preserve">Počty výskumných projektov verejných vysokých škôl a objem finančných prostriedkov poskytnutých na ich riešenie vnútorným grantovým systémom VEGA v roku 2013 podľa vysokých škôl
</t>
  </si>
  <si>
    <t>Počty výskumných projektov verejných vysokých škôl podporovaných vnútorným grantovým systémom VEGA a objemy finančných poskytnutých na ich riešenie vnútorným grantovým systémom VEGA v roku 2013 podľa komisií VEGA</t>
  </si>
  <si>
    <t>Počty výskumných projektov verejných vysokých škôl a objem finančných prostriedkov poskytnutých na ich riešenie vnútorným grantovým systémom KEGA v roku 2013 podľa vysokých škôl</t>
  </si>
  <si>
    <t>Počty výskumných projektov verejných vysokých škôl a objem finančných prostriedkov poskytnutých na ich riešenie agentúrou APVV v roku 2013 podľa verejných  vysokých škôl</t>
  </si>
  <si>
    <t>Podiel verejných vysokých škôl na získavaní finančných prostriedkov z APVV v porovnaní s ostatnými sektormi výskumu a vývoja v roku 2013</t>
  </si>
  <si>
    <t>Počty poberateľov sociálnych štipendií a objemy finančných prostriedkov v rokoch 2012 a 2013</t>
  </si>
  <si>
    <t>Ubytovacie kapacity verejných vysokých škôl v rokoch 2011, 2012 a 2013</t>
  </si>
  <si>
    <t xml:space="preserve">Súhrnná súvaha za verejné vysoké školy k 31.12.2013 - časť aktíva
</t>
  </si>
  <si>
    <t xml:space="preserve">Súhrnná súvaha za verejné vysoké školy k 31.12.2013 - časť pasíva
</t>
  </si>
  <si>
    <t xml:space="preserve">Výnosy verejných vysokých škôl v rokoch 2012 a 2013
</t>
  </si>
  <si>
    <t xml:space="preserve">Výnosy verejných vysokých škôl v roku 2013
</t>
  </si>
  <si>
    <t>Náklady verejných vysokých škôl v roku 2013</t>
  </si>
  <si>
    <t>Náklady verejných vysokých škôl v rokoch 2012 a  2013</t>
  </si>
  <si>
    <t>Výsledky hospodárenia verejných vysokých škôl v roku 2013</t>
  </si>
  <si>
    <t>Náklady verejných vysokých škôl v roku 2013 v oblasti sociálnej podpory študentov</t>
  </si>
  <si>
    <t xml:space="preserve">Výnosy verejných vysokých škôl v roku 2013 v oblasti sociálnej podpory študentov
</t>
  </si>
  <si>
    <t>Výsledky hospodárenia verejných vysokých škôl v roku 2013 v oblasti sociálnej podpory študentov</t>
  </si>
  <si>
    <t>Štruktúra účtu 384 - výnosy budúcich období v rokoch  2012 a 2013</t>
  </si>
  <si>
    <t>Zoznam vysokých škôl, ktoré sú uvádzané vo výročnej správe o stave vysokého školstva za rok 2013</t>
  </si>
  <si>
    <t>Vysoká škola v Sládkovičove - od 13. marca 2014 Vysoká škola Danubius</t>
  </si>
  <si>
    <t>Pozn.: Usporiadané podľa celkového počtu prihlášok</t>
  </si>
  <si>
    <t>Pozn.: Započítaní sú aj študenti štátnych vysokých škôl (civilné VŠ štúdium)</t>
  </si>
  <si>
    <t>Tabuľka č. 15b - Počet publikačných výstupov za rok 2013 podľa CREPČ na prepočítaný počet zamestnancov verejných vysokých škôl</t>
  </si>
  <si>
    <t>Počet publikačných výstupov na vš učiteľa   výskumného pracovníka</t>
  </si>
  <si>
    <t>Počet monografii na vš učiteľa a výskumného pracovníka</t>
  </si>
  <si>
    <t>Počet vedeckých prác a odborných článkov v karentovaných časopisoch na vš učiteľa a výskumného pracovníka</t>
  </si>
  <si>
    <t>Počet monografii na vš učiteľa vo funkcii profesor a docent</t>
  </si>
  <si>
    <t>Počet vedeckých prác a odborných článkov v karentovaných časopisoch na vš učiteľa vo funkcii profesor a docent</t>
  </si>
  <si>
    <t>Priemer</t>
  </si>
  <si>
    <t>Zdroj: CREPČ</t>
  </si>
  <si>
    <t>Tabuľka č. 15a - Prehľad počtu publikačných výstupov podľa CREPČ za rok 2013</t>
  </si>
  <si>
    <t>Skupina A1 – Knižné publikácie charakteru vedeckej monografie</t>
  </si>
  <si>
    <t>Skupina A2 – Ostatné knižné publikácie</t>
  </si>
  <si>
    <t>Skupina B – Publikácie v karentovaných vedeckých časopisoch a autorské osvedčenia, patenty a objavy</t>
  </si>
  <si>
    <t>Skupina C – Ostatné recenzované publikácie</t>
  </si>
  <si>
    <t>APZ Bratislava</t>
  </si>
  <si>
    <t>SZU Bratislava</t>
  </si>
  <si>
    <t>Štátne vysoké školy</t>
  </si>
  <si>
    <t>AOZ Bratislava</t>
  </si>
  <si>
    <t>Akadémia policajného zboru</t>
  </si>
  <si>
    <t>Akadémia ozbrojených síl generála Milana Rastislava Štefánika</t>
  </si>
  <si>
    <t>Slovenská zdravotnícka univerzita v Bratislave</t>
  </si>
  <si>
    <t>Tabuľka č. 16: Počty poberateľov sociálnych štipendií a objemy finančných prostriedkov v rokoch  2012 a 2013</t>
  </si>
  <si>
    <t>Tabuľka č. 17: Ubytovacie kapacity verejných vysokých škôl v rokoch 2011, 2012 a 2013</t>
  </si>
  <si>
    <t>Tabuľka č. 21: Náklady verejných vysokých škôl v roku 2013</t>
  </si>
  <si>
    <r>
      <t xml:space="preserve">Tabuľka č. 22: Náklady verejných vysokých škôl v rokoch 2012 a  2013
</t>
    </r>
    <r>
      <rPr>
        <b/>
        <sz val="12"/>
        <rFont val="Calibri"/>
        <family val="2"/>
        <charset val="238"/>
      </rPr>
      <t>(v Eur)</t>
    </r>
  </si>
  <si>
    <t>Tabuľka č. 24: Náklady verejných vysokých škôl v roku 2013  v oblasti sociálnej podpory študentov</t>
  </si>
  <si>
    <t>Tabuľka č. 25: Výnosy verejných vysokých škôl v roku 2013 v oblasti sociálnej podpory študentov</t>
  </si>
  <si>
    <t>Tabuľka č. 26: Výsledky hospodárenia verejných vysokých škôl v roku 2013  v oblasti sociálnej podpory študentov</t>
  </si>
  <si>
    <t>Tabuľka č. 27: Štruktúra účtu 384 - výnosy budúcich období v rokoch  2012 a 2013</t>
  </si>
  <si>
    <t>Tabuľka č. 17:</t>
  </si>
  <si>
    <t>Tabuľka č. 18a:</t>
  </si>
  <si>
    <t>Tabuľka č. 18b:</t>
  </si>
  <si>
    <t>Tabuľka č. 27:</t>
  </si>
  <si>
    <t>Tabuľka č. 15a:</t>
  </si>
  <si>
    <t>Tabuľka č. 15b:</t>
  </si>
  <si>
    <t>Prehľad počtu publikačných výstupov podľa CREPČ za rok 2013</t>
  </si>
  <si>
    <t>Počet publikačných výstupov za rok 2013 podľa CREPČ na prepočítaný počet zamestnancov verejných vysokých škôl</t>
  </si>
  <si>
    <t>Objem finančných prostriedkov poskytnutých z MŠ na sociálne štipendiá  v roku 2012 (v €)</t>
  </si>
  <si>
    <t>Objem finančných prostriedkov vyplatených študentom na sociálne štipendiá  v roku 2012  (v €)</t>
  </si>
  <si>
    <t>Rozdiel objemu finančných prostriedkov vyplatených na sociálne štipendiá v roku 2011 a 2012  (v €)</t>
  </si>
  <si>
    <r>
      <t xml:space="preserve">Rozdiel objemu finančných prostriedkov vyplatených na sociálne štipendiá v roku 2012 a 2013 </t>
    </r>
    <r>
      <rPr>
        <b/>
        <sz val="11"/>
        <rFont val="Calibri"/>
        <family val="2"/>
        <charset val="238"/>
      </rPr>
      <t xml:space="preserve"> (v €)</t>
    </r>
  </si>
  <si>
    <r>
      <t xml:space="preserve">Objem finančných prostriedkov vyplatených študentom na sociálne štipendiá  v roku 2013 </t>
    </r>
    <r>
      <rPr>
        <b/>
        <sz val="11"/>
        <rFont val="Calibri"/>
        <family val="2"/>
        <charset val="238"/>
      </rPr>
      <t xml:space="preserve"> (v €)</t>
    </r>
  </si>
  <si>
    <r>
      <t>Objem finančných prostriedkov poskytnutých z MŠ na sociálne štipendiá  v roku 2013</t>
    </r>
    <r>
      <rPr>
        <b/>
        <sz val="11"/>
        <rFont val="Calibri"/>
        <family val="2"/>
        <charset val="238"/>
      </rPr>
      <t xml:space="preserve"> (v €)</t>
    </r>
  </si>
  <si>
    <t>Tabuľka č. 18a: Súhrnná súvaha za verejné vysoké školy k 31.12.2013
- časť aktíva  (v €)</t>
  </si>
  <si>
    <t>Tabuľka č. 18b: Súhrnná súvaha za verejné vysoké školy k 31.12.2013
- časť pasíva (v €)</t>
  </si>
  <si>
    <t>Tabuľka č. 19: Výnosy verejných vysokých škôl v roku 2013 (v €)</t>
  </si>
  <si>
    <t>Tabuľka č. 20: Výnosy verejných vysokých škôl v rokoch 2012 a 2013 (v €)</t>
  </si>
  <si>
    <r>
      <t xml:space="preserve">Tabuľka č. 23: Výsledky hospodárenia verejných vysokých škôl v roku 2013 
</t>
    </r>
    <r>
      <rPr>
        <b/>
        <sz val="12"/>
        <rFont val="Calibri"/>
        <family val="2"/>
        <charset val="238"/>
      </rPr>
      <t>(v €)</t>
    </r>
  </si>
  <si>
    <t>Nie sú uvedené vysoké školy, ktoré nevykázali do CREPČ za rok 2013 výstupy.</t>
  </si>
  <si>
    <t>Ostatné, nezaradené do skupín A1 až C</t>
  </si>
  <si>
    <t>Podiel monografii v rámci vysokej školy</t>
  </si>
  <si>
    <t>Podiel karentov v rámci vysokej školy</t>
  </si>
  <si>
    <t>Podiel karentov v rámci SR</t>
  </si>
  <si>
    <t>Podiel monografii v rámci SR</t>
  </si>
  <si>
    <t>Podiel na publikačných výstupoch SR</t>
  </si>
  <si>
    <t>z toho vedecké monografie (AAA, AAB)</t>
  </si>
  <si>
    <t>z toho vedecké práce v karentovaných časopisoch (ADC, ADD)</t>
  </si>
  <si>
    <t>z toho odborné články v karentovaných časopisoch  (BDC, BDD)</t>
  </si>
  <si>
    <t>Stav k 11.08.2014</t>
  </si>
  <si>
    <t>HUAJA B. Štiavnica</t>
  </si>
  <si>
    <t>AOS L. Mikuláš</t>
  </si>
  <si>
    <t>Stav CREPC k 11.8.2014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</si>
</sst>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* #,##0.00\ _S_k_-;\-* #,##0.00\ _S_k_-;_-* &quot;-&quot;??\ _S_k_-;_-@_-"/>
    <numFmt numFmtId="165" formatCode="0.0%"/>
    <numFmt numFmtId="166" formatCode="0.0000"/>
    <numFmt numFmtId="167" formatCode="#,##0.0"/>
    <numFmt numFmtId="168" formatCode="#,##0_ ;[Red]\-#,##0\ "/>
    <numFmt numFmtId="169" formatCode="yyyy"/>
    <numFmt numFmtId="170" formatCode="_-* #,##0\ _€_-;\-* #,##0\ _€_-;_-* &quot;-&quot;??\ _€_-;_-@_-"/>
    <numFmt numFmtId="171" formatCode="0.0000%"/>
    <numFmt numFmtId="172" formatCode="0.000"/>
  </numFmts>
  <fonts count="95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6"/>
      <color indexed="8"/>
      <name val="Cambria"/>
      <family val="1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0"/>
      <name val="Times New Roman CE"/>
      <family val="1"/>
      <charset val="238"/>
    </font>
    <font>
      <i/>
      <sz val="11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b/>
      <sz val="16"/>
      <name val="Calibri"/>
      <family val="2"/>
      <charset val="238"/>
    </font>
    <font>
      <b/>
      <sz val="18"/>
      <color indexed="8"/>
      <name val="Calibri"/>
      <family val="2"/>
      <charset val="238"/>
    </font>
    <font>
      <sz val="8"/>
      <name val="Calibri"/>
      <family val="2"/>
      <charset val="238"/>
    </font>
    <font>
      <i/>
      <sz val="10"/>
      <name val="Arial"/>
      <family val="2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</font>
    <font>
      <b/>
      <i/>
      <sz val="12"/>
      <name val="Times New Roman"/>
      <family val="1"/>
    </font>
    <font>
      <sz val="10"/>
      <name val="Arial CE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4"/>
      <name val="Calibri"/>
      <family val="2"/>
      <charset val="238"/>
    </font>
    <font>
      <sz val="10"/>
      <name val="Arial CE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i/>
      <sz val="9"/>
      <name val="Calibri"/>
      <family val="2"/>
      <charset val="238"/>
    </font>
    <font>
      <sz val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2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b/>
      <sz val="16"/>
      <name val="Calibri"/>
      <family val="2"/>
      <charset val="238"/>
    </font>
    <font>
      <b/>
      <sz val="13"/>
      <name val="Calibri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9"/>
        <bgColor indexed="64"/>
      </patternFill>
    </fill>
  </fills>
  <borders count="1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5"/>
      </left>
      <right/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48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65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143">
    <xf numFmtId="0" fontId="0" fillId="0" borderId="0"/>
    <xf numFmtId="0" fontId="17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7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7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17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7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7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7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7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7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7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7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7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4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6" fillId="21" borderId="5" applyNumberFormat="0" applyAlignment="0" applyProtection="0"/>
    <xf numFmtId="0" fontId="27" fillId="7" borderId="1" applyNumberFormat="0" applyAlignment="0" applyProtection="0"/>
    <xf numFmtId="0" fontId="28" fillId="0" borderId="6" applyNumberFormat="0" applyFill="0" applyAlignment="0" applyProtection="0"/>
    <xf numFmtId="0" fontId="29" fillId="22" borderId="0" applyNumberFormat="0" applyBorder="0" applyAlignment="0" applyProtection="0"/>
    <xf numFmtId="0" fontId="7" fillId="0" borderId="0"/>
    <xf numFmtId="0" fontId="2" fillId="0" borderId="0"/>
    <xf numFmtId="0" fontId="2" fillId="0" borderId="0"/>
    <xf numFmtId="0" fontId="76" fillId="0" borderId="0"/>
    <xf numFmtId="0" fontId="16" fillId="0" borderId="0"/>
    <xf numFmtId="0" fontId="15" fillId="0" borderId="0"/>
    <xf numFmtId="0" fontId="16" fillId="0" borderId="0"/>
    <xf numFmtId="0" fontId="16" fillId="0" borderId="0"/>
    <xf numFmtId="0" fontId="43" fillId="0" borderId="0"/>
    <xf numFmtId="0" fontId="16" fillId="0" borderId="0"/>
    <xf numFmtId="0" fontId="76" fillId="0" borderId="0"/>
    <xf numFmtId="0" fontId="30" fillId="0" borderId="0"/>
    <xf numFmtId="0" fontId="30" fillId="0" borderId="0"/>
    <xf numFmtId="0" fontId="30" fillId="0" borderId="0"/>
    <xf numFmtId="0" fontId="53" fillId="0" borderId="0"/>
    <xf numFmtId="0" fontId="16" fillId="0" borderId="0"/>
    <xf numFmtId="0" fontId="53" fillId="0" borderId="0"/>
    <xf numFmtId="0" fontId="58" fillId="0" borderId="0"/>
    <xf numFmtId="0" fontId="30" fillId="0" borderId="0"/>
    <xf numFmtId="0" fontId="30" fillId="0" borderId="0"/>
    <xf numFmtId="0" fontId="30" fillId="0" borderId="0"/>
    <xf numFmtId="0" fontId="15" fillId="23" borderId="7" applyNumberFormat="0" applyFont="0" applyAlignment="0" applyProtection="0"/>
    <xf numFmtId="0" fontId="31" fillId="20" borderId="8" applyNumberFormat="0" applyAlignment="0" applyProtection="0"/>
    <xf numFmtId="9" fontId="7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32" fillId="22" borderId="9" applyNumberFormat="0" applyProtection="0">
      <alignment vertical="center"/>
    </xf>
    <xf numFmtId="4" fontId="33" fillId="24" borderId="9" applyNumberFormat="0" applyProtection="0">
      <alignment vertical="center"/>
    </xf>
    <xf numFmtId="4" fontId="32" fillId="24" borderId="9" applyNumberFormat="0" applyProtection="0">
      <alignment horizontal="left" vertical="center" indent="1"/>
    </xf>
    <xf numFmtId="0" fontId="32" fillId="24" borderId="9" applyNumberFormat="0" applyProtection="0">
      <alignment horizontal="left" vertical="top" indent="1"/>
    </xf>
    <xf numFmtId="4" fontId="34" fillId="3" borderId="9" applyNumberFormat="0" applyProtection="0">
      <alignment horizontal="right" vertical="center"/>
    </xf>
    <xf numFmtId="4" fontId="34" fillId="9" borderId="9" applyNumberFormat="0" applyProtection="0">
      <alignment horizontal="right" vertical="center"/>
    </xf>
    <xf numFmtId="4" fontId="34" fillId="17" borderId="9" applyNumberFormat="0" applyProtection="0">
      <alignment horizontal="right" vertical="center"/>
    </xf>
    <xf numFmtId="4" fontId="34" fillId="11" borderId="9" applyNumberFormat="0" applyProtection="0">
      <alignment horizontal="right" vertical="center"/>
    </xf>
    <xf numFmtId="4" fontId="34" fillId="15" borderId="9" applyNumberFormat="0" applyProtection="0">
      <alignment horizontal="right" vertical="center"/>
    </xf>
    <xf numFmtId="4" fontId="34" fillId="19" borderId="9" applyNumberFormat="0" applyProtection="0">
      <alignment horizontal="right" vertical="center"/>
    </xf>
    <xf numFmtId="4" fontId="34" fillId="18" borderId="9" applyNumberFormat="0" applyProtection="0">
      <alignment horizontal="right" vertical="center"/>
    </xf>
    <xf numFmtId="4" fontId="34" fillId="25" borderId="9" applyNumberFormat="0" applyProtection="0">
      <alignment horizontal="right" vertical="center"/>
    </xf>
    <xf numFmtId="4" fontId="34" fillId="10" borderId="9" applyNumberFormat="0" applyProtection="0">
      <alignment horizontal="right" vertical="center"/>
    </xf>
    <xf numFmtId="4" fontId="32" fillId="26" borderId="10" applyNumberFormat="0" applyProtection="0">
      <alignment horizontal="left" vertical="center" indent="1"/>
    </xf>
    <xf numFmtId="4" fontId="34" fillId="27" borderId="0" applyNumberFormat="0" applyProtection="0">
      <alignment horizontal="left" vertical="center" indent="1"/>
    </xf>
    <xf numFmtId="4" fontId="35" fillId="28" borderId="0" applyNumberFormat="0" applyProtection="0">
      <alignment horizontal="left" vertical="center" indent="1"/>
    </xf>
    <xf numFmtId="4" fontId="34" fillId="29" borderId="9" applyNumberFormat="0" applyProtection="0">
      <alignment horizontal="right" vertical="center"/>
    </xf>
    <xf numFmtId="4" fontId="36" fillId="27" borderId="0" applyNumberFormat="0" applyProtection="0">
      <alignment horizontal="left" vertical="center" indent="1"/>
    </xf>
    <xf numFmtId="4" fontId="36" fillId="30" borderId="0" applyNumberFormat="0" applyProtection="0">
      <alignment horizontal="left" vertical="center" indent="1"/>
    </xf>
    <xf numFmtId="0" fontId="16" fillId="28" borderId="9" applyNumberFormat="0" applyProtection="0">
      <alignment horizontal="left" vertical="center" indent="1"/>
    </xf>
    <xf numFmtId="0" fontId="16" fillId="28" borderId="9" applyNumberFormat="0" applyProtection="0">
      <alignment horizontal="left" vertical="top" indent="1"/>
    </xf>
    <xf numFmtId="0" fontId="16" fillId="30" borderId="9" applyNumberFormat="0" applyProtection="0">
      <alignment horizontal="left" vertical="center" indent="1"/>
    </xf>
    <xf numFmtId="0" fontId="16" fillId="30" borderId="9" applyNumberFormat="0" applyProtection="0">
      <alignment horizontal="left" vertical="top" indent="1"/>
    </xf>
    <xf numFmtId="0" fontId="16" fillId="31" borderId="9" applyNumberFormat="0" applyProtection="0">
      <alignment horizontal="left" vertical="center" indent="1"/>
    </xf>
    <xf numFmtId="0" fontId="16" fillId="31" borderId="9" applyNumberFormat="0" applyProtection="0">
      <alignment horizontal="left" vertical="top" indent="1"/>
    </xf>
    <xf numFmtId="0" fontId="16" fillId="32" borderId="9" applyNumberFormat="0" applyProtection="0">
      <alignment horizontal="left" vertical="center" indent="1"/>
    </xf>
    <xf numFmtId="0" fontId="16" fillId="32" borderId="9" applyNumberFormat="0" applyProtection="0">
      <alignment horizontal="left" vertical="top" indent="1"/>
    </xf>
    <xf numFmtId="4" fontId="32" fillId="30" borderId="0" applyNumberFormat="0" applyProtection="0">
      <alignment horizontal="left" vertical="center" indent="1"/>
    </xf>
    <xf numFmtId="4" fontId="34" fillId="33" borderId="9" applyNumberFormat="0" applyProtection="0">
      <alignment vertical="center"/>
    </xf>
    <xf numFmtId="4" fontId="37" fillId="33" borderId="9" applyNumberFormat="0" applyProtection="0">
      <alignment vertical="center"/>
    </xf>
    <xf numFmtId="4" fontId="34" fillId="33" borderId="9" applyNumberFormat="0" applyProtection="0">
      <alignment horizontal="left" vertical="center" indent="1"/>
    </xf>
    <xf numFmtId="0" fontId="34" fillId="33" borderId="9" applyNumberFormat="0" applyProtection="0">
      <alignment horizontal="left" vertical="top" indent="1"/>
    </xf>
    <xf numFmtId="4" fontId="34" fillId="27" borderId="9" applyNumberFormat="0" applyProtection="0">
      <alignment horizontal="right" vertical="center"/>
    </xf>
    <xf numFmtId="4" fontId="37" fillId="27" borderId="9" applyNumberFormat="0" applyProtection="0">
      <alignment horizontal="right" vertical="center"/>
    </xf>
    <xf numFmtId="4" fontId="34" fillId="29" borderId="9" applyNumberFormat="0" applyProtection="0">
      <alignment horizontal="left" vertical="center" indent="1"/>
    </xf>
    <xf numFmtId="0" fontId="34" fillId="30" borderId="9" applyNumberFormat="0" applyProtection="0">
      <alignment horizontal="left" vertical="top" indent="1"/>
    </xf>
    <xf numFmtId="4" fontId="38" fillId="34" borderId="0" applyNumberFormat="0" applyProtection="0">
      <alignment horizontal="left" vertical="center" indent="1"/>
    </xf>
    <xf numFmtId="4" fontId="39" fillId="27" borderId="9" applyNumberFormat="0" applyProtection="0">
      <alignment horizontal="right" vertical="center"/>
    </xf>
    <xf numFmtId="0" fontId="8" fillId="0" borderId="12" applyFont="0" applyFill="0" applyBorder="0" applyAlignment="0" applyProtection="0">
      <alignment horizontal="center" vertical="center" wrapText="1"/>
    </xf>
    <xf numFmtId="0" fontId="8" fillId="0" borderId="12" applyFont="0" applyBorder="0" applyAlignment="0">
      <alignment horizontal="center" vertical="center" wrapText="1"/>
    </xf>
    <xf numFmtId="0" fontId="40" fillId="0" borderId="0" applyNumberFormat="0" applyFill="0" applyBorder="0" applyAlignment="0" applyProtection="0"/>
    <xf numFmtId="0" fontId="41" fillId="0" borderId="11" applyNumberFormat="0" applyFill="0" applyAlignment="0" applyProtection="0"/>
    <xf numFmtId="0" fontId="3" fillId="0" borderId="11" applyNumberFormat="0" applyFill="0" applyAlignment="0" applyProtection="0"/>
    <xf numFmtId="0" fontId="3" fillId="0" borderId="11" applyNumberFormat="0" applyFill="0" applyAlignment="0" applyProtection="0"/>
    <xf numFmtId="0" fontId="42" fillId="0" borderId="0" applyNumberFormat="0" applyFill="0" applyBorder="0" applyAlignment="0" applyProtection="0"/>
  </cellStyleXfs>
  <cellXfs count="1194">
    <xf numFmtId="0" fontId="0" fillId="0" borderId="0" xfId="0"/>
    <xf numFmtId="0" fontId="0" fillId="0" borderId="13" xfId="0" applyFill="1" applyBorder="1" applyAlignment="1">
      <alignment horizontal="left" indent="2"/>
    </xf>
    <xf numFmtId="0" fontId="0" fillId="0" borderId="14" xfId="0" applyNumberFormat="1" applyFill="1" applyBorder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0" fillId="0" borderId="0" xfId="0" applyFont="1" applyFill="1" applyBorder="1"/>
    <xf numFmtId="0" fontId="11" fillId="0" borderId="0" xfId="0" applyNumberFormat="1" applyFont="1" applyFill="1" applyBorder="1" applyAlignment="1">
      <alignment horizontal="center" vertical="center" textRotation="90"/>
    </xf>
    <xf numFmtId="3" fontId="11" fillId="0" borderId="0" xfId="0" applyNumberFormat="1" applyFont="1" applyFill="1" applyBorder="1"/>
    <xf numFmtId="0" fontId="0" fillId="0" borderId="0" xfId="0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right"/>
    </xf>
    <xf numFmtId="0" fontId="3" fillId="0" borderId="0" xfId="0" applyFont="1" applyFill="1" applyBorder="1"/>
    <xf numFmtId="0" fontId="44" fillId="0" borderId="0" xfId="0" applyFont="1" applyFill="1" applyBorder="1" applyAlignment="1">
      <alignment horizontal="right"/>
    </xf>
    <xf numFmtId="0" fontId="46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2" fontId="0" fillId="0" borderId="0" xfId="0" applyNumberFormat="1"/>
    <xf numFmtId="3" fontId="0" fillId="0" borderId="14" xfId="0" applyNumberFormat="1" applyFill="1" applyBorder="1"/>
    <xf numFmtId="3" fontId="0" fillId="0" borderId="15" xfId="0" applyNumberFormat="1" applyFill="1" applyBorder="1"/>
    <xf numFmtId="3" fontId="60" fillId="0" borderId="0" xfId="0" applyNumberFormat="1" applyFont="1" applyBorder="1" applyAlignment="1">
      <alignment horizontal="left" vertical="center" wrapText="1"/>
    </xf>
    <xf numFmtId="3" fontId="61" fillId="0" borderId="0" xfId="0" applyNumberFormat="1" applyFont="1" applyBorder="1" applyAlignment="1">
      <alignment horizontal="center" vertical="center" wrapText="1"/>
    </xf>
    <xf numFmtId="3" fontId="61" fillId="0" borderId="0" xfId="0" applyNumberFormat="1" applyFont="1" applyBorder="1" applyAlignment="1">
      <alignment horizontal="left" vertical="center" wrapText="1"/>
    </xf>
    <xf numFmtId="167" fontId="60" fillId="35" borderId="0" xfId="0" applyNumberFormat="1" applyFont="1" applyFill="1" applyBorder="1" applyAlignment="1">
      <alignment horizontal="right" vertical="center" wrapText="1"/>
    </xf>
    <xf numFmtId="4" fontId="60" fillId="35" borderId="0" xfId="0" applyNumberFormat="1" applyFont="1" applyFill="1" applyBorder="1" applyAlignment="1">
      <alignment horizontal="right" vertical="center" wrapText="1"/>
    </xf>
    <xf numFmtId="3" fontId="62" fillId="35" borderId="0" xfId="0" applyNumberFormat="1" applyFont="1" applyFill="1" applyBorder="1" applyAlignment="1">
      <alignment horizontal="left" vertical="center" indent="1"/>
    </xf>
    <xf numFmtId="3" fontId="60" fillId="0" borderId="0" xfId="0" applyNumberFormat="1" applyFont="1" applyFill="1" applyBorder="1" applyAlignment="1">
      <alignment horizontal="left" vertical="center" wrapText="1"/>
    </xf>
    <xf numFmtId="167" fontId="60" fillId="0" borderId="0" xfId="0" applyNumberFormat="1" applyFont="1" applyFill="1" applyBorder="1" applyAlignment="1">
      <alignment horizontal="left" vertical="center" wrapText="1"/>
    </xf>
    <xf numFmtId="4" fontId="60" fillId="0" borderId="0" xfId="0" applyNumberFormat="1" applyFont="1" applyBorder="1" applyAlignment="1">
      <alignment horizontal="right" vertical="center" wrapText="1"/>
    </xf>
    <xf numFmtId="167" fontId="60" fillId="0" borderId="0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51" fillId="0" borderId="0" xfId="78" applyNumberFormat="1" applyFont="1" applyFill="1" applyBorder="1" applyAlignment="1">
      <alignment horizontal="left" vertical="center" wrapText="1"/>
    </xf>
    <xf numFmtId="3" fontId="49" fillId="0" borderId="0" xfId="81" applyNumberFormat="1" applyFont="1" applyBorder="1" applyAlignment="1">
      <alignment vertical="center" wrapText="1"/>
    </xf>
    <xf numFmtId="3" fontId="15" fillId="0" borderId="0" xfId="81" applyNumberFormat="1" applyFont="1" applyBorder="1" applyAlignment="1">
      <alignment horizontal="center" vertical="center" wrapText="1"/>
    </xf>
    <xf numFmtId="4" fontId="15" fillId="0" borderId="0" xfId="81" applyNumberFormat="1" applyFont="1" applyBorder="1" applyAlignment="1">
      <alignment vertical="center" wrapText="1"/>
    </xf>
    <xf numFmtId="3" fontId="15" fillId="0" borderId="0" xfId="81" applyNumberFormat="1" applyFont="1" applyBorder="1" applyAlignment="1">
      <alignment vertical="center" wrapText="1"/>
    </xf>
    <xf numFmtId="4" fontId="50" fillId="0" borderId="0" xfId="81" applyNumberFormat="1" applyFont="1" applyBorder="1" applyAlignment="1">
      <alignment vertical="center" wrapText="1"/>
    </xf>
    <xf numFmtId="3" fontId="50" fillId="0" borderId="0" xfId="81" applyNumberFormat="1" applyFont="1" applyBorder="1" applyAlignment="1">
      <alignment vertical="center" wrapText="1"/>
    </xf>
    <xf numFmtId="0" fontId="15" fillId="0" borderId="0" xfId="81" applyFont="1" applyBorder="1" applyAlignment="1">
      <alignment vertical="center" wrapText="1"/>
    </xf>
    <xf numFmtId="2" fontId="15" fillId="0" borderId="0" xfId="81" applyNumberFormat="1" applyFont="1" applyBorder="1" applyAlignment="1">
      <alignment vertical="center" wrapText="1"/>
    </xf>
    <xf numFmtId="0" fontId="15" fillId="0" borderId="0" xfId="81" applyFont="1"/>
    <xf numFmtId="2" fontId="15" fillId="0" borderId="0" xfId="81" applyNumberFormat="1" applyFont="1"/>
    <xf numFmtId="0" fontId="50" fillId="0" borderId="0" xfId="81" applyFont="1"/>
    <xf numFmtId="0" fontId="55" fillId="0" borderId="0" xfId="81" applyFont="1"/>
    <xf numFmtId="3" fontId="51" fillId="0" borderId="0" xfId="85" applyNumberFormat="1" applyFont="1" applyFill="1" applyBorder="1" applyAlignment="1">
      <alignment horizontal="left" vertical="center" wrapText="1"/>
    </xf>
    <xf numFmtId="3" fontId="15" fillId="0" borderId="0" xfId="78" applyNumberFormat="1" applyFont="1" applyFill="1" applyAlignment="1">
      <alignment horizontal="right" vertical="center" wrapText="1" indent="1"/>
    </xf>
    <xf numFmtId="3" fontId="15" fillId="0" borderId="0" xfId="78" applyNumberFormat="1" applyFont="1" applyFill="1" applyAlignment="1">
      <alignment horizontal="right" vertical="center" wrapText="1"/>
    </xf>
    <xf numFmtId="3" fontId="15" fillId="0" borderId="0" xfId="78" applyNumberFormat="1" applyFont="1" applyFill="1" applyAlignment="1">
      <alignment vertical="center" wrapText="1"/>
    </xf>
    <xf numFmtId="0" fontId="30" fillId="0" borderId="0" xfId="80" applyFill="1"/>
    <xf numFmtId="0" fontId="0" fillId="0" borderId="0" xfId="0" applyFill="1"/>
    <xf numFmtId="169" fontId="0" fillId="0" borderId="0" xfId="0" applyNumberFormat="1" applyFill="1" applyBorder="1"/>
    <xf numFmtId="0" fontId="0" fillId="0" borderId="0" xfId="0" applyBorder="1"/>
    <xf numFmtId="3" fontId="14" fillId="0" borderId="0" xfId="0" applyNumberFormat="1" applyFont="1"/>
    <xf numFmtId="0" fontId="3" fillId="0" borderId="16" xfId="0" applyFont="1" applyFill="1" applyBorder="1"/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3" fontId="0" fillId="0" borderId="19" xfId="0" applyNumberFormat="1" applyFill="1" applyBorder="1"/>
    <xf numFmtId="3" fontId="0" fillId="0" borderId="20" xfId="0" applyNumberFormat="1" applyFill="1" applyBorder="1"/>
    <xf numFmtId="0" fontId="0" fillId="0" borderId="19" xfId="0" applyFill="1" applyBorder="1"/>
    <xf numFmtId="0" fontId="0" fillId="0" borderId="20" xfId="0" applyFill="1" applyBorder="1"/>
    <xf numFmtId="3" fontId="0" fillId="0" borderId="22" xfId="0" applyNumberFormat="1" applyFill="1" applyBorder="1"/>
    <xf numFmtId="0" fontId="0" fillId="0" borderId="14" xfId="0" applyFill="1" applyBorder="1"/>
    <xf numFmtId="0" fontId="0" fillId="0" borderId="22" xfId="0" applyFill="1" applyBorder="1"/>
    <xf numFmtId="3" fontId="0" fillId="0" borderId="24" xfId="0" applyNumberFormat="1" applyFill="1" applyBorder="1"/>
    <xf numFmtId="3" fontId="0" fillId="0" borderId="25" xfId="0" applyNumberFormat="1" applyFill="1" applyBorder="1"/>
    <xf numFmtId="0" fontId="0" fillId="0" borderId="24" xfId="0" applyFill="1" applyBorder="1"/>
    <xf numFmtId="0" fontId="0" fillId="0" borderId="25" xfId="0" applyFill="1" applyBorder="1"/>
    <xf numFmtId="0" fontId="5" fillId="0" borderId="0" xfId="0" applyFont="1" applyFill="1"/>
    <xf numFmtId="0" fontId="3" fillId="0" borderId="27" xfId="0" applyFont="1" applyFill="1" applyBorder="1"/>
    <xf numFmtId="3" fontId="3" fillId="0" borderId="28" xfId="0" applyNumberFormat="1" applyFont="1" applyFill="1" applyBorder="1"/>
    <xf numFmtId="10" fontId="4" fillId="0" borderId="29" xfId="0" applyNumberFormat="1" applyFont="1" applyFill="1" applyBorder="1"/>
    <xf numFmtId="10" fontId="5" fillId="0" borderId="22" xfId="0" applyNumberFormat="1" applyFont="1" applyFill="1" applyBorder="1"/>
    <xf numFmtId="10" fontId="5" fillId="0" borderId="25" xfId="0" applyNumberFormat="1" applyFont="1" applyFill="1" applyBorder="1"/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3" fontId="0" fillId="0" borderId="13" xfId="0" applyNumberFormat="1" applyFill="1" applyBorder="1"/>
    <xf numFmtId="10" fontId="4" fillId="0" borderId="28" xfId="90" applyNumberFormat="1" applyFont="1" applyFill="1" applyBorder="1"/>
    <xf numFmtId="3" fontId="0" fillId="0" borderId="31" xfId="0" applyNumberFormat="1" applyFill="1" applyBorder="1"/>
    <xf numFmtId="3" fontId="0" fillId="0" borderId="32" xfId="0" applyNumberFormat="1" applyFill="1" applyBorder="1"/>
    <xf numFmtId="3" fontId="0" fillId="0" borderId="33" xfId="0" applyNumberFormat="1" applyFill="1" applyBorder="1"/>
    <xf numFmtId="3" fontId="0" fillId="0" borderId="30" xfId="0" applyNumberFormat="1" applyFill="1" applyBorder="1"/>
    <xf numFmtId="3" fontId="3" fillId="0" borderId="34" xfId="51" applyNumberFormat="1" applyFont="1" applyFill="1" applyBorder="1"/>
    <xf numFmtId="3" fontId="3" fillId="0" borderId="35" xfId="51" applyNumberFormat="1" applyFont="1" applyFill="1" applyBorder="1"/>
    <xf numFmtId="1" fontId="3" fillId="0" borderId="35" xfId="51" applyNumberFormat="1" applyFont="1" applyFill="1" applyBorder="1"/>
    <xf numFmtId="3" fontId="3" fillId="0" borderId="28" xfId="51" applyNumberFormat="1" applyFont="1" applyFill="1" applyBorder="1"/>
    <xf numFmtId="10" fontId="5" fillId="0" borderId="19" xfId="90" applyNumberFormat="1" applyFont="1" applyFill="1" applyBorder="1"/>
    <xf numFmtId="10" fontId="5" fillId="0" borderId="20" xfId="90" applyNumberFormat="1" applyFont="1" applyFill="1" applyBorder="1"/>
    <xf numFmtId="10" fontId="5" fillId="0" borderId="21" xfId="90" applyNumberFormat="1" applyFont="1" applyFill="1" applyBorder="1"/>
    <xf numFmtId="10" fontId="5" fillId="0" borderId="14" xfId="90" applyNumberFormat="1" applyFont="1" applyFill="1" applyBorder="1"/>
    <xf numFmtId="10" fontId="5" fillId="0" borderId="22" xfId="90" applyNumberFormat="1" applyFont="1" applyFill="1" applyBorder="1"/>
    <xf numFmtId="10" fontId="5" fillId="0" borderId="23" xfId="90" applyNumberFormat="1" applyFont="1" applyFill="1" applyBorder="1"/>
    <xf numFmtId="10" fontId="5" fillId="0" borderId="17" xfId="90" applyNumberFormat="1" applyFont="1" applyFill="1" applyBorder="1"/>
    <xf numFmtId="10" fontId="5" fillId="0" borderId="18" xfId="90" applyNumberFormat="1" applyFont="1" applyFill="1" applyBorder="1"/>
    <xf numFmtId="10" fontId="5" fillId="0" borderId="36" xfId="90" applyNumberFormat="1" applyFont="1" applyFill="1" applyBorder="1"/>
    <xf numFmtId="10" fontId="4" fillId="0" borderId="37" xfId="90" applyNumberFormat="1" applyFont="1" applyFill="1" applyBorder="1"/>
    <xf numFmtId="10" fontId="4" fillId="0" borderId="29" xfId="90" applyNumberFormat="1" applyFont="1" applyFill="1" applyBorder="1"/>
    <xf numFmtId="3" fontId="0" fillId="0" borderId="38" xfId="0" applyNumberFormat="1" applyFill="1" applyBorder="1"/>
    <xf numFmtId="3" fontId="0" fillId="0" borderId="39" xfId="0" applyNumberFormat="1" applyFill="1" applyBorder="1"/>
    <xf numFmtId="3" fontId="0" fillId="0" borderId="40" xfId="0" applyNumberFormat="1" applyFill="1" applyBorder="1"/>
    <xf numFmtId="3" fontId="0" fillId="0" borderId="41" xfId="0" applyNumberFormat="1" applyFill="1" applyBorder="1"/>
    <xf numFmtId="3" fontId="0" fillId="0" borderId="19" xfId="0" applyNumberFormat="1" applyFill="1" applyBorder="1" applyAlignment="1">
      <alignment horizontal="right" indent="1"/>
    </xf>
    <xf numFmtId="3" fontId="0" fillId="0" borderId="14" xfId="0" applyNumberFormat="1" applyFill="1" applyBorder="1" applyAlignment="1">
      <alignment horizontal="right" indent="1"/>
    </xf>
    <xf numFmtId="3" fontId="0" fillId="0" borderId="24" xfId="0" applyNumberFormat="1" applyFill="1" applyBorder="1" applyAlignment="1">
      <alignment horizontal="right" indent="1"/>
    </xf>
    <xf numFmtId="0" fontId="14" fillId="0" borderId="0" xfId="0" applyFont="1" applyFill="1" applyAlignment="1">
      <alignment horizontal="right"/>
    </xf>
    <xf numFmtId="0" fontId="3" fillId="0" borderId="42" xfId="0" applyFont="1" applyFill="1" applyBorder="1" applyAlignment="1">
      <alignment horizontal="center"/>
    </xf>
    <xf numFmtId="0" fontId="0" fillId="0" borderId="43" xfId="0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44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18" xfId="0" applyFont="1" applyFill="1" applyBorder="1"/>
    <xf numFmtId="0" fontId="0" fillId="0" borderId="42" xfId="0" applyFill="1" applyBorder="1" applyAlignment="1">
      <alignment horizontal="center"/>
    </xf>
    <xf numFmtId="3" fontId="0" fillId="0" borderId="45" xfId="0" applyNumberFormat="1" applyFill="1" applyBorder="1" applyAlignment="1">
      <alignment horizontal="right" indent="1"/>
    </xf>
    <xf numFmtId="0" fontId="0" fillId="0" borderId="46" xfId="0" applyFill="1" applyBorder="1" applyAlignment="1">
      <alignment horizontal="center"/>
    </xf>
    <xf numFmtId="3" fontId="0" fillId="0" borderId="47" xfId="0" applyNumberFormat="1" applyFill="1" applyBorder="1" applyAlignment="1">
      <alignment horizontal="right" indent="1"/>
    </xf>
    <xf numFmtId="0" fontId="0" fillId="0" borderId="48" xfId="0" applyFill="1" applyBorder="1" applyAlignment="1">
      <alignment horizontal="center"/>
    </xf>
    <xf numFmtId="3" fontId="0" fillId="0" borderId="49" xfId="0" applyNumberFormat="1" applyFill="1" applyBorder="1" applyAlignment="1">
      <alignment horizontal="right" indent="1"/>
    </xf>
    <xf numFmtId="0" fontId="0" fillId="0" borderId="0" xfId="0" applyFill="1" applyAlignment="1">
      <alignment horizontal="center"/>
    </xf>
    <xf numFmtId="0" fontId="9" fillId="0" borderId="39" xfId="0" applyFont="1" applyFill="1" applyBorder="1" applyAlignment="1">
      <alignment horizontal="centerContinuous" vertical="center"/>
    </xf>
    <xf numFmtId="0" fontId="9" fillId="0" borderId="23" xfId="0" applyFont="1" applyFill="1" applyBorder="1" applyAlignment="1">
      <alignment horizontal="centerContinuous" vertical="center"/>
    </xf>
    <xf numFmtId="0" fontId="9" fillId="0" borderId="49" xfId="0" applyFont="1" applyFill="1" applyBorder="1" applyAlignment="1">
      <alignment horizontal="center" vertical="center" textRotation="90" wrapText="1"/>
    </xf>
    <xf numFmtId="0" fontId="9" fillId="0" borderId="26" xfId="0" applyFont="1" applyFill="1" applyBorder="1" applyAlignment="1">
      <alignment horizontal="center" vertical="center" textRotation="90" wrapText="1"/>
    </xf>
    <xf numFmtId="0" fontId="15" fillId="0" borderId="0" xfId="81" applyFont="1" applyFill="1" applyBorder="1" applyAlignment="1">
      <alignment vertical="center" wrapText="1"/>
    </xf>
    <xf numFmtId="3" fontId="10" fillId="0" borderId="47" xfId="81" applyNumberFormat="1" applyFont="1" applyFill="1" applyBorder="1" applyAlignment="1">
      <alignment horizontal="right" vertical="center" wrapText="1" indent="3"/>
    </xf>
    <xf numFmtId="3" fontId="9" fillId="0" borderId="27" xfId="81" applyNumberFormat="1" applyFont="1" applyFill="1" applyBorder="1" applyAlignment="1">
      <alignment horizontal="center" vertical="center" wrapText="1"/>
    </xf>
    <xf numFmtId="3" fontId="9" fillId="0" borderId="50" xfId="81" applyNumberFormat="1" applyFont="1" applyFill="1" applyBorder="1" applyAlignment="1">
      <alignment horizontal="center" vertical="center" wrapText="1"/>
    </xf>
    <xf numFmtId="3" fontId="9" fillId="0" borderId="29" xfId="81" applyNumberFormat="1" applyFont="1" applyFill="1" applyBorder="1" applyAlignment="1">
      <alignment horizontal="center" vertical="center" wrapText="1"/>
    </xf>
    <xf numFmtId="3" fontId="9" fillId="0" borderId="51" xfId="81" applyNumberFormat="1" applyFont="1" applyFill="1" applyBorder="1" applyAlignment="1">
      <alignment horizontal="center" vertical="center" wrapText="1"/>
    </xf>
    <xf numFmtId="0" fontId="64" fillId="0" borderId="0" xfId="0" applyFont="1"/>
    <xf numFmtId="3" fontId="60" fillId="0" borderId="0" xfId="0" applyNumberFormat="1" applyFont="1" applyFill="1" applyBorder="1" applyAlignment="1">
      <alignment vertical="top" wrapText="1"/>
    </xf>
    <xf numFmtId="3" fontId="60" fillId="0" borderId="0" xfId="81" applyNumberFormat="1" applyFont="1" applyBorder="1" applyAlignment="1">
      <alignment vertical="center" wrapText="1"/>
    </xf>
    <xf numFmtId="3" fontId="60" fillId="0" borderId="0" xfId="78" applyNumberFormat="1" applyFont="1" applyFill="1" applyBorder="1" applyAlignment="1">
      <alignment vertical="center" wrapText="1"/>
    </xf>
    <xf numFmtId="0" fontId="64" fillId="0" borderId="0" xfId="0" applyFont="1" applyBorder="1" applyAlignment="1"/>
    <xf numFmtId="3" fontId="60" fillId="0" borderId="0" xfId="81" applyNumberFormat="1" applyFont="1" applyBorder="1" applyAlignment="1">
      <alignment vertical="top" wrapText="1"/>
    </xf>
    <xf numFmtId="0" fontId="64" fillId="0" borderId="0" xfId="0" applyFont="1" applyAlignment="1">
      <alignment vertical="top"/>
    </xf>
    <xf numFmtId="0" fontId="64" fillId="0" borderId="0" xfId="0" applyFont="1" applyAlignment="1">
      <alignment vertical="top" wrapText="1"/>
    </xf>
    <xf numFmtId="3" fontId="60" fillId="0" borderId="0" xfId="81" applyNumberFormat="1" applyFont="1" applyFill="1" applyBorder="1" applyAlignment="1">
      <alignment vertical="top" wrapText="1"/>
    </xf>
    <xf numFmtId="0" fontId="60" fillId="0" borderId="0" xfId="81" applyFont="1" applyBorder="1" applyAlignment="1">
      <alignment vertical="top" wrapText="1"/>
    </xf>
    <xf numFmtId="0" fontId="64" fillId="0" borderId="0" xfId="0" applyFont="1" applyBorder="1" applyAlignment="1">
      <alignment vertical="top"/>
    </xf>
    <xf numFmtId="3" fontId="60" fillId="0" borderId="0" xfId="83" applyNumberFormat="1" applyFont="1" applyBorder="1" applyAlignment="1">
      <alignment vertical="top" wrapText="1"/>
    </xf>
    <xf numFmtId="3" fontId="60" fillId="0" borderId="0" xfId="86" applyNumberFormat="1" applyFont="1" applyFill="1" applyBorder="1" applyAlignment="1">
      <alignment vertical="center" wrapText="1"/>
    </xf>
    <xf numFmtId="0" fontId="64" fillId="0" borderId="0" xfId="0" applyFont="1" applyFill="1"/>
    <xf numFmtId="3" fontId="10" fillId="0" borderId="52" xfId="81" applyNumberFormat="1" applyFont="1" applyFill="1" applyBorder="1" applyAlignment="1">
      <alignment horizontal="right" vertical="center" wrapText="1" indent="3"/>
    </xf>
    <xf numFmtId="3" fontId="10" fillId="0" borderId="44" xfId="81" applyNumberFormat="1" applyFont="1" applyFill="1" applyBorder="1" applyAlignment="1">
      <alignment horizontal="right" vertical="center" wrapText="1" indent="3"/>
    </xf>
    <xf numFmtId="3" fontId="9" fillId="0" borderId="50" xfId="81" applyNumberFormat="1" applyFont="1" applyFill="1" applyBorder="1" applyAlignment="1">
      <alignment horizontal="right" vertical="center" wrapText="1" indent="3"/>
    </xf>
    <xf numFmtId="3" fontId="9" fillId="0" borderId="13" xfId="81" applyNumberFormat="1" applyFont="1" applyFill="1" applyBorder="1" applyAlignment="1">
      <alignment vertical="center" wrapText="1"/>
    </xf>
    <xf numFmtId="3" fontId="9" fillId="0" borderId="30" xfId="81" applyNumberFormat="1" applyFont="1" applyFill="1" applyBorder="1" applyAlignment="1">
      <alignment vertical="center" wrapText="1"/>
    </xf>
    <xf numFmtId="167" fontId="62" fillId="0" borderId="53" xfId="0" applyNumberFormat="1" applyFont="1" applyFill="1" applyBorder="1" applyAlignment="1">
      <alignment horizontal="center" vertical="center" wrapText="1"/>
    </xf>
    <xf numFmtId="4" fontId="62" fillId="0" borderId="53" xfId="0" applyNumberFormat="1" applyFont="1" applyBorder="1" applyAlignment="1">
      <alignment horizontal="center" vertical="center" wrapText="1"/>
    </xf>
    <xf numFmtId="4" fontId="62" fillId="0" borderId="54" xfId="0" applyNumberFormat="1" applyFont="1" applyBorder="1" applyAlignment="1">
      <alignment horizontal="center" vertical="center" wrapText="1"/>
    </xf>
    <xf numFmtId="0" fontId="60" fillId="0" borderId="0" xfId="0" applyFont="1" applyAlignment="1">
      <alignment vertical="top"/>
    </xf>
    <xf numFmtId="0" fontId="9" fillId="0" borderId="55" xfId="0" applyFont="1" applyFill="1" applyBorder="1" applyAlignment="1">
      <alignment horizontal="center" vertical="center"/>
    </xf>
    <xf numFmtId="3" fontId="0" fillId="0" borderId="14" xfId="0" applyNumberFormat="1" applyFont="1" applyFill="1" applyBorder="1"/>
    <xf numFmtId="3" fontId="10" fillId="0" borderId="0" xfId="0" applyNumberFormat="1" applyFont="1" applyFill="1" applyBorder="1"/>
    <xf numFmtId="0" fontId="2" fillId="0" borderId="42" xfId="0" applyFont="1" applyFill="1" applyBorder="1" applyAlignment="1">
      <alignment horizontal="center"/>
    </xf>
    <xf numFmtId="0" fontId="2" fillId="35" borderId="0" xfId="0" applyFont="1" applyFill="1"/>
    <xf numFmtId="3" fontId="0" fillId="0" borderId="0" xfId="0" applyNumberFormat="1" applyFill="1" applyBorder="1"/>
    <xf numFmtId="1" fontId="3" fillId="0" borderId="34" xfId="51" applyNumberFormat="1" applyFont="1" applyFill="1" applyBorder="1"/>
    <xf numFmtId="10" fontId="5" fillId="0" borderId="39" xfId="0" applyNumberFormat="1" applyFont="1" applyFill="1" applyBorder="1"/>
    <xf numFmtId="4" fontId="0" fillId="0" borderId="0" xfId="0" applyNumberFormat="1"/>
    <xf numFmtId="3" fontId="15" fillId="0" borderId="0" xfId="81" applyNumberFormat="1" applyFont="1" applyFill="1" applyBorder="1" applyAlignment="1">
      <alignment vertical="center" wrapText="1"/>
    </xf>
    <xf numFmtId="171" fontId="15" fillId="0" borderId="0" xfId="81" applyNumberFormat="1" applyFont="1" applyBorder="1" applyAlignment="1">
      <alignment vertical="center" wrapText="1"/>
    </xf>
    <xf numFmtId="9" fontId="15" fillId="0" borderId="0" xfId="81" applyNumberFormat="1" applyFont="1" applyBorder="1" applyAlignment="1">
      <alignment vertical="center" wrapText="1"/>
    </xf>
    <xf numFmtId="3" fontId="9" fillId="0" borderId="32" xfId="81" applyNumberFormat="1" applyFont="1" applyFill="1" applyBorder="1" applyAlignment="1"/>
    <xf numFmtId="0" fontId="9" fillId="0" borderId="13" xfId="81" applyNumberFormat="1" applyFont="1" applyFill="1" applyBorder="1" applyAlignment="1">
      <alignment vertical="top" wrapText="1"/>
    </xf>
    <xf numFmtId="3" fontId="9" fillId="0" borderId="13" xfId="81" applyNumberFormat="1" applyFont="1" applyFill="1" applyBorder="1" applyAlignment="1"/>
    <xf numFmtId="0" fontId="55" fillId="0" borderId="0" xfId="81" applyFont="1" applyFill="1"/>
    <xf numFmtId="10" fontId="5" fillId="0" borderId="0" xfId="0" applyNumberFormat="1" applyFont="1" applyFill="1" applyBorder="1"/>
    <xf numFmtId="10" fontId="5" fillId="0" borderId="20" xfId="0" applyNumberFormat="1" applyFont="1" applyFill="1" applyBorder="1"/>
    <xf numFmtId="10" fontId="0" fillId="0" borderId="22" xfId="0" applyNumberFormat="1" applyFill="1" applyBorder="1"/>
    <xf numFmtId="10" fontId="0" fillId="0" borderId="25" xfId="0" applyNumberFormat="1" applyFill="1" applyBorder="1"/>
    <xf numFmtId="3" fontId="65" fillId="35" borderId="0" xfId="0" applyNumberFormat="1" applyFont="1" applyFill="1" applyBorder="1" applyAlignment="1">
      <alignment horizontal="left" vertical="center"/>
    </xf>
    <xf numFmtId="3" fontId="66" fillId="0" borderId="0" xfId="81" applyNumberFormat="1" applyFont="1" applyFill="1" applyBorder="1" applyAlignment="1">
      <alignment horizontal="right" vertical="center"/>
    </xf>
    <xf numFmtId="0" fontId="66" fillId="0" borderId="0" xfId="81" applyFont="1" applyAlignment="1">
      <alignment horizontal="right"/>
    </xf>
    <xf numFmtId="3" fontId="45" fillId="0" borderId="0" xfId="81" applyNumberFormat="1" applyFont="1" applyFill="1" applyBorder="1" applyAlignment="1">
      <alignment vertical="center" wrapText="1"/>
    </xf>
    <xf numFmtId="3" fontId="63" fillId="0" borderId="0" xfId="0" applyNumberFormat="1" applyFont="1" applyFill="1" applyBorder="1" applyAlignment="1">
      <alignment horizontal="left" vertical="center" wrapText="1"/>
    </xf>
    <xf numFmtId="3" fontId="63" fillId="0" borderId="13" xfId="0" applyNumberFormat="1" applyFont="1" applyFill="1" applyBorder="1" applyAlignment="1">
      <alignment horizontal="left" vertical="center" wrapText="1"/>
    </xf>
    <xf numFmtId="3" fontId="63" fillId="0" borderId="27" xfId="0" applyNumberFormat="1" applyFont="1" applyFill="1" applyBorder="1" applyAlignment="1">
      <alignment horizontal="left" vertical="center" wrapText="1"/>
    </xf>
    <xf numFmtId="165" fontId="5" fillId="0" borderId="56" xfId="90" applyNumberFormat="1" applyFont="1" applyFill="1" applyBorder="1"/>
    <xf numFmtId="0" fontId="3" fillId="0" borderId="32" xfId="0" applyFont="1" applyFill="1" applyBorder="1"/>
    <xf numFmtId="0" fontId="3" fillId="0" borderId="13" xfId="0" applyFont="1" applyFill="1" applyBorder="1"/>
    <xf numFmtId="0" fontId="3" fillId="0" borderId="30" xfId="0" applyFont="1" applyFill="1" applyBorder="1"/>
    <xf numFmtId="0" fontId="3" fillId="0" borderId="32" xfId="0" applyFont="1" applyFill="1" applyBorder="1" applyAlignment="1">
      <alignment horizontal="center" vertical="center"/>
    </xf>
    <xf numFmtId="167" fontId="61" fillId="0" borderId="49" xfId="0" applyNumberFormat="1" applyFont="1" applyBorder="1" applyAlignment="1">
      <alignment horizontal="center" vertical="center" textRotation="90" wrapText="1"/>
    </xf>
    <xf numFmtId="4" fontId="61" fillId="0" borderId="25" xfId="0" applyNumberFormat="1" applyFont="1" applyBorder="1" applyAlignment="1">
      <alignment horizontal="center" vertical="center" textRotation="90" wrapText="1"/>
    </xf>
    <xf numFmtId="4" fontId="61" fillId="0" borderId="49" xfId="0" applyNumberFormat="1" applyFont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/>
    </xf>
    <xf numFmtId="167" fontId="62" fillId="0" borderId="57" xfId="0" applyNumberFormat="1" applyFont="1" applyFill="1" applyBorder="1" applyAlignment="1">
      <alignment horizontal="center" vertical="center" wrapText="1"/>
    </xf>
    <xf numFmtId="167" fontId="61" fillId="0" borderId="24" xfId="0" applyNumberFormat="1" applyFont="1" applyBorder="1" applyAlignment="1">
      <alignment horizontal="center" vertical="center" textRotation="90" wrapText="1"/>
    </xf>
    <xf numFmtId="167" fontId="62" fillId="0" borderId="34" xfId="0" applyNumberFormat="1" applyFont="1" applyFill="1" applyBorder="1" applyAlignment="1">
      <alignment horizontal="center" vertical="center" wrapText="1"/>
    </xf>
    <xf numFmtId="4" fontId="62" fillId="0" borderId="58" xfId="0" applyNumberFormat="1" applyFont="1" applyBorder="1" applyAlignment="1">
      <alignment horizontal="center" vertical="center" wrapText="1"/>
    </xf>
    <xf numFmtId="167" fontId="62" fillId="0" borderId="58" xfId="0" applyNumberFormat="1" applyFont="1" applyFill="1" applyBorder="1" applyAlignment="1">
      <alignment horizontal="center" vertical="center" wrapText="1"/>
    </xf>
    <xf numFmtId="4" fontId="62" fillId="0" borderId="35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 applyBorder="1"/>
    <xf numFmtId="0" fontId="0" fillId="0" borderId="47" xfId="0" applyFont="1" applyBorder="1"/>
    <xf numFmtId="3" fontId="60" fillId="0" borderId="47" xfId="0" applyNumberFormat="1" applyFont="1" applyFill="1" applyBorder="1" applyAlignment="1">
      <alignment horizontal="left" vertical="center" wrapText="1"/>
    </xf>
    <xf numFmtId="0" fontId="0" fillId="0" borderId="47" xfId="0" applyFont="1" applyBorder="1" applyAlignment="1">
      <alignment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47" xfId="0" applyFont="1" applyFill="1" applyBorder="1"/>
    <xf numFmtId="0" fontId="10" fillId="0" borderId="59" xfId="0" applyFont="1" applyFill="1" applyBorder="1"/>
    <xf numFmtId="0" fontId="0" fillId="0" borderId="27" xfId="0" applyBorder="1"/>
    <xf numFmtId="0" fontId="67" fillId="0" borderId="60" xfId="67" applyFont="1" applyFill="1" applyBorder="1" applyAlignment="1">
      <alignment horizontal="center" vertical="center"/>
    </xf>
    <xf numFmtId="0" fontId="67" fillId="0" borderId="60" xfId="0" applyFont="1" applyFill="1" applyBorder="1" applyAlignment="1">
      <alignment horizontal="center" vertical="center" wrapText="1"/>
    </xf>
    <xf numFmtId="0" fontId="67" fillId="0" borderId="61" xfId="0" applyFont="1" applyFill="1" applyBorder="1" applyAlignment="1">
      <alignment horizontal="center" vertical="center" wrapText="1"/>
    </xf>
    <xf numFmtId="3" fontId="9" fillId="0" borderId="13" xfId="81" applyNumberFormat="1" applyFont="1" applyFill="1" applyBorder="1" applyAlignment="1">
      <alignment vertical="center"/>
    </xf>
    <xf numFmtId="3" fontId="0" fillId="0" borderId="0" xfId="0" applyNumberFormat="1" applyFill="1"/>
    <xf numFmtId="3" fontId="0" fillId="0" borderId="17" xfId="0" applyNumberFormat="1" applyFont="1" applyFill="1" applyBorder="1"/>
    <xf numFmtId="0" fontId="0" fillId="0" borderId="0" xfId="0" applyNumberFormat="1" applyBorder="1"/>
    <xf numFmtId="0" fontId="0" fillId="0" borderId="14" xfId="0" applyNumberFormat="1" applyBorder="1"/>
    <xf numFmtId="0" fontId="0" fillId="0" borderId="46" xfId="0" applyNumberFormat="1" applyFill="1" applyBorder="1"/>
    <xf numFmtId="10" fontId="5" fillId="0" borderId="18" xfId="0" applyNumberFormat="1" applyFont="1" applyFill="1" applyBorder="1"/>
    <xf numFmtId="0" fontId="68" fillId="0" borderId="0" xfId="0" applyFont="1"/>
    <xf numFmtId="1" fontId="0" fillId="0" borderId="0" xfId="0" applyNumberFormat="1"/>
    <xf numFmtId="167" fontId="10" fillId="0" borderId="19" xfId="0" applyNumberFormat="1" applyFont="1" applyBorder="1" applyAlignment="1">
      <alignment horizontal="right" vertical="center" wrapText="1"/>
    </xf>
    <xf numFmtId="167" fontId="10" fillId="0" borderId="45" xfId="0" applyNumberFormat="1" applyFont="1" applyBorder="1" applyAlignment="1">
      <alignment horizontal="right" vertical="center" wrapText="1"/>
    </xf>
    <xf numFmtId="167" fontId="10" fillId="0" borderId="31" xfId="0" applyNumberFormat="1" applyFont="1" applyBorder="1" applyAlignment="1">
      <alignment horizontal="right" vertical="center" wrapText="1"/>
    </xf>
    <xf numFmtId="167" fontId="10" fillId="0" borderId="14" xfId="0" applyNumberFormat="1" applyFont="1" applyBorder="1" applyAlignment="1">
      <alignment horizontal="right" vertical="center" wrapText="1"/>
    </xf>
    <xf numFmtId="167" fontId="10" fillId="0" borderId="47" xfId="0" applyNumberFormat="1" applyFont="1" applyBorder="1" applyAlignment="1">
      <alignment horizontal="right" vertical="center" wrapText="1"/>
    </xf>
    <xf numFmtId="167" fontId="10" fillId="0" borderId="15" xfId="0" applyNumberFormat="1" applyFont="1" applyBorder="1" applyAlignment="1">
      <alignment horizontal="right" vertical="center" wrapText="1"/>
    </xf>
    <xf numFmtId="167" fontId="10" fillId="0" borderId="24" xfId="0" applyNumberFormat="1" applyFont="1" applyBorder="1" applyAlignment="1">
      <alignment horizontal="right" vertical="center" wrapText="1"/>
    </xf>
    <xf numFmtId="167" fontId="10" fillId="0" borderId="49" xfId="0" applyNumberFormat="1" applyFont="1" applyBorder="1" applyAlignment="1">
      <alignment horizontal="right" vertical="center" wrapText="1"/>
    </xf>
    <xf numFmtId="167" fontId="10" fillId="0" borderId="33" xfId="0" applyNumberFormat="1" applyFont="1" applyBorder="1" applyAlignment="1">
      <alignment horizontal="right" vertical="center" wrapText="1"/>
    </xf>
    <xf numFmtId="167" fontId="13" fillId="0" borderId="50" xfId="0" applyNumberFormat="1" applyFont="1" applyFill="1" applyBorder="1" applyAlignment="1">
      <alignment horizontal="right" vertical="center" wrapText="1"/>
    </xf>
    <xf numFmtId="4" fontId="13" fillId="0" borderId="50" xfId="0" applyNumberFormat="1" applyFont="1" applyBorder="1" applyAlignment="1">
      <alignment horizontal="right" vertical="center" wrapText="1"/>
    </xf>
    <xf numFmtId="167" fontId="13" fillId="0" borderId="50" xfId="0" applyNumberFormat="1" applyFont="1" applyBorder="1" applyAlignment="1">
      <alignment horizontal="right" vertical="center" wrapText="1"/>
    </xf>
    <xf numFmtId="4" fontId="13" fillId="0" borderId="29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/>
    <xf numFmtId="3" fontId="49" fillId="0" borderId="0" xfId="78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4" fontId="0" fillId="0" borderId="0" xfId="0" applyNumberFormat="1" applyAlignment="1"/>
    <xf numFmtId="3" fontId="10" fillId="0" borderId="62" xfId="81" applyNumberFormat="1" applyFont="1" applyFill="1" applyBorder="1" applyAlignment="1">
      <alignment horizontal="right" vertical="center" indent="3"/>
    </xf>
    <xf numFmtId="3" fontId="2" fillId="0" borderId="62" xfId="81" applyNumberFormat="1" applyFont="1" applyFill="1" applyBorder="1" applyAlignment="1">
      <alignment horizontal="right" vertical="center" wrapText="1" indent="3"/>
    </xf>
    <xf numFmtId="3" fontId="9" fillId="0" borderId="52" xfId="81" applyNumberFormat="1" applyFont="1" applyFill="1" applyBorder="1" applyAlignment="1">
      <alignment horizontal="right" vertical="center" wrapText="1" indent="3"/>
    </xf>
    <xf numFmtId="3" fontId="10" fillId="0" borderId="15" xfId="81" applyNumberFormat="1" applyFont="1" applyFill="1" applyBorder="1" applyAlignment="1">
      <alignment horizontal="right" vertical="center" indent="3"/>
    </xf>
    <xf numFmtId="3" fontId="2" fillId="0" borderId="15" xfId="81" applyNumberFormat="1" applyFont="1" applyFill="1" applyBorder="1" applyAlignment="1">
      <alignment horizontal="right" vertical="center" wrapText="1" indent="3"/>
    </xf>
    <xf numFmtId="3" fontId="9" fillId="0" borderId="47" xfId="81" applyNumberFormat="1" applyFont="1" applyFill="1" applyBorder="1" applyAlignment="1">
      <alignment horizontal="right" vertical="center" wrapText="1" indent="3"/>
    </xf>
    <xf numFmtId="3" fontId="10" fillId="0" borderId="64" xfId="81" applyNumberFormat="1" applyFont="1" applyFill="1" applyBorder="1" applyAlignment="1">
      <alignment horizontal="right" vertical="center" indent="3"/>
    </xf>
    <xf numFmtId="3" fontId="2" fillId="0" borderId="64" xfId="81" applyNumberFormat="1" applyFont="1" applyFill="1" applyBorder="1" applyAlignment="1">
      <alignment horizontal="right" vertical="center" wrapText="1" indent="3"/>
    </xf>
    <xf numFmtId="3" fontId="9" fillId="0" borderId="44" xfId="81" applyNumberFormat="1" applyFont="1" applyFill="1" applyBorder="1" applyAlignment="1">
      <alignment horizontal="right" vertical="center" wrapText="1" indent="3"/>
    </xf>
    <xf numFmtId="3" fontId="9" fillId="0" borderId="27" xfId="81" applyNumberFormat="1" applyFont="1" applyFill="1" applyBorder="1" applyAlignment="1">
      <alignment vertical="center" wrapText="1"/>
    </xf>
    <xf numFmtId="3" fontId="9" fillId="0" borderId="51" xfId="81" applyNumberFormat="1" applyFont="1" applyFill="1" applyBorder="1" applyAlignment="1">
      <alignment horizontal="right" vertical="center" wrapText="1" indent="3"/>
    </xf>
    <xf numFmtId="3" fontId="3" fillId="0" borderId="51" xfId="81" applyNumberFormat="1" applyFont="1" applyFill="1" applyBorder="1" applyAlignment="1">
      <alignment horizontal="right" vertical="center" wrapText="1" indent="3"/>
    </xf>
    <xf numFmtId="3" fontId="3" fillId="0" borderId="50" xfId="81" applyNumberFormat="1" applyFont="1" applyFill="1" applyBorder="1" applyAlignment="1">
      <alignment horizontal="right" vertical="center" wrapText="1" indent="3"/>
    </xf>
    <xf numFmtId="0" fontId="10" fillId="0" borderId="31" xfId="81" applyFont="1" applyFill="1" applyBorder="1" applyAlignment="1">
      <alignment horizontal="right" vertical="center" indent="3"/>
    </xf>
    <xf numFmtId="3" fontId="10" fillId="0" borderId="45" xfId="73" applyNumberFormat="1" applyFont="1" applyFill="1" applyBorder="1" applyAlignment="1">
      <alignment horizontal="right" vertical="center" indent="3"/>
    </xf>
    <xf numFmtId="3" fontId="10" fillId="0" borderId="45" xfId="81" applyNumberFormat="1" applyFont="1" applyFill="1" applyBorder="1" applyAlignment="1">
      <alignment horizontal="right" vertical="center" indent="3"/>
    </xf>
    <xf numFmtId="3" fontId="10" fillId="0" borderId="31" xfId="73" applyNumberFormat="1" applyFont="1" applyFill="1" applyBorder="1" applyAlignment="1">
      <alignment horizontal="right" vertical="center" indent="3"/>
    </xf>
    <xf numFmtId="3" fontId="3" fillId="0" borderId="45" xfId="81" applyNumberFormat="1" applyFont="1" applyFill="1" applyBorder="1" applyAlignment="1">
      <alignment horizontal="right" vertical="center" indent="3"/>
    </xf>
    <xf numFmtId="0" fontId="10" fillId="0" borderId="15" xfId="81" applyFont="1" applyFill="1" applyBorder="1" applyAlignment="1">
      <alignment horizontal="right" vertical="center" indent="3"/>
    </xf>
    <xf numFmtId="3" fontId="10" fillId="0" borderId="47" xfId="73" applyNumberFormat="1" applyFont="1" applyFill="1" applyBorder="1" applyAlignment="1">
      <alignment horizontal="right" vertical="center" indent="3"/>
    </xf>
    <xf numFmtId="3" fontId="10" fillId="0" borderId="47" xfId="81" applyNumberFormat="1" applyFont="1" applyFill="1" applyBorder="1" applyAlignment="1">
      <alignment horizontal="right" vertical="center" indent="3"/>
    </xf>
    <xf numFmtId="3" fontId="10" fillId="0" borderId="15" xfId="73" applyNumberFormat="1" applyFont="1" applyFill="1" applyBorder="1" applyAlignment="1">
      <alignment horizontal="right" vertical="center" indent="3"/>
    </xf>
    <xf numFmtId="3" fontId="3" fillId="0" borderId="47" xfId="81" applyNumberFormat="1" applyFont="1" applyFill="1" applyBorder="1" applyAlignment="1">
      <alignment horizontal="right" vertical="center" indent="3"/>
    </xf>
    <xf numFmtId="0" fontId="10" fillId="0" borderId="33" xfId="81" applyFont="1" applyFill="1" applyBorder="1" applyAlignment="1">
      <alignment horizontal="right" vertical="center" indent="3"/>
    </xf>
    <xf numFmtId="3" fontId="10" fillId="0" borderId="49" xfId="73" applyNumberFormat="1" applyFont="1" applyFill="1" applyBorder="1" applyAlignment="1">
      <alignment horizontal="right" vertical="center" indent="3"/>
    </xf>
    <xf numFmtId="3" fontId="10" fillId="0" borderId="49" xfId="81" applyNumberFormat="1" applyFont="1" applyFill="1" applyBorder="1" applyAlignment="1">
      <alignment horizontal="right" vertical="center" indent="3"/>
    </xf>
    <xf numFmtId="3" fontId="10" fillId="0" borderId="24" xfId="73" applyNumberFormat="1" applyFont="1" applyFill="1" applyBorder="1" applyAlignment="1">
      <alignment horizontal="right" vertical="center" indent="3"/>
    </xf>
    <xf numFmtId="3" fontId="3" fillId="0" borderId="49" xfId="81" applyNumberFormat="1" applyFont="1" applyFill="1" applyBorder="1" applyAlignment="1">
      <alignment horizontal="right" vertical="center" indent="3"/>
    </xf>
    <xf numFmtId="0" fontId="9" fillId="0" borderId="37" xfId="81" applyFont="1" applyFill="1" applyBorder="1" applyAlignment="1">
      <alignment horizontal="right" vertical="center" indent="3"/>
    </xf>
    <xf numFmtId="0" fontId="9" fillId="0" borderId="50" xfId="81" applyFont="1" applyFill="1" applyBorder="1" applyAlignment="1">
      <alignment horizontal="right" vertical="center" indent="3"/>
    </xf>
    <xf numFmtId="0" fontId="9" fillId="0" borderId="65" xfId="81" applyFont="1" applyFill="1" applyBorder="1" applyAlignment="1">
      <alignment horizontal="right" vertical="center" indent="3"/>
    </xf>
    <xf numFmtId="3" fontId="9" fillId="0" borderId="37" xfId="81" applyNumberFormat="1" applyFont="1" applyFill="1" applyBorder="1" applyAlignment="1">
      <alignment horizontal="right" vertical="center" indent="3"/>
    </xf>
    <xf numFmtId="3" fontId="9" fillId="0" borderId="65" xfId="81" applyNumberFormat="1" applyFont="1" applyFill="1" applyBorder="1" applyAlignment="1">
      <alignment horizontal="right" vertical="center" indent="3"/>
    </xf>
    <xf numFmtId="3" fontId="9" fillId="0" borderId="58" xfId="81" applyNumberFormat="1" applyFont="1" applyFill="1" applyBorder="1" applyAlignment="1">
      <alignment horizontal="right" vertical="center" indent="3"/>
    </xf>
    <xf numFmtId="167" fontId="13" fillId="0" borderId="51" xfId="0" applyNumberFormat="1" applyFont="1" applyFill="1" applyBorder="1" applyAlignment="1">
      <alignment horizontal="right" vertical="center" wrapText="1"/>
    </xf>
    <xf numFmtId="3" fontId="61" fillId="0" borderId="27" xfId="0" applyNumberFormat="1" applyFont="1" applyFill="1" applyBorder="1" applyAlignment="1">
      <alignment horizontal="left" vertical="center" wrapText="1"/>
    </xf>
    <xf numFmtId="0" fontId="60" fillId="0" borderId="0" xfId="80" applyFont="1" applyFill="1"/>
    <xf numFmtId="3" fontId="63" fillId="0" borderId="0" xfId="80" applyNumberFormat="1" applyFont="1" applyFill="1" applyBorder="1" applyAlignment="1">
      <alignment horizontal="right" vertical="center" wrapText="1" indent="1"/>
    </xf>
    <xf numFmtId="0" fontId="3" fillId="0" borderId="27" xfId="0" applyFont="1" applyFill="1" applyBorder="1" applyAlignment="1">
      <alignment horizontal="center" vertical="center" wrapText="1"/>
    </xf>
    <xf numFmtId="4" fontId="3" fillId="0" borderId="50" xfId="0" applyNumberFormat="1" applyFont="1" applyFill="1" applyBorder="1" applyAlignment="1">
      <alignment horizontal="center" vertical="center" wrapText="1"/>
    </xf>
    <xf numFmtId="4" fontId="3" fillId="0" borderId="29" xfId="0" applyNumberFormat="1" applyFont="1" applyFill="1" applyBorder="1" applyAlignment="1">
      <alignment horizontal="center" vertical="center" wrapText="1"/>
    </xf>
    <xf numFmtId="4" fontId="3" fillId="0" borderId="51" xfId="0" applyNumberFormat="1" applyFont="1" applyFill="1" applyBorder="1" applyAlignment="1">
      <alignment horizontal="center" vertical="center" wrapText="1"/>
    </xf>
    <xf numFmtId="0" fontId="4" fillId="0" borderId="66" xfId="0" applyFont="1" applyFill="1" applyBorder="1"/>
    <xf numFmtId="0" fontId="69" fillId="0" borderId="67" xfId="0" applyFont="1" applyBorder="1"/>
    <xf numFmtId="0" fontId="69" fillId="0" borderId="13" xfId="0" applyFont="1" applyBorder="1"/>
    <xf numFmtId="0" fontId="69" fillId="0" borderId="16" xfId="0" applyFont="1" applyBorder="1"/>
    <xf numFmtId="3" fontId="60" fillId="0" borderId="0" xfId="81" applyNumberFormat="1" applyFont="1" applyFill="1" applyBorder="1" applyAlignment="1">
      <alignment horizontal="right" vertical="center"/>
    </xf>
    <xf numFmtId="3" fontId="70" fillId="0" borderId="0" xfId="78" applyNumberFormat="1" applyFont="1" applyFill="1" applyAlignment="1">
      <alignment horizontal="right" vertical="center" wrapText="1" indent="1"/>
    </xf>
    <xf numFmtId="3" fontId="70" fillId="0" borderId="0" xfId="78" applyNumberFormat="1" applyFont="1" applyFill="1" applyAlignment="1">
      <alignment horizontal="right" vertical="center" wrapText="1"/>
    </xf>
    <xf numFmtId="3" fontId="70" fillId="0" borderId="0" xfId="78" applyNumberFormat="1" applyFont="1" applyFill="1" applyAlignment="1">
      <alignment vertical="center" wrapText="1"/>
    </xf>
    <xf numFmtId="0" fontId="9" fillId="0" borderId="50" xfId="0" applyNumberFormat="1" applyFont="1" applyFill="1" applyBorder="1" applyAlignment="1">
      <alignment horizontal="center" vertical="center" wrapText="1"/>
    </xf>
    <xf numFmtId="0" fontId="9" fillId="0" borderId="29" xfId="0" applyNumberFormat="1" applyFont="1" applyFill="1" applyBorder="1" applyAlignment="1">
      <alignment horizontal="center" vertical="center" wrapText="1"/>
    </xf>
    <xf numFmtId="0" fontId="9" fillId="0" borderId="37" xfId="0" applyNumberFormat="1" applyFont="1" applyFill="1" applyBorder="1" applyAlignment="1">
      <alignment horizontal="center" vertical="center" wrapText="1"/>
    </xf>
    <xf numFmtId="0" fontId="9" fillId="0" borderId="51" xfId="0" applyNumberFormat="1" applyFont="1" applyFill="1" applyBorder="1" applyAlignment="1">
      <alignment horizontal="center" vertical="center" wrapText="1"/>
    </xf>
    <xf numFmtId="3" fontId="63" fillId="0" borderId="0" xfId="80" applyNumberFormat="1" applyFont="1" applyFill="1" applyBorder="1" applyAlignment="1">
      <alignment vertical="center" wrapText="1"/>
    </xf>
    <xf numFmtId="0" fontId="14" fillId="0" borderId="0" xfId="0" applyFont="1" applyFill="1" applyBorder="1"/>
    <xf numFmtId="3" fontId="52" fillId="0" borderId="0" xfId="78" applyNumberFormat="1" applyFont="1" applyFill="1" applyBorder="1" applyAlignment="1">
      <alignment horizontal="center" vertical="center" wrapText="1"/>
    </xf>
    <xf numFmtId="3" fontId="50" fillId="0" borderId="0" xfId="78" applyNumberFormat="1" applyFont="1" applyFill="1" applyBorder="1" applyAlignment="1">
      <alignment horizontal="left" vertical="center" wrapText="1"/>
    </xf>
    <xf numFmtId="3" fontId="52" fillId="0" borderId="0" xfId="85" applyNumberFormat="1" applyFont="1" applyFill="1" applyBorder="1" applyAlignment="1">
      <alignment horizontal="center" vertical="center" wrapText="1"/>
    </xf>
    <xf numFmtId="3" fontId="50" fillId="0" borderId="0" xfId="85" applyNumberFormat="1" applyFont="1" applyFill="1" applyBorder="1" applyAlignment="1">
      <alignment horizontal="left" vertical="center" wrapText="1"/>
    </xf>
    <xf numFmtId="3" fontId="56" fillId="0" borderId="0" xfId="85" applyNumberFormat="1" applyFont="1" applyFill="1" applyBorder="1" applyAlignment="1">
      <alignment horizontal="right" vertical="center"/>
    </xf>
    <xf numFmtId="3" fontId="50" fillId="0" borderId="0" xfId="78" applyNumberFormat="1" applyFont="1" applyFill="1" applyAlignment="1">
      <alignment vertical="center" wrapText="1"/>
    </xf>
    <xf numFmtId="3" fontId="49" fillId="0" borderId="0" xfId="78" applyNumberFormat="1" applyFont="1" applyFill="1" applyAlignment="1">
      <alignment vertical="center" wrapText="1"/>
    </xf>
    <xf numFmtId="0" fontId="15" fillId="0" borderId="0" xfId="78" applyFont="1" applyFill="1" applyAlignment="1">
      <alignment vertical="center" wrapText="1"/>
    </xf>
    <xf numFmtId="0" fontId="50" fillId="0" borderId="0" xfId="78" applyFont="1" applyFill="1" applyAlignment="1">
      <alignment horizontal="center" vertical="center" wrapText="1"/>
    </xf>
    <xf numFmtId="0" fontId="30" fillId="0" borderId="0" xfId="78" applyFont="1" applyFill="1" applyAlignment="1">
      <alignment vertical="center" wrapText="1"/>
    </xf>
    <xf numFmtId="165" fontId="54" fillId="0" borderId="0" xfId="78" applyNumberFormat="1" applyFont="1" applyFill="1" applyAlignment="1">
      <alignment horizontal="center" vertical="center" wrapText="1"/>
    </xf>
    <xf numFmtId="0" fontId="54" fillId="0" borderId="0" xfId="78" applyFont="1" applyFill="1" applyAlignment="1">
      <alignment vertical="center" wrapText="1"/>
    </xf>
    <xf numFmtId="0" fontId="15" fillId="0" borderId="0" xfId="86" applyFont="1" applyFill="1" applyAlignment="1">
      <alignment vertical="center" wrapText="1"/>
    </xf>
    <xf numFmtId="0" fontId="50" fillId="0" borderId="0" xfId="86" applyFont="1" applyFill="1" applyAlignment="1">
      <alignment horizontal="center" vertical="center" wrapText="1"/>
    </xf>
    <xf numFmtId="168" fontId="15" fillId="0" borderId="0" xfId="86" applyNumberFormat="1" applyFont="1" applyFill="1" applyAlignment="1">
      <alignment vertical="center" wrapText="1"/>
    </xf>
    <xf numFmtId="165" fontId="15" fillId="0" borderId="0" xfId="90" applyNumberFormat="1" applyFont="1" applyFill="1" applyAlignment="1">
      <alignment vertical="center" wrapText="1"/>
    </xf>
    <xf numFmtId="4" fontId="16" fillId="0" borderId="0" xfId="0" applyNumberFormat="1" applyFont="1" applyFill="1"/>
    <xf numFmtId="0" fontId="60" fillId="0" borderId="0" xfId="78" applyFont="1" applyFill="1" applyAlignment="1">
      <alignment vertical="center" wrapText="1"/>
    </xf>
    <xf numFmtId="3" fontId="60" fillId="0" borderId="0" xfId="78" applyNumberFormat="1" applyFont="1" applyFill="1" applyAlignment="1">
      <alignment vertical="center" wrapText="1"/>
    </xf>
    <xf numFmtId="165" fontId="60" fillId="0" borderId="0" xfId="78" applyNumberFormat="1" applyFont="1" applyFill="1" applyAlignment="1">
      <alignment vertical="center" wrapText="1"/>
    </xf>
    <xf numFmtId="165" fontId="15" fillId="0" borderId="0" xfId="78" applyNumberFormat="1" applyFont="1" applyFill="1" applyAlignment="1">
      <alignment vertical="center" wrapText="1"/>
    </xf>
    <xf numFmtId="165" fontId="15" fillId="0" borderId="0" xfId="90" applyNumberFormat="1" applyFont="1" applyFill="1" applyAlignment="1">
      <alignment horizontal="right" vertical="center" wrapText="1" indent="1"/>
    </xf>
    <xf numFmtId="3" fontId="49" fillId="0" borderId="0" xfId="86" applyNumberFormat="1" applyFont="1" applyFill="1" applyAlignment="1">
      <alignment vertical="center" wrapText="1"/>
    </xf>
    <xf numFmtId="0" fontId="60" fillId="0" borderId="0" xfId="86" applyFont="1" applyFill="1" applyAlignment="1">
      <alignment vertical="center" wrapText="1"/>
    </xf>
    <xf numFmtId="168" fontId="60" fillId="0" borderId="0" xfId="86" applyNumberFormat="1" applyFont="1" applyFill="1" applyAlignment="1">
      <alignment vertical="center" wrapText="1"/>
    </xf>
    <xf numFmtId="165" fontId="60" fillId="0" borderId="0" xfId="90" applyNumberFormat="1" applyFont="1" applyFill="1" applyAlignment="1">
      <alignment vertical="center" wrapText="1"/>
    </xf>
    <xf numFmtId="3" fontId="15" fillId="0" borderId="0" xfId="78" applyNumberFormat="1" applyFont="1" applyFill="1" applyAlignment="1">
      <alignment horizontal="center" vertical="center" wrapText="1"/>
    </xf>
    <xf numFmtId="3" fontId="15" fillId="0" borderId="0" xfId="51" applyNumberFormat="1" applyFont="1" applyFill="1" applyAlignment="1">
      <alignment vertical="center" wrapText="1"/>
    </xf>
    <xf numFmtId="3" fontId="70" fillId="0" borderId="0" xfId="78" applyNumberFormat="1" applyFont="1" applyFill="1" applyAlignment="1">
      <alignment horizontal="left" vertical="center" wrapText="1"/>
    </xf>
    <xf numFmtId="3" fontId="15" fillId="0" borderId="0" xfId="78" applyNumberFormat="1" applyFont="1" applyFill="1" applyAlignment="1">
      <alignment horizontal="left" vertical="center" wrapText="1"/>
    </xf>
    <xf numFmtId="3" fontId="63" fillId="0" borderId="0" xfId="80" applyNumberFormat="1" applyFont="1" applyFill="1" applyBorder="1" applyAlignment="1">
      <alignment horizontal="center" vertical="center" wrapText="1"/>
    </xf>
    <xf numFmtId="0" fontId="63" fillId="0" borderId="0" xfId="80" applyFont="1" applyFill="1" applyBorder="1" applyAlignment="1">
      <alignment horizontal="center" vertical="center" wrapText="1"/>
    </xf>
    <xf numFmtId="3" fontId="63" fillId="0" borderId="0" xfId="80" applyNumberFormat="1" applyFont="1" applyFill="1" applyAlignment="1">
      <alignment horizontal="center" vertical="center" wrapText="1"/>
    </xf>
    <xf numFmtId="0" fontId="15" fillId="0" borderId="0" xfId="80" applyFont="1" applyFill="1" applyAlignment="1">
      <alignment vertical="center" wrapText="1"/>
    </xf>
    <xf numFmtId="0" fontId="50" fillId="0" borderId="0" xfId="80" applyFont="1" applyFill="1" applyAlignment="1">
      <alignment horizontal="center" vertical="center" wrapText="1"/>
    </xf>
    <xf numFmtId="3" fontId="60" fillId="0" borderId="0" xfId="80" applyNumberFormat="1" applyFont="1" applyFill="1" applyAlignment="1">
      <alignment vertical="center" wrapText="1"/>
    </xf>
    <xf numFmtId="3" fontId="15" fillId="0" borderId="0" xfId="80" applyNumberFormat="1" applyFont="1" applyFill="1" applyAlignment="1">
      <alignment vertical="center" wrapText="1"/>
    </xf>
    <xf numFmtId="0" fontId="76" fillId="0" borderId="0" xfId="77" applyFill="1"/>
    <xf numFmtId="0" fontId="71" fillId="0" borderId="0" xfId="77" applyFont="1" applyFill="1"/>
    <xf numFmtId="0" fontId="76" fillId="0" borderId="0" xfId="77" applyFill="1" applyAlignment="1">
      <alignment horizontal="left"/>
    </xf>
    <xf numFmtId="0" fontId="3" fillId="0" borderId="67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63" fillId="0" borderId="27" xfId="0" applyFont="1" applyFill="1" applyBorder="1" applyAlignment="1">
      <alignment vertical="center"/>
    </xf>
    <xf numFmtId="49" fontId="66" fillId="0" borderId="0" xfId="81" applyNumberFormat="1" applyFont="1" applyFill="1" applyBorder="1" applyAlignment="1">
      <alignment horizontal="right" vertical="center"/>
    </xf>
    <xf numFmtId="10" fontId="0" fillId="0" borderId="0" xfId="90" applyNumberFormat="1" applyFont="1"/>
    <xf numFmtId="10" fontId="0" fillId="0" borderId="0" xfId="90" applyNumberFormat="1" applyFont="1" applyFill="1" applyBorder="1"/>
    <xf numFmtId="0" fontId="3" fillId="0" borderId="41" xfId="0" applyFont="1" applyFill="1" applyBorder="1" applyAlignment="1">
      <alignment horizontal="center"/>
    </xf>
    <xf numFmtId="0" fontId="0" fillId="0" borderId="59" xfId="0" applyBorder="1" applyAlignment="1">
      <alignment horizontal="center" vertical="center"/>
    </xf>
    <xf numFmtId="3" fontId="10" fillId="0" borderId="19" xfId="52" applyNumberFormat="1" applyFont="1" applyFill="1" applyBorder="1" applyAlignment="1">
      <alignment horizontal="right" vertical="center" indent="1"/>
    </xf>
    <xf numFmtId="3" fontId="10" fillId="0" borderId="45" xfId="52" applyNumberFormat="1" applyFont="1" applyFill="1" applyBorder="1" applyAlignment="1">
      <alignment horizontal="right" vertical="center" indent="1"/>
    </xf>
    <xf numFmtId="2" fontId="12" fillId="0" borderId="20" xfId="52" applyNumberFormat="1" applyFont="1" applyFill="1" applyBorder="1" applyAlignment="1">
      <alignment horizontal="right" vertical="center" indent="1"/>
    </xf>
    <xf numFmtId="3" fontId="10" fillId="0" borderId="31" xfId="52" applyNumberFormat="1" applyFont="1" applyFill="1" applyBorder="1" applyAlignment="1">
      <alignment horizontal="right" vertical="center" indent="1"/>
    </xf>
    <xf numFmtId="2" fontId="12" fillId="0" borderId="45" xfId="52" applyNumberFormat="1" applyFont="1" applyFill="1" applyBorder="1" applyAlignment="1">
      <alignment horizontal="right" vertical="center" indent="1"/>
    </xf>
    <xf numFmtId="3" fontId="10" fillId="0" borderId="14" xfId="52" applyNumberFormat="1" applyFont="1" applyFill="1" applyBorder="1" applyAlignment="1">
      <alignment horizontal="right" vertical="center" indent="1"/>
    </xf>
    <xf numFmtId="3" fontId="10" fillId="0" borderId="47" xfId="52" applyNumberFormat="1" applyFont="1" applyFill="1" applyBorder="1" applyAlignment="1">
      <alignment horizontal="right" vertical="center" indent="1"/>
    </xf>
    <xf numFmtId="2" fontId="12" fillId="0" borderId="22" xfId="52" applyNumberFormat="1" applyFont="1" applyFill="1" applyBorder="1" applyAlignment="1">
      <alignment horizontal="right" vertical="center" indent="1"/>
    </xf>
    <xf numFmtId="3" fontId="10" fillId="0" borderId="15" xfId="52" applyNumberFormat="1" applyFont="1" applyFill="1" applyBorder="1" applyAlignment="1">
      <alignment horizontal="right" vertical="center" indent="1"/>
    </xf>
    <xf numFmtId="2" fontId="12" fillId="0" borderId="47" xfId="52" applyNumberFormat="1" applyFont="1" applyFill="1" applyBorder="1" applyAlignment="1">
      <alignment horizontal="right" vertical="center" indent="1"/>
    </xf>
    <xf numFmtId="3" fontId="10" fillId="0" borderId="17" xfId="52" applyNumberFormat="1" applyFont="1" applyFill="1" applyBorder="1" applyAlignment="1">
      <alignment horizontal="right" vertical="center" indent="1"/>
    </xf>
    <xf numFmtId="3" fontId="10" fillId="0" borderId="44" xfId="52" applyNumberFormat="1" applyFont="1" applyFill="1" applyBorder="1" applyAlignment="1">
      <alignment horizontal="right" vertical="center" indent="1"/>
    </xf>
    <xf numFmtId="2" fontId="12" fillId="0" borderId="18" xfId="52" applyNumberFormat="1" applyFont="1" applyFill="1" applyBorder="1" applyAlignment="1">
      <alignment horizontal="right" vertical="center" indent="1"/>
    </xf>
    <xf numFmtId="3" fontId="10" fillId="0" borderId="64" xfId="52" applyNumberFormat="1" applyFont="1" applyFill="1" applyBorder="1" applyAlignment="1">
      <alignment horizontal="right" vertical="center" indent="1"/>
    </xf>
    <xf numFmtId="2" fontId="12" fillId="0" borderId="44" xfId="52" applyNumberFormat="1" applyFont="1" applyFill="1" applyBorder="1" applyAlignment="1">
      <alignment horizontal="right" vertical="center" indent="1"/>
    </xf>
    <xf numFmtId="3" fontId="9" fillId="0" borderId="37" xfId="52" applyNumberFormat="1" applyFont="1" applyFill="1" applyBorder="1" applyAlignment="1">
      <alignment horizontal="right" vertical="center" indent="1"/>
    </xf>
    <xf numFmtId="3" fontId="9" fillId="0" borderId="50" xfId="52" applyNumberFormat="1" applyFont="1" applyFill="1" applyBorder="1" applyAlignment="1">
      <alignment horizontal="right" vertical="center" indent="1"/>
    </xf>
    <xf numFmtId="2" fontId="13" fillId="0" borderId="29" xfId="52" applyNumberFormat="1" applyFont="1" applyFill="1" applyBorder="1" applyAlignment="1">
      <alignment horizontal="right" vertical="center" indent="1"/>
    </xf>
    <xf numFmtId="3" fontId="9" fillId="0" borderId="51" xfId="52" applyNumberFormat="1" applyFont="1" applyFill="1" applyBorder="1" applyAlignment="1">
      <alignment horizontal="right" vertical="center" indent="1"/>
    </xf>
    <xf numFmtId="2" fontId="13" fillId="0" borderId="50" xfId="52" applyNumberFormat="1" applyFont="1" applyFill="1" applyBorder="1" applyAlignment="1">
      <alignment horizontal="right" vertical="center" indent="1"/>
    </xf>
    <xf numFmtId="1" fontId="6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10" fontId="0" fillId="0" borderId="39" xfId="0" applyNumberFormat="1" applyFill="1" applyBorder="1"/>
    <xf numFmtId="0" fontId="0" fillId="0" borderId="16" xfId="0" applyFill="1" applyBorder="1" applyAlignment="1">
      <alignment horizontal="left" indent="2"/>
    </xf>
    <xf numFmtId="10" fontId="0" fillId="0" borderId="18" xfId="0" applyNumberFormat="1" applyFill="1" applyBorder="1"/>
    <xf numFmtId="0" fontId="0" fillId="0" borderId="66" xfId="0" applyNumberFormat="1" applyBorder="1"/>
    <xf numFmtId="10" fontId="0" fillId="0" borderId="68" xfId="0" applyNumberFormat="1" applyFill="1" applyBorder="1"/>
    <xf numFmtId="0" fontId="3" fillId="0" borderId="69" xfId="0" applyFont="1" applyFill="1" applyBorder="1" applyAlignment="1">
      <alignment horizontal="left"/>
    </xf>
    <xf numFmtId="3" fontId="3" fillId="0" borderId="34" xfId="0" applyNumberFormat="1" applyFont="1" applyFill="1" applyBorder="1"/>
    <xf numFmtId="10" fontId="4" fillId="0" borderId="35" xfId="0" applyNumberFormat="1" applyFont="1" applyFill="1" applyBorder="1"/>
    <xf numFmtId="10" fontId="4" fillId="0" borderId="70" xfId="0" applyNumberFormat="1" applyFont="1" applyFill="1" applyBorder="1"/>
    <xf numFmtId="0" fontId="0" fillId="0" borderId="59" xfId="0" applyFill="1" applyBorder="1" applyAlignment="1">
      <alignment horizontal="left" indent="2"/>
    </xf>
    <xf numFmtId="0" fontId="0" fillId="0" borderId="41" xfId="0" applyNumberFormat="1" applyFill="1" applyBorder="1"/>
    <xf numFmtId="10" fontId="5" fillId="0" borderId="41" xfId="0" applyNumberFormat="1" applyFont="1" applyFill="1" applyBorder="1"/>
    <xf numFmtId="3" fontId="0" fillId="0" borderId="41" xfId="0" applyNumberFormat="1" applyFont="1" applyFill="1" applyBorder="1"/>
    <xf numFmtId="10" fontId="0" fillId="0" borderId="41" xfId="0" applyNumberFormat="1" applyFill="1" applyBorder="1"/>
    <xf numFmtId="1" fontId="0" fillId="0" borderId="41" xfId="0" applyNumberFormat="1" applyFill="1" applyBorder="1"/>
    <xf numFmtId="10" fontId="0" fillId="0" borderId="28" xfId="0" applyNumberFormat="1" applyFill="1" applyBorder="1"/>
    <xf numFmtId="10" fontId="5" fillId="0" borderId="68" xfId="0" applyNumberFormat="1" applyFont="1" applyFill="1" applyBorder="1"/>
    <xf numFmtId="0" fontId="0" fillId="0" borderId="67" xfId="0" applyFill="1" applyBorder="1" applyAlignment="1">
      <alignment horizontal="left" indent="2"/>
    </xf>
    <xf numFmtId="3" fontId="0" fillId="0" borderId="71" xfId="0" applyNumberFormat="1" applyFont="1" applyFill="1" applyBorder="1"/>
    <xf numFmtId="10" fontId="5" fillId="0" borderId="63" xfId="0" applyNumberFormat="1" applyFont="1" applyFill="1" applyBorder="1"/>
    <xf numFmtId="10" fontId="5" fillId="0" borderId="72" xfId="0" applyNumberFormat="1" applyFont="1" applyFill="1" applyBorder="1"/>
    <xf numFmtId="0" fontId="3" fillId="0" borderId="59" xfId="0" applyFont="1" applyFill="1" applyBorder="1" applyAlignment="1">
      <alignment horizontal="left" indent="1"/>
    </xf>
    <xf numFmtId="1" fontId="5" fillId="0" borderId="41" xfId="0" applyNumberFormat="1" applyFont="1" applyFill="1" applyBorder="1"/>
    <xf numFmtId="10" fontId="5" fillId="0" borderId="28" xfId="0" applyNumberFormat="1" applyFont="1" applyFill="1" applyBorder="1"/>
    <xf numFmtId="0" fontId="3" fillId="0" borderId="60" xfId="0" applyFont="1" applyFill="1" applyBorder="1" applyAlignment="1">
      <alignment horizontal="left"/>
    </xf>
    <xf numFmtId="3" fontId="3" fillId="0" borderId="73" xfId="0" applyNumberFormat="1" applyFont="1" applyFill="1" applyBorder="1"/>
    <xf numFmtId="10" fontId="4" fillId="0" borderId="61" xfId="0" applyNumberFormat="1" applyFont="1" applyFill="1" applyBorder="1"/>
    <xf numFmtId="10" fontId="4" fillId="0" borderId="74" xfId="0" applyNumberFormat="1" applyFont="1" applyFill="1" applyBorder="1"/>
    <xf numFmtId="0" fontId="0" fillId="0" borderId="59" xfId="0" applyBorder="1"/>
    <xf numFmtId="0" fontId="3" fillId="0" borderId="75" xfId="0" applyFont="1" applyFill="1" applyBorder="1" applyAlignment="1">
      <alignment horizontal="left"/>
    </xf>
    <xf numFmtId="3" fontId="3" fillId="0" borderId="76" xfId="0" applyNumberFormat="1" applyFont="1" applyFill="1" applyBorder="1"/>
    <xf numFmtId="10" fontId="4" fillId="0" borderId="77" xfId="0" applyNumberFormat="1" applyFont="1" applyFill="1" applyBorder="1"/>
    <xf numFmtId="1" fontId="4" fillId="0" borderId="53" xfId="0" applyNumberFormat="1" applyFont="1" applyFill="1" applyBorder="1"/>
    <xf numFmtId="10" fontId="4" fillId="0" borderId="53" xfId="0" applyNumberFormat="1" applyFont="1" applyFill="1" applyBorder="1"/>
    <xf numFmtId="1" fontId="5" fillId="0" borderId="19" xfId="0" applyNumberFormat="1" applyFont="1" applyFill="1" applyBorder="1"/>
    <xf numFmtId="1" fontId="5" fillId="0" borderId="14" xfId="0" applyNumberFormat="1" applyFont="1" applyFill="1" applyBorder="1"/>
    <xf numFmtId="1" fontId="0" fillId="0" borderId="14" xfId="0" applyNumberFormat="1" applyFill="1" applyBorder="1"/>
    <xf numFmtId="1" fontId="0" fillId="0" borderId="24" xfId="0" applyNumberFormat="1" applyFill="1" applyBorder="1"/>
    <xf numFmtId="1" fontId="5" fillId="0" borderId="24" xfId="0" applyNumberFormat="1" applyFont="1" applyFill="1" applyBorder="1"/>
    <xf numFmtId="0" fontId="0" fillId="0" borderId="14" xfId="0" applyBorder="1"/>
    <xf numFmtId="10" fontId="4" fillId="0" borderId="78" xfId="0" applyNumberFormat="1" applyFont="1" applyFill="1" applyBorder="1"/>
    <xf numFmtId="0" fontId="0" fillId="0" borderId="17" xfId="0" applyBorder="1"/>
    <xf numFmtId="3" fontId="0" fillId="0" borderId="71" xfId="0" applyNumberFormat="1" applyFill="1" applyBorder="1"/>
    <xf numFmtId="0" fontId="0" fillId="0" borderId="71" xfId="0" applyBorder="1"/>
    <xf numFmtId="0" fontId="0" fillId="0" borderId="17" xfId="0" applyNumberFormat="1" applyFill="1" applyBorder="1"/>
    <xf numFmtId="0" fontId="0" fillId="0" borderId="79" xfId="0" applyNumberFormat="1" applyBorder="1"/>
    <xf numFmtId="0" fontId="0" fillId="0" borderId="59" xfId="0" applyNumberFormat="1" applyFill="1" applyBorder="1"/>
    <xf numFmtId="0" fontId="0" fillId="0" borderId="41" xfId="0" applyBorder="1"/>
    <xf numFmtId="3" fontId="0" fillId="0" borderId="28" xfId="0" applyNumberFormat="1" applyBorder="1"/>
    <xf numFmtId="0" fontId="0" fillId="0" borderId="71" xfId="0" applyNumberFormat="1" applyFill="1" applyBorder="1"/>
    <xf numFmtId="1" fontId="4" fillId="0" borderId="34" xfId="0" applyNumberFormat="1" applyFont="1" applyFill="1" applyBorder="1"/>
    <xf numFmtId="3" fontId="9" fillId="0" borderId="13" xfId="0" applyNumberFormat="1" applyFont="1" applyFill="1" applyBorder="1" applyAlignment="1">
      <alignment horizontal="left" vertical="center" wrapText="1"/>
    </xf>
    <xf numFmtId="3" fontId="9" fillId="0" borderId="32" xfId="0" applyNumberFormat="1" applyFont="1" applyFill="1" applyBorder="1" applyAlignment="1">
      <alignment horizontal="left" vertical="center" wrapText="1"/>
    </xf>
    <xf numFmtId="3" fontId="9" fillId="0" borderId="30" xfId="0" applyNumberFormat="1" applyFont="1" applyFill="1" applyBorder="1" applyAlignment="1">
      <alignment horizontal="left" vertical="center" wrapText="1"/>
    </xf>
    <xf numFmtId="3" fontId="4" fillId="0" borderId="37" xfId="0" applyNumberFormat="1" applyFont="1" applyFill="1" applyBorder="1"/>
    <xf numFmtId="165" fontId="0" fillId="0" borderId="0" xfId="90" applyNumberFormat="1" applyFont="1"/>
    <xf numFmtId="0" fontId="3" fillId="0" borderId="68" xfId="0" applyFont="1" applyFill="1" applyBorder="1" applyAlignment="1">
      <alignment horizontal="center" vertical="center" wrapText="1"/>
    </xf>
    <xf numFmtId="3" fontId="3" fillId="0" borderId="70" xfId="51" applyNumberFormat="1" applyFont="1" applyFill="1" applyBorder="1"/>
    <xf numFmtId="170" fontId="0" fillId="0" borderId="0" xfId="51" applyNumberFormat="1" applyFont="1"/>
    <xf numFmtId="170" fontId="0" fillId="0" borderId="0" xfId="0" applyNumberFormat="1"/>
    <xf numFmtId="10" fontId="60" fillId="0" borderId="0" xfId="90" applyNumberFormat="1" applyFont="1" applyBorder="1" applyAlignment="1">
      <alignment horizontal="right" vertical="center" wrapText="1"/>
    </xf>
    <xf numFmtId="10" fontId="60" fillId="0" borderId="0" xfId="90" applyNumberFormat="1" applyFont="1" applyBorder="1" applyAlignment="1">
      <alignment horizontal="left" vertical="center" wrapText="1"/>
    </xf>
    <xf numFmtId="4" fontId="0" fillId="0" borderId="47" xfId="0" applyNumberFormat="1" applyFill="1" applyBorder="1"/>
    <xf numFmtId="4" fontId="0" fillId="0" borderId="44" xfId="0" applyNumberFormat="1" applyFill="1" applyBorder="1"/>
    <xf numFmtId="2" fontId="0" fillId="0" borderId="44" xfId="0" applyNumberFormat="1" applyFill="1" applyBorder="1"/>
    <xf numFmtId="4" fontId="74" fillId="0" borderId="50" xfId="0" applyNumberFormat="1" applyFont="1" applyFill="1" applyBorder="1"/>
    <xf numFmtId="0" fontId="0" fillId="0" borderId="0" xfId="0" applyFont="1" applyFill="1"/>
    <xf numFmtId="4" fontId="0" fillId="0" borderId="0" xfId="0" applyNumberFormat="1" applyFont="1" applyFill="1"/>
    <xf numFmtId="0" fontId="2" fillId="0" borderId="0" xfId="0" applyFont="1" applyFill="1" applyBorder="1" applyAlignment="1">
      <alignment vertical="center" wrapText="1"/>
    </xf>
    <xf numFmtId="170" fontId="64" fillId="0" borderId="80" xfId="51" applyNumberFormat="1" applyFont="1" applyFill="1" applyBorder="1" applyAlignment="1"/>
    <xf numFmtId="170" fontId="64" fillId="0" borderId="81" xfId="51" applyNumberFormat="1" applyFont="1" applyFill="1" applyBorder="1" applyAlignment="1"/>
    <xf numFmtId="43" fontId="64" fillId="0" borderId="32" xfId="51" applyNumberFormat="1" applyFont="1" applyFill="1" applyBorder="1" applyAlignment="1"/>
    <xf numFmtId="43" fontId="64" fillId="0" borderId="13" xfId="51" applyNumberFormat="1" applyFont="1" applyFill="1" applyBorder="1" applyAlignment="1"/>
    <xf numFmtId="43" fontId="64" fillId="0" borderId="13" xfId="51" applyNumberFormat="1" applyFont="1" applyFill="1" applyBorder="1" applyAlignment="1">
      <alignment horizontal="right"/>
    </xf>
    <xf numFmtId="0" fontId="9" fillId="0" borderId="32" xfId="0" applyNumberFormat="1" applyFont="1" applyFill="1" applyBorder="1" applyAlignment="1">
      <alignment horizontal="left" vertical="center" wrapText="1"/>
    </xf>
    <xf numFmtId="0" fontId="9" fillId="0" borderId="13" xfId="0" applyNumberFormat="1" applyFont="1" applyFill="1" applyBorder="1" applyAlignment="1">
      <alignment horizontal="left" vertical="center" wrapText="1"/>
    </xf>
    <xf numFmtId="0" fontId="63" fillId="0" borderId="13" xfId="0" applyNumberFormat="1" applyFont="1" applyFill="1" applyBorder="1" applyAlignment="1">
      <alignment horizontal="left" vertical="center" wrapText="1"/>
    </xf>
    <xf numFmtId="0" fontId="9" fillId="0" borderId="13" xfId="0" applyNumberFormat="1" applyFont="1" applyFill="1" applyBorder="1" applyAlignment="1">
      <alignment vertical="center" wrapText="1"/>
    </xf>
    <xf numFmtId="0" fontId="9" fillId="0" borderId="16" xfId="0" applyNumberFormat="1" applyFont="1" applyFill="1" applyBorder="1" applyAlignment="1">
      <alignment vertical="center" wrapText="1"/>
    </xf>
    <xf numFmtId="4" fontId="79" fillId="0" borderId="52" xfId="0" applyNumberFormat="1" applyFont="1" applyFill="1" applyBorder="1"/>
    <xf numFmtId="4" fontId="79" fillId="0" borderId="47" xfId="0" applyNumberFormat="1" applyFont="1" applyFill="1" applyBorder="1"/>
    <xf numFmtId="0" fontId="80" fillId="0" borderId="62" xfId="0" applyFont="1" applyFill="1" applyBorder="1"/>
    <xf numFmtId="0" fontId="79" fillId="0" borderId="15" xfId="0" applyFont="1" applyFill="1" applyBorder="1"/>
    <xf numFmtId="0" fontId="81" fillId="0" borderId="67" xfId="0" applyFont="1" applyFill="1" applyBorder="1"/>
    <xf numFmtId="0" fontId="81" fillId="0" borderId="13" xfId="0" applyFont="1" applyFill="1" applyBorder="1"/>
    <xf numFmtId="0" fontId="79" fillId="0" borderId="64" xfId="0" applyFont="1" applyFill="1" applyBorder="1"/>
    <xf numFmtId="4" fontId="79" fillId="0" borderId="44" xfId="0" applyNumberFormat="1" applyFont="1" applyFill="1" applyBorder="1"/>
    <xf numFmtId="0" fontId="82" fillId="0" borderId="27" xfId="0" applyFont="1" applyFill="1" applyBorder="1"/>
    <xf numFmtId="0" fontId="82" fillId="0" borderId="51" xfId="0" applyFont="1" applyFill="1" applyBorder="1"/>
    <xf numFmtId="4" fontId="82" fillId="0" borderId="50" xfId="0" applyNumberFormat="1" applyFont="1" applyFill="1" applyBorder="1"/>
    <xf numFmtId="3" fontId="44" fillId="0" borderId="0" xfId="81" applyNumberFormat="1" applyFont="1" applyFill="1" applyBorder="1" applyAlignment="1">
      <alignment horizontal="right" vertical="center"/>
    </xf>
    <xf numFmtId="0" fontId="9" fillId="0" borderId="27" xfId="81" applyFont="1" applyFill="1" applyBorder="1" applyAlignment="1">
      <alignment horizontal="center" vertical="center" wrapText="1"/>
    </xf>
    <xf numFmtId="0" fontId="9" fillId="0" borderId="51" xfId="81" applyFont="1" applyFill="1" applyBorder="1" applyAlignment="1">
      <alignment horizontal="center" vertical="center" wrapText="1"/>
    </xf>
    <xf numFmtId="0" fontId="9" fillId="0" borderId="50" xfId="81" applyFont="1" applyFill="1" applyBorder="1" applyAlignment="1">
      <alignment horizontal="center" vertical="center" wrapText="1"/>
    </xf>
    <xf numFmtId="0" fontId="9" fillId="0" borderId="67" xfId="81" applyFont="1" applyFill="1" applyBorder="1" applyAlignment="1">
      <alignment vertical="top" wrapText="1"/>
    </xf>
    <xf numFmtId="3" fontId="10" fillId="0" borderId="62" xfId="81" applyNumberFormat="1" applyFont="1" applyFill="1" applyBorder="1" applyAlignment="1">
      <alignment horizontal="right" vertical="center" wrapText="1" indent="3"/>
    </xf>
    <xf numFmtId="0" fontId="9" fillId="0" borderId="13" xfId="81" applyFont="1" applyFill="1" applyBorder="1" applyAlignment="1">
      <alignment vertical="top" wrapText="1"/>
    </xf>
    <xf numFmtId="3" fontId="10" fillId="0" borderId="15" xfId="81" applyNumberFormat="1" applyFont="1" applyFill="1" applyBorder="1" applyAlignment="1">
      <alignment horizontal="right" vertical="center" wrapText="1" indent="3"/>
    </xf>
    <xf numFmtId="0" fontId="9" fillId="0" borderId="13" xfId="81" applyFont="1" applyFill="1" applyBorder="1" applyAlignment="1">
      <alignment horizontal="left" vertical="top" wrapText="1"/>
    </xf>
    <xf numFmtId="0" fontId="9" fillId="0" borderId="16" xfId="81" applyFont="1" applyFill="1" applyBorder="1" applyAlignment="1">
      <alignment vertical="top" wrapText="1"/>
    </xf>
    <xf numFmtId="3" fontId="10" fillId="0" borderId="64" xfId="81" applyNumberFormat="1" applyFont="1" applyFill="1" applyBorder="1" applyAlignment="1">
      <alignment horizontal="right" vertical="center" wrapText="1" indent="3"/>
    </xf>
    <xf numFmtId="0" fontId="3" fillId="0" borderId="34" xfId="0" applyFont="1" applyBorder="1"/>
    <xf numFmtId="0" fontId="3" fillId="0" borderId="76" xfId="0" applyFont="1" applyBorder="1"/>
    <xf numFmtId="10" fontId="3" fillId="0" borderId="54" xfId="0" applyNumberFormat="1" applyFont="1" applyBorder="1"/>
    <xf numFmtId="3" fontId="82" fillId="0" borderId="27" xfId="78" applyNumberFormat="1" applyFont="1" applyFill="1" applyBorder="1" applyAlignment="1">
      <alignment horizontal="center" vertical="center" wrapText="1"/>
    </xf>
    <xf numFmtId="3" fontId="82" fillId="0" borderId="37" xfId="78" applyNumberFormat="1" applyFont="1" applyFill="1" applyBorder="1" applyAlignment="1">
      <alignment horizontal="center" vertical="center" wrapText="1"/>
    </xf>
    <xf numFmtId="3" fontId="82" fillId="0" borderId="50" xfId="78" applyNumberFormat="1" applyFont="1" applyFill="1" applyBorder="1" applyAlignment="1">
      <alignment horizontal="center" vertical="center" wrapText="1"/>
    </xf>
    <xf numFmtId="3" fontId="82" fillId="0" borderId="29" xfId="78" applyNumberFormat="1" applyFont="1" applyFill="1" applyBorder="1" applyAlignment="1">
      <alignment horizontal="center" vertical="center" wrapText="1"/>
    </xf>
    <xf numFmtId="168" fontId="80" fillId="0" borderId="52" xfId="78" applyNumberFormat="1" applyFont="1" applyFill="1" applyBorder="1" applyAlignment="1">
      <alignment horizontal="right" vertical="center" wrapText="1" indent="1"/>
    </xf>
    <xf numFmtId="168" fontId="80" fillId="0" borderId="63" xfId="78" applyNumberFormat="1" applyFont="1" applyFill="1" applyBorder="1" applyAlignment="1">
      <alignment horizontal="right" vertical="center" wrapText="1" indent="1"/>
    </xf>
    <xf numFmtId="168" fontId="83" fillId="0" borderId="47" xfId="0" applyNumberFormat="1" applyFont="1" applyFill="1" applyBorder="1"/>
    <xf numFmtId="168" fontId="80" fillId="0" borderId="15" xfId="79" applyNumberFormat="1" applyFont="1" applyFill="1" applyBorder="1" applyAlignment="1">
      <alignment horizontal="right" vertical="center" wrapText="1" indent="1"/>
    </xf>
    <xf numFmtId="3" fontId="82" fillId="0" borderId="27" xfId="78" applyNumberFormat="1" applyFont="1" applyFill="1" applyBorder="1" applyAlignment="1">
      <alignment horizontal="left" vertical="center" wrapText="1" indent="1"/>
    </xf>
    <xf numFmtId="3" fontId="82" fillId="0" borderId="59" xfId="78" applyNumberFormat="1" applyFont="1" applyFill="1" applyBorder="1" applyAlignment="1">
      <alignment horizontal="right" vertical="center" wrapText="1" indent="1"/>
    </xf>
    <xf numFmtId="3" fontId="82" fillId="0" borderId="82" xfId="78" applyNumberFormat="1" applyFont="1" applyFill="1" applyBorder="1" applyAlignment="1">
      <alignment horizontal="right" vertical="center" wrapText="1" indent="1"/>
    </xf>
    <xf numFmtId="3" fontId="82" fillId="0" borderId="29" xfId="78" applyNumberFormat="1" applyFont="1" applyFill="1" applyBorder="1" applyAlignment="1">
      <alignment horizontal="right" vertical="center" wrapText="1" indent="1"/>
    </xf>
    <xf numFmtId="3" fontId="82" fillId="0" borderId="69" xfId="85" applyNumberFormat="1" applyFont="1" applyFill="1" applyBorder="1" applyAlignment="1">
      <alignment horizontal="left" vertical="center" wrapText="1" indent="1"/>
    </xf>
    <xf numFmtId="3" fontId="82" fillId="0" borderId="70" xfId="53" applyNumberFormat="1" applyFont="1" applyFill="1" applyBorder="1" applyAlignment="1">
      <alignment horizontal="right" vertical="center" wrapText="1" indent="1"/>
    </xf>
    <xf numFmtId="3" fontId="82" fillId="0" borderId="59" xfId="53" applyNumberFormat="1" applyFont="1" applyFill="1" applyBorder="1" applyAlignment="1">
      <alignment horizontal="right" vertical="center" wrapText="1" indent="1"/>
    </xf>
    <xf numFmtId="3" fontId="82" fillId="0" borderId="82" xfId="53" applyNumberFormat="1" applyFont="1" applyFill="1" applyBorder="1" applyAlignment="1">
      <alignment horizontal="right" vertical="center" wrapText="1" indent="1"/>
    </xf>
    <xf numFmtId="3" fontId="82" fillId="0" borderId="29" xfId="53" applyNumberFormat="1" applyFont="1" applyFill="1" applyBorder="1" applyAlignment="1">
      <alignment horizontal="right" vertical="center" wrapText="1" indent="1"/>
    </xf>
    <xf numFmtId="3" fontId="80" fillId="0" borderId="55" xfId="85" applyNumberFormat="1" applyFont="1" applyFill="1" applyBorder="1" applyAlignment="1">
      <alignment horizontal="left" vertical="center" wrapText="1"/>
    </xf>
    <xf numFmtId="3" fontId="82" fillId="0" borderId="59" xfId="85" applyNumberFormat="1" applyFont="1" applyFill="1" applyBorder="1" applyAlignment="1">
      <alignment horizontal="center" vertical="center" wrapText="1"/>
    </xf>
    <xf numFmtId="3" fontId="82" fillId="0" borderId="37" xfId="82" applyNumberFormat="1" applyFont="1" applyFill="1" applyBorder="1" applyAlignment="1">
      <alignment horizontal="center" vertical="center" wrapText="1"/>
    </xf>
    <xf numFmtId="3" fontId="82" fillId="0" borderId="50" xfId="82" applyNumberFormat="1" applyFont="1" applyFill="1" applyBorder="1" applyAlignment="1">
      <alignment horizontal="center" vertical="center" wrapText="1"/>
    </xf>
    <xf numFmtId="3" fontId="82" fillId="0" borderId="82" xfId="85" applyNumberFormat="1" applyFont="1" applyFill="1" applyBorder="1" applyAlignment="1">
      <alignment horizontal="center" vertical="center" wrapText="1"/>
    </xf>
    <xf numFmtId="0" fontId="80" fillId="0" borderId="83" xfId="0" applyNumberFormat="1" applyFont="1" applyFill="1" applyBorder="1" applyAlignment="1">
      <alignment horizontal="right" indent="1"/>
    </xf>
    <xf numFmtId="0" fontId="80" fillId="0" borderId="14" xfId="0" applyNumberFormat="1" applyFont="1" applyFill="1" applyBorder="1" applyAlignment="1">
      <alignment horizontal="right" indent="1"/>
    </xf>
    <xf numFmtId="0" fontId="80" fillId="0" borderId="47" xfId="0" applyNumberFormat="1" applyFont="1" applyFill="1" applyBorder="1" applyAlignment="1">
      <alignment horizontal="right" indent="1"/>
    </xf>
    <xf numFmtId="0" fontId="80" fillId="0" borderId="22" xfId="0" applyNumberFormat="1" applyFont="1" applyFill="1" applyBorder="1" applyAlignment="1">
      <alignment horizontal="right" indent="1"/>
    </xf>
    <xf numFmtId="3" fontId="80" fillId="0" borderId="14" xfId="85" applyNumberFormat="1" applyFont="1" applyFill="1" applyBorder="1" applyAlignment="1">
      <alignment horizontal="right" vertical="center" wrapText="1" indent="1"/>
    </xf>
    <xf numFmtId="3" fontId="80" fillId="0" borderId="47" xfId="85" applyNumberFormat="1" applyFont="1" applyFill="1" applyBorder="1" applyAlignment="1">
      <alignment horizontal="right" vertical="center" wrapText="1" indent="1"/>
    </xf>
    <xf numFmtId="3" fontId="80" fillId="0" borderId="39" xfId="85" applyNumberFormat="1" applyFont="1" applyFill="1" applyBorder="1" applyAlignment="1">
      <alignment horizontal="right" vertical="center" wrapText="1" indent="1"/>
    </xf>
    <xf numFmtId="0" fontId="80" fillId="0" borderId="52" xfId="0" applyNumberFormat="1" applyFont="1" applyFill="1" applyBorder="1" applyAlignment="1">
      <alignment horizontal="right" indent="1"/>
    </xf>
    <xf numFmtId="3" fontId="80" fillId="0" borderId="49" xfId="85" applyNumberFormat="1" applyFont="1" applyFill="1" applyBorder="1" applyAlignment="1">
      <alignment horizontal="right" vertical="center" wrapText="1" indent="1"/>
    </xf>
    <xf numFmtId="3" fontId="80" fillId="0" borderId="40" xfId="85" applyNumberFormat="1" applyFont="1" applyFill="1" applyBorder="1" applyAlignment="1">
      <alignment horizontal="right" vertical="center" wrapText="1" indent="1"/>
    </xf>
    <xf numFmtId="3" fontId="80" fillId="0" borderId="17" xfId="85" applyNumberFormat="1" applyFont="1" applyFill="1" applyBorder="1" applyAlignment="1">
      <alignment horizontal="right" vertical="center" wrapText="1" indent="1"/>
    </xf>
    <xf numFmtId="0" fontId="80" fillId="0" borderId="44" xfId="0" applyNumberFormat="1" applyFont="1" applyFill="1" applyBorder="1" applyAlignment="1">
      <alignment horizontal="right" indent="1"/>
    </xf>
    <xf numFmtId="0" fontId="80" fillId="0" borderId="53" xfId="0" applyNumberFormat="1" applyFont="1" applyFill="1" applyBorder="1" applyAlignment="1">
      <alignment horizontal="right" indent="1"/>
    </xf>
    <xf numFmtId="0" fontId="80" fillId="0" borderId="0" xfId="0" applyNumberFormat="1" applyFont="1" applyFill="1" applyBorder="1" applyAlignment="1">
      <alignment horizontal="right" indent="1"/>
    </xf>
    <xf numFmtId="3" fontId="80" fillId="0" borderId="45" xfId="78" applyNumberFormat="1" applyFont="1" applyFill="1" applyBorder="1" applyAlignment="1">
      <alignment vertical="center" wrapText="1"/>
    </xf>
    <xf numFmtId="3" fontId="80" fillId="0" borderId="20" xfId="78" applyNumberFormat="1" applyFont="1" applyFill="1" applyBorder="1" applyAlignment="1">
      <alignment horizontal="right" vertical="center" wrapText="1" indent="1"/>
    </xf>
    <xf numFmtId="3" fontId="80" fillId="0" borderId="84" xfId="78" applyNumberFormat="1" applyFont="1" applyFill="1" applyBorder="1" applyAlignment="1">
      <alignment vertical="center" wrapText="1"/>
    </xf>
    <xf numFmtId="3" fontId="80" fillId="0" borderId="47" xfId="78" applyNumberFormat="1" applyFont="1" applyFill="1" applyBorder="1" applyAlignment="1">
      <alignment vertical="center" wrapText="1"/>
    </xf>
    <xf numFmtId="3" fontId="80" fillId="0" borderId="22" xfId="78" applyNumberFormat="1" applyFont="1" applyFill="1" applyBorder="1" applyAlignment="1">
      <alignment horizontal="right" vertical="center" wrapText="1" indent="1"/>
    </xf>
    <xf numFmtId="3" fontId="80" fillId="0" borderId="85" xfId="78" applyNumberFormat="1" applyFont="1" applyFill="1" applyBorder="1" applyAlignment="1">
      <alignment vertical="center"/>
    </xf>
    <xf numFmtId="3" fontId="80" fillId="0" borderId="86" xfId="78" applyNumberFormat="1" applyFont="1" applyFill="1" applyBorder="1" applyAlignment="1">
      <alignment vertical="center"/>
    </xf>
    <xf numFmtId="3" fontId="80" fillId="0" borderId="87" xfId="78" applyNumberFormat="1" applyFont="1" applyFill="1" applyBorder="1" applyAlignment="1">
      <alignment horizontal="right" vertical="center" indent="1"/>
    </xf>
    <xf numFmtId="3" fontId="80" fillId="0" borderId="85" xfId="78" applyNumberFormat="1" applyFont="1" applyFill="1" applyBorder="1" applyAlignment="1">
      <alignment vertical="center" wrapText="1"/>
    </xf>
    <xf numFmtId="3" fontId="80" fillId="0" borderId="88" xfId="78" applyNumberFormat="1" applyFont="1" applyFill="1" applyBorder="1" applyAlignment="1">
      <alignment vertical="center" wrapText="1"/>
    </xf>
    <xf numFmtId="3" fontId="80" fillId="0" borderId="89" xfId="78" applyNumberFormat="1" applyFont="1" applyFill="1" applyBorder="1" applyAlignment="1">
      <alignment horizontal="right" vertical="center" indent="1"/>
    </xf>
    <xf numFmtId="3" fontId="80" fillId="0" borderId="22" xfId="78" applyNumberFormat="1" applyFont="1" applyFill="1" applyBorder="1" applyAlignment="1">
      <alignment vertical="center" wrapText="1"/>
    </xf>
    <xf numFmtId="3" fontId="80" fillId="0" borderId="90" xfId="78" applyNumberFormat="1" applyFont="1" applyFill="1" applyBorder="1" applyAlignment="1">
      <alignment vertical="center" wrapText="1"/>
    </xf>
    <xf numFmtId="3" fontId="80" fillId="0" borderId="91" xfId="78" applyNumberFormat="1" applyFont="1" applyFill="1" applyBorder="1" applyAlignment="1">
      <alignment vertical="center" wrapText="1"/>
    </xf>
    <xf numFmtId="3" fontId="82" fillId="0" borderId="59" xfId="78" applyNumberFormat="1" applyFont="1" applyFill="1" applyBorder="1" applyAlignment="1">
      <alignment vertical="center"/>
    </xf>
    <xf numFmtId="3" fontId="80" fillId="0" borderId="92" xfId="78" applyNumberFormat="1" applyFont="1" applyFill="1" applyBorder="1" applyAlignment="1">
      <alignment vertical="center" wrapText="1"/>
    </xf>
    <xf numFmtId="3" fontId="82" fillId="0" borderId="27" xfId="78" applyNumberFormat="1" applyFont="1" applyFill="1" applyBorder="1" applyAlignment="1">
      <alignment horizontal="right" vertical="center" wrapText="1" indent="1"/>
    </xf>
    <xf numFmtId="3" fontId="80" fillId="0" borderId="38" xfId="78" applyNumberFormat="1" applyFont="1" applyFill="1" applyBorder="1" applyAlignment="1">
      <alignment vertical="center" wrapText="1"/>
    </xf>
    <xf numFmtId="3" fontId="80" fillId="0" borderId="39" xfId="78" applyNumberFormat="1" applyFont="1" applyFill="1" applyBorder="1" applyAlignment="1">
      <alignment vertical="center" wrapText="1"/>
    </xf>
    <xf numFmtId="3" fontId="80" fillId="0" borderId="68" xfId="78" applyNumberFormat="1" applyFont="1" applyFill="1" applyBorder="1" applyAlignment="1">
      <alignment vertical="center" wrapText="1"/>
    </xf>
    <xf numFmtId="3" fontId="80" fillId="0" borderId="18" xfId="78" applyNumberFormat="1" applyFont="1" applyFill="1" applyBorder="1" applyAlignment="1">
      <alignment horizontal="right" vertical="center" wrapText="1" indent="1"/>
    </xf>
    <xf numFmtId="3" fontId="80" fillId="0" borderId="93" xfId="78" applyNumberFormat="1" applyFont="1" applyFill="1" applyBorder="1" applyAlignment="1">
      <alignment vertical="center" wrapText="1"/>
    </xf>
    <xf numFmtId="3" fontId="80" fillId="0" borderId="86" xfId="78" applyNumberFormat="1" applyFont="1" applyFill="1" applyBorder="1" applyAlignment="1">
      <alignment vertical="center" wrapText="1"/>
    </xf>
    <xf numFmtId="3" fontId="80" fillId="0" borderId="63" xfId="78" applyNumberFormat="1" applyFont="1" applyFill="1" applyBorder="1" applyAlignment="1">
      <alignment horizontal="right" vertical="center" wrapText="1" indent="1"/>
    </xf>
    <xf numFmtId="3" fontId="82" fillId="0" borderId="59" xfId="78" applyNumberFormat="1" applyFont="1" applyFill="1" applyBorder="1" applyAlignment="1">
      <alignment vertical="center" wrapText="1"/>
    </xf>
    <xf numFmtId="3" fontId="82" fillId="0" borderId="92" xfId="78" applyNumberFormat="1" applyFont="1" applyFill="1" applyBorder="1" applyAlignment="1">
      <alignment vertical="center" wrapText="1"/>
    </xf>
    <xf numFmtId="0" fontId="82" fillId="0" borderId="51" xfId="78" applyFont="1" applyFill="1" applyBorder="1" applyAlignment="1">
      <alignment horizontal="center" vertical="center" wrapText="1"/>
    </xf>
    <xf numFmtId="165" fontId="84" fillId="0" borderId="50" xfId="78" applyNumberFormat="1" applyFont="1" applyFill="1" applyBorder="1" applyAlignment="1">
      <alignment horizontal="center" vertical="center" wrapText="1"/>
    </xf>
    <xf numFmtId="0" fontId="82" fillId="0" borderId="50" xfId="78" applyFont="1" applyFill="1" applyBorder="1" applyAlignment="1">
      <alignment horizontal="center" vertical="center" wrapText="1"/>
    </xf>
    <xf numFmtId="9" fontId="84" fillId="0" borderId="50" xfId="90" applyFont="1" applyFill="1" applyBorder="1" applyAlignment="1">
      <alignment horizontal="center" vertical="center" wrapText="1"/>
    </xf>
    <xf numFmtId="9" fontId="84" fillId="0" borderId="29" xfId="78" applyNumberFormat="1" applyFont="1" applyFill="1" applyBorder="1" applyAlignment="1">
      <alignment horizontal="center" vertical="center" wrapText="1"/>
    </xf>
    <xf numFmtId="0" fontId="80" fillId="0" borderId="32" xfId="86" applyFont="1" applyFill="1" applyBorder="1" applyAlignment="1">
      <alignment horizontal="left" vertical="center" wrapText="1" indent="1"/>
    </xf>
    <xf numFmtId="168" fontId="80" fillId="0" borderId="62" xfId="86" applyNumberFormat="1" applyFont="1" applyFill="1" applyBorder="1" applyAlignment="1">
      <alignment horizontal="right" vertical="center" wrapText="1" indent="1"/>
    </xf>
    <xf numFmtId="165" fontId="85" fillId="0" borderId="45" xfId="78" applyNumberFormat="1" applyFont="1" applyFill="1" applyBorder="1" applyAlignment="1">
      <alignment horizontal="center" vertical="center" wrapText="1"/>
    </xf>
    <xf numFmtId="168" fontId="80" fillId="0" borderId="52" xfId="86" applyNumberFormat="1" applyFont="1" applyFill="1" applyBorder="1" applyAlignment="1">
      <alignment horizontal="right" vertical="center" wrapText="1" indent="1"/>
    </xf>
    <xf numFmtId="3" fontId="80" fillId="0" borderId="45" xfId="78" applyNumberFormat="1" applyFont="1" applyFill="1" applyBorder="1" applyAlignment="1">
      <alignment horizontal="right" vertical="center" wrapText="1" indent="1"/>
    </xf>
    <xf numFmtId="165" fontId="85" fillId="0" borderId="20" xfId="90" applyNumberFormat="1" applyFont="1" applyFill="1" applyBorder="1" applyAlignment="1">
      <alignment horizontal="center" vertical="center" wrapText="1"/>
    </xf>
    <xf numFmtId="0" fontId="80" fillId="0" borderId="13" xfId="86" applyFont="1" applyFill="1" applyBorder="1" applyAlignment="1">
      <alignment horizontal="left" vertical="center" wrapText="1" indent="1"/>
    </xf>
    <xf numFmtId="168" fontId="80" fillId="0" borderId="15" xfId="86" applyNumberFormat="1" applyFont="1" applyFill="1" applyBorder="1" applyAlignment="1">
      <alignment horizontal="right" vertical="center" wrapText="1" indent="1"/>
    </xf>
    <xf numFmtId="165" fontId="85" fillId="0" borderId="47" xfId="78" applyNumberFormat="1" applyFont="1" applyFill="1" applyBorder="1" applyAlignment="1">
      <alignment horizontal="center" vertical="center" wrapText="1"/>
    </xf>
    <xf numFmtId="168" fontId="80" fillId="0" borderId="47" xfId="86" applyNumberFormat="1" applyFont="1" applyFill="1" applyBorder="1" applyAlignment="1">
      <alignment horizontal="right" vertical="center" wrapText="1" indent="1"/>
    </xf>
    <xf numFmtId="165" fontId="85" fillId="0" borderId="22" xfId="90" applyNumberFormat="1" applyFont="1" applyFill="1" applyBorder="1" applyAlignment="1">
      <alignment horizontal="center" vertical="center" wrapText="1"/>
    </xf>
    <xf numFmtId="3" fontId="80" fillId="0" borderId="47" xfId="78" applyNumberFormat="1" applyFont="1" applyFill="1" applyBorder="1" applyAlignment="1">
      <alignment horizontal="right" vertical="center" wrapText="1" indent="1"/>
    </xf>
    <xf numFmtId="165" fontId="85" fillId="0" borderId="22" xfId="90" applyNumberFormat="1" applyFont="1" applyFill="1" applyBorder="1" applyAlignment="1">
      <alignment horizontal="right" vertical="center" wrapText="1"/>
    </xf>
    <xf numFmtId="0" fontId="80" fillId="0" borderId="16" xfId="86" applyFont="1" applyFill="1" applyBorder="1" applyAlignment="1">
      <alignment horizontal="left" vertical="center" wrapText="1" indent="1"/>
    </xf>
    <xf numFmtId="168" fontId="80" fillId="0" borderId="64" xfId="86" applyNumberFormat="1" applyFont="1" applyFill="1" applyBorder="1" applyAlignment="1">
      <alignment horizontal="right" vertical="center" wrapText="1" indent="1"/>
    </xf>
    <xf numFmtId="165" fontId="85" fillId="0" borderId="44" xfId="78" applyNumberFormat="1" applyFont="1" applyFill="1" applyBorder="1" applyAlignment="1">
      <alignment horizontal="center" vertical="center" wrapText="1"/>
    </xf>
    <xf numFmtId="168" fontId="80" fillId="0" borderId="44" xfId="86" applyNumberFormat="1" applyFont="1" applyFill="1" applyBorder="1" applyAlignment="1">
      <alignment horizontal="right" vertical="center" wrapText="1" indent="1"/>
    </xf>
    <xf numFmtId="3" fontId="80" fillId="0" borderId="44" xfId="78" applyNumberFormat="1" applyFont="1" applyFill="1" applyBorder="1" applyAlignment="1">
      <alignment horizontal="right" vertical="center" wrapText="1" indent="1"/>
    </xf>
    <xf numFmtId="165" fontId="85" fillId="0" borderId="18" xfId="90" applyNumberFormat="1" applyFont="1" applyFill="1" applyBorder="1" applyAlignment="1">
      <alignment horizontal="right" vertical="center" wrapText="1"/>
    </xf>
    <xf numFmtId="0" fontId="82" fillId="0" borderId="27" xfId="78" applyFont="1" applyFill="1" applyBorder="1" applyAlignment="1">
      <alignment horizontal="left" vertical="center" wrapText="1" indent="1"/>
    </xf>
    <xf numFmtId="168" fontId="82" fillId="0" borderId="51" xfId="86" applyNumberFormat="1" applyFont="1" applyFill="1" applyBorder="1" applyAlignment="1">
      <alignment horizontal="right" vertical="center" wrapText="1" indent="1"/>
    </xf>
    <xf numFmtId="165" fontId="85" fillId="0" borderId="50" xfId="78" applyNumberFormat="1" applyFont="1" applyFill="1" applyBorder="1" applyAlignment="1">
      <alignment horizontal="center" vertical="center" wrapText="1"/>
    </xf>
    <xf numFmtId="168" fontId="82" fillId="0" borderId="50" xfId="86" applyNumberFormat="1" applyFont="1" applyFill="1" applyBorder="1" applyAlignment="1">
      <alignment horizontal="right" vertical="center" wrapText="1" indent="1"/>
    </xf>
    <xf numFmtId="0" fontId="85" fillId="0" borderId="50" xfId="78" applyFont="1" applyFill="1" applyBorder="1" applyAlignment="1">
      <alignment vertical="center" wrapText="1"/>
    </xf>
    <xf numFmtId="3" fontId="81" fillId="0" borderId="50" xfId="86" applyNumberFormat="1" applyFont="1" applyFill="1" applyBorder="1" applyAlignment="1">
      <alignment horizontal="right" vertical="center" wrapText="1" indent="1"/>
    </xf>
    <xf numFmtId="0" fontId="80" fillId="0" borderId="29" xfId="78" applyFont="1" applyFill="1" applyBorder="1" applyAlignment="1">
      <alignment vertical="center" wrapText="1"/>
    </xf>
    <xf numFmtId="0" fontId="82" fillId="0" borderId="34" xfId="86" applyFont="1" applyFill="1" applyBorder="1" applyAlignment="1">
      <alignment horizontal="center" vertical="center" wrapText="1"/>
    </xf>
    <xf numFmtId="0" fontId="82" fillId="0" borderId="58" xfId="86" applyFont="1" applyFill="1" applyBorder="1" applyAlignment="1">
      <alignment horizontal="center" vertical="center" wrapText="1"/>
    </xf>
    <xf numFmtId="0" fontId="82" fillId="0" borderId="35" xfId="86" applyFont="1" applyFill="1" applyBorder="1" applyAlignment="1">
      <alignment horizontal="center" vertical="center" wrapText="1"/>
    </xf>
    <xf numFmtId="168" fontId="80" fillId="0" borderId="63" xfId="86" applyNumberFormat="1" applyFont="1" applyFill="1" applyBorder="1" applyAlignment="1">
      <alignment horizontal="right" vertical="center" wrapText="1" indent="1"/>
    </xf>
    <xf numFmtId="168" fontId="80" fillId="0" borderId="71" xfId="86" applyNumberFormat="1" applyFont="1" applyFill="1" applyBorder="1" applyAlignment="1">
      <alignment horizontal="right" vertical="center" wrapText="1" indent="1"/>
    </xf>
    <xf numFmtId="168" fontId="80" fillId="0" borderId="22" xfId="86" applyNumberFormat="1" applyFont="1" applyFill="1" applyBorder="1" applyAlignment="1">
      <alignment horizontal="right" vertical="center" wrapText="1" indent="1"/>
    </xf>
    <xf numFmtId="0" fontId="81" fillId="0" borderId="59" xfId="86" applyFont="1" applyFill="1" applyBorder="1" applyAlignment="1">
      <alignment horizontal="left" vertical="center" wrapText="1" indent="1"/>
    </xf>
    <xf numFmtId="168" fontId="81" fillId="0" borderId="37" xfId="86" applyNumberFormat="1" applyFont="1" applyFill="1" applyBorder="1" applyAlignment="1">
      <alignment horizontal="right" vertical="center" wrapText="1" indent="1"/>
    </xf>
    <xf numFmtId="168" fontId="81" fillId="0" borderId="50" xfId="86" applyNumberFormat="1" applyFont="1" applyFill="1" applyBorder="1" applyAlignment="1">
      <alignment horizontal="right" vertical="center" wrapText="1" indent="1"/>
    </xf>
    <xf numFmtId="168" fontId="81" fillId="0" borderId="29" xfId="86" applyNumberFormat="1" applyFont="1" applyFill="1" applyBorder="1" applyAlignment="1">
      <alignment horizontal="right" vertical="center" wrapText="1" indent="1"/>
    </xf>
    <xf numFmtId="0" fontId="82" fillId="0" borderId="65" xfId="86" applyFont="1" applyFill="1" applyBorder="1" applyAlignment="1">
      <alignment horizontal="center" vertical="center" wrapText="1"/>
    </xf>
    <xf numFmtId="0" fontId="80" fillId="0" borderId="67" xfId="86" applyFont="1" applyFill="1" applyBorder="1" applyAlignment="1">
      <alignment horizontal="left" vertical="center" wrapText="1" indent="1"/>
    </xf>
    <xf numFmtId="0" fontId="81" fillId="0" borderId="27" xfId="86" applyFont="1" applyFill="1" applyBorder="1" applyAlignment="1">
      <alignment horizontal="left" vertical="center" wrapText="1" indent="1"/>
    </xf>
    <xf numFmtId="0" fontId="84" fillId="0" borderId="50" xfId="78" applyFont="1" applyFill="1" applyBorder="1" applyAlignment="1">
      <alignment horizontal="center" vertical="center" wrapText="1"/>
    </xf>
    <xf numFmtId="165" fontId="84" fillId="0" borderId="29" xfId="90" applyNumberFormat="1" applyFont="1" applyFill="1" applyBorder="1" applyAlignment="1">
      <alignment horizontal="right" vertical="center" wrapText="1" indent="1"/>
    </xf>
    <xf numFmtId="165" fontId="85" fillId="0" borderId="52" xfId="90" applyNumberFormat="1" applyFont="1" applyFill="1" applyBorder="1" applyAlignment="1">
      <alignment horizontal="right" vertical="center" wrapText="1" indent="1"/>
    </xf>
    <xf numFmtId="3" fontId="80" fillId="0" borderId="52" xfId="78" applyNumberFormat="1" applyFont="1" applyFill="1" applyBorder="1" applyAlignment="1">
      <alignment horizontal="right" vertical="center" wrapText="1" indent="1"/>
    </xf>
    <xf numFmtId="165" fontId="85" fillId="0" borderId="63" xfId="90" applyNumberFormat="1" applyFont="1" applyFill="1" applyBorder="1" applyAlignment="1">
      <alignment horizontal="right" vertical="center" wrapText="1" indent="1"/>
    </xf>
    <xf numFmtId="165" fontId="85" fillId="0" borderId="47" xfId="90" applyNumberFormat="1" applyFont="1" applyFill="1" applyBorder="1" applyAlignment="1">
      <alignment horizontal="right" vertical="center" wrapText="1" indent="1"/>
    </xf>
    <xf numFmtId="165" fontId="85" fillId="0" borderId="22" xfId="90" applyNumberFormat="1" applyFont="1" applyFill="1" applyBorder="1" applyAlignment="1">
      <alignment horizontal="right" vertical="center" wrapText="1" indent="1"/>
    </xf>
    <xf numFmtId="165" fontId="85" fillId="0" borderId="44" xfId="90" applyNumberFormat="1" applyFont="1" applyFill="1" applyBorder="1" applyAlignment="1">
      <alignment horizontal="right" vertical="center" wrapText="1" indent="1"/>
    </xf>
    <xf numFmtId="165" fontId="85" fillId="0" borderId="18" xfId="90" applyNumberFormat="1" applyFont="1" applyFill="1" applyBorder="1" applyAlignment="1">
      <alignment horizontal="right" vertical="center" wrapText="1" indent="1"/>
    </xf>
    <xf numFmtId="165" fontId="80" fillId="0" borderId="22" xfId="90" applyNumberFormat="1" applyFont="1" applyFill="1" applyBorder="1" applyAlignment="1">
      <alignment horizontal="right" vertical="center" wrapText="1" indent="1"/>
    </xf>
    <xf numFmtId="165" fontId="80" fillId="0" borderId="47" xfId="78" applyNumberFormat="1" applyFont="1" applyFill="1" applyBorder="1" applyAlignment="1">
      <alignment vertical="center" wrapText="1"/>
    </xf>
    <xf numFmtId="0" fontId="80" fillId="0" borderId="47" xfId="78" applyFont="1" applyFill="1" applyBorder="1" applyAlignment="1">
      <alignment vertical="center" wrapText="1"/>
    </xf>
    <xf numFmtId="3" fontId="80" fillId="0" borderId="15" xfId="78" applyNumberFormat="1" applyFont="1" applyFill="1" applyBorder="1" applyAlignment="1">
      <alignment horizontal="right" vertical="center" wrapText="1" indent="1"/>
    </xf>
    <xf numFmtId="3" fontId="80" fillId="0" borderId="64" xfId="78" applyNumberFormat="1" applyFont="1" applyFill="1" applyBorder="1" applyAlignment="1">
      <alignment horizontal="right" vertical="center" wrapText="1" indent="1"/>
    </xf>
    <xf numFmtId="165" fontId="80" fillId="0" borderId="44" xfId="78" applyNumberFormat="1" applyFont="1" applyFill="1" applyBorder="1" applyAlignment="1">
      <alignment vertical="center" wrapText="1"/>
    </xf>
    <xf numFmtId="0" fontId="80" fillId="0" borderId="44" xfId="78" applyFont="1" applyFill="1" applyBorder="1" applyAlignment="1">
      <alignment vertical="center" wrapText="1"/>
    </xf>
    <xf numFmtId="165" fontId="80" fillId="0" borderId="18" xfId="90" applyNumberFormat="1" applyFont="1" applyFill="1" applyBorder="1" applyAlignment="1">
      <alignment horizontal="right" vertical="center" wrapText="1" indent="1"/>
    </xf>
    <xf numFmtId="3" fontId="82" fillId="0" borderId="51" xfId="78" applyNumberFormat="1" applyFont="1" applyFill="1" applyBorder="1" applyAlignment="1">
      <alignment horizontal="right" vertical="center" wrapText="1" indent="1"/>
    </xf>
    <xf numFmtId="165" fontId="80" fillId="0" borderId="50" xfId="78" applyNumberFormat="1" applyFont="1" applyFill="1" applyBorder="1" applyAlignment="1">
      <alignment vertical="center" wrapText="1"/>
    </xf>
    <xf numFmtId="3" fontId="82" fillId="0" borderId="50" xfId="78" applyNumberFormat="1" applyFont="1" applyFill="1" applyBorder="1" applyAlignment="1">
      <alignment horizontal="right" vertical="center" wrapText="1" indent="1"/>
    </xf>
    <xf numFmtId="0" fontId="80" fillId="0" borderId="50" xfId="78" applyFont="1" applyFill="1" applyBorder="1" applyAlignment="1">
      <alignment vertical="center" wrapText="1"/>
    </xf>
    <xf numFmtId="165" fontId="80" fillId="0" borderId="29" xfId="90" applyNumberFormat="1" applyFont="1" applyFill="1" applyBorder="1" applyAlignment="1">
      <alignment horizontal="right" vertical="center" wrapText="1" indent="1"/>
    </xf>
    <xf numFmtId="3" fontId="80" fillId="0" borderId="62" xfId="78" applyNumberFormat="1" applyFont="1" applyFill="1" applyBorder="1" applyAlignment="1">
      <alignment horizontal="right" vertical="center" wrapText="1" indent="1"/>
    </xf>
    <xf numFmtId="165" fontId="80" fillId="0" borderId="52" xfId="78" applyNumberFormat="1" applyFont="1" applyFill="1" applyBorder="1" applyAlignment="1">
      <alignment horizontal="right" vertical="center" wrapText="1" indent="1"/>
    </xf>
    <xf numFmtId="2" fontId="80" fillId="0" borderId="52" xfId="78" applyNumberFormat="1" applyFont="1" applyFill="1" applyBorder="1" applyAlignment="1">
      <alignment vertical="center" wrapText="1"/>
    </xf>
    <xf numFmtId="165" fontId="80" fillId="0" borderId="63" xfId="90" applyNumberFormat="1" applyFont="1" applyFill="1" applyBorder="1" applyAlignment="1">
      <alignment horizontal="right" vertical="center" wrapText="1" indent="1"/>
    </xf>
    <xf numFmtId="3" fontId="82" fillId="0" borderId="27" xfId="78" applyNumberFormat="1" applyFont="1" applyFill="1" applyBorder="1" applyAlignment="1">
      <alignment horizontal="left" vertical="center" wrapText="1" indent="2"/>
    </xf>
    <xf numFmtId="165" fontId="85" fillId="0" borderId="50" xfId="90" applyNumberFormat="1" applyFont="1" applyFill="1" applyBorder="1" applyAlignment="1">
      <alignment horizontal="right" vertical="center" wrapText="1" indent="1"/>
    </xf>
    <xf numFmtId="165" fontId="85" fillId="0" borderId="29" xfId="90" applyNumberFormat="1" applyFont="1" applyFill="1" applyBorder="1" applyAlignment="1">
      <alignment horizontal="right" vertical="center" wrapText="1" indent="1"/>
    </xf>
    <xf numFmtId="165" fontId="85" fillId="0" borderId="52" xfId="78" applyNumberFormat="1" applyFont="1" applyFill="1" applyBorder="1" applyAlignment="1">
      <alignment horizontal="center" vertical="center" wrapText="1"/>
    </xf>
    <xf numFmtId="165" fontId="85" fillId="0" borderId="63" xfId="90" applyNumberFormat="1" applyFont="1" applyFill="1" applyBorder="1" applyAlignment="1">
      <alignment horizontal="right" vertical="center" wrapText="1"/>
    </xf>
    <xf numFmtId="3" fontId="81" fillId="0" borderId="51" xfId="86" applyNumberFormat="1" applyFont="1" applyFill="1" applyBorder="1" applyAlignment="1">
      <alignment horizontal="right" vertical="center" wrapText="1" indent="1"/>
    </xf>
    <xf numFmtId="9" fontId="86" fillId="0" borderId="50" xfId="90" applyFont="1" applyFill="1" applyBorder="1" applyAlignment="1">
      <alignment horizontal="center" vertical="center" wrapText="1"/>
    </xf>
    <xf numFmtId="3" fontId="82" fillId="0" borderId="92" xfId="78" applyNumberFormat="1" applyFont="1" applyFill="1" applyBorder="1" applyAlignment="1">
      <alignment vertical="center"/>
    </xf>
    <xf numFmtId="3" fontId="80" fillId="0" borderId="94" xfId="78" applyNumberFormat="1" applyFont="1" applyFill="1" applyBorder="1" applyAlignment="1">
      <alignment vertical="center" wrapText="1"/>
    </xf>
    <xf numFmtId="3" fontId="80" fillId="0" borderId="72" xfId="78" applyNumberFormat="1" applyFont="1" applyFill="1" applyBorder="1" applyAlignment="1">
      <alignment vertical="center" wrapText="1"/>
    </xf>
    <xf numFmtId="3" fontId="82" fillId="0" borderId="95" xfId="78" applyNumberFormat="1" applyFont="1" applyFill="1" applyBorder="1" applyAlignment="1">
      <alignment horizontal="right" vertical="center" wrapText="1" indent="1"/>
    </xf>
    <xf numFmtId="3" fontId="80" fillId="0" borderId="66" xfId="78" applyNumberFormat="1" applyFont="1" applyFill="1" applyBorder="1" applyAlignment="1">
      <alignment vertical="center" wrapText="1"/>
    </xf>
    <xf numFmtId="3" fontId="80" fillId="0" borderId="52" xfId="78" applyNumberFormat="1" applyFont="1" applyFill="1" applyBorder="1" applyAlignment="1">
      <alignment vertical="center" wrapText="1"/>
    </xf>
    <xf numFmtId="3" fontId="80" fillId="0" borderId="71" xfId="85" applyNumberFormat="1" applyFont="1" applyFill="1" applyBorder="1" applyAlignment="1">
      <alignment horizontal="right" vertical="center" wrapText="1" indent="1"/>
    </xf>
    <xf numFmtId="3" fontId="80" fillId="0" borderId="52" xfId="85" applyNumberFormat="1" applyFont="1" applyFill="1" applyBorder="1" applyAlignment="1">
      <alignment horizontal="right" vertical="center" wrapText="1" indent="1"/>
    </xf>
    <xf numFmtId="3" fontId="80" fillId="0" borderId="72" xfId="85" applyNumberFormat="1" applyFont="1" applyFill="1" applyBorder="1" applyAlignment="1">
      <alignment horizontal="right" vertical="center" wrapText="1" indent="1"/>
    </xf>
    <xf numFmtId="3" fontId="80" fillId="0" borderId="71" xfId="86" applyNumberFormat="1" applyFont="1" applyFill="1" applyBorder="1" applyAlignment="1">
      <alignment horizontal="right" vertical="center" wrapText="1" indent="1"/>
    </xf>
    <xf numFmtId="168" fontId="80" fillId="0" borderId="14" xfId="86" applyNumberFormat="1" applyFont="1" applyFill="1" applyBorder="1" applyAlignment="1">
      <alignment horizontal="right" vertical="center" wrapText="1" indent="1"/>
    </xf>
    <xf numFmtId="168" fontId="80" fillId="0" borderId="76" xfId="86" applyNumberFormat="1" applyFont="1" applyFill="1" applyBorder="1" applyAlignment="1">
      <alignment horizontal="right" vertical="center" wrapText="1" indent="1"/>
    </xf>
    <xf numFmtId="168" fontId="80" fillId="0" borderId="18" xfId="86" applyNumberFormat="1" applyFont="1" applyFill="1" applyBorder="1" applyAlignment="1">
      <alignment horizontal="right" vertical="center" wrapText="1" indent="1"/>
    </xf>
    <xf numFmtId="3" fontId="80" fillId="0" borderId="76" xfId="86" applyNumberFormat="1" applyFont="1" applyFill="1" applyBorder="1" applyAlignment="1">
      <alignment horizontal="right" vertical="center" wrapText="1" indent="1"/>
    </xf>
    <xf numFmtId="168" fontId="80" fillId="0" borderId="17" xfId="86" applyNumberFormat="1" applyFont="1" applyFill="1" applyBorder="1" applyAlignment="1">
      <alignment horizontal="right" vertical="center" wrapText="1" indent="1"/>
    </xf>
    <xf numFmtId="168" fontId="80" fillId="0" borderId="54" xfId="86" applyNumberFormat="1" applyFont="1" applyFill="1" applyBorder="1" applyAlignment="1">
      <alignment horizontal="right" vertical="center" wrapText="1" indent="1"/>
    </xf>
    <xf numFmtId="168" fontId="81" fillId="0" borderId="37" xfId="86" applyNumberFormat="1" applyFont="1" applyFill="1" applyBorder="1" applyAlignment="1">
      <alignment horizontal="center" vertical="center" wrapText="1"/>
    </xf>
    <xf numFmtId="3" fontId="81" fillId="0" borderId="37" xfId="86" applyNumberFormat="1" applyFont="1" applyFill="1" applyBorder="1" applyAlignment="1">
      <alignment horizontal="right" vertical="center" wrapText="1" indent="1"/>
    </xf>
    <xf numFmtId="168" fontId="80" fillId="0" borderId="53" xfId="86" applyNumberFormat="1" applyFont="1" applyFill="1" applyBorder="1" applyAlignment="1">
      <alignment horizontal="right" vertical="center" wrapText="1" indent="1"/>
    </xf>
    <xf numFmtId="168" fontId="82" fillId="0" borderId="37" xfId="86" applyNumberFormat="1" applyFont="1" applyFill="1" applyBorder="1" applyAlignment="1">
      <alignment horizontal="right" vertical="center" wrapText="1" indent="1"/>
    </xf>
    <xf numFmtId="168" fontId="82" fillId="0" borderId="28" xfId="86" applyNumberFormat="1" applyFont="1" applyFill="1" applyBorder="1" applyAlignment="1">
      <alignment horizontal="right" vertical="center" wrapText="1" indent="1"/>
    </xf>
    <xf numFmtId="3" fontId="82" fillId="0" borderId="37" xfId="86" applyNumberFormat="1" applyFont="1" applyFill="1" applyBorder="1" applyAlignment="1">
      <alignment horizontal="right" vertical="center" wrapText="1" indent="1"/>
    </xf>
    <xf numFmtId="3" fontId="82" fillId="0" borderId="51" xfId="86" applyNumberFormat="1" applyFont="1" applyFill="1" applyBorder="1" applyAlignment="1">
      <alignment horizontal="right" vertical="center" wrapText="1" indent="1"/>
    </xf>
    <xf numFmtId="3" fontId="82" fillId="0" borderId="82" xfId="78" applyNumberFormat="1" applyFont="1" applyFill="1" applyBorder="1" applyAlignment="1">
      <alignment horizontal="center" vertical="center" wrapText="1"/>
    </xf>
    <xf numFmtId="3" fontId="82" fillId="0" borderId="51" xfId="78" applyNumberFormat="1" applyFont="1" applyFill="1" applyBorder="1" applyAlignment="1">
      <alignment horizontal="center" vertical="center" wrapText="1"/>
    </xf>
    <xf numFmtId="168" fontId="80" fillId="0" borderId="72" xfId="78" applyNumberFormat="1" applyFont="1" applyFill="1" applyBorder="1" applyAlignment="1">
      <alignment horizontal="right" vertical="center" wrapText="1" indent="1"/>
    </xf>
    <xf numFmtId="168" fontId="80" fillId="0" borderId="67" xfId="78" applyNumberFormat="1" applyFont="1" applyFill="1" applyBorder="1" applyAlignment="1">
      <alignment horizontal="right" vertical="center" wrapText="1" indent="1"/>
    </xf>
    <xf numFmtId="168" fontId="80" fillId="0" borderId="62" xfId="78" applyNumberFormat="1" applyFont="1" applyFill="1" applyBorder="1" applyAlignment="1">
      <alignment horizontal="right" vertical="center" wrapText="1" indent="1"/>
    </xf>
    <xf numFmtId="168" fontId="82" fillId="0" borderId="50" xfId="51" applyNumberFormat="1" applyFont="1" applyFill="1" applyBorder="1" applyAlignment="1">
      <alignment horizontal="right" vertical="center" wrapText="1" indent="1"/>
    </xf>
    <xf numFmtId="168" fontId="82" fillId="0" borderId="82" xfId="51" applyNumberFormat="1" applyFont="1" applyFill="1" applyBorder="1" applyAlignment="1">
      <alignment horizontal="right" vertical="center" wrapText="1" indent="1"/>
    </xf>
    <xf numFmtId="3" fontId="82" fillId="0" borderId="59" xfId="80" applyNumberFormat="1" applyFont="1" applyFill="1" applyBorder="1" applyAlignment="1">
      <alignment horizontal="center" vertical="center" wrapText="1"/>
    </xf>
    <xf numFmtId="0" fontId="82" fillId="0" borderId="27" xfId="80" applyFont="1" applyFill="1" applyBorder="1" applyAlignment="1">
      <alignment horizontal="center" vertical="center" wrapText="1"/>
    </xf>
    <xf numFmtId="0" fontId="82" fillId="0" borderId="59" xfId="80" applyFont="1" applyFill="1" applyBorder="1" applyAlignment="1">
      <alignment horizontal="left" vertical="center" wrapText="1" indent="1"/>
    </xf>
    <xf numFmtId="168" fontId="82" fillId="0" borderId="27" xfId="80" applyNumberFormat="1" applyFont="1" applyFill="1" applyBorder="1" applyAlignment="1">
      <alignment horizontal="right" vertical="center" wrapText="1" indent="1"/>
    </xf>
    <xf numFmtId="3" fontId="82" fillId="0" borderId="28" xfId="80" applyNumberFormat="1" applyFont="1" applyFill="1" applyBorder="1" applyAlignment="1">
      <alignment horizontal="center" vertical="center" wrapText="1"/>
    </xf>
    <xf numFmtId="168" fontId="80" fillId="0" borderId="96" xfId="80" applyNumberFormat="1" applyFont="1" applyFill="1" applyBorder="1" applyAlignment="1">
      <alignment horizontal="right" vertical="center" wrapText="1" indent="1"/>
    </xf>
    <xf numFmtId="3" fontId="82" fillId="0" borderId="28" xfId="80" applyNumberFormat="1" applyFont="1" applyFill="1" applyBorder="1" applyAlignment="1">
      <alignment horizontal="right" vertical="center" wrapText="1" indent="1"/>
    </xf>
    <xf numFmtId="3" fontId="82" fillId="0" borderId="27" xfId="80" applyNumberFormat="1" applyFont="1" applyFill="1" applyBorder="1" applyAlignment="1">
      <alignment horizontal="center" vertical="center" wrapText="1"/>
    </xf>
    <xf numFmtId="0" fontId="80" fillId="0" borderId="67" xfId="80" applyFont="1" applyFill="1" applyBorder="1" applyAlignment="1">
      <alignment horizontal="left" vertical="center" wrapText="1" indent="1"/>
    </xf>
    <xf numFmtId="0" fontId="82" fillId="0" borderId="27" xfId="80" applyFont="1" applyFill="1" applyBorder="1" applyAlignment="1">
      <alignment horizontal="left" vertical="center" wrapText="1" indent="1"/>
    </xf>
    <xf numFmtId="3" fontId="80" fillId="0" borderId="45" xfId="80" applyNumberFormat="1" applyFont="1" applyFill="1" applyBorder="1" applyAlignment="1">
      <alignment horizontal="right" vertical="center" wrapText="1" indent="1"/>
    </xf>
    <xf numFmtId="3" fontId="80" fillId="0" borderId="38" xfId="80" applyNumberFormat="1" applyFont="1" applyFill="1" applyBorder="1" applyAlignment="1">
      <alignment horizontal="right" vertical="center" wrapText="1" indent="1"/>
    </xf>
    <xf numFmtId="168" fontId="82" fillId="0" borderId="32" xfId="80" applyNumberFormat="1" applyFont="1" applyFill="1" applyBorder="1" applyAlignment="1">
      <alignment horizontal="right" vertical="center" wrapText="1" indent="1"/>
    </xf>
    <xf numFmtId="3" fontId="80" fillId="0" borderId="47" xfId="80" applyNumberFormat="1" applyFont="1" applyFill="1" applyBorder="1" applyAlignment="1">
      <alignment horizontal="right" vertical="center" wrapText="1" indent="1"/>
    </xf>
    <xf numFmtId="3" fontId="80" fillId="0" borderId="39" xfId="80" applyNumberFormat="1" applyFont="1" applyFill="1" applyBorder="1" applyAlignment="1">
      <alignment horizontal="right" vertical="center" wrapText="1" indent="1"/>
    </xf>
    <xf numFmtId="168" fontId="82" fillId="0" borderId="13" xfId="80" applyNumberFormat="1" applyFont="1" applyFill="1" applyBorder="1" applyAlignment="1">
      <alignment horizontal="right" vertical="center" wrapText="1" indent="1"/>
    </xf>
    <xf numFmtId="3" fontId="80" fillId="0" borderId="49" xfId="80" applyNumberFormat="1" applyFont="1" applyFill="1" applyBorder="1" applyAlignment="1">
      <alignment horizontal="right" vertical="center" wrapText="1" indent="1"/>
    </xf>
    <xf numFmtId="3" fontId="80" fillId="0" borderId="40" xfId="80" applyNumberFormat="1" applyFont="1" applyFill="1" applyBorder="1" applyAlignment="1">
      <alignment horizontal="right" vertical="center" wrapText="1" indent="1"/>
    </xf>
    <xf numFmtId="168" fontId="82" fillId="0" borderId="30" xfId="80" applyNumberFormat="1" applyFont="1" applyFill="1" applyBorder="1" applyAlignment="1">
      <alignment horizontal="right" vertical="center" wrapText="1" indent="1"/>
    </xf>
    <xf numFmtId="3" fontId="82" fillId="0" borderId="34" xfId="80" applyNumberFormat="1" applyFont="1" applyFill="1" applyBorder="1" applyAlignment="1">
      <alignment horizontal="left" vertical="center" wrapText="1" indent="1"/>
    </xf>
    <xf numFmtId="3" fontId="82" fillId="0" borderId="58" xfId="53" applyNumberFormat="1" applyFont="1" applyFill="1" applyBorder="1" applyAlignment="1">
      <alignment horizontal="right" vertical="center" wrapText="1" indent="1"/>
    </xf>
    <xf numFmtId="168" fontId="82" fillId="0" borderId="56" xfId="53" applyNumberFormat="1" applyFont="1" applyFill="1" applyBorder="1" applyAlignment="1">
      <alignment horizontal="right" vertical="center" wrapText="1" indent="1"/>
    </xf>
    <xf numFmtId="3" fontId="82" fillId="0" borderId="19" xfId="80" applyNumberFormat="1" applyFont="1" applyFill="1" applyBorder="1" applyAlignment="1">
      <alignment horizontal="left" vertical="center" wrapText="1" indent="1"/>
    </xf>
    <xf numFmtId="3" fontId="82" fillId="0" borderId="14" xfId="80" applyNumberFormat="1" applyFont="1" applyFill="1" applyBorder="1" applyAlignment="1">
      <alignment horizontal="left" vertical="center" wrapText="1" indent="1"/>
    </xf>
    <xf numFmtId="3" fontId="82" fillId="0" borderId="24" xfId="80" applyNumberFormat="1" applyFont="1" applyFill="1" applyBorder="1" applyAlignment="1">
      <alignment horizontal="left" vertical="center" wrapText="1" indent="1"/>
    </xf>
    <xf numFmtId="0" fontId="82" fillId="0" borderId="57" xfId="83" applyFont="1" applyFill="1" applyBorder="1" applyAlignment="1">
      <alignment horizontal="center" vertical="center" wrapText="1"/>
    </xf>
    <xf numFmtId="0" fontId="82" fillId="0" borderId="53" xfId="83" applyFont="1" applyFill="1" applyBorder="1" applyAlignment="1">
      <alignment horizontal="center" vertical="center" wrapText="1"/>
    </xf>
    <xf numFmtId="0" fontId="82" fillId="0" borderId="77" xfId="83" applyFont="1" applyFill="1" applyBorder="1" applyAlignment="1">
      <alignment horizontal="center" vertical="center" wrapText="1"/>
    </xf>
    <xf numFmtId="0" fontId="82" fillId="0" borderId="60" xfId="83" applyFont="1" applyFill="1" applyBorder="1" applyAlignment="1">
      <alignment horizontal="center" vertical="center" wrapText="1"/>
    </xf>
    <xf numFmtId="3" fontId="80" fillId="0" borderId="31" xfId="0" applyNumberFormat="1" applyFont="1" applyFill="1" applyBorder="1" applyAlignment="1">
      <alignment horizontal="right" vertical="center" wrapText="1" indent="1"/>
    </xf>
    <xf numFmtId="3" fontId="80" fillId="0" borderId="45" xfId="0" applyNumberFormat="1" applyFont="1" applyFill="1" applyBorder="1" applyAlignment="1">
      <alignment horizontal="right" vertical="center" wrapText="1" indent="1"/>
    </xf>
    <xf numFmtId="3" fontId="80" fillId="0" borderId="38" xfId="0" applyNumberFormat="1" applyFont="1" applyFill="1" applyBorder="1" applyAlignment="1">
      <alignment horizontal="right" vertical="center" wrapText="1" indent="1"/>
    </xf>
    <xf numFmtId="3" fontId="82" fillId="0" borderId="32" xfId="83" applyNumberFormat="1" applyFont="1" applyFill="1" applyBorder="1" applyAlignment="1">
      <alignment horizontal="right" vertical="center" wrapText="1" indent="1"/>
    </xf>
    <xf numFmtId="3" fontId="80" fillId="0" borderId="15" xfId="0" applyNumberFormat="1" applyFont="1" applyFill="1" applyBorder="1" applyAlignment="1">
      <alignment horizontal="right" vertical="center" wrapText="1" indent="1"/>
    </xf>
    <xf numFmtId="3" fontId="80" fillId="0" borderId="47" xfId="0" applyNumberFormat="1" applyFont="1" applyFill="1" applyBorder="1" applyAlignment="1">
      <alignment horizontal="right" vertical="center" wrapText="1" indent="1"/>
    </xf>
    <xf numFmtId="3" fontId="80" fillId="0" borderId="39" xfId="0" applyNumberFormat="1" applyFont="1" applyFill="1" applyBorder="1" applyAlignment="1">
      <alignment horizontal="right" vertical="center" wrapText="1" indent="1"/>
    </xf>
    <xf numFmtId="3" fontId="82" fillId="0" borderId="13" xfId="83" applyNumberFormat="1" applyFont="1" applyFill="1" applyBorder="1" applyAlignment="1">
      <alignment horizontal="right" vertical="center" wrapText="1" indent="1"/>
    </xf>
    <xf numFmtId="3" fontId="80" fillId="0" borderId="15" xfId="76" applyNumberFormat="1" applyFont="1" applyFill="1" applyBorder="1" applyAlignment="1">
      <alignment horizontal="right" vertical="center" wrapText="1" indent="1"/>
    </xf>
    <xf numFmtId="3" fontId="80" fillId="0" borderId="47" xfId="76" applyNumberFormat="1" applyFont="1" applyFill="1" applyBorder="1" applyAlignment="1">
      <alignment horizontal="right" vertical="center" wrapText="1" indent="1"/>
    </xf>
    <xf numFmtId="3" fontId="80" fillId="0" borderId="39" xfId="76" applyNumberFormat="1" applyFont="1" applyFill="1" applyBorder="1" applyAlignment="1">
      <alignment horizontal="right" vertical="center" wrapText="1" indent="1"/>
    </xf>
    <xf numFmtId="3" fontId="82" fillId="0" borderId="13" xfId="84" applyNumberFormat="1" applyFont="1" applyFill="1" applyBorder="1" applyAlignment="1">
      <alignment horizontal="right" vertical="center" wrapText="1" indent="1"/>
    </xf>
    <xf numFmtId="0" fontId="77" fillId="0" borderId="27" xfId="77" applyFont="1" applyFill="1" applyBorder="1" applyAlignment="1">
      <alignment horizontal="center" vertical="center"/>
    </xf>
    <xf numFmtId="3" fontId="82" fillId="0" borderId="51" xfId="70" applyNumberFormat="1" applyFont="1" applyFill="1" applyBorder="1" applyAlignment="1">
      <alignment horizontal="right" vertical="center" wrapText="1" indent="1"/>
    </xf>
    <xf numFmtId="3" fontId="82" fillId="0" borderId="50" xfId="70" applyNumberFormat="1" applyFont="1" applyFill="1" applyBorder="1" applyAlignment="1">
      <alignment horizontal="right" vertical="center" wrapText="1" indent="1"/>
    </xf>
    <xf numFmtId="3" fontId="82" fillId="0" borderId="82" xfId="70" applyNumberFormat="1" applyFont="1" applyFill="1" applyBorder="1" applyAlignment="1">
      <alignment horizontal="right" vertical="center" wrapText="1" indent="1"/>
    </xf>
    <xf numFmtId="3" fontId="82" fillId="0" borderId="27" xfId="70" applyNumberFormat="1" applyFont="1" applyFill="1" applyBorder="1" applyAlignment="1">
      <alignment horizontal="right" vertical="center" wrapText="1" indent="1"/>
    </xf>
    <xf numFmtId="0" fontId="3" fillId="0" borderId="5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top"/>
    </xf>
    <xf numFmtId="0" fontId="10" fillId="0" borderId="47" xfId="0" applyFont="1" applyBorder="1"/>
    <xf numFmtId="43" fontId="0" fillId="0" borderId="13" xfId="0" applyNumberFormat="1" applyFill="1" applyBorder="1"/>
    <xf numFmtId="10" fontId="5" fillId="0" borderId="20" xfId="94" applyNumberFormat="1" applyFont="1" applyFill="1" applyBorder="1" applyAlignment="1">
      <alignment horizontal="right" indent="1"/>
    </xf>
    <xf numFmtId="10" fontId="5" fillId="0" borderId="22" xfId="94" applyNumberFormat="1" applyFont="1" applyFill="1" applyBorder="1" applyAlignment="1">
      <alignment horizontal="right" indent="1"/>
    </xf>
    <xf numFmtId="10" fontId="5" fillId="0" borderId="25" xfId="94" applyNumberFormat="1" applyFont="1" applyFill="1" applyBorder="1" applyAlignment="1">
      <alignment horizontal="right" indent="1"/>
    </xf>
    <xf numFmtId="10" fontId="5" fillId="0" borderId="20" xfId="0" applyNumberFormat="1" applyFont="1" applyFill="1" applyBorder="1" applyAlignment="1">
      <alignment horizontal="right" indent="1"/>
    </xf>
    <xf numFmtId="10" fontId="5" fillId="0" borderId="22" xfId="0" applyNumberFormat="1" applyFont="1" applyFill="1" applyBorder="1" applyAlignment="1">
      <alignment horizontal="right" indent="1"/>
    </xf>
    <xf numFmtId="10" fontId="5" fillId="0" borderId="25" xfId="0" applyNumberFormat="1" applyFont="1" applyFill="1" applyBorder="1" applyAlignment="1">
      <alignment horizontal="right" indent="1"/>
    </xf>
    <xf numFmtId="3" fontId="0" fillId="0" borderId="0" xfId="0" applyNumberFormat="1" applyFill="1" applyBorder="1" applyAlignment="1">
      <alignment horizontal="right" indent="1"/>
    </xf>
    <xf numFmtId="0" fontId="3" fillId="0" borderId="32" xfId="0" applyFont="1" applyFill="1" applyBorder="1" applyAlignment="1">
      <alignment horizontal="center"/>
    </xf>
    <xf numFmtId="0" fontId="3" fillId="0" borderId="33" xfId="0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10" fontId="48" fillId="0" borderId="32" xfId="0" applyNumberFormat="1" applyFont="1" applyFill="1" applyBorder="1" applyAlignment="1">
      <alignment horizontal="right"/>
    </xf>
    <xf numFmtId="10" fontId="48" fillId="0" borderId="13" xfId="0" applyNumberFormat="1" applyFont="1" applyFill="1" applyBorder="1" applyAlignment="1">
      <alignment horizontal="right"/>
    </xf>
    <xf numFmtId="10" fontId="48" fillId="0" borderId="30" xfId="0" applyNumberFormat="1" applyFont="1" applyFill="1" applyBorder="1" applyAlignment="1">
      <alignment horizontal="right"/>
    </xf>
    <xf numFmtId="10" fontId="48" fillId="0" borderId="34" xfId="0" applyNumberFormat="1" applyFont="1" applyFill="1" applyBorder="1" applyAlignment="1">
      <alignment horizontal="right"/>
    </xf>
    <xf numFmtId="10" fontId="48" fillId="0" borderId="70" xfId="0" applyNumberFormat="1" applyFont="1" applyFill="1" applyBorder="1" applyAlignment="1">
      <alignment horizontal="right"/>
    </xf>
    <xf numFmtId="10" fontId="48" fillId="0" borderId="35" xfId="0" applyNumberFormat="1" applyFont="1" applyFill="1" applyBorder="1" applyAlignment="1">
      <alignment horizontal="right"/>
    </xf>
    <xf numFmtId="10" fontId="48" fillId="0" borderId="65" xfId="0" applyNumberFormat="1" applyFont="1" applyFill="1" applyBorder="1" applyAlignment="1">
      <alignment horizontal="right"/>
    </xf>
    <xf numFmtId="9" fontId="0" fillId="0" borderId="0" xfId="96" applyFont="1" applyFill="1"/>
    <xf numFmtId="0" fontId="14" fillId="35" borderId="0" xfId="0" applyFont="1" applyFill="1"/>
    <xf numFmtId="3" fontId="10" fillId="0" borderId="19" xfId="0" applyNumberFormat="1" applyFont="1" applyFill="1" applyBorder="1" applyAlignment="1">
      <alignment horizontal="right" indent="1"/>
    </xf>
    <xf numFmtId="3" fontId="10" fillId="0" borderId="45" xfId="0" applyNumberFormat="1" applyFont="1" applyFill="1" applyBorder="1" applyAlignment="1">
      <alignment horizontal="right" indent="1"/>
    </xf>
    <xf numFmtId="165" fontId="13" fillId="0" borderId="20" xfId="94" applyNumberFormat="1" applyFont="1" applyFill="1" applyBorder="1" applyAlignment="1">
      <alignment vertical="center"/>
    </xf>
    <xf numFmtId="3" fontId="10" fillId="0" borderId="42" xfId="0" applyNumberFormat="1" applyFont="1" applyFill="1" applyBorder="1" applyAlignment="1">
      <alignment horizontal="right" indent="1"/>
    </xf>
    <xf numFmtId="3" fontId="10" fillId="0" borderId="14" xfId="0" applyNumberFormat="1" applyFont="1" applyFill="1" applyBorder="1" applyAlignment="1">
      <alignment horizontal="right" indent="1"/>
    </xf>
    <xf numFmtId="3" fontId="10" fillId="0" borderId="47" xfId="0" applyNumberFormat="1" applyFont="1" applyFill="1" applyBorder="1" applyAlignment="1">
      <alignment horizontal="right" indent="1"/>
    </xf>
    <xf numFmtId="165" fontId="13" fillId="0" borderId="22" xfId="94" applyNumberFormat="1" applyFont="1" applyFill="1" applyBorder="1" applyAlignment="1">
      <alignment vertical="center"/>
    </xf>
    <xf numFmtId="3" fontId="10" fillId="0" borderId="46" xfId="0" applyNumberFormat="1" applyFont="1" applyFill="1" applyBorder="1" applyAlignment="1">
      <alignment horizontal="right" indent="1"/>
    </xf>
    <xf numFmtId="165" fontId="13" fillId="0" borderId="22" xfId="94" applyNumberFormat="1" applyFont="1" applyFill="1" applyBorder="1" applyAlignment="1">
      <alignment horizontal="center" vertical="center"/>
    </xf>
    <xf numFmtId="3" fontId="10" fillId="0" borderId="17" xfId="0" applyNumberFormat="1" applyFont="1" applyFill="1" applyBorder="1" applyAlignment="1">
      <alignment horizontal="right" indent="1"/>
    </xf>
    <xf numFmtId="3" fontId="10" fillId="0" borderId="44" xfId="0" applyNumberFormat="1" applyFont="1" applyFill="1" applyBorder="1" applyAlignment="1">
      <alignment horizontal="right" indent="1"/>
    </xf>
    <xf numFmtId="165" fontId="13" fillId="0" borderId="18" xfId="94" applyNumberFormat="1" applyFont="1" applyFill="1" applyBorder="1" applyAlignment="1">
      <alignment vertical="center"/>
    </xf>
    <xf numFmtId="3" fontId="10" fillId="0" borderId="24" xfId="0" applyNumberFormat="1" applyFont="1" applyFill="1" applyBorder="1" applyAlignment="1">
      <alignment horizontal="right" indent="1"/>
    </xf>
    <xf numFmtId="3" fontId="10" fillId="0" borderId="49" xfId="0" applyNumberFormat="1" applyFont="1" applyFill="1" applyBorder="1" applyAlignment="1">
      <alignment horizontal="right" indent="1"/>
    </xf>
    <xf numFmtId="165" fontId="13" fillId="0" borderId="25" xfId="94" applyNumberFormat="1" applyFont="1" applyFill="1" applyBorder="1" applyAlignment="1">
      <alignment vertical="center"/>
    </xf>
    <xf numFmtId="0" fontId="44" fillId="0" borderId="0" xfId="0" applyFont="1" applyFill="1" applyBorder="1"/>
    <xf numFmtId="168" fontId="80" fillId="0" borderId="53" xfId="78" applyNumberFormat="1" applyFont="1" applyFill="1" applyBorder="1" applyAlignment="1">
      <alignment horizontal="right" vertical="center" wrapText="1" indent="1"/>
    </xf>
    <xf numFmtId="168" fontId="80" fillId="0" borderId="77" xfId="78" applyNumberFormat="1" applyFont="1" applyFill="1" applyBorder="1" applyAlignment="1">
      <alignment horizontal="right" vertical="center" wrapText="1" indent="1"/>
    </xf>
    <xf numFmtId="168" fontId="80" fillId="0" borderId="75" xfId="78" applyNumberFormat="1" applyFont="1" applyFill="1" applyBorder="1" applyAlignment="1">
      <alignment horizontal="right" vertical="center" wrapText="1" indent="1"/>
    </xf>
    <xf numFmtId="168" fontId="80" fillId="0" borderId="57" xfId="78" applyNumberFormat="1" applyFont="1" applyFill="1" applyBorder="1" applyAlignment="1">
      <alignment horizontal="right" vertical="center" wrapText="1" indent="1"/>
    </xf>
    <xf numFmtId="168" fontId="80" fillId="0" borderId="54" xfId="78" applyNumberFormat="1" applyFont="1" applyFill="1" applyBorder="1" applyAlignment="1">
      <alignment horizontal="right" vertical="center" wrapText="1" indent="1"/>
    </xf>
    <xf numFmtId="168" fontId="82" fillId="0" borderId="29" xfId="51" applyNumberFormat="1" applyFont="1" applyFill="1" applyBorder="1" applyAlignment="1">
      <alignment horizontal="right" vertical="center" wrapText="1" indent="1"/>
    </xf>
    <xf numFmtId="168" fontId="82" fillId="0" borderId="37" xfId="51" applyNumberFormat="1" applyFont="1" applyFill="1" applyBorder="1" applyAlignment="1">
      <alignment horizontal="right" vertical="center" wrapText="1" indent="1"/>
    </xf>
    <xf numFmtId="3" fontId="82" fillId="0" borderId="67" xfId="78" applyNumberFormat="1" applyFont="1" applyFill="1" applyBorder="1" applyAlignment="1">
      <alignment horizontal="left" vertical="center" wrapText="1" indent="1"/>
    </xf>
    <xf numFmtId="3" fontId="82" fillId="0" borderId="32" xfId="80" applyNumberFormat="1" applyFont="1" applyFill="1" applyBorder="1" applyAlignment="1">
      <alignment horizontal="left" vertical="center" wrapText="1" indent="1"/>
    </xf>
    <xf numFmtId="3" fontId="82" fillId="0" borderId="13" xfId="80" applyNumberFormat="1" applyFont="1" applyFill="1" applyBorder="1" applyAlignment="1">
      <alignment horizontal="left" vertical="center" wrapText="1" indent="1"/>
    </xf>
    <xf numFmtId="3" fontId="82" fillId="0" borderId="30" xfId="80" applyNumberFormat="1" applyFont="1" applyFill="1" applyBorder="1" applyAlignment="1">
      <alignment horizontal="left" vertical="center" wrapText="1" indent="1"/>
    </xf>
    <xf numFmtId="0" fontId="3" fillId="0" borderId="6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3" fontId="3" fillId="0" borderId="65" xfId="0" applyNumberFormat="1" applyFont="1" applyFill="1" applyBorder="1"/>
    <xf numFmtId="3" fontId="3" fillId="0" borderId="35" xfId="0" applyNumberFormat="1" applyFont="1" applyFill="1" applyBorder="1"/>
    <xf numFmtId="3" fontId="3" fillId="0" borderId="70" xfId="0" applyNumberFormat="1" applyFont="1" applyFill="1" applyBorder="1"/>
    <xf numFmtId="3" fontId="3" fillId="0" borderId="56" xfId="0" applyNumberFormat="1" applyFont="1" applyFill="1" applyBorder="1"/>
    <xf numFmtId="3" fontId="0" fillId="0" borderId="19" xfId="0" applyNumberFormat="1" applyBorder="1"/>
    <xf numFmtId="3" fontId="0" fillId="0" borderId="20" xfId="0" applyNumberFormat="1" applyBorder="1"/>
    <xf numFmtId="3" fontId="0" fillId="0" borderId="14" xfId="0" applyNumberFormat="1" applyBorder="1"/>
    <xf numFmtId="3" fontId="0" fillId="0" borderId="22" xfId="0" applyNumberFormat="1" applyBorder="1"/>
    <xf numFmtId="3" fontId="0" fillId="0" borderId="24" xfId="0" applyNumberFormat="1" applyBorder="1"/>
    <xf numFmtId="3" fontId="0" fillId="0" borderId="25" xfId="0" applyNumberFormat="1" applyBorder="1"/>
    <xf numFmtId="3" fontId="0" fillId="0" borderId="32" xfId="0" applyNumberFormat="1" applyBorder="1"/>
    <xf numFmtId="3" fontId="0" fillId="0" borderId="13" xfId="0" applyNumberFormat="1" applyBorder="1"/>
    <xf numFmtId="3" fontId="0" fillId="0" borderId="30" xfId="0" applyNumberFormat="1" applyBorder="1"/>
    <xf numFmtId="2" fontId="0" fillId="0" borderId="0" xfId="0" applyNumberFormat="1" applyFill="1"/>
    <xf numFmtId="10" fontId="5" fillId="0" borderId="34" xfId="90" applyNumberFormat="1" applyFont="1" applyFill="1" applyBorder="1"/>
    <xf numFmtId="10" fontId="5" fillId="0" borderId="35" xfId="90" applyNumberFormat="1" applyFont="1" applyFill="1" applyBorder="1"/>
    <xf numFmtId="10" fontId="5" fillId="0" borderId="65" xfId="90" applyNumberFormat="1" applyFont="1" applyFill="1" applyBorder="1"/>
    <xf numFmtId="10" fontId="5" fillId="0" borderId="70" xfId="90" applyNumberFormat="1" applyFont="1" applyFill="1" applyBorder="1"/>
    <xf numFmtId="0" fontId="3" fillId="0" borderId="13" xfId="0" applyFont="1" applyFill="1" applyBorder="1" applyAlignment="1">
      <alignment wrapText="1"/>
    </xf>
    <xf numFmtId="0" fontId="3" fillId="0" borderId="32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left"/>
    </xf>
    <xf numFmtId="3" fontId="0" fillId="0" borderId="15" xfId="0" applyNumberFormat="1" applyBorder="1"/>
    <xf numFmtId="0" fontId="3" fillId="0" borderId="32" xfId="0" applyFont="1" applyBorder="1"/>
    <xf numFmtId="0" fontId="3" fillId="0" borderId="13" xfId="0" applyFont="1" applyBorder="1"/>
    <xf numFmtId="0" fontId="3" fillId="0" borderId="30" xfId="0" applyFont="1" applyBorder="1"/>
    <xf numFmtId="0" fontId="80" fillId="0" borderId="60" xfId="132" quotePrefix="1" applyNumberFormat="1" applyFont="1" applyFill="1" applyBorder="1" applyProtection="1">
      <alignment horizontal="left" vertical="center" indent="1"/>
      <protection locked="0"/>
    </xf>
    <xf numFmtId="0" fontId="80" fillId="0" borderId="13" xfId="132" quotePrefix="1" applyNumberFormat="1" applyFont="1" applyFill="1" applyBorder="1" applyProtection="1">
      <alignment horizontal="left" vertical="center" indent="1"/>
      <protection locked="0"/>
    </xf>
    <xf numFmtId="0" fontId="80" fillId="0" borderId="13" xfId="132" quotePrefix="1" applyNumberFormat="1" applyFont="1" applyFill="1" applyBorder="1" applyAlignment="1" applyProtection="1">
      <alignment horizontal="left" vertical="center" wrapText="1" indent="1"/>
      <protection locked="0"/>
    </xf>
    <xf numFmtId="0" fontId="80" fillId="0" borderId="97" xfId="132" quotePrefix="1" applyNumberFormat="1" applyFont="1" applyFill="1" applyBorder="1" applyProtection="1">
      <alignment horizontal="left" vertical="center" indent="1"/>
      <protection locked="0"/>
    </xf>
    <xf numFmtId="3" fontId="9" fillId="0" borderId="16" xfId="81" applyNumberFormat="1" applyFont="1" applyFill="1" applyBorder="1" applyAlignment="1">
      <alignment vertical="center" wrapText="1"/>
    </xf>
    <xf numFmtId="0" fontId="3" fillId="0" borderId="16" xfId="0" applyFont="1" applyBorder="1"/>
    <xf numFmtId="0" fontId="0" fillId="0" borderId="44" xfId="0" applyFont="1" applyBorder="1"/>
    <xf numFmtId="0" fontId="3" fillId="0" borderId="67" xfId="0" applyFont="1" applyBorder="1"/>
    <xf numFmtId="0" fontId="0" fillId="0" borderId="75" xfId="0" applyFill="1" applyBorder="1" applyAlignment="1">
      <alignment horizontal="left" indent="2"/>
    </xf>
    <xf numFmtId="0" fontId="0" fillId="0" borderId="0" xfId="0" applyFont="1" applyFill="1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left" indent="2"/>
    </xf>
    <xf numFmtId="3" fontId="80" fillId="0" borderId="93" xfId="78" applyNumberFormat="1" applyFont="1" applyFill="1" applyBorder="1" applyAlignment="1">
      <alignment vertical="center"/>
    </xf>
    <xf numFmtId="3" fontId="80" fillId="0" borderId="15" xfId="85" applyNumberFormat="1" applyFont="1" applyFill="1" applyBorder="1" applyAlignment="1">
      <alignment horizontal="right" vertical="center" wrapText="1" indent="1"/>
    </xf>
    <xf numFmtId="167" fontId="10" fillId="0" borderId="23" xfId="0" applyNumberFormat="1" applyFont="1" applyFill="1" applyBorder="1" applyAlignment="1">
      <alignment horizontal="right" vertical="center" wrapText="1"/>
    </xf>
    <xf numFmtId="3" fontId="10" fillId="0" borderId="15" xfId="0" applyNumberFormat="1" applyFont="1" applyFill="1" applyBorder="1" applyAlignment="1">
      <alignment horizontal="right" indent="1"/>
    </xf>
    <xf numFmtId="0" fontId="0" fillId="0" borderId="98" xfId="0" applyFill="1" applyBorder="1" applyAlignment="1">
      <alignment horizontal="center"/>
    </xf>
    <xf numFmtId="3" fontId="0" fillId="0" borderId="15" xfId="0" applyNumberFormat="1" applyFill="1" applyBorder="1" applyAlignment="1">
      <alignment horizontal="right" indent="1"/>
    </xf>
    <xf numFmtId="10" fontId="5" fillId="0" borderId="15" xfId="90" applyNumberFormat="1" applyFont="1" applyFill="1" applyBorder="1"/>
    <xf numFmtId="3" fontId="0" fillId="0" borderId="15" xfId="0" applyNumberFormat="1" applyFont="1" applyFill="1" applyBorder="1"/>
    <xf numFmtId="3" fontId="60" fillId="0" borderId="15" xfId="0" applyNumberFormat="1" applyFont="1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indent="2"/>
    </xf>
    <xf numFmtId="168" fontId="83" fillId="0" borderId="15" xfId="0" applyNumberFormat="1" applyFont="1" applyFill="1" applyBorder="1"/>
    <xf numFmtId="3" fontId="82" fillId="0" borderId="69" xfId="78" applyNumberFormat="1" applyFont="1" applyFill="1" applyBorder="1" applyAlignment="1">
      <alignment horizontal="right" vertical="center" wrapText="1" indent="1"/>
    </xf>
    <xf numFmtId="3" fontId="82" fillId="0" borderId="70" xfId="78" applyNumberFormat="1" applyFont="1" applyFill="1" applyBorder="1" applyAlignment="1">
      <alignment horizontal="right" vertical="center" wrapText="1" indent="1"/>
    </xf>
    <xf numFmtId="3" fontId="82" fillId="0" borderId="35" xfId="78" applyNumberFormat="1" applyFont="1" applyFill="1" applyBorder="1" applyAlignment="1">
      <alignment horizontal="right" vertical="center" wrapText="1" indent="1"/>
    </xf>
    <xf numFmtId="168" fontId="80" fillId="0" borderId="47" xfId="79" applyNumberFormat="1" applyFont="1" applyFill="1" applyBorder="1" applyAlignment="1">
      <alignment horizontal="right" vertical="center" wrapText="1" indent="1"/>
    </xf>
    <xf numFmtId="168" fontId="80" fillId="0" borderId="47" xfId="78" applyNumberFormat="1" applyFont="1" applyFill="1" applyBorder="1" applyAlignment="1">
      <alignment horizontal="right" vertical="center" wrapText="1" indent="1"/>
    </xf>
    <xf numFmtId="168" fontId="80" fillId="0" borderId="22" xfId="78" applyNumberFormat="1" applyFont="1" applyFill="1" applyBorder="1" applyAlignment="1">
      <alignment horizontal="right" vertical="center" wrapText="1" indent="1"/>
    </xf>
    <xf numFmtId="168" fontId="80" fillId="0" borderId="49" xfId="79" applyNumberFormat="1" applyFont="1" applyFill="1" applyBorder="1" applyAlignment="1">
      <alignment horizontal="right" vertical="center" wrapText="1" indent="1"/>
    </xf>
    <xf numFmtId="168" fontId="80" fillId="0" borderId="49" xfId="78" applyNumberFormat="1" applyFont="1" applyFill="1" applyBorder="1" applyAlignment="1">
      <alignment horizontal="right" vertical="center" wrapText="1" indent="1"/>
    </xf>
    <xf numFmtId="168" fontId="80" fillId="0" borderId="25" xfId="78" applyNumberFormat="1" applyFont="1" applyFill="1" applyBorder="1" applyAlignment="1">
      <alignment horizontal="right" vertical="center" wrapText="1" indent="1"/>
    </xf>
    <xf numFmtId="3" fontId="0" fillId="0" borderId="31" xfId="0" applyNumberFormat="1" applyBorder="1"/>
    <xf numFmtId="3" fontId="0" fillId="0" borderId="33" xfId="0" applyNumberFormat="1" applyBorder="1"/>
    <xf numFmtId="10" fontId="5" fillId="0" borderId="31" xfId="90" applyNumberFormat="1" applyFont="1" applyFill="1" applyBorder="1"/>
    <xf numFmtId="10" fontId="5" fillId="0" borderId="64" xfId="90" applyNumberFormat="1" applyFont="1" applyFill="1" applyBorder="1"/>
    <xf numFmtId="0" fontId="69" fillId="0" borderId="32" xfId="0" applyFont="1" applyBorder="1"/>
    <xf numFmtId="0" fontId="69" fillId="0" borderId="30" xfId="0" applyFont="1" applyBorder="1"/>
    <xf numFmtId="3" fontId="0" fillId="0" borderId="31" xfId="0" applyNumberFormat="1" applyFill="1" applyBorder="1" applyAlignment="1">
      <alignment horizontal="right" indent="1"/>
    </xf>
    <xf numFmtId="3" fontId="0" fillId="0" borderId="33" xfId="0" applyNumberFormat="1" applyFill="1" applyBorder="1" applyAlignment="1">
      <alignment horizontal="right" indent="1"/>
    </xf>
    <xf numFmtId="0" fontId="2" fillId="0" borderId="32" xfId="0" applyFon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3" fontId="10" fillId="0" borderId="31" xfId="0" applyNumberFormat="1" applyFont="1" applyFill="1" applyBorder="1" applyAlignment="1">
      <alignment horizontal="right" indent="1"/>
    </xf>
    <xf numFmtId="3" fontId="10" fillId="0" borderId="64" xfId="0" applyNumberFormat="1" applyFont="1" applyFill="1" applyBorder="1" applyAlignment="1">
      <alignment horizontal="right" indent="1"/>
    </xf>
    <xf numFmtId="3" fontId="10" fillId="0" borderId="33" xfId="0" applyNumberFormat="1" applyFont="1" applyFill="1" applyBorder="1" applyAlignment="1">
      <alignment horizontal="right" indent="1"/>
    </xf>
    <xf numFmtId="167" fontId="10" fillId="0" borderId="21" xfId="0" applyNumberFormat="1" applyFont="1" applyFill="1" applyBorder="1" applyAlignment="1">
      <alignment horizontal="right" vertical="center" wrapText="1"/>
    </xf>
    <xf numFmtId="167" fontId="10" fillId="0" borderId="26" xfId="0" applyNumberFormat="1" applyFont="1" applyFill="1" applyBorder="1" applyAlignment="1">
      <alignment horizontal="right" vertical="center" wrapText="1"/>
    </xf>
    <xf numFmtId="3" fontId="62" fillId="0" borderId="66" xfId="0" applyNumberFormat="1" applyFont="1" applyFill="1" applyBorder="1" applyAlignment="1">
      <alignment horizontal="center" vertical="center" wrapText="1"/>
    </xf>
    <xf numFmtId="4" fontId="62" fillId="0" borderId="0" xfId="0" applyNumberFormat="1" applyFont="1" applyBorder="1" applyAlignment="1">
      <alignment horizontal="center" vertical="center" wrapText="1"/>
    </xf>
    <xf numFmtId="167" fontId="62" fillId="0" borderId="27" xfId="0" applyNumberFormat="1" applyFont="1" applyFill="1" applyBorder="1" applyAlignment="1">
      <alignment horizontal="center" vertical="center" wrapText="1"/>
    </xf>
    <xf numFmtId="43" fontId="0" fillId="0" borderId="23" xfId="0" applyNumberFormat="1" applyFill="1" applyBorder="1"/>
    <xf numFmtId="43" fontId="0" fillId="0" borderId="23" xfId="0" applyNumberFormat="1" applyFill="1" applyBorder="1" applyAlignment="1">
      <alignment horizontal="right"/>
    </xf>
    <xf numFmtId="43" fontId="0" fillId="0" borderId="36" xfId="0" applyNumberFormat="1" applyFill="1" applyBorder="1"/>
    <xf numFmtId="170" fontId="2" fillId="0" borderId="15" xfId="51" applyNumberFormat="1" applyFont="1" applyFill="1" applyBorder="1" applyAlignment="1"/>
    <xf numFmtId="170" fontId="2" fillId="0" borderId="64" xfId="51" applyNumberFormat="1" applyFont="1" applyFill="1" applyBorder="1" applyAlignment="1"/>
    <xf numFmtId="3" fontId="9" fillId="0" borderId="56" xfId="81" applyNumberFormat="1" applyFont="1" applyFill="1" applyBorder="1" applyAlignment="1">
      <alignment vertical="center" wrapText="1"/>
    </xf>
    <xf numFmtId="3" fontId="9" fillId="0" borderId="32" xfId="81" applyNumberFormat="1" applyFont="1" applyFill="1" applyBorder="1" applyAlignment="1">
      <alignment vertical="center" wrapText="1"/>
    </xf>
    <xf numFmtId="168" fontId="80" fillId="0" borderId="33" xfId="79" applyNumberFormat="1" applyFont="1" applyFill="1" applyBorder="1" applyAlignment="1">
      <alignment horizontal="right" vertical="center" wrapText="1" indent="1"/>
    </xf>
    <xf numFmtId="3" fontId="82" fillId="0" borderId="32" xfId="78" applyNumberFormat="1" applyFont="1" applyFill="1" applyBorder="1" applyAlignment="1">
      <alignment horizontal="left" vertical="center" wrapText="1" indent="1"/>
    </xf>
    <xf numFmtId="3" fontId="82" fillId="0" borderId="13" xfId="78" applyNumberFormat="1" applyFont="1" applyFill="1" applyBorder="1" applyAlignment="1">
      <alignment horizontal="left" vertical="center" wrapText="1" indent="1"/>
    </xf>
    <xf numFmtId="3" fontId="82" fillId="0" borderId="30" xfId="78" applyNumberFormat="1" applyFont="1" applyFill="1" applyBorder="1" applyAlignment="1">
      <alignment horizontal="left" vertical="center" wrapText="1" indent="1"/>
    </xf>
    <xf numFmtId="3" fontId="80" fillId="0" borderId="62" xfId="85" applyNumberFormat="1" applyFont="1" applyFill="1" applyBorder="1" applyAlignment="1">
      <alignment horizontal="right" vertical="center" wrapText="1" indent="1"/>
    </xf>
    <xf numFmtId="3" fontId="80" fillId="0" borderId="33" xfId="85" applyNumberFormat="1" applyFont="1" applyFill="1" applyBorder="1" applyAlignment="1">
      <alignment horizontal="right" vertical="center" wrapText="1" indent="1"/>
    </xf>
    <xf numFmtId="3" fontId="82" fillId="0" borderId="32" xfId="85" applyNumberFormat="1" applyFont="1" applyFill="1" applyBorder="1" applyAlignment="1">
      <alignment horizontal="left" vertical="center" wrapText="1" indent="1"/>
    </xf>
    <xf numFmtId="3" fontId="82" fillId="0" borderId="13" xfId="85" applyNumberFormat="1" applyFont="1" applyFill="1" applyBorder="1" applyAlignment="1">
      <alignment horizontal="left" vertical="center" wrapText="1" indent="1"/>
    </xf>
    <xf numFmtId="3" fontId="82" fillId="0" borderId="30" xfId="85" applyNumberFormat="1" applyFont="1" applyFill="1" applyBorder="1" applyAlignment="1">
      <alignment horizontal="left" vertical="center" wrapText="1" indent="1"/>
    </xf>
    <xf numFmtId="3" fontId="80" fillId="0" borderId="99" xfId="78" applyNumberFormat="1" applyFont="1" applyFill="1" applyBorder="1" applyAlignment="1">
      <alignment vertical="center" wrapText="1"/>
    </xf>
    <xf numFmtId="3" fontId="82" fillId="0" borderId="69" xfId="78" applyNumberFormat="1" applyFont="1" applyFill="1" applyBorder="1" applyAlignment="1">
      <alignment vertical="center"/>
    </xf>
    <xf numFmtId="3" fontId="80" fillId="0" borderId="44" xfId="78" applyNumberFormat="1" applyFont="1" applyFill="1" applyBorder="1" applyAlignment="1">
      <alignment vertical="center" wrapText="1"/>
    </xf>
    <xf numFmtId="3" fontId="80" fillId="0" borderId="100" xfId="78" applyNumberFormat="1" applyFont="1" applyFill="1" applyBorder="1" applyAlignment="1">
      <alignment vertical="center" wrapText="1"/>
    </xf>
    <xf numFmtId="3" fontId="80" fillId="0" borderId="53" xfId="78" applyNumberFormat="1" applyFont="1" applyFill="1" applyBorder="1" applyAlignment="1">
      <alignment vertical="center" wrapText="1"/>
    </xf>
    <xf numFmtId="3" fontId="80" fillId="0" borderId="101" xfId="78" applyNumberFormat="1" applyFont="1" applyFill="1" applyBorder="1" applyAlignment="1">
      <alignment vertical="center" wrapText="1"/>
    </xf>
    <xf numFmtId="3" fontId="82" fillId="0" borderId="41" xfId="78" applyNumberFormat="1" applyFont="1" applyFill="1" applyBorder="1" applyAlignment="1">
      <alignment vertical="center"/>
    </xf>
    <xf numFmtId="3" fontId="80" fillId="0" borderId="102" xfId="78" applyNumberFormat="1" applyFont="1" applyFill="1" applyBorder="1" applyAlignment="1">
      <alignment vertical="center" wrapText="1"/>
    </xf>
    <xf numFmtId="3" fontId="82" fillId="0" borderId="37" xfId="78" applyNumberFormat="1" applyFont="1" applyFill="1" applyBorder="1" applyAlignment="1">
      <alignment vertical="center"/>
    </xf>
    <xf numFmtId="0" fontId="80" fillId="0" borderId="30" xfId="86" applyFont="1" applyFill="1" applyBorder="1" applyAlignment="1">
      <alignment horizontal="left" vertical="center" wrapText="1" indent="1"/>
    </xf>
    <xf numFmtId="168" fontId="80" fillId="0" borderId="57" xfId="86" applyNumberFormat="1" applyFont="1" applyFill="1" applyBorder="1" applyAlignment="1">
      <alignment horizontal="right" vertical="center" wrapText="1" indent="1"/>
    </xf>
    <xf numFmtId="0" fontId="82" fillId="0" borderId="29" xfId="80" applyFont="1" applyFill="1" applyBorder="1" applyAlignment="1">
      <alignment horizontal="center" vertical="center" wrapText="1"/>
    </xf>
    <xf numFmtId="0" fontId="82" fillId="0" borderId="82" xfId="80" applyFont="1" applyFill="1" applyBorder="1" applyAlignment="1">
      <alignment horizontal="center" vertical="center" wrapText="1"/>
    </xf>
    <xf numFmtId="3" fontId="82" fillId="0" borderId="56" xfId="78" applyNumberFormat="1" applyFont="1" applyFill="1" applyBorder="1" applyAlignment="1">
      <alignment horizontal="left" vertical="center" wrapText="1" indent="1"/>
    </xf>
    <xf numFmtId="0" fontId="77" fillId="0" borderId="0" xfId="0" applyFont="1" applyBorder="1" applyAlignment="1">
      <alignment horizontal="center" vertical="center" wrapText="1"/>
    </xf>
    <xf numFmtId="172" fontId="0" fillId="0" borderId="0" xfId="0" applyNumberFormat="1" applyBorder="1"/>
    <xf numFmtId="0" fontId="77" fillId="0" borderId="37" xfId="0" applyFont="1" applyFill="1" applyBorder="1"/>
    <xf numFmtId="172" fontId="0" fillId="0" borderId="29" xfId="0" applyNumberFormat="1" applyBorder="1"/>
    <xf numFmtId="172" fontId="0" fillId="0" borderId="0" xfId="0" applyNumberFormat="1"/>
    <xf numFmtId="0" fontId="87" fillId="0" borderId="0" xfId="0" applyFont="1"/>
    <xf numFmtId="0" fontId="77" fillId="0" borderId="27" xfId="0" applyFont="1" applyBorder="1" applyAlignment="1">
      <alignment horizontal="center" vertical="center" wrapText="1"/>
    </xf>
    <xf numFmtId="0" fontId="77" fillId="0" borderId="51" xfId="0" applyFont="1" applyBorder="1" applyAlignment="1">
      <alignment horizontal="center" vertical="center" wrapText="1"/>
    </xf>
    <xf numFmtId="0" fontId="77" fillId="0" borderId="50" xfId="0" applyFont="1" applyBorder="1" applyAlignment="1">
      <alignment horizontal="center" vertical="center" wrapText="1"/>
    </xf>
    <xf numFmtId="0" fontId="77" fillId="0" borderId="29" xfId="0" applyFont="1" applyBorder="1" applyAlignment="1">
      <alignment horizontal="center" vertical="center" wrapText="1"/>
    </xf>
    <xf numFmtId="3" fontId="82" fillId="0" borderId="32" xfId="85" applyNumberFormat="1" applyFont="1" applyFill="1" applyBorder="1" applyAlignment="1">
      <alignment vertical="center" wrapText="1"/>
    </xf>
    <xf numFmtId="0" fontId="0" fillId="0" borderId="45" xfId="0" applyBorder="1"/>
    <xf numFmtId="3" fontId="82" fillId="0" borderId="13" xfId="85" applyNumberFormat="1" applyFont="1" applyFill="1" applyBorder="1" applyAlignment="1">
      <alignment vertical="center" wrapText="1"/>
    </xf>
    <xf numFmtId="0" fontId="0" fillId="0" borderId="47" xfId="0" applyBorder="1"/>
    <xf numFmtId="0" fontId="77" fillId="0" borderId="13" xfId="0" applyFont="1" applyBorder="1"/>
    <xf numFmtId="0" fontId="77" fillId="0" borderId="27" xfId="0" applyFont="1" applyBorder="1"/>
    <xf numFmtId="0" fontId="77" fillId="0" borderId="50" xfId="0" applyFont="1" applyBorder="1"/>
    <xf numFmtId="0" fontId="0" fillId="0" borderId="0" xfId="0" applyAlignment="1"/>
    <xf numFmtId="0" fontId="0" fillId="0" borderId="0" xfId="0" applyFont="1" applyBorder="1" applyAlignment="1">
      <alignment vertical="top"/>
    </xf>
    <xf numFmtId="0" fontId="88" fillId="0" borderId="0" xfId="0" applyFont="1" applyAlignment="1">
      <alignment vertical="center" wrapText="1"/>
    </xf>
    <xf numFmtId="0" fontId="8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10" fontId="91" fillId="0" borderId="52" xfId="90" applyNumberFormat="1" applyFont="1" applyFill="1" applyBorder="1"/>
    <xf numFmtId="10" fontId="91" fillId="0" borderId="47" xfId="90" applyNumberFormat="1" applyFont="1" applyFill="1" applyBorder="1"/>
    <xf numFmtId="10" fontId="91" fillId="0" borderId="44" xfId="90" applyNumberFormat="1" applyFont="1" applyFill="1" applyBorder="1"/>
    <xf numFmtId="10" fontId="84" fillId="0" borderId="50" xfId="90" applyNumberFormat="1" applyFont="1" applyFill="1" applyBorder="1"/>
    <xf numFmtId="10" fontId="91" fillId="0" borderId="63" xfId="90" applyNumberFormat="1" applyFont="1" applyFill="1" applyBorder="1"/>
    <xf numFmtId="10" fontId="91" fillId="0" borderId="22" xfId="90" applyNumberFormat="1" applyFont="1" applyFill="1" applyBorder="1"/>
    <xf numFmtId="10" fontId="91" fillId="0" borderId="18" xfId="90" applyNumberFormat="1" applyFont="1" applyFill="1" applyBorder="1"/>
    <xf numFmtId="10" fontId="84" fillId="0" borderId="29" xfId="90" applyNumberFormat="1" applyFont="1" applyFill="1" applyBorder="1"/>
    <xf numFmtId="10" fontId="5" fillId="0" borderId="32" xfId="0" applyNumberFormat="1" applyFont="1" applyBorder="1"/>
    <xf numFmtId="10" fontId="5" fillId="0" borderId="13" xfId="0" applyNumberFormat="1" applyFont="1" applyBorder="1"/>
    <xf numFmtId="10" fontId="5" fillId="0" borderId="30" xfId="0" applyNumberFormat="1" applyFont="1" applyBorder="1"/>
    <xf numFmtId="10" fontId="4" fillId="0" borderId="56" xfId="0" applyNumberFormat="1" applyFont="1" applyFill="1" applyBorder="1"/>
    <xf numFmtId="10" fontId="5" fillId="0" borderId="20" xfId="90" applyNumberFormat="1" applyFont="1" applyFill="1" applyBorder="1" applyAlignment="1">
      <alignment vertical="center"/>
    </xf>
    <xf numFmtId="10" fontId="5" fillId="0" borderId="22" xfId="90" applyNumberFormat="1" applyFont="1" applyFill="1" applyBorder="1" applyAlignment="1">
      <alignment vertical="center"/>
    </xf>
    <xf numFmtId="10" fontId="5" fillId="0" borderId="18" xfId="90" applyNumberFormat="1" applyFont="1" applyFill="1" applyBorder="1" applyAlignment="1">
      <alignment vertical="center"/>
    </xf>
    <xf numFmtId="10" fontId="13" fillId="0" borderId="29" xfId="90" applyNumberFormat="1" applyFont="1" applyFill="1" applyBorder="1" applyAlignment="1">
      <alignment vertical="center"/>
    </xf>
    <xf numFmtId="10" fontId="4" fillId="0" borderId="54" xfId="0" applyNumberFormat="1" applyFont="1" applyBorder="1"/>
    <xf numFmtId="10" fontId="5" fillId="0" borderId="63" xfId="0" applyNumberFormat="1" applyFont="1" applyBorder="1"/>
    <xf numFmtId="10" fontId="5" fillId="0" borderId="22" xfId="0" applyNumberFormat="1" applyFont="1" applyBorder="1"/>
    <xf numFmtId="10" fontId="5" fillId="0" borderId="18" xfId="0" applyNumberFormat="1" applyFont="1" applyBorder="1"/>
    <xf numFmtId="10" fontId="4" fillId="0" borderId="35" xfId="0" applyNumberFormat="1" applyFont="1" applyBorder="1"/>
    <xf numFmtId="10" fontId="5" fillId="0" borderId="33" xfId="90" applyNumberFormat="1" applyFont="1" applyFill="1" applyBorder="1"/>
    <xf numFmtId="10" fontId="5" fillId="0" borderId="25" xfId="90" applyNumberFormat="1" applyFont="1" applyFill="1" applyBorder="1"/>
    <xf numFmtId="10" fontId="5" fillId="0" borderId="24" xfId="90" applyNumberFormat="1" applyFont="1" applyFill="1" applyBorder="1"/>
    <xf numFmtId="4" fontId="9" fillId="0" borderId="32" xfId="0" applyNumberFormat="1" applyFont="1" applyBorder="1" applyAlignment="1">
      <alignment horizontal="right" vertical="center" wrapText="1"/>
    </xf>
    <xf numFmtId="4" fontId="9" fillId="0" borderId="13" xfId="0" applyNumberFormat="1" applyFont="1" applyBorder="1" applyAlignment="1">
      <alignment horizontal="right" vertical="center" wrapText="1"/>
    </xf>
    <xf numFmtId="4" fontId="9" fillId="0" borderId="30" xfId="0" applyNumberFormat="1" applyFont="1" applyBorder="1" applyAlignment="1">
      <alignment horizontal="right" vertical="center" wrapText="1"/>
    </xf>
    <xf numFmtId="4" fontId="9" fillId="0" borderId="45" xfId="0" applyNumberFormat="1" applyFont="1" applyBorder="1" applyAlignment="1">
      <alignment horizontal="right" vertical="center" wrapText="1"/>
    </xf>
    <xf numFmtId="4" fontId="9" fillId="0" borderId="47" xfId="0" applyNumberFormat="1" applyFont="1" applyBorder="1" applyAlignment="1">
      <alignment horizontal="right" vertical="center" wrapText="1"/>
    </xf>
    <xf numFmtId="4" fontId="9" fillId="0" borderId="49" xfId="0" applyNumberFormat="1" applyFont="1" applyBorder="1" applyAlignment="1">
      <alignment horizontal="right" vertical="center" wrapText="1"/>
    </xf>
    <xf numFmtId="4" fontId="9" fillId="0" borderId="20" xfId="0" applyNumberFormat="1" applyFont="1" applyBorder="1" applyAlignment="1">
      <alignment horizontal="right" vertical="center" wrapText="1"/>
    </xf>
    <xf numFmtId="4" fontId="9" fillId="0" borderId="22" xfId="0" applyNumberFormat="1" applyFont="1" applyBorder="1" applyAlignment="1">
      <alignment horizontal="right" vertical="center" wrapText="1"/>
    </xf>
    <xf numFmtId="49" fontId="9" fillId="0" borderId="22" xfId="0" applyNumberFormat="1" applyFont="1" applyBorder="1" applyAlignment="1">
      <alignment horizontal="right" vertical="center" wrapText="1"/>
    </xf>
    <xf numFmtId="49" fontId="9" fillId="0" borderId="25" xfId="0" applyNumberFormat="1" applyFont="1" applyBorder="1" applyAlignment="1">
      <alignment horizontal="right"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" fontId="9" fillId="0" borderId="25" xfId="0" applyNumberFormat="1" applyFont="1" applyBorder="1" applyAlignment="1">
      <alignment horizontal="right" vertical="center" wrapText="1"/>
    </xf>
    <xf numFmtId="170" fontId="3" fillId="0" borderId="28" xfId="51" applyNumberFormat="1" applyFont="1" applyFill="1" applyBorder="1" applyAlignment="1"/>
    <xf numFmtId="43" fontId="3" fillId="0" borderId="27" xfId="51" applyNumberFormat="1" applyFont="1" applyFill="1" applyBorder="1" applyAlignment="1">
      <alignment horizontal="right"/>
    </xf>
    <xf numFmtId="10" fontId="12" fillId="0" borderId="63" xfId="81" applyNumberFormat="1" applyFont="1" applyFill="1" applyBorder="1" applyAlignment="1">
      <alignment horizontal="right" vertical="center" wrapText="1" indent="3"/>
    </xf>
    <xf numFmtId="10" fontId="12" fillId="0" borderId="22" xfId="81" applyNumberFormat="1" applyFont="1" applyFill="1" applyBorder="1" applyAlignment="1">
      <alignment horizontal="right" vertical="center" wrapText="1" indent="3"/>
    </xf>
    <xf numFmtId="10" fontId="12" fillId="0" borderId="18" xfId="81" applyNumberFormat="1" applyFont="1" applyFill="1" applyBorder="1" applyAlignment="1">
      <alignment horizontal="right" vertical="center" wrapText="1" indent="3"/>
    </xf>
    <xf numFmtId="10" fontId="13" fillId="0" borderId="29" xfId="81" applyNumberFormat="1" applyFont="1" applyFill="1" applyBorder="1" applyAlignment="1">
      <alignment horizontal="right" vertical="center" wrapText="1" indent="3"/>
    </xf>
    <xf numFmtId="10" fontId="5" fillId="0" borderId="63" xfId="81" applyNumberFormat="1" applyFont="1" applyFill="1" applyBorder="1" applyAlignment="1">
      <alignment horizontal="right" vertical="center" wrapText="1" indent="3"/>
    </xf>
    <xf numFmtId="10" fontId="5" fillId="0" borderId="22" xfId="81" applyNumberFormat="1" applyFont="1" applyFill="1" applyBorder="1" applyAlignment="1">
      <alignment horizontal="right" vertical="center" wrapText="1" indent="3"/>
    </xf>
    <xf numFmtId="10" fontId="5" fillId="0" borderId="18" xfId="81" applyNumberFormat="1" applyFont="1" applyFill="1" applyBorder="1" applyAlignment="1">
      <alignment horizontal="right" vertical="center" wrapText="1" indent="3"/>
    </xf>
    <xf numFmtId="10" fontId="4" fillId="0" borderId="29" xfId="81" applyNumberFormat="1" applyFont="1" applyFill="1" applyBorder="1" applyAlignment="1">
      <alignment horizontal="right" vertical="center" wrapText="1" indent="3"/>
    </xf>
    <xf numFmtId="10" fontId="5" fillId="0" borderId="20" xfId="81" applyNumberFormat="1" applyFont="1" applyFill="1" applyBorder="1" applyAlignment="1">
      <alignment horizontal="right" vertical="center" indent="3"/>
    </xf>
    <xf numFmtId="10" fontId="5" fillId="0" borderId="22" xfId="81" applyNumberFormat="1" applyFont="1" applyFill="1" applyBorder="1" applyAlignment="1">
      <alignment horizontal="right" vertical="center" indent="3"/>
    </xf>
    <xf numFmtId="10" fontId="5" fillId="0" borderId="25" xfId="81" applyNumberFormat="1" applyFont="1" applyFill="1" applyBorder="1" applyAlignment="1">
      <alignment horizontal="right" vertical="center" indent="3"/>
    </xf>
    <xf numFmtId="10" fontId="4" fillId="0" borderId="35" xfId="81" applyNumberFormat="1" applyFont="1" applyFill="1" applyBorder="1" applyAlignment="1">
      <alignment horizontal="right" vertical="center" indent="3"/>
    </xf>
    <xf numFmtId="10" fontId="12" fillId="0" borderId="20" xfId="81" applyNumberFormat="1" applyFont="1" applyFill="1" applyBorder="1" applyAlignment="1">
      <alignment horizontal="right" vertical="center" indent="3"/>
    </xf>
    <xf numFmtId="10" fontId="12" fillId="0" borderId="22" xfId="81" applyNumberFormat="1" applyFont="1" applyFill="1" applyBorder="1" applyAlignment="1">
      <alignment horizontal="right" vertical="center" indent="3"/>
    </xf>
    <xf numFmtId="10" fontId="12" fillId="0" borderId="25" xfId="81" applyNumberFormat="1" applyFont="1" applyFill="1" applyBorder="1" applyAlignment="1">
      <alignment horizontal="right" vertical="center" indent="3"/>
    </xf>
    <xf numFmtId="10" fontId="13" fillId="0" borderId="35" xfId="81" applyNumberFormat="1" applyFont="1" applyFill="1" applyBorder="1" applyAlignment="1">
      <alignment horizontal="right" vertical="center" indent="3"/>
    </xf>
    <xf numFmtId="10" fontId="5" fillId="0" borderId="45" xfId="90" applyNumberFormat="1" applyFont="1" applyBorder="1"/>
    <xf numFmtId="10" fontId="5" fillId="0" borderId="20" xfId="90" applyNumberFormat="1" applyFont="1" applyBorder="1"/>
    <xf numFmtId="10" fontId="5" fillId="0" borderId="47" xfId="90" applyNumberFormat="1" applyFont="1" applyBorder="1"/>
    <xf numFmtId="10" fontId="5" fillId="0" borderId="22" xfId="90" applyNumberFormat="1" applyFont="1" applyBorder="1"/>
    <xf numFmtId="10" fontId="92" fillId="0" borderId="50" xfId="90" applyNumberFormat="1" applyFont="1" applyBorder="1"/>
    <xf numFmtId="10" fontId="92" fillId="0" borderId="29" xfId="90" applyNumberFormat="1" applyFont="1" applyBorder="1"/>
    <xf numFmtId="0" fontId="77" fillId="0" borderId="14" xfId="0" applyFont="1" applyBorder="1"/>
    <xf numFmtId="172" fontId="0" fillId="0" borderId="22" xfId="0" applyNumberFormat="1" applyBorder="1"/>
    <xf numFmtId="0" fontId="77" fillId="0" borderId="17" xfId="0" applyFont="1" applyBorder="1"/>
    <xf numFmtId="172" fontId="0" fillId="0" borderId="18" xfId="0" applyNumberFormat="1" applyBorder="1"/>
    <xf numFmtId="9" fontId="84" fillId="0" borderId="29" xfId="90" applyFont="1" applyFill="1" applyBorder="1" applyAlignment="1">
      <alignment horizontal="center" vertical="center" wrapText="1"/>
    </xf>
    <xf numFmtId="3" fontId="78" fillId="0" borderId="47" xfId="78" applyNumberFormat="1" applyFont="1" applyFill="1" applyBorder="1" applyAlignment="1">
      <alignment horizontal="right" vertical="center" wrapText="1" indent="1"/>
    </xf>
    <xf numFmtId="3" fontId="3" fillId="0" borderId="21" xfId="0" applyNumberFormat="1" applyFont="1" applyFill="1" applyBorder="1"/>
    <xf numFmtId="3" fontId="3" fillId="0" borderId="23" xfId="0" applyNumberFormat="1" applyFont="1" applyFill="1" applyBorder="1"/>
    <xf numFmtId="0" fontId="3" fillId="0" borderId="23" xfId="0" applyFont="1" applyFill="1" applyBorder="1"/>
    <xf numFmtId="3" fontId="3" fillId="0" borderId="26" xfId="0" applyNumberFormat="1" applyFont="1" applyFill="1" applyBorder="1"/>
    <xf numFmtId="10" fontId="4" fillId="0" borderId="21" xfId="90" applyNumberFormat="1" applyFont="1" applyFill="1" applyBorder="1"/>
    <xf numFmtId="10" fontId="4" fillId="0" borderId="23" xfId="90" applyNumberFormat="1" applyFont="1" applyFill="1" applyBorder="1"/>
    <xf numFmtId="10" fontId="4" fillId="0" borderId="26" xfId="90" applyNumberFormat="1" applyFont="1" applyFill="1" applyBorder="1"/>
    <xf numFmtId="3" fontId="3" fillId="0" borderId="59" xfId="0" applyNumberFormat="1" applyFont="1" applyFill="1" applyBorder="1"/>
    <xf numFmtId="3" fontId="3" fillId="0" borderId="29" xfId="0" applyNumberFormat="1" applyFont="1" applyFill="1" applyBorder="1"/>
    <xf numFmtId="3" fontId="3" fillId="0" borderId="41" xfId="0" applyNumberFormat="1" applyFont="1" applyFill="1" applyBorder="1"/>
    <xf numFmtId="3" fontId="3" fillId="0" borderId="82" xfId="0" applyNumberFormat="1" applyFont="1" applyFill="1" applyBorder="1"/>
    <xf numFmtId="3" fontId="3" fillId="0" borderId="27" xfId="0" applyNumberFormat="1" applyFont="1" applyFill="1" applyBorder="1"/>
    <xf numFmtId="10" fontId="94" fillId="0" borderId="27" xfId="0" applyNumberFormat="1" applyFont="1" applyFill="1" applyBorder="1" applyAlignment="1">
      <alignment horizontal="right"/>
    </xf>
    <xf numFmtId="3" fontId="3" fillId="0" borderId="32" xfId="0" applyNumberFormat="1" applyFont="1" applyFill="1" applyBorder="1"/>
    <xf numFmtId="3" fontId="3" fillId="0" borderId="13" xfId="0" applyNumberFormat="1" applyFont="1" applyFill="1" applyBorder="1"/>
    <xf numFmtId="3" fontId="3" fillId="0" borderId="30" xfId="0" applyNumberFormat="1" applyFont="1" applyFill="1" applyBorder="1"/>
    <xf numFmtId="10" fontId="94" fillId="0" borderId="56" xfId="0" applyNumberFormat="1" applyFont="1" applyFill="1" applyBorder="1" applyAlignment="1">
      <alignment horizontal="right"/>
    </xf>
    <xf numFmtId="10" fontId="5" fillId="0" borderId="31" xfId="90" applyNumberFormat="1" applyFont="1" applyBorder="1"/>
    <xf numFmtId="10" fontId="5" fillId="0" borderId="15" xfId="90" applyNumberFormat="1" applyFont="1" applyBorder="1"/>
    <xf numFmtId="10" fontId="92" fillId="0" borderId="51" xfId="90" applyNumberFormat="1" applyFont="1" applyBorder="1"/>
    <xf numFmtId="0" fontId="77" fillId="0" borderId="37" xfId="0" applyFont="1" applyBorder="1" applyAlignment="1">
      <alignment horizontal="center" vertical="center" wrapText="1"/>
    </xf>
    <xf numFmtId="10" fontId="5" fillId="0" borderId="19" xfId="90" applyNumberFormat="1" applyFont="1" applyBorder="1"/>
    <xf numFmtId="10" fontId="5" fillId="0" borderId="14" xfId="90" applyNumberFormat="1" applyFont="1" applyBorder="1"/>
    <xf numFmtId="10" fontId="92" fillId="0" borderId="37" xfId="90" applyNumberFormat="1" applyFont="1" applyBorder="1"/>
    <xf numFmtId="0" fontId="0" fillId="0" borderId="19" xfId="0" applyBorder="1"/>
    <xf numFmtId="0" fontId="0" fillId="0" borderId="20" xfId="0" applyBorder="1"/>
    <xf numFmtId="0" fontId="0" fillId="0" borderId="22" xfId="0" applyBorder="1"/>
    <xf numFmtId="0" fontId="77" fillId="0" borderId="37" xfId="0" applyFont="1" applyBorder="1"/>
    <xf numFmtId="0" fontId="77" fillId="0" borderId="29" xfId="0" applyFont="1" applyBorder="1"/>
    <xf numFmtId="0" fontId="0" fillId="0" borderId="32" xfId="0" applyBorder="1"/>
    <xf numFmtId="0" fontId="0" fillId="0" borderId="13" xfId="0" applyBorder="1"/>
    <xf numFmtId="0" fontId="77" fillId="0" borderId="41" xfId="0" applyFont="1" applyBorder="1" applyAlignment="1">
      <alignment horizontal="center" vertical="center" wrapText="1"/>
    </xf>
    <xf numFmtId="0" fontId="0" fillId="0" borderId="80" xfId="0" applyBorder="1"/>
    <xf numFmtId="0" fontId="0" fillId="0" borderId="81" xfId="0" applyBorder="1"/>
    <xf numFmtId="0" fontId="77" fillId="0" borderId="41" xfId="0" applyFont="1" applyBorder="1"/>
    <xf numFmtId="0" fontId="87" fillId="0" borderId="0" xfId="0" applyFont="1" applyAlignment="1">
      <alignment horizontal="right"/>
    </xf>
    <xf numFmtId="168" fontId="80" fillId="0" borderId="62" xfId="79" applyNumberFormat="1" applyFont="1" applyFill="1" applyBorder="1" applyAlignment="1">
      <alignment horizontal="right" vertical="center" wrapText="1" indent="1"/>
    </xf>
    <xf numFmtId="168" fontId="80" fillId="0" borderId="52" xfId="79" applyNumberFormat="1" applyFont="1" applyFill="1" applyBorder="1" applyAlignment="1">
      <alignment horizontal="right" vertical="center" wrapText="1" indent="1"/>
    </xf>
    <xf numFmtId="3" fontId="82" fillId="0" borderId="73" xfId="82" applyNumberFormat="1" applyFont="1" applyFill="1" applyBorder="1" applyAlignment="1">
      <alignment horizontal="center" vertical="center" wrapText="1"/>
    </xf>
    <xf numFmtId="3" fontId="82" fillId="0" borderId="103" xfId="82" applyNumberFormat="1" applyFont="1" applyFill="1" applyBorder="1" applyAlignment="1">
      <alignment horizontal="center" vertical="center" wrapText="1"/>
    </xf>
    <xf numFmtId="3" fontId="82" fillId="0" borderId="104" xfId="85" applyNumberFormat="1" applyFont="1" applyFill="1" applyBorder="1" applyAlignment="1">
      <alignment horizontal="center" vertical="center" wrapText="1"/>
    </xf>
    <xf numFmtId="3" fontId="82" fillId="0" borderId="34" xfId="53" applyNumberFormat="1" applyFont="1" applyFill="1" applyBorder="1" applyAlignment="1">
      <alignment horizontal="right" vertical="center" wrapText="1" indent="1"/>
    </xf>
    <xf numFmtId="3" fontId="82" fillId="0" borderId="35" xfId="53" applyNumberFormat="1" applyFont="1" applyFill="1" applyBorder="1" applyAlignment="1">
      <alignment horizontal="right" vertical="center" wrapText="1" indent="1"/>
    </xf>
    <xf numFmtId="168" fontId="80" fillId="0" borderId="47" xfId="0" applyNumberFormat="1" applyFont="1" applyFill="1" applyBorder="1" applyAlignment="1" applyProtection="1">
      <alignment horizontal="right" indent="1"/>
    </xf>
    <xf numFmtId="0" fontId="80" fillId="0" borderId="19" xfId="0" applyNumberFormat="1" applyFont="1" applyFill="1" applyBorder="1" applyAlignment="1">
      <alignment horizontal="right" indent="1"/>
    </xf>
    <xf numFmtId="168" fontId="80" fillId="0" borderId="45" xfId="0" applyNumberFormat="1" applyFont="1" applyFill="1" applyBorder="1" applyAlignment="1" applyProtection="1">
      <alignment horizontal="right" indent="1"/>
    </xf>
    <xf numFmtId="0" fontId="80" fillId="0" borderId="45" xfId="0" applyNumberFormat="1" applyFont="1" applyFill="1" applyBorder="1" applyAlignment="1">
      <alignment horizontal="right" indent="1"/>
    </xf>
    <xf numFmtId="0" fontId="80" fillId="0" borderId="20" xfId="0" applyNumberFormat="1" applyFont="1" applyFill="1" applyBorder="1" applyAlignment="1">
      <alignment horizontal="right" indent="1"/>
    </xf>
    <xf numFmtId="0" fontId="80" fillId="0" borderId="24" xfId="0" applyNumberFormat="1" applyFont="1" applyFill="1" applyBorder="1" applyAlignment="1">
      <alignment horizontal="right" indent="1"/>
    </xf>
    <xf numFmtId="168" fontId="80" fillId="0" borderId="49" xfId="0" applyNumberFormat="1" applyFont="1" applyFill="1" applyBorder="1" applyAlignment="1" applyProtection="1">
      <alignment horizontal="right" indent="1"/>
    </xf>
    <xf numFmtId="0" fontId="80" fillId="0" borderId="49" xfId="0" applyNumberFormat="1" applyFont="1" applyFill="1" applyBorder="1" applyAlignment="1">
      <alignment horizontal="right" indent="1"/>
    </xf>
    <xf numFmtId="0" fontId="80" fillId="0" borderId="25" xfId="0" applyNumberFormat="1" applyFont="1" applyFill="1" applyBorder="1" applyAlignment="1">
      <alignment horizontal="right" indent="1"/>
    </xf>
    <xf numFmtId="0" fontId="0" fillId="0" borderId="0" xfId="0" applyFont="1" applyBorder="1" applyAlignment="1">
      <alignment vertical="top" wrapText="1"/>
    </xf>
    <xf numFmtId="3" fontId="10" fillId="0" borderId="0" xfId="78" applyNumberFormat="1" applyFont="1" applyFill="1" applyBorder="1" applyAlignment="1">
      <alignment vertical="top" wrapText="1"/>
    </xf>
    <xf numFmtId="3" fontId="10" fillId="0" borderId="0" xfId="86" applyNumberFormat="1" applyFont="1" applyFill="1" applyBorder="1" applyAlignment="1">
      <alignment vertical="top" wrapText="1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horizontal="left" vertical="top"/>
    </xf>
    <xf numFmtId="0" fontId="64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64" fillId="0" borderId="0" xfId="0" applyFont="1" applyAlignment="1">
      <alignment horizontal="left" vertical="top" wrapText="1"/>
    </xf>
    <xf numFmtId="3" fontId="60" fillId="0" borderId="0" xfId="78" applyNumberFormat="1" applyFont="1" applyFill="1" applyBorder="1" applyAlignment="1">
      <alignment vertical="top" wrapText="1"/>
    </xf>
    <xf numFmtId="3" fontId="10" fillId="0" borderId="0" xfId="83" applyNumberFormat="1" applyFont="1" applyBorder="1" applyAlignment="1">
      <alignment vertical="top" wrapText="1"/>
    </xf>
    <xf numFmtId="0" fontId="75" fillId="0" borderId="0" xfId="0" applyFont="1" applyAlignment="1">
      <alignment horizontal="left" vertical="center"/>
    </xf>
    <xf numFmtId="0" fontId="75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top" wrapText="1"/>
    </xf>
    <xf numFmtId="0" fontId="64" fillId="0" borderId="0" xfId="0" applyFont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horizontal="left" vertical="top" wrapText="1"/>
    </xf>
    <xf numFmtId="3" fontId="60" fillId="0" borderId="0" xfId="0" applyNumberFormat="1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/>
    </xf>
    <xf numFmtId="0" fontId="64" fillId="0" borderId="0" xfId="0" applyFont="1" applyBorder="1" applyAlignment="1">
      <alignment horizontal="left" vertical="top"/>
    </xf>
    <xf numFmtId="3" fontId="10" fillId="0" borderId="0" xfId="81" applyNumberFormat="1" applyFont="1" applyFill="1" applyBorder="1" applyAlignment="1">
      <alignment horizontal="left" vertical="top" wrapText="1"/>
    </xf>
    <xf numFmtId="3" fontId="60" fillId="0" borderId="0" xfId="81" applyNumberFormat="1" applyFont="1" applyFill="1" applyBorder="1" applyAlignment="1">
      <alignment horizontal="left" vertical="top" wrapText="1"/>
    </xf>
    <xf numFmtId="3" fontId="10" fillId="0" borderId="0" xfId="85" applyNumberFormat="1" applyFont="1" applyFill="1" applyBorder="1" applyAlignment="1">
      <alignment vertical="top" wrapText="1"/>
    </xf>
    <xf numFmtId="3" fontId="60" fillId="0" borderId="0" xfId="85" applyNumberFormat="1" applyFont="1" applyFill="1" applyBorder="1" applyAlignment="1">
      <alignment vertical="top" wrapText="1"/>
    </xf>
    <xf numFmtId="0" fontId="10" fillId="0" borderId="0" xfId="81" applyFont="1" applyBorder="1" applyAlignment="1">
      <alignment horizontal="left" vertical="top" wrapText="1"/>
    </xf>
    <xf numFmtId="0" fontId="60" fillId="0" borderId="0" xfId="81" applyFont="1" applyBorder="1" applyAlignment="1">
      <alignment horizontal="left" vertical="top" wrapText="1"/>
    </xf>
    <xf numFmtId="3" fontId="10" fillId="0" borderId="0" xfId="81" applyNumberFormat="1" applyFont="1" applyBorder="1" applyAlignment="1">
      <alignment horizontal="left" vertical="top" wrapText="1"/>
    </xf>
    <xf numFmtId="3" fontId="60" fillId="0" borderId="0" xfId="81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3" fillId="0" borderId="55" xfId="0" applyFont="1" applyBorder="1" applyAlignment="1">
      <alignment horizontal="center"/>
    </xf>
    <xf numFmtId="0" fontId="3" fillId="0" borderId="74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3" fillId="0" borderId="5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1" fontId="3" fillId="0" borderId="59" xfId="0" applyNumberFormat="1" applyFont="1" applyFill="1" applyBorder="1" applyAlignment="1">
      <alignment horizontal="center"/>
    </xf>
    <xf numFmtId="1" fontId="3" fillId="0" borderId="28" xfId="0" applyNumberFormat="1" applyFont="1" applyFill="1" applyBorder="1" applyAlignment="1">
      <alignment horizontal="center"/>
    </xf>
    <xf numFmtId="0" fontId="3" fillId="0" borderId="59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4" fillId="0" borderId="41" xfId="0" applyNumberFormat="1" applyFont="1" applyFill="1" applyBorder="1" applyAlignment="1">
      <alignment horizontal="center"/>
    </xf>
    <xf numFmtId="0" fontId="4" fillId="0" borderId="28" xfId="0" applyNumberFormat="1" applyFont="1" applyFill="1" applyBorder="1" applyAlignment="1">
      <alignment horizontal="center"/>
    </xf>
    <xf numFmtId="0" fontId="13" fillId="0" borderId="41" xfId="0" applyNumberFormat="1" applyFont="1" applyFill="1" applyBorder="1" applyAlignment="1">
      <alignment horizontal="center"/>
    </xf>
    <xf numFmtId="0" fontId="13" fillId="0" borderId="28" xfId="0" applyNumberFormat="1" applyFont="1" applyFill="1" applyBorder="1" applyAlignment="1">
      <alignment horizontal="center"/>
    </xf>
    <xf numFmtId="166" fontId="4" fillId="0" borderId="41" xfId="0" applyNumberFormat="1" applyFont="1" applyFill="1" applyBorder="1" applyAlignment="1">
      <alignment horizontal="center"/>
    </xf>
    <xf numFmtId="166" fontId="4" fillId="0" borderId="28" xfId="0" applyNumberFormat="1" applyFont="1" applyFill="1" applyBorder="1" applyAlignment="1">
      <alignment horizontal="center"/>
    </xf>
    <xf numFmtId="0" fontId="4" fillId="0" borderId="59" xfId="0" applyFont="1" applyFill="1" applyBorder="1" applyAlignment="1">
      <alignment horizontal="center"/>
    </xf>
    <xf numFmtId="0" fontId="4" fillId="0" borderId="41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73" xfId="0" applyFont="1" applyFill="1" applyBorder="1" applyAlignment="1">
      <alignment horizontal="center" vertical="center"/>
    </xf>
    <xf numFmtId="0" fontId="3" fillId="0" borderId="103" xfId="0" applyFont="1" applyFill="1" applyBorder="1" applyAlignment="1">
      <alignment horizontal="center" vertical="center"/>
    </xf>
    <xf numFmtId="0" fontId="3" fillId="0" borderId="10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0" borderId="78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3" fillId="0" borderId="3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vertical="center"/>
    </xf>
    <xf numFmtId="0" fontId="3" fillId="0" borderId="76" xfId="0" applyFont="1" applyFill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3" fillId="0" borderId="54" xfId="0" applyFont="1" applyFill="1" applyBorder="1" applyAlignment="1">
      <alignment horizontal="center"/>
    </xf>
    <xf numFmtId="0" fontId="3" fillId="0" borderId="60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60" xfId="0" applyFont="1" applyBorder="1" applyAlignment="1">
      <alignment horizontal="center" vertical="center" textRotation="1"/>
    </xf>
    <xf numFmtId="0" fontId="3" fillId="0" borderId="75" xfId="0" applyFont="1" applyBorder="1" applyAlignment="1">
      <alignment horizontal="center" vertical="center" textRotation="1"/>
    </xf>
    <xf numFmtId="0" fontId="3" fillId="0" borderId="27" xfId="0" applyFont="1" applyBorder="1" applyAlignment="1">
      <alignment horizontal="center" vertical="center" textRotation="1"/>
    </xf>
    <xf numFmtId="0" fontId="3" fillId="0" borderId="56" xfId="0" applyFont="1" applyBorder="1" applyAlignment="1">
      <alignment horizontal="center" vertical="center" textRotation="1"/>
    </xf>
    <xf numFmtId="0" fontId="3" fillId="0" borderId="45" xfId="0" applyFont="1" applyFill="1" applyBorder="1" applyAlignment="1">
      <alignment horizontal="center"/>
    </xf>
    <xf numFmtId="0" fontId="3" fillId="0" borderId="60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56" xfId="0" applyBorder="1" applyAlignment="1">
      <alignment horizontal="center" vertical="center"/>
    </xf>
    <xf numFmtId="0" fontId="3" fillId="0" borderId="105" xfId="0" applyFont="1" applyFill="1" applyBorder="1" applyAlignment="1">
      <alignment horizontal="center"/>
    </xf>
    <xf numFmtId="0" fontId="3" fillId="0" borderId="103" xfId="0" applyFont="1" applyFill="1" applyBorder="1" applyAlignment="1">
      <alignment horizontal="center"/>
    </xf>
    <xf numFmtId="0" fontId="3" fillId="0" borderId="104" xfId="0" applyFont="1" applyFill="1" applyBorder="1" applyAlignment="1">
      <alignment horizontal="center"/>
    </xf>
    <xf numFmtId="0" fontId="9" fillId="0" borderId="55" xfId="0" applyFont="1" applyFill="1" applyBorder="1" applyAlignment="1">
      <alignment horizontal="center" vertical="center"/>
    </xf>
    <xf numFmtId="0" fontId="9" fillId="0" borderId="74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60" xfId="0" applyFont="1" applyFill="1" applyBorder="1" applyAlignment="1">
      <alignment horizontal="left" vertical="center" indent="1"/>
    </xf>
    <xf numFmtId="0" fontId="9" fillId="0" borderId="75" xfId="0" applyFont="1" applyFill="1" applyBorder="1" applyAlignment="1">
      <alignment horizontal="left" vertical="center" indent="1"/>
    </xf>
    <xf numFmtId="0" fontId="9" fillId="0" borderId="56" xfId="0" applyFont="1" applyFill="1" applyBorder="1" applyAlignment="1">
      <alignment horizontal="left" vertical="center" indent="1"/>
    </xf>
    <xf numFmtId="0" fontId="9" fillId="0" borderId="106" xfId="0" applyFont="1" applyFill="1" applyBorder="1" applyAlignment="1">
      <alignment horizontal="center" vertical="center"/>
    </xf>
    <xf numFmtId="0" fontId="9" fillId="0" borderId="83" xfId="0" applyFont="1" applyFill="1" applyBorder="1" applyAlignment="1">
      <alignment horizontal="center" vertical="center"/>
    </xf>
    <xf numFmtId="0" fontId="9" fillId="0" borderId="9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right" vertical="center" wrapText="1" indent="1"/>
    </xf>
    <xf numFmtId="0" fontId="9" fillId="0" borderId="34" xfId="0" applyFont="1" applyFill="1" applyBorder="1" applyAlignment="1">
      <alignment horizontal="right" vertical="center" wrapText="1" indent="1"/>
    </xf>
    <xf numFmtId="0" fontId="9" fillId="0" borderId="3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67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vertical="center" wrapText="1"/>
    </xf>
    <xf numFmtId="4" fontId="61" fillId="0" borderId="32" xfId="0" applyNumberFormat="1" applyFont="1" applyBorder="1" applyAlignment="1">
      <alignment horizontal="center" vertical="center" wrapText="1"/>
    </xf>
    <xf numFmtId="4" fontId="61" fillId="0" borderId="30" xfId="0" applyNumberFormat="1" applyFont="1" applyBorder="1" applyAlignment="1">
      <alignment horizontal="center" vertical="center" wrapText="1"/>
    </xf>
    <xf numFmtId="3" fontId="61" fillId="0" borderId="19" xfId="0" applyNumberFormat="1" applyFont="1" applyFill="1" applyBorder="1" applyAlignment="1">
      <alignment horizontal="center" vertical="center" wrapText="1"/>
    </xf>
    <xf numFmtId="3" fontId="61" fillId="0" borderId="24" xfId="0" applyNumberFormat="1" applyFont="1" applyFill="1" applyBorder="1" applyAlignment="1">
      <alignment horizontal="center" vertical="center" wrapText="1"/>
    </xf>
    <xf numFmtId="3" fontId="61" fillId="0" borderId="19" xfId="0" applyNumberFormat="1" applyFont="1" applyBorder="1" applyAlignment="1">
      <alignment horizontal="left" vertical="center" textRotation="1" wrapText="1"/>
    </xf>
    <xf numFmtId="3" fontId="61" fillId="0" borderId="45" xfId="0" applyNumberFormat="1" applyFont="1" applyBorder="1" applyAlignment="1">
      <alignment horizontal="left" vertical="center" textRotation="1" wrapText="1"/>
    </xf>
    <xf numFmtId="3" fontId="61" fillId="0" borderId="20" xfId="0" applyNumberFormat="1" applyFont="1" applyBorder="1" applyAlignment="1">
      <alignment horizontal="left" vertical="center" textRotation="1" wrapText="1"/>
    </xf>
    <xf numFmtId="3" fontId="45" fillId="0" borderId="0" xfId="0" applyNumberFormat="1" applyFont="1" applyFill="1" applyBorder="1" applyAlignment="1">
      <alignment horizontal="center" vertical="center" wrapText="1"/>
    </xf>
    <xf numFmtId="3" fontId="72" fillId="0" borderId="0" xfId="0" applyNumberFormat="1" applyFont="1" applyFill="1" applyBorder="1" applyAlignment="1">
      <alignment horizontal="center" vertical="center" wrapText="1"/>
    </xf>
    <xf numFmtId="167" fontId="61" fillId="0" borderId="31" xfId="0" applyNumberFormat="1" applyFont="1" applyBorder="1" applyAlignment="1">
      <alignment horizontal="center" vertical="center" textRotation="90" wrapText="1"/>
    </xf>
    <xf numFmtId="167" fontId="61" fillId="0" borderId="33" xfId="0" applyNumberFormat="1" applyFont="1" applyBorder="1" applyAlignment="1">
      <alignment horizontal="center" vertical="center" textRotation="90" wrapText="1"/>
    </xf>
    <xf numFmtId="4" fontId="61" fillId="0" borderId="45" xfId="0" applyNumberFormat="1" applyFont="1" applyBorder="1" applyAlignment="1">
      <alignment horizontal="center" vertical="center" textRotation="90" wrapText="1"/>
    </xf>
    <xf numFmtId="4" fontId="61" fillId="0" borderId="49" xfId="0" applyNumberFormat="1" applyFont="1" applyBorder="1" applyAlignment="1">
      <alignment horizontal="center" vertical="center" textRotation="90" wrapText="1"/>
    </xf>
    <xf numFmtId="167" fontId="61" fillId="0" borderId="45" xfId="0" applyNumberFormat="1" applyFont="1" applyBorder="1" applyAlignment="1">
      <alignment horizontal="center" vertical="center" textRotation="90" wrapText="1"/>
    </xf>
    <xf numFmtId="167" fontId="61" fillId="0" borderId="49" xfId="0" applyNumberFormat="1" applyFont="1" applyBorder="1" applyAlignment="1">
      <alignment horizontal="center" vertical="center" textRotation="90" wrapText="1"/>
    </xf>
    <xf numFmtId="4" fontId="61" fillId="0" borderId="20" xfId="0" applyNumberFormat="1" applyFont="1" applyBorder="1" applyAlignment="1">
      <alignment horizontal="center" vertical="center" textRotation="90" wrapText="1"/>
    </xf>
    <xf numFmtId="4" fontId="61" fillId="0" borderId="25" xfId="0" applyNumberFormat="1" applyFont="1" applyBorder="1" applyAlignment="1">
      <alignment horizontal="center" vertical="center" textRotation="90" wrapText="1"/>
    </xf>
    <xf numFmtId="167" fontId="61" fillId="0" borderId="32" xfId="0" applyNumberFormat="1" applyFont="1" applyFill="1" applyBorder="1" applyAlignment="1">
      <alignment horizontal="center" vertical="center" wrapText="1"/>
    </xf>
    <xf numFmtId="167" fontId="61" fillId="0" borderId="30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3" fontId="45" fillId="0" borderId="12" xfId="81" applyNumberFormat="1" applyFont="1" applyFill="1" applyBorder="1" applyAlignment="1">
      <alignment horizontal="center" vertical="center" wrapText="1"/>
    </xf>
    <xf numFmtId="3" fontId="44" fillId="0" borderId="74" xfId="81" applyNumberFormat="1" applyFont="1" applyFill="1" applyBorder="1" applyAlignment="1">
      <alignment horizontal="left" vertical="center" wrapText="1"/>
    </xf>
    <xf numFmtId="0" fontId="57" fillId="0" borderId="0" xfId="81" applyFont="1" applyFill="1" applyBorder="1" applyAlignment="1">
      <alignment horizontal="center" vertical="center" wrapText="1"/>
    </xf>
    <xf numFmtId="0" fontId="89" fillId="0" borderId="74" xfId="81" applyFont="1" applyFill="1" applyBorder="1" applyAlignment="1">
      <alignment horizontal="left" vertical="center" wrapText="1"/>
    </xf>
    <xf numFmtId="3" fontId="45" fillId="0" borderId="0" xfId="81" applyNumberFormat="1" applyFont="1" applyFill="1" applyBorder="1" applyAlignment="1">
      <alignment horizontal="center" vertical="center" wrapText="1"/>
    </xf>
    <xf numFmtId="0" fontId="90" fillId="0" borderId="12" xfId="0" applyFont="1" applyBorder="1" applyAlignment="1">
      <alignment horizontal="center" vertical="center" wrapText="1"/>
    </xf>
    <xf numFmtId="0" fontId="45" fillId="0" borderId="12" xfId="0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77" fillId="0" borderId="19" xfId="0" applyFont="1" applyBorder="1" applyAlignment="1">
      <alignment horizontal="center" vertical="center" wrapText="1"/>
    </xf>
    <xf numFmtId="0" fontId="77" fillId="0" borderId="20" xfId="0" applyFont="1" applyBorder="1" applyAlignment="1">
      <alignment horizontal="center" vertical="center" wrapText="1"/>
    </xf>
    <xf numFmtId="3" fontId="45" fillId="0" borderId="0" xfId="78" applyNumberFormat="1" applyFont="1" applyFill="1" applyBorder="1" applyAlignment="1">
      <alignment horizontal="center" vertical="center" wrapText="1"/>
    </xf>
    <xf numFmtId="3" fontId="72" fillId="0" borderId="0" xfId="78" applyNumberFormat="1" applyFont="1" applyFill="1" applyBorder="1" applyAlignment="1">
      <alignment horizontal="center" vertical="center" wrapText="1"/>
    </xf>
    <xf numFmtId="3" fontId="82" fillId="0" borderId="73" xfId="78" applyNumberFormat="1" applyFont="1" applyFill="1" applyBorder="1" applyAlignment="1">
      <alignment horizontal="center" vertical="center" wrapText="1"/>
    </xf>
    <xf numFmtId="3" fontId="82" fillId="0" borderId="103" xfId="78" applyNumberFormat="1" applyFont="1" applyFill="1" applyBorder="1" applyAlignment="1">
      <alignment horizontal="center" vertical="center" wrapText="1"/>
    </xf>
    <xf numFmtId="3" fontId="82" fillId="0" borderId="78" xfId="78" applyNumberFormat="1" applyFont="1" applyFill="1" applyBorder="1" applyAlignment="1">
      <alignment horizontal="center" vertical="center" wrapText="1"/>
    </xf>
    <xf numFmtId="3" fontId="82" fillId="0" borderId="104" xfId="78" applyNumberFormat="1" applyFont="1" applyFill="1" applyBorder="1" applyAlignment="1">
      <alignment horizontal="center" vertical="center" wrapText="1"/>
    </xf>
    <xf numFmtId="3" fontId="82" fillId="0" borderId="59" xfId="85" applyNumberFormat="1" applyFont="1" applyFill="1" applyBorder="1" applyAlignment="1">
      <alignment horizontal="center" vertical="center" wrapText="1"/>
    </xf>
    <xf numFmtId="3" fontId="82" fillId="0" borderId="41" xfId="85" applyNumberFormat="1" applyFont="1" applyFill="1" applyBorder="1" applyAlignment="1">
      <alignment horizontal="center" vertical="center" wrapText="1"/>
    </xf>
    <xf numFmtId="3" fontId="45" fillId="0" borderId="0" xfId="85" applyNumberFormat="1" applyFont="1" applyFill="1" applyBorder="1" applyAlignment="1">
      <alignment horizontal="center" vertical="center" wrapText="1"/>
    </xf>
    <xf numFmtId="3" fontId="72" fillId="0" borderId="12" xfId="85" applyNumberFormat="1" applyFont="1" applyFill="1" applyBorder="1" applyAlignment="1">
      <alignment horizontal="center" vertical="center" wrapText="1"/>
    </xf>
    <xf numFmtId="3" fontId="82" fillId="0" borderId="55" xfId="85" applyNumberFormat="1" applyFont="1" applyFill="1" applyBorder="1" applyAlignment="1">
      <alignment horizontal="center" vertical="center" wrapText="1"/>
    </xf>
    <xf numFmtId="3" fontId="82" fillId="0" borderId="74" xfId="85" applyNumberFormat="1" applyFont="1" applyFill="1" applyBorder="1" applyAlignment="1">
      <alignment horizontal="center" vertical="center" wrapText="1"/>
    </xf>
    <xf numFmtId="3" fontId="82" fillId="0" borderId="61" xfId="85" applyNumberFormat="1" applyFont="1" applyFill="1" applyBorder="1" applyAlignment="1">
      <alignment horizontal="center" vertical="center" wrapText="1"/>
    </xf>
    <xf numFmtId="3" fontId="80" fillId="0" borderId="105" xfId="78" applyNumberFormat="1" applyFont="1" applyFill="1" applyBorder="1" applyAlignment="1">
      <alignment horizontal="justify" vertical="top" wrapText="1"/>
    </xf>
    <xf numFmtId="3" fontId="80" fillId="0" borderId="57" xfId="78" applyNumberFormat="1" applyFont="1" applyFill="1" applyBorder="1" applyAlignment="1">
      <alignment horizontal="justify" vertical="top" wrapText="1"/>
    </xf>
    <xf numFmtId="3" fontId="80" fillId="0" borderId="107" xfId="78" applyNumberFormat="1" applyFont="1" applyFill="1" applyBorder="1" applyAlignment="1">
      <alignment horizontal="justify" vertical="top" wrapText="1"/>
    </xf>
    <xf numFmtId="3" fontId="80" fillId="0" borderId="93" xfId="78" applyNumberFormat="1" applyFont="1" applyFill="1" applyBorder="1" applyAlignment="1">
      <alignment horizontal="left" vertical="top" wrapText="1"/>
    </xf>
    <xf numFmtId="3" fontId="80" fillId="0" borderId="0" xfId="78" applyNumberFormat="1" applyFont="1" applyFill="1" applyBorder="1" applyAlignment="1">
      <alignment horizontal="left" vertical="top" wrapText="1"/>
    </xf>
    <xf numFmtId="3" fontId="80" fillId="0" borderId="108" xfId="78" applyNumberFormat="1" applyFont="1" applyFill="1" applyBorder="1" applyAlignment="1">
      <alignment horizontal="left" vertical="top" wrapText="1"/>
    </xf>
    <xf numFmtId="3" fontId="80" fillId="0" borderId="79" xfId="78" applyNumberFormat="1" applyFont="1" applyFill="1" applyBorder="1" applyAlignment="1">
      <alignment horizontal="center" vertical="center" wrapText="1"/>
    </xf>
    <xf numFmtId="3" fontId="45" fillId="0" borderId="12" xfId="78" applyNumberFormat="1" applyFont="1" applyFill="1" applyBorder="1" applyAlignment="1">
      <alignment horizontal="center" vertical="center" wrapText="1"/>
    </xf>
    <xf numFmtId="3" fontId="72" fillId="0" borderId="12" xfId="78" applyNumberFormat="1" applyFont="1" applyFill="1" applyBorder="1" applyAlignment="1">
      <alignment horizontal="center" vertical="center" wrapText="1"/>
    </xf>
    <xf numFmtId="3" fontId="80" fillId="0" borderId="103" xfId="78" applyNumberFormat="1" applyFont="1" applyFill="1" applyBorder="1" applyAlignment="1">
      <alignment horizontal="left" vertical="top" wrapText="1"/>
    </xf>
    <xf numFmtId="3" fontId="80" fillId="0" borderId="53" xfId="78" applyNumberFormat="1" applyFont="1" applyFill="1" applyBorder="1" applyAlignment="1">
      <alignment horizontal="left" vertical="top" wrapText="1"/>
    </xf>
    <xf numFmtId="3" fontId="80" fillId="0" borderId="52" xfId="78" applyNumberFormat="1" applyFont="1" applyFill="1" applyBorder="1" applyAlignment="1">
      <alignment horizontal="left" vertical="top" wrapText="1"/>
    </xf>
    <xf numFmtId="3" fontId="80" fillId="0" borderId="39" xfId="78" applyNumberFormat="1" applyFont="1" applyFill="1" applyBorder="1" applyAlignment="1">
      <alignment horizontal="left" vertical="center" wrapText="1"/>
    </xf>
    <xf numFmtId="3" fontId="80" fillId="0" borderId="15" xfId="78" applyNumberFormat="1" applyFont="1" applyFill="1" applyBorder="1" applyAlignment="1">
      <alignment horizontal="left" vertical="center" wrapText="1"/>
    </xf>
    <xf numFmtId="3" fontId="80" fillId="0" borderId="44" xfId="78" applyNumberFormat="1" applyFont="1" applyFill="1" applyBorder="1" applyAlignment="1">
      <alignment horizontal="left" vertical="top" wrapText="1"/>
    </xf>
    <xf numFmtId="3" fontId="80" fillId="0" borderId="109" xfId="78" applyNumberFormat="1" applyFont="1" applyFill="1" applyBorder="1" applyAlignment="1">
      <alignment horizontal="left" vertical="top" wrapText="1"/>
    </xf>
    <xf numFmtId="3" fontId="80" fillId="0" borderId="110" xfId="78" applyNumberFormat="1" applyFont="1" applyFill="1" applyBorder="1" applyAlignment="1">
      <alignment horizontal="left" vertical="top" wrapText="1"/>
    </xf>
    <xf numFmtId="3" fontId="80" fillId="0" borderId="57" xfId="78" applyNumberFormat="1" applyFont="1" applyFill="1" applyBorder="1" applyAlignment="1">
      <alignment horizontal="left" vertical="top" wrapText="1"/>
    </xf>
    <xf numFmtId="3" fontId="80" fillId="0" borderId="107" xfId="78" applyNumberFormat="1" applyFont="1" applyFill="1" applyBorder="1" applyAlignment="1">
      <alignment horizontal="left" vertical="top" wrapText="1"/>
    </xf>
    <xf numFmtId="3" fontId="80" fillId="0" borderId="110" xfId="78" applyNumberFormat="1" applyFont="1" applyFill="1" applyBorder="1" applyAlignment="1">
      <alignment horizontal="center" vertical="center" wrapText="1"/>
    </xf>
    <xf numFmtId="3" fontId="80" fillId="0" borderId="57" xfId="78" applyNumberFormat="1" applyFont="1" applyFill="1" applyBorder="1" applyAlignment="1">
      <alignment horizontal="center" vertical="center" wrapText="1"/>
    </xf>
    <xf numFmtId="3" fontId="80" fillId="0" borderId="62" xfId="78" applyNumberFormat="1" applyFont="1" applyFill="1" applyBorder="1" applyAlignment="1">
      <alignment horizontal="center" vertical="center" wrapText="1"/>
    </xf>
    <xf numFmtId="3" fontId="80" fillId="0" borderId="73" xfId="78" applyNumberFormat="1" applyFont="1" applyFill="1" applyBorder="1" applyAlignment="1">
      <alignment horizontal="center" vertical="center" wrapText="1"/>
    </xf>
    <xf numFmtId="3" fontId="80" fillId="0" borderId="76" xfId="78" applyNumberFormat="1" applyFont="1" applyFill="1" applyBorder="1" applyAlignment="1">
      <alignment horizontal="center" vertical="center" wrapText="1"/>
    </xf>
    <xf numFmtId="3" fontId="80" fillId="0" borderId="72" xfId="78" applyNumberFormat="1" applyFont="1" applyFill="1" applyBorder="1" applyAlignment="1">
      <alignment horizontal="left" vertical="center" wrapText="1"/>
    </xf>
    <xf numFmtId="3" fontId="80" fillId="0" borderId="62" xfId="78" applyNumberFormat="1" applyFont="1" applyFill="1" applyBorder="1" applyAlignment="1">
      <alignment horizontal="left" vertical="center" wrapText="1"/>
    </xf>
    <xf numFmtId="3" fontId="80" fillId="0" borderId="68" xfId="78" applyNumberFormat="1" applyFont="1" applyFill="1" applyBorder="1" applyAlignment="1">
      <alignment horizontal="left" vertical="center" wrapText="1"/>
    </xf>
    <xf numFmtId="3" fontId="80" fillId="0" borderId="64" xfId="78" applyNumberFormat="1" applyFont="1" applyFill="1" applyBorder="1" applyAlignment="1">
      <alignment horizontal="left" vertical="center" wrapText="1"/>
    </xf>
    <xf numFmtId="3" fontId="82" fillId="0" borderId="41" xfId="86" applyNumberFormat="1" applyFont="1" applyFill="1" applyBorder="1" applyAlignment="1">
      <alignment horizontal="center" vertical="center" wrapText="1"/>
    </xf>
    <xf numFmtId="3" fontId="82" fillId="0" borderId="28" xfId="86" applyNumberFormat="1" applyFont="1" applyFill="1" applyBorder="1" applyAlignment="1">
      <alignment horizontal="center" vertical="center" wrapText="1"/>
    </xf>
    <xf numFmtId="3" fontId="82" fillId="0" borderId="59" xfId="86" applyNumberFormat="1" applyFont="1" applyFill="1" applyBorder="1" applyAlignment="1">
      <alignment horizontal="center" vertical="center" wrapText="1"/>
    </xf>
    <xf numFmtId="3" fontId="82" fillId="0" borderId="37" xfId="86" applyNumberFormat="1" applyFont="1" applyFill="1" applyBorder="1" applyAlignment="1">
      <alignment horizontal="center" vertical="center" wrapText="1"/>
    </xf>
    <xf numFmtId="3" fontId="82" fillId="0" borderId="50" xfId="86" applyNumberFormat="1" applyFont="1" applyFill="1" applyBorder="1" applyAlignment="1">
      <alignment horizontal="center" vertical="center" wrapText="1"/>
    </xf>
    <xf numFmtId="3" fontId="82" fillId="0" borderId="29" xfId="86" applyNumberFormat="1" applyFont="1" applyFill="1" applyBorder="1" applyAlignment="1">
      <alignment horizontal="center" vertical="center" wrapText="1"/>
    </xf>
    <xf numFmtId="3" fontId="45" fillId="0" borderId="12" xfId="86" applyNumberFormat="1" applyFont="1" applyFill="1" applyBorder="1" applyAlignment="1">
      <alignment horizontal="center" vertical="center" wrapText="1"/>
    </xf>
    <xf numFmtId="3" fontId="72" fillId="0" borderId="12" xfId="86" applyNumberFormat="1" applyFont="1" applyFill="1" applyBorder="1" applyAlignment="1">
      <alignment horizontal="center" vertical="center" wrapText="1"/>
    </xf>
    <xf numFmtId="3" fontId="82" fillId="0" borderId="32" xfId="86" applyNumberFormat="1" applyFont="1" applyFill="1" applyBorder="1" applyAlignment="1">
      <alignment horizontal="center" vertical="center" wrapText="1"/>
    </xf>
    <xf numFmtId="3" fontId="82" fillId="0" borderId="30" xfId="86" applyNumberFormat="1" applyFont="1" applyFill="1" applyBorder="1" applyAlignment="1">
      <alignment horizontal="center" vertical="center" wrapText="1"/>
    </xf>
    <xf numFmtId="3" fontId="82" fillId="0" borderId="42" xfId="86" applyNumberFormat="1" applyFont="1" applyFill="1" applyBorder="1" applyAlignment="1">
      <alignment horizontal="center" vertical="center" wrapText="1"/>
    </xf>
    <xf numFmtId="3" fontId="82" fillId="0" borderId="48" xfId="86" applyNumberFormat="1" applyFont="1" applyFill="1" applyBorder="1" applyAlignment="1">
      <alignment horizontal="center" vertical="center" wrapText="1"/>
    </xf>
    <xf numFmtId="3" fontId="45" fillId="0" borderId="59" xfId="78" applyNumberFormat="1" applyFont="1" applyFill="1" applyBorder="1" applyAlignment="1">
      <alignment horizontal="center" vertical="center" wrapText="1"/>
    </xf>
    <xf numFmtId="3" fontId="72" fillId="0" borderId="41" xfId="78" applyNumberFormat="1" applyFont="1" applyFill="1" applyBorder="1" applyAlignment="1">
      <alignment horizontal="center" vertical="center" wrapText="1"/>
    </xf>
    <xf numFmtId="3" fontId="72" fillId="0" borderId="28" xfId="78" applyNumberFormat="1" applyFont="1" applyFill="1" applyBorder="1" applyAlignment="1">
      <alignment horizontal="center" vertical="center" wrapText="1"/>
    </xf>
    <xf numFmtId="3" fontId="73" fillId="0" borderId="0" xfId="80" applyNumberFormat="1" applyFont="1" applyFill="1" applyBorder="1" applyAlignment="1">
      <alignment horizontal="center" vertical="center" wrapText="1"/>
    </xf>
    <xf numFmtId="3" fontId="45" fillId="0" borderId="12" xfId="80" applyNumberFormat="1" applyFont="1" applyFill="1" applyBorder="1" applyAlignment="1">
      <alignment horizontal="center" vertical="center" wrapText="1"/>
    </xf>
    <xf numFmtId="3" fontId="72" fillId="0" borderId="12" xfId="80" applyNumberFormat="1" applyFont="1" applyFill="1" applyBorder="1" applyAlignment="1">
      <alignment horizontal="center" vertical="center" wrapText="1"/>
    </xf>
    <xf numFmtId="3" fontId="45" fillId="0" borderId="0" xfId="83" applyNumberFormat="1" applyFont="1" applyFill="1" applyBorder="1" applyAlignment="1">
      <alignment horizontal="center" vertical="center" wrapText="1"/>
    </xf>
    <xf numFmtId="3" fontId="72" fillId="0" borderId="0" xfId="83" applyNumberFormat="1" applyFont="1" applyFill="1" applyBorder="1" applyAlignment="1">
      <alignment horizontal="center" vertical="center" wrapText="1"/>
    </xf>
    <xf numFmtId="0" fontId="82" fillId="0" borderId="51" xfId="77" applyFont="1" applyFill="1" applyBorder="1" applyAlignment="1">
      <alignment horizontal="center" vertical="center" wrapText="1"/>
    </xf>
    <xf numFmtId="0" fontId="82" fillId="0" borderId="50" xfId="77" applyFont="1" applyFill="1" applyBorder="1" applyAlignment="1">
      <alignment horizontal="center" vertical="center" wrapText="1"/>
    </xf>
    <xf numFmtId="0" fontId="82" fillId="0" borderId="29" xfId="77" applyFont="1" applyFill="1" applyBorder="1" applyAlignment="1">
      <alignment horizontal="center" vertical="center" wrapText="1"/>
    </xf>
    <xf numFmtId="0" fontId="87" fillId="0" borderId="0" xfId="0" applyFont="1" applyFill="1" applyBorder="1"/>
    <xf numFmtId="0" fontId="93" fillId="0" borderId="0" xfId="0" applyFont="1" applyFill="1" applyBorder="1" applyAlignment="1"/>
    <xf numFmtId="0" fontId="1" fillId="0" borderId="0" xfId="0" applyFont="1" applyFill="1" applyBorder="1"/>
    <xf numFmtId="3" fontId="82" fillId="0" borderId="60" xfId="83" applyNumberFormat="1" applyFont="1" applyFill="1" applyBorder="1" applyAlignment="1">
      <alignment horizontal="center" vertical="center" wrapText="1"/>
    </xf>
    <xf numFmtId="3" fontId="82" fillId="0" borderId="56" xfId="83" applyNumberFormat="1" applyFont="1" applyFill="1" applyBorder="1" applyAlignment="1">
      <alignment horizontal="center" vertical="center" wrapText="1"/>
    </xf>
  </cellXfs>
  <cellStyles count="143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2" xfId="38"/>
    <cellStyle name="60% - Accent3" xfId="39"/>
    <cellStyle name="60% - Accent4" xfId="40"/>
    <cellStyle name="60% - Accent5" xfId="41"/>
    <cellStyle name="60% - Accent6" xfId="42"/>
    <cellStyle name="Accent1" xfId="43"/>
    <cellStyle name="Accent2" xfId="44"/>
    <cellStyle name="Accent3" xfId="45"/>
    <cellStyle name="Accent4" xfId="46"/>
    <cellStyle name="Accent5" xfId="47"/>
    <cellStyle name="Accent6" xfId="48"/>
    <cellStyle name="Bad" xfId="49"/>
    <cellStyle name="Calculation" xfId="50"/>
    <cellStyle name="Čiarka" xfId="51" builtinId="3"/>
    <cellStyle name="Čiarka 2" xfId="52"/>
    <cellStyle name="čiarky 2" xfId="53"/>
    <cellStyle name="čiarky 3" xfId="54"/>
    <cellStyle name="čiarky 3 2" xfId="55"/>
    <cellStyle name="čiarky 3 3" xfId="56"/>
    <cellStyle name="Explanatory Text" xfId="57"/>
    <cellStyle name="Good" xfId="58"/>
    <cellStyle name="Heading 1" xfId="59"/>
    <cellStyle name="Heading 2" xfId="60"/>
    <cellStyle name="Heading 3" xfId="61"/>
    <cellStyle name="Heading 4" xfId="62"/>
    <cellStyle name="Check Cell" xfId="63"/>
    <cellStyle name="Input" xfId="64"/>
    <cellStyle name="Linked Cell" xfId="65"/>
    <cellStyle name="Neutral" xfId="66"/>
    <cellStyle name="Normálna" xfId="0" builtinId="0"/>
    <cellStyle name="Normálna 2" xfId="67"/>
    <cellStyle name="Normálna 2 2" xfId="68"/>
    <cellStyle name="Normálna 2 3" xfId="69"/>
    <cellStyle name="Normálna 3" xfId="70"/>
    <cellStyle name="Normálna 4" xfId="71"/>
    <cellStyle name="normálne 2" xfId="72"/>
    <cellStyle name="normálne 2 2" xfId="73"/>
    <cellStyle name="normálne 2 2 2" xfId="74"/>
    <cellStyle name="normálne 3" xfId="75"/>
    <cellStyle name="normálne 3 2" xfId="76"/>
    <cellStyle name="normálne 4" xfId="77"/>
    <cellStyle name="normálne_Databazy_VVŠ_2006_ severská" xfId="78"/>
    <cellStyle name="normálne_Databazy_VVŠ_2006_ severská 2" xfId="79"/>
    <cellStyle name="normálne_Databazy_VVŠ_2007_ severská" xfId="80"/>
    <cellStyle name="normálne_OVT - Tab_16az23_sprava_VVS_2004" xfId="81"/>
    <cellStyle name="normálne_správa_2005_tabuľky_v7_hodnoty 2" xfId="82"/>
    <cellStyle name="normálne_sprava_VVŠ_2004_tabuľky_vláda" xfId="83"/>
    <cellStyle name="normálne_sprava_VVŠ_2004_tabuľky_vláda 2" xfId="84"/>
    <cellStyle name="normálne_Viest 2" xfId="85"/>
    <cellStyle name="normálne_Výročná_správa_o_VŠ_2005_financie_databazy_po_kontrole_OFVŠ_PM" xfId="86"/>
    <cellStyle name="normální_List1" xfId="87"/>
    <cellStyle name="Note" xfId="88"/>
    <cellStyle name="Output" xfId="89"/>
    <cellStyle name="Percentá" xfId="90" builtinId="5"/>
    <cellStyle name="percentá 2" xfId="91"/>
    <cellStyle name="percentá 2 2" xfId="92"/>
    <cellStyle name="percentá 2 3" xfId="93"/>
    <cellStyle name="Percentá 3" xfId="94"/>
    <cellStyle name="Percentá 4" xfId="95"/>
    <cellStyle name="Percentá 5" xfId="96"/>
    <cellStyle name="Percentá 6" xfId="97"/>
    <cellStyle name="SAPBEXaggData" xfId="98"/>
    <cellStyle name="SAPBEXaggDataEmph" xfId="99"/>
    <cellStyle name="SAPBEXaggItem" xfId="100"/>
    <cellStyle name="SAPBEXaggItemX" xfId="101"/>
    <cellStyle name="SAPBEXexcBad7" xfId="102"/>
    <cellStyle name="SAPBEXexcBad8" xfId="103"/>
    <cellStyle name="SAPBEXexcBad9" xfId="104"/>
    <cellStyle name="SAPBEXexcCritical4" xfId="105"/>
    <cellStyle name="SAPBEXexcCritical5" xfId="106"/>
    <cellStyle name="SAPBEXexcCritical6" xfId="107"/>
    <cellStyle name="SAPBEXexcGood1" xfId="108"/>
    <cellStyle name="SAPBEXexcGood2" xfId="109"/>
    <cellStyle name="SAPBEXexcGood3" xfId="110"/>
    <cellStyle name="SAPBEXfilterDrill" xfId="111"/>
    <cellStyle name="SAPBEXfilterItem" xfId="112"/>
    <cellStyle name="SAPBEXfilterText" xfId="113"/>
    <cellStyle name="SAPBEXformats" xfId="114"/>
    <cellStyle name="SAPBEXheaderItem" xfId="115"/>
    <cellStyle name="SAPBEXheaderText" xfId="116"/>
    <cellStyle name="SAPBEXHLevel0" xfId="117"/>
    <cellStyle name="SAPBEXHLevel0X" xfId="118"/>
    <cellStyle name="SAPBEXHLevel1" xfId="119"/>
    <cellStyle name="SAPBEXHLevel1X" xfId="120"/>
    <cellStyle name="SAPBEXHLevel2" xfId="121"/>
    <cellStyle name="SAPBEXHLevel2X" xfId="122"/>
    <cellStyle name="SAPBEXHLevel3" xfId="123"/>
    <cellStyle name="SAPBEXHLevel3X" xfId="124"/>
    <cellStyle name="SAPBEXchaText" xfId="125"/>
    <cellStyle name="SAPBEXresData" xfId="126"/>
    <cellStyle name="SAPBEXresDataEmph" xfId="127"/>
    <cellStyle name="SAPBEXresItem" xfId="128"/>
    <cellStyle name="SAPBEXresItemX" xfId="129"/>
    <cellStyle name="SAPBEXstdData" xfId="130"/>
    <cellStyle name="SAPBEXstdDataEmph" xfId="131"/>
    <cellStyle name="SAPBEXstdItem" xfId="132"/>
    <cellStyle name="SAPBEXstdItemX" xfId="133"/>
    <cellStyle name="SAPBEXtitle" xfId="134"/>
    <cellStyle name="SAPBEXundefined" xfId="135"/>
    <cellStyle name="Štýl 1" xfId="136"/>
    <cellStyle name="Štýl 2" xfId="137"/>
    <cellStyle name="Title" xfId="138"/>
    <cellStyle name="Total" xfId="139"/>
    <cellStyle name="Total 2" xfId="140"/>
    <cellStyle name="Total 3" xfId="141"/>
    <cellStyle name="Warning Text" xfId="142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31.888817930237298</c:v>
              </c:pt>
              <c:pt idx="2">
                <c:v>27.4359091323782</c:v>
              </c:pt>
              <c:pt idx="3">
                <c:v>2.4184228932882998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31.888817930237298</c:v>
              </c:pt>
              <c:pt idx="2">
                <c:v>27.4359091323782</c:v>
              </c:pt>
              <c:pt idx="3">
                <c:v>2.4184228932882998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31.888817930237298</c:v>
              </c:pt>
              <c:pt idx="2">
                <c:v>27.4359091323782</c:v>
              </c:pt>
              <c:pt idx="3">
                <c:v>2.4184228932882998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27.435909132378399</c:v>
              </c:pt>
              <c:pt idx="3">
                <c:v>2.4184228932883198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27.435909132378399</c:v>
              </c:pt>
              <c:pt idx="3">
                <c:v>2.4184228932883198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27.435909132378399</c:v>
              </c:pt>
              <c:pt idx="3">
                <c:v>2.4184228932883198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27.435909132378399</c:v>
              </c:pt>
              <c:pt idx="3">
                <c:v>2.4184228932883198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31.888817930237401</c:v>
              </c:pt>
              <c:pt idx="2">
                <c:v>27.435909132378299</c:v>
              </c:pt>
              <c:pt idx="3">
                <c:v>2.4184228932883101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Hlavný nadpis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</c:v>
              </c:pt>
              <c:pt idx="1">
                <c:v>31.888817930237298</c:v>
              </c:pt>
              <c:pt idx="2">
                <c:v>27.4359091323782</c:v>
              </c:pt>
              <c:pt idx="3">
                <c:v>2.4184228932882998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1367436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1367436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1367437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1367437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1367437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1367437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1367437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1367437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1367437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1367437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13674378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1367437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1367438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1367438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1367438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3</xdr:col>
      <xdr:colOff>47625</xdr:colOff>
      <xdr:row>4</xdr:row>
      <xdr:rowOff>0</xdr:rowOff>
    </xdr:to>
    <xdr:graphicFrame macro="">
      <xdr:nvGraphicFramePr>
        <xdr:cNvPr id="1367438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3</xdr:col>
      <xdr:colOff>47625</xdr:colOff>
      <xdr:row>2</xdr:row>
      <xdr:rowOff>0</xdr:rowOff>
    </xdr:to>
    <xdr:graphicFrame macro="">
      <xdr:nvGraphicFramePr>
        <xdr:cNvPr id="1367438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3</xdr:col>
      <xdr:colOff>47625</xdr:colOff>
      <xdr:row>2</xdr:row>
      <xdr:rowOff>0</xdr:rowOff>
    </xdr:to>
    <xdr:graphicFrame macro="">
      <xdr:nvGraphicFramePr>
        <xdr:cNvPr id="1367438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3</xdr:col>
      <xdr:colOff>47625</xdr:colOff>
      <xdr:row>2</xdr:row>
      <xdr:rowOff>0</xdr:rowOff>
    </xdr:to>
    <xdr:graphicFrame macro="">
      <xdr:nvGraphicFramePr>
        <xdr:cNvPr id="1367438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3</xdr:col>
      <xdr:colOff>47625</xdr:colOff>
      <xdr:row>2</xdr:row>
      <xdr:rowOff>0</xdr:rowOff>
    </xdr:to>
    <xdr:graphicFrame macro="">
      <xdr:nvGraphicFramePr>
        <xdr:cNvPr id="1367438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3</xdr:col>
      <xdr:colOff>47625</xdr:colOff>
      <xdr:row>2</xdr:row>
      <xdr:rowOff>0</xdr:rowOff>
    </xdr:to>
    <xdr:graphicFrame macro="">
      <xdr:nvGraphicFramePr>
        <xdr:cNvPr id="1367438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3</xdr:col>
      <xdr:colOff>47625</xdr:colOff>
      <xdr:row>2</xdr:row>
      <xdr:rowOff>0</xdr:rowOff>
    </xdr:to>
    <xdr:graphicFrame macro="">
      <xdr:nvGraphicFramePr>
        <xdr:cNvPr id="1367438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3</xdr:col>
      <xdr:colOff>47625</xdr:colOff>
      <xdr:row>2</xdr:row>
      <xdr:rowOff>0</xdr:rowOff>
    </xdr:to>
    <xdr:graphicFrame macro="">
      <xdr:nvGraphicFramePr>
        <xdr:cNvPr id="1367439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3</xdr:col>
      <xdr:colOff>47625</xdr:colOff>
      <xdr:row>2</xdr:row>
      <xdr:rowOff>0</xdr:rowOff>
    </xdr:to>
    <xdr:graphicFrame macro="">
      <xdr:nvGraphicFramePr>
        <xdr:cNvPr id="1367439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1367439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1367439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1367439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1367439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1367439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1367439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1367439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1367439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hena11\zd_adr_sfr\Documents%20and%20Settings\mederly\Local%20Settings\Temporary%20Internet%20Files\OLK185F\struktura%20zamestnancov%20po%20fakultach_PM%2004-12-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y"/>
      <sheetName val="struktura profesorov"/>
      <sheetName val="struktura docentov"/>
      <sheetName val="T7-systemizacia po fakultach"/>
      <sheetName val="T8-vek profesorov"/>
      <sheetName val="T9-vek docentov"/>
      <sheetName val="10-ostatní_s_PhD"/>
      <sheetName val="studetni verzus miesta"/>
      <sheetName val="vahy"/>
      <sheetName val="nepublikova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>
        <row r="1">
          <cell r="B1">
            <v>1</v>
          </cell>
        </row>
        <row r="2">
          <cell r="B2">
            <v>0.3</v>
          </cell>
        </row>
        <row r="3">
          <cell r="B3">
            <v>3</v>
          </cell>
        </row>
        <row r="4">
          <cell r="B4">
            <v>0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A20"/>
  <sheetViews>
    <sheetView tabSelected="1" zoomScaleNormal="100" workbookViewId="0">
      <selection activeCell="A35" sqref="A35"/>
    </sheetView>
  </sheetViews>
  <sheetFormatPr defaultRowHeight="15" x14ac:dyDescent="0.25"/>
  <cols>
    <col min="1" max="1" width="81.5703125" customWidth="1"/>
  </cols>
  <sheetData>
    <row r="14" spans="1:1" ht="23.25" x14ac:dyDescent="0.25">
      <c r="A14" s="14" t="s">
        <v>466</v>
      </c>
    </row>
    <row r="15" spans="1:1" ht="23.25" x14ac:dyDescent="0.25">
      <c r="A15" s="14" t="s">
        <v>381</v>
      </c>
    </row>
    <row r="19" spans="1:1" x14ac:dyDescent="0.25">
      <c r="A19" s="50"/>
    </row>
    <row r="20" spans="1:1" x14ac:dyDescent="0.25">
      <c r="A20" s="50"/>
    </row>
  </sheetData>
  <phoneticPr fontId="47" type="noConversion"/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"/>
  <sheetViews>
    <sheetView tabSelected="1" zoomScaleNormal="100" workbookViewId="0">
      <selection activeCell="A35" sqref="A35"/>
    </sheetView>
  </sheetViews>
  <sheetFormatPr defaultRowHeight="15" x14ac:dyDescent="0.25"/>
  <cols>
    <col min="1" max="1" width="10.28515625" customWidth="1"/>
    <col min="2" max="2" width="12.7109375" customWidth="1"/>
    <col min="3" max="4" width="12.28515625" customWidth="1"/>
    <col min="5" max="7" width="11.5703125" customWidth="1"/>
  </cols>
  <sheetData>
    <row r="1" spans="1:14" ht="98.25" customHeight="1" thickBot="1" x14ac:dyDescent="0.3">
      <c r="A1" s="1036" t="s">
        <v>470</v>
      </c>
      <c r="B1" s="1036"/>
      <c r="C1" s="1036"/>
      <c r="D1" s="1036"/>
      <c r="E1" s="1036"/>
      <c r="F1" s="1036"/>
      <c r="G1" s="1036"/>
    </row>
    <row r="2" spans="1:14" x14ac:dyDescent="0.25">
      <c r="A2" s="1060" t="s">
        <v>83</v>
      </c>
      <c r="B2" s="1041" t="s">
        <v>49</v>
      </c>
      <c r="C2" s="1027"/>
      <c r="D2" s="1041" t="s">
        <v>52</v>
      </c>
      <c r="E2" s="1027"/>
      <c r="F2" s="1041" t="s">
        <v>53</v>
      </c>
      <c r="G2" s="1027"/>
    </row>
    <row r="3" spans="1:14" ht="15.75" thickBot="1" x14ac:dyDescent="0.3">
      <c r="A3" s="1061"/>
      <c r="B3" s="72" t="s">
        <v>54</v>
      </c>
      <c r="C3" s="73" t="s">
        <v>55</v>
      </c>
      <c r="D3" s="72" t="s">
        <v>54</v>
      </c>
      <c r="E3" s="73" t="s">
        <v>55</v>
      </c>
      <c r="F3" s="72" t="s">
        <v>54</v>
      </c>
      <c r="G3" s="73" t="s">
        <v>55</v>
      </c>
    </row>
    <row r="4" spans="1:14" ht="15.75" thickBot="1" x14ac:dyDescent="0.3">
      <c r="A4" s="1011" t="s">
        <v>56</v>
      </c>
      <c r="B4" s="1013"/>
      <c r="C4" s="1013"/>
      <c r="D4" s="1013"/>
      <c r="E4" s="1013"/>
      <c r="F4" s="1013"/>
      <c r="G4" s="1012"/>
    </row>
    <row r="5" spans="1:14" x14ac:dyDescent="0.25">
      <c r="A5" s="153" t="s">
        <v>84</v>
      </c>
      <c r="B5" s="100">
        <v>33456</v>
      </c>
      <c r="C5" s="683">
        <f t="shared" ref="C5:C14" si="0">B5/SUM(B$5:B$14)</f>
        <v>0.74495657982631935</v>
      </c>
      <c r="D5" s="100">
        <v>28086</v>
      </c>
      <c r="E5" s="683">
        <f t="shared" ref="E5:E14" si="1">D5/SUM(D$5:D$14)</f>
        <v>0.75795439211982185</v>
      </c>
      <c r="F5" s="100">
        <v>25621</v>
      </c>
      <c r="G5" s="683">
        <f>+F5/SUM(F$5:F$14)</f>
        <v>0.76428123974584616</v>
      </c>
      <c r="H5" s="29"/>
      <c r="K5" s="29"/>
      <c r="N5" s="29"/>
    </row>
    <row r="6" spans="1:14" x14ac:dyDescent="0.25">
      <c r="A6" s="112" t="s">
        <v>57</v>
      </c>
      <c r="B6" s="101">
        <v>10119</v>
      </c>
      <c r="C6" s="684">
        <f t="shared" si="0"/>
        <v>0.22531730126920507</v>
      </c>
      <c r="D6" s="101">
        <v>7970</v>
      </c>
      <c r="E6" s="684">
        <f t="shared" si="1"/>
        <v>0.21508568344352988</v>
      </c>
      <c r="F6" s="101">
        <v>7044</v>
      </c>
      <c r="G6" s="684">
        <f t="shared" ref="G6:G13" si="2">F6/SUM(F$5:F$14)</f>
        <v>0.21012439220833456</v>
      </c>
    </row>
    <row r="7" spans="1:14" x14ac:dyDescent="0.25">
      <c r="A7" s="112" t="s">
        <v>58</v>
      </c>
      <c r="B7" s="101">
        <v>734</v>
      </c>
      <c r="C7" s="684">
        <f t="shared" si="0"/>
        <v>1.6343798708528166E-2</v>
      </c>
      <c r="D7" s="101">
        <v>550</v>
      </c>
      <c r="E7" s="684">
        <f t="shared" si="1"/>
        <v>1.4842801241397922E-2</v>
      </c>
      <c r="F7" s="101">
        <v>474</v>
      </c>
      <c r="G7" s="684">
        <f t="shared" si="2"/>
        <v>1.4139545983354712E-2</v>
      </c>
    </row>
    <row r="8" spans="1:14" x14ac:dyDescent="0.25">
      <c r="A8" s="112" t="s">
        <v>59</v>
      </c>
      <c r="B8" s="101">
        <v>272</v>
      </c>
      <c r="C8" s="684">
        <f t="shared" si="0"/>
        <v>6.0565575595635714E-3</v>
      </c>
      <c r="D8" s="101">
        <v>191</v>
      </c>
      <c r="E8" s="684">
        <f t="shared" si="1"/>
        <v>5.1545000674672785E-3</v>
      </c>
      <c r="F8" s="101">
        <v>164</v>
      </c>
      <c r="G8" s="684">
        <f t="shared" si="2"/>
        <v>4.8921635891775797E-3</v>
      </c>
    </row>
    <row r="9" spans="1:14" x14ac:dyDescent="0.25">
      <c r="A9" s="112" t="s">
        <v>60</v>
      </c>
      <c r="B9" s="101">
        <v>171</v>
      </c>
      <c r="C9" s="684">
        <f t="shared" si="0"/>
        <v>3.8076152304609219E-3</v>
      </c>
      <c r="D9" s="101">
        <v>130</v>
      </c>
      <c r="E9" s="684">
        <f t="shared" si="1"/>
        <v>3.5082984752395087E-3</v>
      </c>
      <c r="F9" s="101">
        <v>110</v>
      </c>
      <c r="G9" s="684">
        <f t="shared" si="2"/>
        <v>3.2813292366434986E-3</v>
      </c>
    </row>
    <row r="10" spans="1:14" x14ac:dyDescent="0.25">
      <c r="A10" s="112" t="s">
        <v>61</v>
      </c>
      <c r="B10" s="101">
        <v>80</v>
      </c>
      <c r="C10" s="684">
        <f t="shared" si="0"/>
        <v>1.7813404586951682E-3</v>
      </c>
      <c r="D10" s="101">
        <v>66</v>
      </c>
      <c r="E10" s="684">
        <f t="shared" si="1"/>
        <v>1.7811361489677507E-3</v>
      </c>
      <c r="F10" s="101">
        <v>57</v>
      </c>
      <c r="G10" s="684">
        <f t="shared" si="2"/>
        <v>1.7003251498970856E-3</v>
      </c>
    </row>
    <row r="11" spans="1:14" x14ac:dyDescent="0.25">
      <c r="A11" s="112" t="s">
        <v>62</v>
      </c>
      <c r="B11" s="101">
        <v>50</v>
      </c>
      <c r="C11" s="684">
        <f t="shared" si="0"/>
        <v>1.11333778668448E-3</v>
      </c>
      <c r="D11" s="101">
        <v>41</v>
      </c>
      <c r="E11" s="684">
        <f t="shared" si="1"/>
        <v>1.1064633652678451E-3</v>
      </c>
      <c r="F11" s="101">
        <v>35</v>
      </c>
      <c r="G11" s="684">
        <f t="shared" si="2"/>
        <v>1.0440593025683859E-3</v>
      </c>
    </row>
    <row r="12" spans="1:14" x14ac:dyDescent="0.25">
      <c r="A12" s="112" t="s">
        <v>63</v>
      </c>
      <c r="B12" s="101">
        <v>21</v>
      </c>
      <c r="C12" s="684">
        <f t="shared" si="0"/>
        <v>4.6760187040748166E-4</v>
      </c>
      <c r="D12" s="101">
        <v>15</v>
      </c>
      <c r="E12" s="684">
        <f t="shared" si="1"/>
        <v>4.0480367021994331E-4</v>
      </c>
      <c r="F12" s="101">
        <v>13</v>
      </c>
      <c r="G12" s="684">
        <f t="shared" si="2"/>
        <v>3.8779345523968616E-4</v>
      </c>
    </row>
    <row r="13" spans="1:14" x14ac:dyDescent="0.25">
      <c r="A13" s="112" t="s">
        <v>64</v>
      </c>
      <c r="B13" s="101">
        <v>6</v>
      </c>
      <c r="C13" s="684">
        <f t="shared" si="0"/>
        <v>1.3360053440213761E-4</v>
      </c>
      <c r="D13" s="101">
        <v>6</v>
      </c>
      <c r="E13" s="684">
        <f t="shared" si="1"/>
        <v>1.6192146808797732E-4</v>
      </c>
      <c r="F13" s="101">
        <v>5</v>
      </c>
      <c r="G13" s="684">
        <f t="shared" si="2"/>
        <v>1.4915132893834085E-4</v>
      </c>
    </row>
    <row r="14" spans="1:14" ht="15.75" thickBot="1" x14ac:dyDescent="0.3">
      <c r="A14" s="114" t="s">
        <v>85</v>
      </c>
      <c r="B14" s="102">
        <v>1</v>
      </c>
      <c r="C14" s="685">
        <f t="shared" si="0"/>
        <v>2.22667557336896E-5</v>
      </c>
      <c r="D14" s="102">
        <v>0</v>
      </c>
      <c r="E14" s="685">
        <f t="shared" si="1"/>
        <v>0</v>
      </c>
      <c r="F14" s="102">
        <v>0</v>
      </c>
      <c r="G14" s="685">
        <f>+F14/SUM(F$5:F$14)</f>
        <v>0</v>
      </c>
      <c r="I14" s="29"/>
      <c r="J14" s="29"/>
      <c r="K14" s="29"/>
    </row>
    <row r="15" spans="1:14" ht="15.75" thickBot="1" x14ac:dyDescent="0.3">
      <c r="A15" s="1011" t="s">
        <v>65</v>
      </c>
      <c r="B15" s="1013"/>
      <c r="C15" s="1013"/>
      <c r="D15" s="1013"/>
      <c r="E15" s="1013"/>
      <c r="F15" s="1013"/>
      <c r="G15" s="1012"/>
    </row>
    <row r="16" spans="1:14" x14ac:dyDescent="0.25">
      <c r="A16" s="799" t="s">
        <v>84</v>
      </c>
      <c r="B16" s="797">
        <v>1828</v>
      </c>
      <c r="C16" s="683">
        <f t="shared" ref="C16:C25" si="3">B16/SUM(B$16:B$25)</f>
        <v>0.16759878976803888</v>
      </c>
      <c r="D16" s="100">
        <v>1964</v>
      </c>
      <c r="E16" s="683">
        <f t="shared" ref="E16:E25" si="4">D16/SUM(D$16:D$25)</f>
        <v>0.19029163840713109</v>
      </c>
      <c r="F16" s="100">
        <v>1352</v>
      </c>
      <c r="G16" s="683">
        <f t="shared" ref="G16:G25" si="5">F16/SUM(F$16:F$25)</f>
        <v>0.16570658168893246</v>
      </c>
      <c r="K16" s="29"/>
    </row>
    <row r="17" spans="1:15" x14ac:dyDescent="0.25">
      <c r="A17" s="800" t="s">
        <v>57</v>
      </c>
      <c r="B17" s="776">
        <v>3605</v>
      </c>
      <c r="C17" s="684">
        <f t="shared" si="3"/>
        <v>0.33052168332263682</v>
      </c>
      <c r="D17" s="101">
        <v>3397</v>
      </c>
      <c r="E17" s="684">
        <f t="shared" si="4"/>
        <v>0.32913477376223232</v>
      </c>
      <c r="F17" s="101">
        <v>2760</v>
      </c>
      <c r="G17" s="684">
        <f t="shared" si="5"/>
        <v>0.33827674960166687</v>
      </c>
    </row>
    <row r="18" spans="1:15" x14ac:dyDescent="0.25">
      <c r="A18" s="801" t="s">
        <v>58</v>
      </c>
      <c r="B18" s="776">
        <v>2012</v>
      </c>
      <c r="C18" s="684">
        <f t="shared" si="3"/>
        <v>0.18446868983221784</v>
      </c>
      <c r="D18" s="101">
        <v>1808</v>
      </c>
      <c r="E18" s="684">
        <f t="shared" si="4"/>
        <v>0.17517682395116752</v>
      </c>
      <c r="F18" s="101">
        <v>1458</v>
      </c>
      <c r="G18" s="684">
        <f t="shared" si="5"/>
        <v>0.17869836989827184</v>
      </c>
    </row>
    <row r="19" spans="1:15" x14ac:dyDescent="0.25">
      <c r="A19" s="800" t="s">
        <v>59</v>
      </c>
      <c r="B19" s="776">
        <v>1503</v>
      </c>
      <c r="C19" s="684">
        <f t="shared" si="3"/>
        <v>0.13780141193728798</v>
      </c>
      <c r="D19" s="101">
        <v>1372</v>
      </c>
      <c r="E19" s="684">
        <f t="shared" si="4"/>
        <v>0.13293285534347446</v>
      </c>
      <c r="F19" s="101">
        <v>1133</v>
      </c>
      <c r="G19" s="684">
        <f t="shared" si="5"/>
        <v>0.13886505699227847</v>
      </c>
    </row>
    <row r="20" spans="1:15" x14ac:dyDescent="0.25">
      <c r="A20" s="800" t="s">
        <v>60</v>
      </c>
      <c r="B20" s="776">
        <v>1064</v>
      </c>
      <c r="C20" s="684">
        <f t="shared" si="3"/>
        <v>9.7552030805904466E-2</v>
      </c>
      <c r="D20" s="101">
        <v>963</v>
      </c>
      <c r="E20" s="684">
        <f t="shared" si="4"/>
        <v>9.3304912314698188E-2</v>
      </c>
      <c r="F20" s="101">
        <v>784</v>
      </c>
      <c r="G20" s="684">
        <f t="shared" si="5"/>
        <v>9.6090207133227107E-2</v>
      </c>
    </row>
    <row r="21" spans="1:15" x14ac:dyDescent="0.25">
      <c r="A21" s="800" t="s">
        <v>61</v>
      </c>
      <c r="B21" s="776">
        <v>528</v>
      </c>
      <c r="C21" s="684">
        <f t="shared" si="3"/>
        <v>4.84092784450353E-2</v>
      </c>
      <c r="D21" s="101">
        <v>487</v>
      </c>
      <c r="E21" s="684">
        <f t="shared" si="4"/>
        <v>4.7185350256758067E-2</v>
      </c>
      <c r="F21" s="101">
        <v>404</v>
      </c>
      <c r="G21" s="684">
        <f t="shared" si="5"/>
        <v>4.9515872043142541E-2</v>
      </c>
    </row>
    <row r="22" spans="1:15" x14ac:dyDescent="0.25">
      <c r="A22" s="800" t="s">
        <v>62</v>
      </c>
      <c r="B22" s="776">
        <v>255</v>
      </c>
      <c r="C22" s="684">
        <f t="shared" si="3"/>
        <v>2.3379481067204548E-2</v>
      </c>
      <c r="D22" s="101">
        <v>234</v>
      </c>
      <c r="E22" s="684">
        <f t="shared" si="4"/>
        <v>2.2672221683945355E-2</v>
      </c>
      <c r="F22" s="101">
        <v>192</v>
      </c>
      <c r="G22" s="684">
        <f t="shared" si="5"/>
        <v>2.3532295624463781E-2</v>
      </c>
    </row>
    <row r="23" spans="1:15" x14ac:dyDescent="0.25">
      <c r="A23" s="800" t="s">
        <v>63</v>
      </c>
      <c r="B23" s="776">
        <v>89</v>
      </c>
      <c r="C23" s="684">
        <f t="shared" si="3"/>
        <v>8.1598973136517827E-3</v>
      </c>
      <c r="D23" s="101">
        <v>77</v>
      </c>
      <c r="E23" s="684">
        <f t="shared" si="4"/>
        <v>7.4605173917256084E-3</v>
      </c>
      <c r="F23" s="101">
        <v>63</v>
      </c>
      <c r="G23" s="684">
        <f t="shared" si="5"/>
        <v>7.7215345017771784E-3</v>
      </c>
    </row>
    <row r="24" spans="1:15" x14ac:dyDescent="0.25">
      <c r="A24" s="800" t="s">
        <v>64</v>
      </c>
      <c r="B24" s="776">
        <v>18</v>
      </c>
      <c r="C24" s="684">
        <f t="shared" si="3"/>
        <v>1.6503163106262033E-3</v>
      </c>
      <c r="D24" s="101">
        <v>16</v>
      </c>
      <c r="E24" s="684">
        <f t="shared" si="4"/>
        <v>1.5502373800988277E-3</v>
      </c>
      <c r="F24" s="101">
        <v>11</v>
      </c>
      <c r="G24" s="684">
        <f t="shared" si="5"/>
        <v>1.3482044368182376E-3</v>
      </c>
    </row>
    <row r="25" spans="1:15" ht="15.75" thickBot="1" x14ac:dyDescent="0.3">
      <c r="A25" s="802" t="s">
        <v>85</v>
      </c>
      <c r="B25" s="798">
        <v>5</v>
      </c>
      <c r="C25" s="685">
        <f t="shared" si="3"/>
        <v>4.5842119739616759E-4</v>
      </c>
      <c r="D25" s="102">
        <v>3</v>
      </c>
      <c r="E25" s="685">
        <f t="shared" si="4"/>
        <v>2.906695087685302E-4</v>
      </c>
      <c r="F25" s="102">
        <v>2</v>
      </c>
      <c r="G25" s="685">
        <f t="shared" si="5"/>
        <v>2.4512807942149775E-4</v>
      </c>
      <c r="I25" s="29"/>
      <c r="J25" s="29"/>
      <c r="K25" s="29"/>
    </row>
    <row r="26" spans="1:15" ht="15.75" thickBot="1" x14ac:dyDescent="0.3">
      <c r="A26" s="1057" t="s">
        <v>66</v>
      </c>
      <c r="B26" s="1058"/>
      <c r="C26" s="1058"/>
      <c r="D26" s="1058"/>
      <c r="E26" s="1058"/>
      <c r="F26" s="1058"/>
      <c r="G26" s="1059"/>
    </row>
    <row r="27" spans="1:15" x14ac:dyDescent="0.25">
      <c r="A27" s="153" t="s">
        <v>84</v>
      </c>
      <c r="B27" s="100">
        <v>34508</v>
      </c>
      <c r="C27" s="683">
        <f t="shared" ref="C27:C36" si="6">B27/SUM(B$27:B$36)</f>
        <v>0.63246641373875112</v>
      </c>
      <c r="D27" s="100">
        <v>29498</v>
      </c>
      <c r="E27" s="683">
        <f t="shared" ref="E27:E36" si="7">D27/SUM(D$27:D$36)</f>
        <v>0.63358893399488803</v>
      </c>
      <c r="F27" s="100">
        <v>26939</v>
      </c>
      <c r="G27" s="683">
        <f t="shared" ref="G27:G36" si="8">F27/SUM(F$27:F$36)</f>
        <v>0.64713654271163645</v>
      </c>
      <c r="K27" s="29"/>
      <c r="M27" s="29"/>
      <c r="N27" s="29"/>
      <c r="O27" s="29"/>
    </row>
    <row r="28" spans="1:15" x14ac:dyDescent="0.25">
      <c r="A28" s="112" t="s">
        <v>57</v>
      </c>
      <c r="B28" s="101">
        <v>13334</v>
      </c>
      <c r="C28" s="684">
        <f t="shared" si="6"/>
        <v>0.24438701636700208</v>
      </c>
      <c r="D28" s="101">
        <v>11154</v>
      </c>
      <c r="E28" s="684">
        <f t="shared" si="7"/>
        <v>0.23957729235131128</v>
      </c>
      <c r="F28" s="101">
        <v>9792</v>
      </c>
      <c r="G28" s="684">
        <f t="shared" si="8"/>
        <v>0.23522628999711734</v>
      </c>
    </row>
    <row r="29" spans="1:15" x14ac:dyDescent="0.25">
      <c r="A29" s="112" t="s">
        <v>58</v>
      </c>
      <c r="B29" s="101">
        <v>2700</v>
      </c>
      <c r="C29" s="684">
        <f t="shared" si="6"/>
        <v>4.9485896519491944E-2</v>
      </c>
      <c r="D29" s="101">
        <v>2332</v>
      </c>
      <c r="E29" s="684">
        <f t="shared" si="7"/>
        <v>5.0089138045836284E-2</v>
      </c>
      <c r="F29" s="101">
        <v>1931</v>
      </c>
      <c r="G29" s="684">
        <f t="shared" si="8"/>
        <v>4.6387047179782835E-2</v>
      </c>
    </row>
    <row r="30" spans="1:15" x14ac:dyDescent="0.25">
      <c r="A30" s="112" t="s">
        <v>59</v>
      </c>
      <c r="B30" s="101">
        <v>1760</v>
      </c>
      <c r="C30" s="684">
        <f t="shared" si="6"/>
        <v>3.2257473286779935E-2</v>
      </c>
      <c r="D30" s="101">
        <v>1556</v>
      </c>
      <c r="E30" s="684">
        <f t="shared" si="7"/>
        <v>3.3421397426810148E-2</v>
      </c>
      <c r="F30" s="101">
        <v>1296</v>
      </c>
      <c r="G30" s="684">
        <f t="shared" si="8"/>
        <v>3.1132891323147883E-2</v>
      </c>
    </row>
    <row r="31" spans="1:15" x14ac:dyDescent="0.25">
      <c r="A31" s="112" t="s">
        <v>60</v>
      </c>
      <c r="B31" s="101">
        <v>1223</v>
      </c>
      <c r="C31" s="684">
        <f t="shared" si="6"/>
        <v>2.2415278312347648E-2</v>
      </c>
      <c r="D31" s="101">
        <v>1086</v>
      </c>
      <c r="E31" s="684">
        <f t="shared" si="7"/>
        <v>2.3326245247760811E-2</v>
      </c>
      <c r="F31" s="101">
        <v>892</v>
      </c>
      <c r="G31" s="684">
        <f t="shared" si="8"/>
        <v>2.1427885077351782E-2</v>
      </c>
    </row>
    <row r="32" spans="1:15" x14ac:dyDescent="0.25">
      <c r="A32" s="112" t="s">
        <v>61</v>
      </c>
      <c r="B32" s="101">
        <v>600</v>
      </c>
      <c r="C32" s="684">
        <f t="shared" si="6"/>
        <v>1.0996865893220431E-2</v>
      </c>
      <c r="D32" s="101">
        <v>546</v>
      </c>
      <c r="E32" s="684">
        <f t="shared" si="7"/>
        <v>1.1727559765448805E-2</v>
      </c>
      <c r="F32" s="101">
        <v>458</v>
      </c>
      <c r="G32" s="684">
        <f t="shared" si="8"/>
        <v>1.1002210050927261E-2</v>
      </c>
    </row>
    <row r="33" spans="1:11" x14ac:dyDescent="0.25">
      <c r="A33" s="112" t="s">
        <v>62</v>
      </c>
      <c r="B33" s="101">
        <v>301</v>
      </c>
      <c r="C33" s="684">
        <f t="shared" si="6"/>
        <v>5.5167610564322497E-3</v>
      </c>
      <c r="D33" s="101">
        <v>271</v>
      </c>
      <c r="E33" s="684">
        <f t="shared" si="7"/>
        <v>5.8208217883454691E-3</v>
      </c>
      <c r="F33" s="101">
        <v>226</v>
      </c>
      <c r="G33" s="684">
        <f t="shared" si="8"/>
        <v>5.4290381474007875E-3</v>
      </c>
    </row>
    <row r="34" spans="1:11" x14ac:dyDescent="0.25">
      <c r="A34" s="112" t="s">
        <v>63</v>
      </c>
      <c r="B34" s="101">
        <v>107</v>
      </c>
      <c r="C34" s="684">
        <f t="shared" si="6"/>
        <v>1.9611077509576439E-3</v>
      </c>
      <c r="D34" s="101">
        <v>91</v>
      </c>
      <c r="E34" s="684">
        <f t="shared" si="7"/>
        <v>1.9545932942414673E-3</v>
      </c>
      <c r="F34" s="101">
        <v>76</v>
      </c>
      <c r="G34" s="684">
        <f t="shared" si="8"/>
        <v>1.825694244258672E-3</v>
      </c>
    </row>
    <row r="35" spans="1:11" x14ac:dyDescent="0.25">
      <c r="A35" s="112" t="s">
        <v>64</v>
      </c>
      <c r="B35" s="101">
        <v>22</v>
      </c>
      <c r="C35" s="684">
        <f t="shared" si="6"/>
        <v>4.0321841608474918E-4</v>
      </c>
      <c r="D35" s="101">
        <v>20</v>
      </c>
      <c r="E35" s="684">
        <f t="shared" si="7"/>
        <v>4.2958094378933351E-4</v>
      </c>
      <c r="F35" s="101">
        <v>16</v>
      </c>
      <c r="G35" s="684">
        <f t="shared" si="8"/>
        <v>3.843566830018257E-4</v>
      </c>
    </row>
    <row r="36" spans="1:11" ht="15.75" thickBot="1" x14ac:dyDescent="0.3">
      <c r="A36" s="114" t="s">
        <v>85</v>
      </c>
      <c r="B36" s="102">
        <v>6</v>
      </c>
      <c r="C36" s="685">
        <f t="shared" si="6"/>
        <v>1.0996865893220432E-4</v>
      </c>
      <c r="D36" s="102">
        <v>3</v>
      </c>
      <c r="E36" s="685">
        <f t="shared" si="7"/>
        <v>6.4437141568400022E-5</v>
      </c>
      <c r="F36" s="102">
        <v>2</v>
      </c>
      <c r="G36" s="685">
        <f t="shared" si="8"/>
        <v>4.8044585375228213E-5</v>
      </c>
      <c r="H36" s="29"/>
      <c r="I36" s="29"/>
      <c r="J36" s="29"/>
      <c r="K36" s="29"/>
    </row>
    <row r="37" spans="1:11" x14ac:dyDescent="0.25">
      <c r="A37" s="719" t="s">
        <v>591</v>
      </c>
      <c r="B37" s="206"/>
      <c r="C37" s="206"/>
      <c r="D37" s="206"/>
      <c r="E37" s="206"/>
      <c r="F37" s="206"/>
      <c r="G37" s="103" t="s">
        <v>468</v>
      </c>
    </row>
    <row r="38" spans="1:11" x14ac:dyDescent="0.25">
      <c r="A38" s="48"/>
      <c r="B38" s="206"/>
      <c r="C38" s="206"/>
      <c r="D38" s="206"/>
      <c r="E38" s="206"/>
      <c r="F38" s="206"/>
    </row>
  </sheetData>
  <mergeCells count="8">
    <mergeCell ref="A15:G15"/>
    <mergeCell ref="A26:G26"/>
    <mergeCell ref="A1:G1"/>
    <mergeCell ref="A2:A3"/>
    <mergeCell ref="B2:C2"/>
    <mergeCell ref="D2:E2"/>
    <mergeCell ref="F2:G2"/>
    <mergeCell ref="A4:G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34"/>
  <sheetViews>
    <sheetView tabSelected="1" zoomScaleNormal="100" workbookViewId="0">
      <selection activeCell="A35" sqref="A35"/>
    </sheetView>
  </sheetViews>
  <sheetFormatPr defaultRowHeight="15" x14ac:dyDescent="0.25"/>
  <cols>
    <col min="1" max="1" width="6.7109375" customWidth="1"/>
    <col min="2" max="2" width="11.140625" style="9" customWidth="1"/>
    <col min="3" max="4" width="12.28515625" customWidth="1"/>
    <col min="5" max="5" width="12.7109375" customWidth="1"/>
    <col min="6" max="7" width="12.28515625" customWidth="1"/>
    <col min="8" max="8" width="12.7109375" customWidth="1"/>
    <col min="9" max="10" width="12.28515625" customWidth="1"/>
    <col min="11" max="11" width="12.7109375" customWidth="1"/>
  </cols>
  <sheetData>
    <row r="1" spans="1:11" ht="67.150000000000006" customHeight="1" thickBot="1" x14ac:dyDescent="0.3">
      <c r="A1" s="1070" t="s">
        <v>469</v>
      </c>
      <c r="B1" s="1071"/>
      <c r="C1" s="1071"/>
      <c r="D1" s="1071"/>
      <c r="E1" s="1071"/>
      <c r="F1" s="1071"/>
      <c r="G1" s="1071"/>
      <c r="H1" s="1071"/>
      <c r="I1" s="1071"/>
      <c r="J1" s="1071"/>
      <c r="K1" s="1071"/>
    </row>
    <row r="2" spans="1:11" x14ac:dyDescent="0.25">
      <c r="A2" s="1060" t="s">
        <v>89</v>
      </c>
      <c r="B2" s="104" t="s">
        <v>86</v>
      </c>
      <c r="C2" s="1050" t="s">
        <v>364</v>
      </c>
      <c r="D2" s="1066"/>
      <c r="E2" s="1051"/>
      <c r="F2" s="1050" t="s">
        <v>87</v>
      </c>
      <c r="G2" s="1066"/>
      <c r="H2" s="1051"/>
      <c r="I2" s="1050" t="s">
        <v>88</v>
      </c>
      <c r="J2" s="1066"/>
      <c r="K2" s="1051"/>
    </row>
    <row r="3" spans="1:11" ht="15.75" thickBot="1" x14ac:dyDescent="0.3">
      <c r="A3" s="1072"/>
      <c r="B3" s="105"/>
      <c r="C3" s="106" t="s">
        <v>67</v>
      </c>
      <c r="D3" s="107" t="s">
        <v>69</v>
      </c>
      <c r="E3" s="108" t="s">
        <v>68</v>
      </c>
      <c r="F3" s="106" t="s">
        <v>67</v>
      </c>
      <c r="G3" s="107" t="s">
        <v>69</v>
      </c>
      <c r="H3" s="108" t="s">
        <v>68</v>
      </c>
      <c r="I3" s="106" t="s">
        <v>67</v>
      </c>
      <c r="J3" s="107" t="s">
        <v>69</v>
      </c>
      <c r="K3" s="109" t="s">
        <v>68</v>
      </c>
    </row>
    <row r="4" spans="1:11" ht="6" customHeight="1" thickBot="1" x14ac:dyDescent="0.3">
      <c r="A4" s="337"/>
      <c r="B4" s="336"/>
      <c r="C4" s="1073"/>
      <c r="D4" s="1074"/>
      <c r="E4" s="1074"/>
      <c r="F4" s="1074"/>
      <c r="G4" s="1074"/>
      <c r="H4" s="1074"/>
      <c r="I4" s="1074"/>
      <c r="J4" s="1074"/>
      <c r="K4" s="1075"/>
    </row>
    <row r="5" spans="1:11" x14ac:dyDescent="0.25">
      <c r="A5" s="1067">
        <v>2007</v>
      </c>
      <c r="B5" s="110" t="s">
        <v>90</v>
      </c>
      <c r="C5" s="100">
        <v>38983</v>
      </c>
      <c r="D5" s="111">
        <v>42202</v>
      </c>
      <c r="E5" s="686">
        <v>0.48017490915809569</v>
      </c>
      <c r="F5" s="100">
        <v>36965</v>
      </c>
      <c r="G5" s="111">
        <v>16242</v>
      </c>
      <c r="H5" s="686">
        <v>0.69473941398688144</v>
      </c>
      <c r="I5" s="100">
        <v>4206</v>
      </c>
      <c r="J5" s="111">
        <v>27652</v>
      </c>
      <c r="K5" s="686">
        <v>0.13202335363174084</v>
      </c>
    </row>
    <row r="6" spans="1:11" x14ac:dyDescent="0.25">
      <c r="A6" s="1068"/>
      <c r="B6" s="112" t="s">
        <v>52</v>
      </c>
      <c r="C6" s="101">
        <v>32663</v>
      </c>
      <c r="D6" s="113">
        <v>32497</v>
      </c>
      <c r="E6" s="687">
        <v>0.50127378759975449</v>
      </c>
      <c r="F6" s="101">
        <v>30382</v>
      </c>
      <c r="G6" s="113">
        <v>11647</v>
      </c>
      <c r="H6" s="687">
        <v>0.72288181969592424</v>
      </c>
      <c r="I6" s="101">
        <v>3289</v>
      </c>
      <c r="J6" s="113">
        <v>21399</v>
      </c>
      <c r="K6" s="687">
        <v>0.13322261827608556</v>
      </c>
    </row>
    <row r="7" spans="1:11" ht="15.75" thickBot="1" x14ac:dyDescent="0.3">
      <c r="A7" s="1069"/>
      <c r="B7" s="114" t="s">
        <v>53</v>
      </c>
      <c r="C7" s="102">
        <v>29773</v>
      </c>
      <c r="D7" s="115">
        <v>28822</v>
      </c>
      <c r="E7" s="688">
        <v>0.50811502687942656</v>
      </c>
      <c r="F7" s="102">
        <v>27687</v>
      </c>
      <c r="G7" s="115">
        <v>9928</v>
      </c>
      <c r="H7" s="688">
        <v>0.73606274092782131</v>
      </c>
      <c r="I7" s="102">
        <v>2236</v>
      </c>
      <c r="J7" s="115">
        <v>18991</v>
      </c>
      <c r="K7" s="688">
        <v>0.10533754180995901</v>
      </c>
    </row>
    <row r="8" spans="1:11" ht="6" customHeight="1" thickBot="1" x14ac:dyDescent="0.3">
      <c r="A8" s="337"/>
      <c r="B8" s="336"/>
      <c r="C8" s="1073"/>
      <c r="D8" s="1074"/>
      <c r="E8" s="1074"/>
      <c r="F8" s="1074"/>
      <c r="G8" s="1074"/>
      <c r="H8" s="1074"/>
      <c r="I8" s="1074"/>
      <c r="J8" s="1074"/>
      <c r="K8" s="1075"/>
    </row>
    <row r="9" spans="1:11" x14ac:dyDescent="0.25">
      <c r="A9" s="1062">
        <v>2008</v>
      </c>
      <c r="B9" s="110" t="s">
        <v>90</v>
      </c>
      <c r="C9" s="100">
        <v>38407</v>
      </c>
      <c r="D9" s="111">
        <v>38153</v>
      </c>
      <c r="E9" s="686">
        <v>0.50165882967607101</v>
      </c>
      <c r="F9" s="100">
        <v>36259</v>
      </c>
      <c r="G9" s="111">
        <v>15070</v>
      </c>
      <c r="H9" s="686">
        <v>0.70640378733269693</v>
      </c>
      <c r="I9" s="100">
        <v>4223</v>
      </c>
      <c r="J9" s="111">
        <v>24557</v>
      </c>
      <c r="K9" s="686">
        <v>0.14673384294649061</v>
      </c>
    </row>
    <row r="10" spans="1:11" x14ac:dyDescent="0.25">
      <c r="A10" s="1063"/>
      <c r="B10" s="112" t="s">
        <v>52</v>
      </c>
      <c r="C10" s="101">
        <v>31952</v>
      </c>
      <c r="D10" s="113">
        <v>29753</v>
      </c>
      <c r="E10" s="687">
        <v>0.5178186532695892</v>
      </c>
      <c r="F10" s="101">
        <v>29321</v>
      </c>
      <c r="G10" s="113">
        <v>10563</v>
      </c>
      <c r="H10" s="687">
        <v>0.73515695516999302</v>
      </c>
      <c r="I10" s="101">
        <v>3977</v>
      </c>
      <c r="J10" s="113">
        <v>19730</v>
      </c>
      <c r="K10" s="687">
        <v>0.16775635888134308</v>
      </c>
    </row>
    <row r="11" spans="1:11" ht="15.75" thickBot="1" x14ac:dyDescent="0.3">
      <c r="A11" s="1065"/>
      <c r="B11" s="114" t="s">
        <v>53</v>
      </c>
      <c r="C11" s="102">
        <v>29074</v>
      </c>
      <c r="D11" s="115">
        <v>26741</v>
      </c>
      <c r="E11" s="688">
        <v>0.52089939980292033</v>
      </c>
      <c r="F11" s="102">
        <v>26559</v>
      </c>
      <c r="G11" s="115">
        <v>9058</v>
      </c>
      <c r="H11" s="688">
        <v>0.74568324114888962</v>
      </c>
      <c r="I11" s="102">
        <v>2802</v>
      </c>
      <c r="J11" s="115">
        <v>17804</v>
      </c>
      <c r="K11" s="688">
        <v>0.13597981170532855</v>
      </c>
    </row>
    <row r="12" spans="1:11" ht="6" customHeight="1" thickBot="1" x14ac:dyDescent="0.3">
      <c r="A12" s="337"/>
      <c r="B12" s="336"/>
      <c r="C12" s="1073"/>
      <c r="D12" s="1074"/>
      <c r="E12" s="1074"/>
      <c r="F12" s="1074"/>
      <c r="G12" s="1074"/>
      <c r="H12" s="1074"/>
      <c r="I12" s="1074"/>
      <c r="J12" s="1074"/>
      <c r="K12" s="1075"/>
    </row>
    <row r="13" spans="1:11" x14ac:dyDescent="0.25">
      <c r="A13" s="1062">
        <v>2009</v>
      </c>
      <c r="B13" s="110" t="s">
        <v>90</v>
      </c>
      <c r="C13" s="100">
        <v>38628</v>
      </c>
      <c r="D13" s="111">
        <v>37001</v>
      </c>
      <c r="E13" s="686">
        <v>0.51075645585688034</v>
      </c>
      <c r="F13" s="100">
        <v>36824</v>
      </c>
      <c r="G13" s="111">
        <v>17480</v>
      </c>
      <c r="H13" s="686">
        <v>0.67810842663523863</v>
      </c>
      <c r="I13" s="100">
        <v>3587</v>
      </c>
      <c r="J13" s="111">
        <v>21133</v>
      </c>
      <c r="K13" s="686">
        <v>0.14510517799352751</v>
      </c>
    </row>
    <row r="14" spans="1:11" x14ac:dyDescent="0.25">
      <c r="A14" s="1063"/>
      <c r="B14" s="112" t="s">
        <v>52</v>
      </c>
      <c r="C14" s="101">
        <v>31877</v>
      </c>
      <c r="D14" s="113">
        <v>28287</v>
      </c>
      <c r="E14" s="687">
        <v>0.52983511734592115</v>
      </c>
      <c r="F14" s="101">
        <v>29726</v>
      </c>
      <c r="G14" s="113">
        <v>12393</v>
      </c>
      <c r="H14" s="687">
        <v>0.7057622450675467</v>
      </c>
      <c r="I14" s="101">
        <v>3218</v>
      </c>
      <c r="J14" s="113">
        <v>16424</v>
      </c>
      <c r="K14" s="687">
        <v>0.16383260360452093</v>
      </c>
    </row>
    <row r="15" spans="1:11" ht="15.75" thickBot="1" x14ac:dyDescent="0.3">
      <c r="A15" s="1065"/>
      <c r="B15" s="114" t="s">
        <v>53</v>
      </c>
      <c r="C15" s="102">
        <v>28768</v>
      </c>
      <c r="D15" s="115">
        <v>24595</v>
      </c>
      <c r="E15" s="688">
        <v>0.53910012555515996</v>
      </c>
      <c r="F15" s="102">
        <v>26870</v>
      </c>
      <c r="G15" s="115">
        <v>10873</v>
      </c>
      <c r="H15" s="688">
        <v>0.71192009114272847</v>
      </c>
      <c r="I15" s="102">
        <v>2042</v>
      </c>
      <c r="J15" s="115">
        <v>13791</v>
      </c>
      <c r="K15" s="688">
        <v>0.12897113623444703</v>
      </c>
    </row>
    <row r="16" spans="1:11" ht="6" customHeight="1" thickBot="1" x14ac:dyDescent="0.3">
      <c r="A16" s="337"/>
      <c r="B16" s="336"/>
      <c r="C16" s="1073"/>
      <c r="D16" s="1074"/>
      <c r="E16" s="1074"/>
      <c r="F16" s="1074"/>
      <c r="G16" s="1074"/>
      <c r="H16" s="1074"/>
      <c r="I16" s="1074"/>
      <c r="J16" s="1074"/>
      <c r="K16" s="1075"/>
    </row>
    <row r="17" spans="1:11" x14ac:dyDescent="0.25">
      <c r="A17" s="1062">
        <v>2010</v>
      </c>
      <c r="B17" s="110" t="s">
        <v>90</v>
      </c>
      <c r="C17" s="100">
        <v>38746</v>
      </c>
      <c r="D17" s="111">
        <v>34313</v>
      </c>
      <c r="E17" s="686">
        <v>0.53033849354631191</v>
      </c>
      <c r="F17" s="100">
        <v>36948</v>
      </c>
      <c r="G17" s="111">
        <v>15743</v>
      </c>
      <c r="H17" s="686">
        <v>0.70122032225617281</v>
      </c>
      <c r="I17" s="100">
        <v>3550</v>
      </c>
      <c r="J17" s="111">
        <v>19918</v>
      </c>
      <c r="K17" s="686">
        <v>0.15126981421510141</v>
      </c>
    </row>
    <row r="18" spans="1:11" ht="15.75" thickBot="1" x14ac:dyDescent="0.3">
      <c r="A18" s="1063"/>
      <c r="B18" s="112" t="s">
        <v>52</v>
      </c>
      <c r="C18" s="101">
        <v>30281</v>
      </c>
      <c r="D18" s="113">
        <v>25321</v>
      </c>
      <c r="E18" s="687">
        <v>0.5446027121326571</v>
      </c>
      <c r="F18" s="101">
        <v>27852</v>
      </c>
      <c r="G18" s="113">
        <v>10012</v>
      </c>
      <c r="H18" s="687">
        <v>0.73557997042045209</v>
      </c>
      <c r="I18" s="101">
        <v>3296</v>
      </c>
      <c r="J18" s="113">
        <v>15717</v>
      </c>
      <c r="K18" s="687">
        <v>0.1733550728448956</v>
      </c>
    </row>
    <row r="19" spans="1:11" ht="15.75" thickBot="1" x14ac:dyDescent="0.3">
      <c r="A19" s="1064"/>
      <c r="B19" s="775" t="s">
        <v>53</v>
      </c>
      <c r="C19" s="102">
        <v>27249</v>
      </c>
      <c r="D19" s="115">
        <v>21897</v>
      </c>
      <c r="E19" s="688">
        <v>0.55445000610426076</v>
      </c>
      <c r="F19" s="102">
        <v>25182</v>
      </c>
      <c r="G19" s="115">
        <v>8772</v>
      </c>
      <c r="H19" s="688">
        <v>0.74165046828061498</v>
      </c>
      <c r="I19" s="102">
        <v>2169</v>
      </c>
      <c r="J19" s="115">
        <v>13159</v>
      </c>
      <c r="K19" s="688">
        <v>0.14150574112734865</v>
      </c>
    </row>
    <row r="20" spans="1:11" ht="6" customHeight="1" thickBot="1" x14ac:dyDescent="0.3">
      <c r="A20" s="769"/>
      <c r="B20" s="336"/>
      <c r="C20" s="1073"/>
      <c r="D20" s="1074"/>
      <c r="E20" s="1074"/>
      <c r="F20" s="1074"/>
      <c r="G20" s="1074"/>
      <c r="H20" s="1074"/>
      <c r="I20" s="1074"/>
      <c r="J20" s="1074"/>
      <c r="K20" s="1075"/>
    </row>
    <row r="21" spans="1:11" x14ac:dyDescent="0.25">
      <c r="A21" s="1062">
        <v>2011</v>
      </c>
      <c r="B21" s="110" t="s">
        <v>90</v>
      </c>
      <c r="C21" s="100">
        <v>36233</v>
      </c>
      <c r="D21" s="111">
        <v>31098</v>
      </c>
      <c r="E21" s="686">
        <v>0.53813250954240988</v>
      </c>
      <c r="F21" s="100">
        <v>34856</v>
      </c>
      <c r="G21" s="111">
        <v>16989</v>
      </c>
      <c r="H21" s="686">
        <v>0.67231169833156523</v>
      </c>
      <c r="I21" s="100">
        <v>2734</v>
      </c>
      <c r="J21" s="111">
        <v>15399</v>
      </c>
      <c r="K21" s="686">
        <v>0.15077483041967682</v>
      </c>
    </row>
    <row r="22" spans="1:11" x14ac:dyDescent="0.25">
      <c r="A22" s="1063"/>
      <c r="B22" s="112" t="s">
        <v>52</v>
      </c>
      <c r="C22" s="101">
        <v>29534</v>
      </c>
      <c r="D22" s="113">
        <v>24903</v>
      </c>
      <c r="E22" s="687">
        <v>0.54253540790271326</v>
      </c>
      <c r="F22" s="101">
        <v>27594</v>
      </c>
      <c r="G22" s="113">
        <v>11758</v>
      </c>
      <c r="H22" s="687">
        <v>0.70120959544622896</v>
      </c>
      <c r="I22" s="101">
        <v>2597</v>
      </c>
      <c r="J22" s="113">
        <v>13660</v>
      </c>
      <c r="K22" s="687">
        <v>0.15974657070800272</v>
      </c>
    </row>
    <row r="23" spans="1:11" ht="15.75" thickBot="1" x14ac:dyDescent="0.3">
      <c r="A23" s="1065"/>
      <c r="B23" s="114" t="s">
        <v>53</v>
      </c>
      <c r="C23" s="102">
        <v>26906</v>
      </c>
      <c r="D23" s="115">
        <v>21628</v>
      </c>
      <c r="E23" s="688">
        <v>0.55437425310091892</v>
      </c>
      <c r="F23" s="102">
        <v>25155</v>
      </c>
      <c r="G23" s="115">
        <v>10427</v>
      </c>
      <c r="H23" s="688">
        <v>0.70695857456017086</v>
      </c>
      <c r="I23" s="102">
        <v>1819</v>
      </c>
      <c r="J23" s="115">
        <v>11238</v>
      </c>
      <c r="K23" s="688">
        <v>0.13931224630466416</v>
      </c>
    </row>
    <row r="24" spans="1:11" ht="6" customHeight="1" thickBot="1" x14ac:dyDescent="0.3">
      <c r="A24" s="337"/>
      <c r="B24" s="336"/>
      <c r="C24" s="1073"/>
      <c r="D24" s="1074"/>
      <c r="E24" s="1074"/>
      <c r="F24" s="1074"/>
      <c r="G24" s="1074"/>
      <c r="H24" s="1074"/>
      <c r="I24" s="1074"/>
      <c r="J24" s="1074"/>
      <c r="K24" s="1075"/>
    </row>
    <row r="25" spans="1:11" x14ac:dyDescent="0.25">
      <c r="A25" s="1067">
        <v>2012</v>
      </c>
      <c r="B25" s="110" t="s">
        <v>90</v>
      </c>
      <c r="C25" s="100">
        <v>34314</v>
      </c>
      <c r="D25" s="111">
        <v>25788</v>
      </c>
      <c r="E25" s="686">
        <v>0.57099999999999995</v>
      </c>
      <c r="F25" s="100">
        <v>33191</v>
      </c>
      <c r="G25" s="111">
        <v>14941</v>
      </c>
      <c r="H25" s="686">
        <v>0.69</v>
      </c>
      <c r="I25" s="100">
        <v>2141</v>
      </c>
      <c r="J25" s="111">
        <v>11754</v>
      </c>
      <c r="K25" s="686">
        <v>0.154</v>
      </c>
    </row>
    <row r="26" spans="1:11" x14ac:dyDescent="0.25">
      <c r="A26" s="1068"/>
      <c r="B26" s="112" t="s">
        <v>52</v>
      </c>
      <c r="C26" s="101">
        <v>28951</v>
      </c>
      <c r="D26" s="113">
        <v>21271</v>
      </c>
      <c r="E26" s="687">
        <v>0.57599999999999996</v>
      </c>
      <c r="F26" s="101">
        <v>27486</v>
      </c>
      <c r="G26" s="113">
        <v>11319</v>
      </c>
      <c r="H26" s="687">
        <v>0.70799999999999996</v>
      </c>
      <c r="I26" s="101">
        <v>2044</v>
      </c>
      <c r="J26" s="113">
        <v>10364</v>
      </c>
      <c r="K26" s="687">
        <v>0.16500000000000001</v>
      </c>
    </row>
    <row r="27" spans="1:11" ht="15.75" thickBot="1" x14ac:dyDescent="0.3">
      <c r="A27" s="1069"/>
      <c r="B27" s="114" t="s">
        <v>53</v>
      </c>
      <c r="C27" s="102">
        <v>26294</v>
      </c>
      <c r="D27" s="115">
        <v>18165</v>
      </c>
      <c r="E27" s="688">
        <v>0.59099999999999997</v>
      </c>
      <c r="F27" s="102">
        <v>24942</v>
      </c>
      <c r="G27" s="115">
        <v>9877</v>
      </c>
      <c r="H27" s="688">
        <v>0.71599999999999997</v>
      </c>
      <c r="I27" s="102">
        <v>1414</v>
      </c>
      <c r="J27" s="115">
        <v>8325</v>
      </c>
      <c r="K27" s="688">
        <v>0.14499999999999999</v>
      </c>
    </row>
    <row r="28" spans="1:11" ht="6" customHeight="1" thickBot="1" x14ac:dyDescent="0.3">
      <c r="A28" s="337"/>
      <c r="B28" s="336"/>
      <c r="C28" s="1073"/>
      <c r="D28" s="1074"/>
      <c r="E28" s="1074"/>
      <c r="F28" s="1074"/>
      <c r="G28" s="1074"/>
      <c r="H28" s="1074"/>
      <c r="I28" s="1074"/>
      <c r="J28" s="1074"/>
      <c r="K28" s="1075"/>
    </row>
    <row r="29" spans="1:11" x14ac:dyDescent="0.25">
      <c r="A29" s="1067">
        <v>2013</v>
      </c>
      <c r="B29" s="110" t="s">
        <v>90</v>
      </c>
      <c r="C29" s="100">
        <v>31311</v>
      </c>
      <c r="D29" s="111">
        <v>23297</v>
      </c>
      <c r="E29" s="686">
        <v>0.57299999999999995</v>
      </c>
      <c r="F29" s="100">
        <v>30411</v>
      </c>
      <c r="G29" s="111">
        <v>14542</v>
      </c>
      <c r="H29" s="686">
        <v>0.67700000000000005</v>
      </c>
      <c r="I29" s="100">
        <v>1560</v>
      </c>
      <c r="J29" s="111">
        <v>9348</v>
      </c>
      <c r="K29" s="686">
        <v>0.14299999999999999</v>
      </c>
    </row>
    <row r="30" spans="1:11" x14ac:dyDescent="0.25">
      <c r="A30" s="1068"/>
      <c r="B30" s="112" t="s">
        <v>52</v>
      </c>
      <c r="C30" s="101">
        <v>26843</v>
      </c>
      <c r="D30" s="113">
        <v>19726</v>
      </c>
      <c r="E30" s="687">
        <v>0.57599999999999996</v>
      </c>
      <c r="F30" s="101">
        <v>25621</v>
      </c>
      <c r="G30" s="113">
        <v>11444</v>
      </c>
      <c r="H30" s="687">
        <v>0.69099999999999995</v>
      </c>
      <c r="I30" s="101">
        <v>1713</v>
      </c>
      <c r="J30" s="113">
        <v>8609</v>
      </c>
      <c r="K30" s="687">
        <v>0.16600000000000001</v>
      </c>
    </row>
    <row r="31" spans="1:11" ht="15.75" thickBot="1" x14ac:dyDescent="0.3">
      <c r="A31" s="1069"/>
      <c r="B31" s="114" t="s">
        <v>53</v>
      </c>
      <c r="C31" s="102">
        <v>24481</v>
      </c>
      <c r="D31" s="115">
        <v>17147</v>
      </c>
      <c r="E31" s="688">
        <v>0.58799999999999997</v>
      </c>
      <c r="F31" s="102">
        <v>23380</v>
      </c>
      <c r="G31" s="115">
        <v>10143</v>
      </c>
      <c r="H31" s="688">
        <v>0.69699999999999995</v>
      </c>
      <c r="I31" s="102">
        <v>1129</v>
      </c>
      <c r="J31" s="115">
        <v>7030</v>
      </c>
      <c r="K31" s="688">
        <v>0.13800000000000001</v>
      </c>
    </row>
    <row r="32" spans="1:11" x14ac:dyDescent="0.25">
      <c r="A32" s="719"/>
      <c r="B32" s="116"/>
      <c r="C32" s="48"/>
      <c r="D32" s="48"/>
      <c r="E32" s="48"/>
      <c r="F32" s="48"/>
      <c r="G32" s="48"/>
      <c r="H32" s="48"/>
      <c r="I32" s="48"/>
      <c r="J32" s="48"/>
      <c r="K32" s="11" t="s">
        <v>468</v>
      </c>
    </row>
    <row r="34" spans="3:6" x14ac:dyDescent="0.25">
      <c r="C34" s="689"/>
      <c r="D34" s="689"/>
      <c r="F34" s="689"/>
    </row>
  </sheetData>
  <mergeCells count="19">
    <mergeCell ref="A29:A31"/>
    <mergeCell ref="A1:K1"/>
    <mergeCell ref="A2:A3"/>
    <mergeCell ref="C8:K8"/>
    <mergeCell ref="C12:K12"/>
    <mergeCell ref="C16:K16"/>
    <mergeCell ref="F2:H2"/>
    <mergeCell ref="I2:K2"/>
    <mergeCell ref="C4:K4"/>
    <mergeCell ref="A5:A7"/>
    <mergeCell ref="C24:K24"/>
    <mergeCell ref="C28:K28"/>
    <mergeCell ref="C20:K20"/>
    <mergeCell ref="A17:A19"/>
    <mergeCell ref="A21:A23"/>
    <mergeCell ref="C2:E2"/>
    <mergeCell ref="A25:A27"/>
    <mergeCell ref="A9:A11"/>
    <mergeCell ref="A13:A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72"/>
  <sheetViews>
    <sheetView tabSelected="1" zoomScaleNormal="100" zoomScaleSheetLayoutView="85" workbookViewId="0">
      <selection activeCell="A35" sqref="A35"/>
    </sheetView>
  </sheetViews>
  <sheetFormatPr defaultRowHeight="15" x14ac:dyDescent="0.25"/>
  <cols>
    <col min="1" max="1" width="15.7109375" style="154" customWidth="1"/>
    <col min="2" max="2" width="9.42578125" style="154" customWidth="1"/>
    <col min="3" max="3" width="8.28515625" style="154" customWidth="1"/>
    <col min="4" max="4" width="8.140625" style="154" customWidth="1"/>
    <col min="5" max="5" width="8.85546875" style="154" customWidth="1"/>
    <col min="6" max="6" width="7.5703125" style="154" customWidth="1"/>
    <col min="7" max="7" width="7.140625" style="154" customWidth="1"/>
    <col min="8" max="8" width="8.85546875" style="154" customWidth="1"/>
    <col min="9" max="9" width="8" style="154" customWidth="1"/>
    <col min="10" max="10" width="7.140625" style="154" customWidth="1"/>
    <col min="11" max="16384" width="9.140625" style="154"/>
  </cols>
  <sheetData>
    <row r="1" spans="1:10" ht="51" customHeight="1" thickBot="1" x14ac:dyDescent="0.3">
      <c r="A1" s="1070" t="s">
        <v>467</v>
      </c>
      <c r="B1" s="1070"/>
      <c r="C1" s="1070"/>
      <c r="D1" s="1070"/>
      <c r="E1" s="1070"/>
      <c r="F1" s="1070"/>
      <c r="G1" s="1070"/>
      <c r="H1" s="1070"/>
      <c r="I1" s="1070"/>
      <c r="J1" s="1070"/>
    </row>
    <row r="2" spans="1:10" ht="24.75" customHeight="1" thickBot="1" x14ac:dyDescent="0.3">
      <c r="A2" s="150" t="s">
        <v>86</v>
      </c>
      <c r="B2" s="1076" t="s">
        <v>87</v>
      </c>
      <c r="C2" s="1077"/>
      <c r="D2" s="1078"/>
      <c r="E2" s="1076" t="s">
        <v>88</v>
      </c>
      <c r="F2" s="1077"/>
      <c r="G2" s="1078"/>
      <c r="H2" s="1076" t="s">
        <v>364</v>
      </c>
      <c r="I2" s="1077"/>
      <c r="J2" s="1078"/>
    </row>
    <row r="3" spans="1:10" ht="18.75" customHeight="1" x14ac:dyDescent="0.25">
      <c r="A3" s="1079" t="s">
        <v>43</v>
      </c>
      <c r="B3" s="1076" t="s">
        <v>70</v>
      </c>
      <c r="C3" s="1077"/>
      <c r="D3" s="1078"/>
      <c r="E3" s="1076" t="s">
        <v>70</v>
      </c>
      <c r="F3" s="1077"/>
      <c r="G3" s="1078"/>
      <c r="H3" s="1076" t="s">
        <v>70</v>
      </c>
      <c r="I3" s="1077"/>
      <c r="J3" s="1078"/>
    </row>
    <row r="4" spans="1:10" ht="18.75" customHeight="1" x14ac:dyDescent="0.25">
      <c r="A4" s="1080"/>
      <c r="B4" s="1082" t="s">
        <v>71</v>
      </c>
      <c r="C4" s="1083"/>
      <c r="D4" s="1084"/>
      <c r="E4" s="1082" t="s">
        <v>71</v>
      </c>
      <c r="F4" s="1083"/>
      <c r="G4" s="1084"/>
      <c r="H4" s="1082" t="s">
        <v>71</v>
      </c>
      <c r="I4" s="1083"/>
      <c r="J4" s="1084"/>
    </row>
    <row r="5" spans="1:10" ht="17.25" customHeight="1" x14ac:dyDescent="0.25">
      <c r="A5" s="1080"/>
      <c r="B5" s="1085" t="s">
        <v>72</v>
      </c>
      <c r="C5" s="117" t="s">
        <v>91</v>
      </c>
      <c r="D5" s="118"/>
      <c r="E5" s="1085" t="s">
        <v>72</v>
      </c>
      <c r="F5" s="117" t="s">
        <v>91</v>
      </c>
      <c r="G5" s="118"/>
      <c r="H5" s="1085" t="s">
        <v>72</v>
      </c>
      <c r="I5" s="117" t="s">
        <v>91</v>
      </c>
      <c r="J5" s="118"/>
    </row>
    <row r="6" spans="1:10" ht="86.25" customHeight="1" thickBot="1" x14ac:dyDescent="0.3">
      <c r="A6" s="1081"/>
      <c r="B6" s="1086"/>
      <c r="C6" s="119" t="s">
        <v>54</v>
      </c>
      <c r="D6" s="120" t="s">
        <v>92</v>
      </c>
      <c r="E6" s="1086"/>
      <c r="F6" s="119" t="s">
        <v>54</v>
      </c>
      <c r="G6" s="120" t="s">
        <v>92</v>
      </c>
      <c r="H6" s="1086"/>
      <c r="I6" s="119" t="s">
        <v>54</v>
      </c>
      <c r="J6" s="120" t="s">
        <v>92</v>
      </c>
    </row>
    <row r="7" spans="1:10" x14ac:dyDescent="0.25">
      <c r="A7" s="1087" t="s">
        <v>23</v>
      </c>
      <c r="B7" s="803">
        <v>3644</v>
      </c>
      <c r="C7" s="705">
        <v>2848</v>
      </c>
      <c r="D7" s="706">
        <v>0.78155872667398463</v>
      </c>
      <c r="E7" s="704">
        <v>737</v>
      </c>
      <c r="F7" s="705">
        <v>538</v>
      </c>
      <c r="G7" s="706">
        <v>0.7299864314789688</v>
      </c>
      <c r="H7" s="707">
        <v>4381</v>
      </c>
      <c r="I7" s="705">
        <v>3386</v>
      </c>
      <c r="J7" s="706">
        <v>0.77288290344670163</v>
      </c>
    </row>
    <row r="8" spans="1:10" x14ac:dyDescent="0.25">
      <c r="A8" s="1088"/>
      <c r="B8" s="774">
        <v>2523</v>
      </c>
      <c r="C8" s="709">
        <v>2174</v>
      </c>
      <c r="D8" s="710">
        <v>0.8616726119698771</v>
      </c>
      <c r="E8" s="708">
        <v>586</v>
      </c>
      <c r="F8" s="709">
        <v>432</v>
      </c>
      <c r="G8" s="710">
        <v>0.73720136518771329</v>
      </c>
      <c r="H8" s="711">
        <v>3109</v>
      </c>
      <c r="I8" s="709">
        <v>2606</v>
      </c>
      <c r="J8" s="710">
        <v>0.83821164361531042</v>
      </c>
    </row>
    <row r="9" spans="1:10" x14ac:dyDescent="0.25">
      <c r="A9" s="1089" t="s">
        <v>26</v>
      </c>
      <c r="B9" s="774">
        <v>471</v>
      </c>
      <c r="C9" s="709">
        <v>213</v>
      </c>
      <c r="D9" s="710">
        <v>0.45222929936305734</v>
      </c>
      <c r="E9" s="708">
        <v>2351</v>
      </c>
      <c r="F9" s="709">
        <v>1871</v>
      </c>
      <c r="G9" s="710">
        <v>0.79583156103785624</v>
      </c>
      <c r="H9" s="708">
        <v>2822</v>
      </c>
      <c r="I9" s="709">
        <v>2084</v>
      </c>
      <c r="J9" s="710">
        <v>0.73848334514528702</v>
      </c>
    </row>
    <row r="10" spans="1:10" x14ac:dyDescent="0.25">
      <c r="A10" s="1088"/>
      <c r="B10" s="774">
        <v>323</v>
      </c>
      <c r="C10" s="709">
        <v>194</v>
      </c>
      <c r="D10" s="710">
        <v>0.60061919504643968</v>
      </c>
      <c r="E10" s="708">
        <v>2208</v>
      </c>
      <c r="F10" s="709">
        <v>1750</v>
      </c>
      <c r="G10" s="710">
        <v>0.79257246376811596</v>
      </c>
      <c r="H10" s="708">
        <v>2531</v>
      </c>
      <c r="I10" s="709">
        <v>1944</v>
      </c>
      <c r="J10" s="710">
        <v>0.76807585934413281</v>
      </c>
    </row>
    <row r="11" spans="1:10" x14ac:dyDescent="0.25">
      <c r="A11" s="1089" t="s">
        <v>24</v>
      </c>
      <c r="B11" s="774">
        <v>2692</v>
      </c>
      <c r="C11" s="709">
        <v>2359</v>
      </c>
      <c r="D11" s="710">
        <v>0.8763001485884101</v>
      </c>
      <c r="E11" s="708">
        <v>0</v>
      </c>
      <c r="F11" s="709">
        <v>0</v>
      </c>
      <c r="G11" s="712" t="s">
        <v>93</v>
      </c>
      <c r="H11" s="711">
        <v>2692</v>
      </c>
      <c r="I11" s="709">
        <v>2359</v>
      </c>
      <c r="J11" s="710">
        <v>0.8763001485884101</v>
      </c>
    </row>
    <row r="12" spans="1:10" x14ac:dyDescent="0.25">
      <c r="A12" s="1088"/>
      <c r="B12" s="774">
        <v>2153</v>
      </c>
      <c r="C12" s="709">
        <v>1955</v>
      </c>
      <c r="D12" s="710">
        <v>0.90803529958197859</v>
      </c>
      <c r="E12" s="708">
        <v>0</v>
      </c>
      <c r="F12" s="709">
        <v>0</v>
      </c>
      <c r="G12" s="712" t="s">
        <v>93</v>
      </c>
      <c r="H12" s="711">
        <v>2153</v>
      </c>
      <c r="I12" s="709">
        <v>1955</v>
      </c>
      <c r="J12" s="710">
        <v>0.90803529958197859</v>
      </c>
    </row>
    <row r="13" spans="1:10" x14ac:dyDescent="0.25">
      <c r="A13" s="1089" t="s">
        <v>25</v>
      </c>
      <c r="B13" s="774">
        <v>2120</v>
      </c>
      <c r="C13" s="709">
        <v>2060</v>
      </c>
      <c r="D13" s="710">
        <v>0.97169811320754718</v>
      </c>
      <c r="E13" s="708">
        <v>414</v>
      </c>
      <c r="F13" s="709">
        <v>343</v>
      </c>
      <c r="G13" s="710">
        <v>0.82850241545893721</v>
      </c>
      <c r="H13" s="711">
        <v>2534</v>
      </c>
      <c r="I13" s="709">
        <v>2403</v>
      </c>
      <c r="J13" s="710">
        <v>0.94830307813733228</v>
      </c>
    </row>
    <row r="14" spans="1:10" x14ac:dyDescent="0.25">
      <c r="A14" s="1088"/>
      <c r="B14" s="774">
        <v>1736</v>
      </c>
      <c r="C14" s="709">
        <v>1704</v>
      </c>
      <c r="D14" s="710">
        <v>0.98156682027649766</v>
      </c>
      <c r="E14" s="708">
        <v>340</v>
      </c>
      <c r="F14" s="709">
        <v>291</v>
      </c>
      <c r="G14" s="710">
        <v>0.85588235294117643</v>
      </c>
      <c r="H14" s="711">
        <v>2076</v>
      </c>
      <c r="I14" s="709">
        <v>1995</v>
      </c>
      <c r="J14" s="710">
        <v>0.96098265895953761</v>
      </c>
    </row>
    <row r="15" spans="1:10" x14ac:dyDescent="0.25">
      <c r="A15" s="1089" t="s">
        <v>27</v>
      </c>
      <c r="B15" s="774">
        <v>1914</v>
      </c>
      <c r="C15" s="709">
        <v>1614</v>
      </c>
      <c r="D15" s="710">
        <v>0.84326018808777425</v>
      </c>
      <c r="E15" s="708">
        <v>607</v>
      </c>
      <c r="F15" s="709">
        <v>408</v>
      </c>
      <c r="G15" s="710">
        <v>0.67215815485996711</v>
      </c>
      <c r="H15" s="711">
        <v>2521</v>
      </c>
      <c r="I15" s="709">
        <v>2022</v>
      </c>
      <c r="J15" s="710">
        <v>0.80206267354224514</v>
      </c>
    </row>
    <row r="16" spans="1:10" x14ac:dyDescent="0.25">
      <c r="A16" s="1088"/>
      <c r="B16" s="774">
        <v>1418</v>
      </c>
      <c r="C16" s="709">
        <v>1309</v>
      </c>
      <c r="D16" s="710">
        <v>0.92313117066290551</v>
      </c>
      <c r="E16" s="708">
        <v>370</v>
      </c>
      <c r="F16" s="709">
        <v>291</v>
      </c>
      <c r="G16" s="710">
        <v>0.78648648648648645</v>
      </c>
      <c r="H16" s="711">
        <v>1788</v>
      </c>
      <c r="I16" s="709">
        <v>1600</v>
      </c>
      <c r="J16" s="710">
        <v>0.89485458612975388</v>
      </c>
    </row>
    <row r="17" spans="1:10" ht="15" customHeight="1" x14ac:dyDescent="0.25">
      <c r="A17" s="1089" t="s">
        <v>28</v>
      </c>
      <c r="B17" s="774">
        <v>1662</v>
      </c>
      <c r="C17" s="709">
        <v>1398</v>
      </c>
      <c r="D17" s="710">
        <v>0.84115523465703967</v>
      </c>
      <c r="E17" s="708">
        <v>679</v>
      </c>
      <c r="F17" s="709">
        <v>538</v>
      </c>
      <c r="G17" s="710">
        <v>0.79234167893961704</v>
      </c>
      <c r="H17" s="708">
        <v>2341</v>
      </c>
      <c r="I17" s="709">
        <v>1936</v>
      </c>
      <c r="J17" s="710">
        <v>0.82699700982486113</v>
      </c>
    </row>
    <row r="18" spans="1:10" x14ac:dyDescent="0.25">
      <c r="A18" s="1091"/>
      <c r="B18" s="774">
        <v>1217</v>
      </c>
      <c r="C18" s="709">
        <v>1099</v>
      </c>
      <c r="D18" s="710">
        <v>0.90304026294165984</v>
      </c>
      <c r="E18" s="708">
        <v>515</v>
      </c>
      <c r="F18" s="709">
        <v>425</v>
      </c>
      <c r="G18" s="710">
        <v>0.82524271844660191</v>
      </c>
      <c r="H18" s="708">
        <v>1732</v>
      </c>
      <c r="I18" s="709">
        <v>1524</v>
      </c>
      <c r="J18" s="710">
        <v>0.87990762124711319</v>
      </c>
    </row>
    <row r="19" spans="1:10" ht="15" customHeight="1" x14ac:dyDescent="0.25">
      <c r="A19" s="1089" t="s">
        <v>159</v>
      </c>
      <c r="B19" s="774">
        <v>1502</v>
      </c>
      <c r="C19" s="709">
        <v>1168</v>
      </c>
      <c r="D19" s="710">
        <v>0.77762982689747007</v>
      </c>
      <c r="E19" s="708">
        <v>797</v>
      </c>
      <c r="F19" s="709">
        <v>524</v>
      </c>
      <c r="G19" s="710">
        <v>0.65746549560853196</v>
      </c>
      <c r="H19" s="711">
        <v>2299</v>
      </c>
      <c r="I19" s="709">
        <v>1692</v>
      </c>
      <c r="J19" s="710">
        <v>0.73597216180948233</v>
      </c>
    </row>
    <row r="20" spans="1:10" x14ac:dyDescent="0.25">
      <c r="A20" s="1088"/>
      <c r="B20" s="774">
        <v>1167</v>
      </c>
      <c r="C20" s="709">
        <v>987</v>
      </c>
      <c r="D20" s="710">
        <v>0.84575835475578409</v>
      </c>
      <c r="E20" s="708">
        <v>580</v>
      </c>
      <c r="F20" s="709">
        <v>401</v>
      </c>
      <c r="G20" s="710">
        <v>0.69137931034482758</v>
      </c>
      <c r="H20" s="711">
        <v>1747</v>
      </c>
      <c r="I20" s="709">
        <v>1388</v>
      </c>
      <c r="J20" s="710">
        <v>0.79450486548368637</v>
      </c>
    </row>
    <row r="21" spans="1:10" x14ac:dyDescent="0.25">
      <c r="A21" s="1090" t="s">
        <v>45</v>
      </c>
      <c r="B21" s="774">
        <v>1615</v>
      </c>
      <c r="C21" s="709">
        <v>1486</v>
      </c>
      <c r="D21" s="710">
        <v>0.92012383900928796</v>
      </c>
      <c r="E21" s="708">
        <v>281</v>
      </c>
      <c r="F21" s="709">
        <v>226</v>
      </c>
      <c r="G21" s="710">
        <v>0.80427046263345192</v>
      </c>
      <c r="H21" s="711">
        <v>1896</v>
      </c>
      <c r="I21" s="709">
        <v>1712</v>
      </c>
      <c r="J21" s="710">
        <v>0.90295358649789026</v>
      </c>
    </row>
    <row r="22" spans="1:10" x14ac:dyDescent="0.25">
      <c r="A22" s="1088"/>
      <c r="B22" s="774">
        <v>1299</v>
      </c>
      <c r="C22" s="709">
        <v>1239</v>
      </c>
      <c r="D22" s="710">
        <v>0.95381062355658197</v>
      </c>
      <c r="E22" s="708">
        <v>218</v>
      </c>
      <c r="F22" s="709">
        <v>181</v>
      </c>
      <c r="G22" s="710">
        <v>0.83027522935779818</v>
      </c>
      <c r="H22" s="711">
        <v>1517</v>
      </c>
      <c r="I22" s="709">
        <v>1420</v>
      </c>
      <c r="J22" s="710">
        <v>0.93605800922874094</v>
      </c>
    </row>
    <row r="23" spans="1:10" x14ac:dyDescent="0.25">
      <c r="A23" s="1089" t="s">
        <v>30</v>
      </c>
      <c r="B23" s="774">
        <v>1335</v>
      </c>
      <c r="C23" s="709">
        <v>1124</v>
      </c>
      <c r="D23" s="710">
        <v>0.84194756554307115</v>
      </c>
      <c r="E23" s="708">
        <v>471</v>
      </c>
      <c r="F23" s="709">
        <v>331</v>
      </c>
      <c r="G23" s="710">
        <v>0.70276008492568998</v>
      </c>
      <c r="H23" s="711">
        <v>1806</v>
      </c>
      <c r="I23" s="709">
        <v>1455</v>
      </c>
      <c r="J23" s="710">
        <v>0.80564784053156147</v>
      </c>
    </row>
    <row r="24" spans="1:10" x14ac:dyDescent="0.25">
      <c r="A24" s="1088"/>
      <c r="B24" s="774">
        <v>1213</v>
      </c>
      <c r="C24" s="709">
        <v>1060</v>
      </c>
      <c r="D24" s="710">
        <v>0.87386644682605108</v>
      </c>
      <c r="E24" s="708">
        <v>411</v>
      </c>
      <c r="F24" s="709">
        <v>314</v>
      </c>
      <c r="G24" s="710">
        <v>0.76399026763990263</v>
      </c>
      <c r="H24" s="711">
        <v>1624</v>
      </c>
      <c r="I24" s="709">
        <v>1374</v>
      </c>
      <c r="J24" s="710">
        <v>0.84605911330049266</v>
      </c>
    </row>
    <row r="25" spans="1:10" x14ac:dyDescent="0.25">
      <c r="A25" s="1089" t="s">
        <v>29</v>
      </c>
      <c r="B25" s="774">
        <v>1226</v>
      </c>
      <c r="C25" s="709">
        <v>1063</v>
      </c>
      <c r="D25" s="710">
        <v>0.86704730831973897</v>
      </c>
      <c r="E25" s="708">
        <v>428</v>
      </c>
      <c r="F25" s="709">
        <v>331</v>
      </c>
      <c r="G25" s="710">
        <v>0.77336448598130836</v>
      </c>
      <c r="H25" s="708">
        <v>1654</v>
      </c>
      <c r="I25" s="709">
        <v>1394</v>
      </c>
      <c r="J25" s="710">
        <v>0.84280532043530831</v>
      </c>
    </row>
    <row r="26" spans="1:10" x14ac:dyDescent="0.25">
      <c r="A26" s="1088"/>
      <c r="B26" s="774">
        <v>880</v>
      </c>
      <c r="C26" s="709">
        <v>813</v>
      </c>
      <c r="D26" s="710">
        <v>0.92386363636363633</v>
      </c>
      <c r="E26" s="708">
        <v>372</v>
      </c>
      <c r="F26" s="709">
        <v>300</v>
      </c>
      <c r="G26" s="710">
        <v>0.80645161290322576</v>
      </c>
      <c r="H26" s="708">
        <v>1252</v>
      </c>
      <c r="I26" s="709">
        <v>1113</v>
      </c>
      <c r="J26" s="710">
        <v>0.88897763578274758</v>
      </c>
    </row>
    <row r="27" spans="1:10" x14ac:dyDescent="0.25">
      <c r="A27" s="1089" t="s">
        <v>33</v>
      </c>
      <c r="B27" s="774">
        <v>781</v>
      </c>
      <c r="C27" s="709">
        <v>683</v>
      </c>
      <c r="D27" s="710">
        <v>0.87451984635083224</v>
      </c>
      <c r="E27" s="708">
        <v>647</v>
      </c>
      <c r="F27" s="709">
        <v>470</v>
      </c>
      <c r="G27" s="710">
        <v>0.72642967542503867</v>
      </c>
      <c r="H27" s="708">
        <v>1428</v>
      </c>
      <c r="I27" s="709">
        <v>1153</v>
      </c>
      <c r="J27" s="710">
        <v>0.80742296918767509</v>
      </c>
    </row>
    <row r="28" spans="1:10" x14ac:dyDescent="0.25">
      <c r="A28" s="1088"/>
      <c r="B28" s="774">
        <v>566</v>
      </c>
      <c r="C28" s="709">
        <v>520</v>
      </c>
      <c r="D28" s="710">
        <v>0.91872791519434627</v>
      </c>
      <c r="E28" s="708">
        <v>476</v>
      </c>
      <c r="F28" s="709">
        <v>366</v>
      </c>
      <c r="G28" s="710">
        <v>0.76890756302521013</v>
      </c>
      <c r="H28" s="708">
        <v>1042</v>
      </c>
      <c r="I28" s="709">
        <v>886</v>
      </c>
      <c r="J28" s="710">
        <v>0.85028790786948172</v>
      </c>
    </row>
    <row r="29" spans="1:10" x14ac:dyDescent="0.25">
      <c r="A29" s="1089" t="s">
        <v>31</v>
      </c>
      <c r="B29" s="774">
        <v>1129</v>
      </c>
      <c r="C29" s="709">
        <v>1035</v>
      </c>
      <c r="D29" s="710">
        <v>0.91674047829937999</v>
      </c>
      <c r="E29" s="708">
        <v>185</v>
      </c>
      <c r="F29" s="709">
        <v>166</v>
      </c>
      <c r="G29" s="710">
        <v>0.89729729729729735</v>
      </c>
      <c r="H29" s="711">
        <v>1314</v>
      </c>
      <c r="I29" s="709">
        <v>1201</v>
      </c>
      <c r="J29" s="710">
        <v>0.91400304414003042</v>
      </c>
    </row>
    <row r="30" spans="1:10" x14ac:dyDescent="0.25">
      <c r="A30" s="1088"/>
      <c r="B30" s="774">
        <v>916</v>
      </c>
      <c r="C30" s="709">
        <v>896</v>
      </c>
      <c r="D30" s="710">
        <v>0.97816593886462877</v>
      </c>
      <c r="E30" s="708">
        <v>125</v>
      </c>
      <c r="F30" s="709">
        <v>118</v>
      </c>
      <c r="G30" s="710">
        <v>0.94399999999999995</v>
      </c>
      <c r="H30" s="711">
        <v>1041</v>
      </c>
      <c r="I30" s="709">
        <v>1014</v>
      </c>
      <c r="J30" s="710">
        <v>0.97406340057636887</v>
      </c>
    </row>
    <row r="31" spans="1:10" ht="15" customHeight="1" x14ac:dyDescent="0.25">
      <c r="A31" s="1089" t="s">
        <v>32</v>
      </c>
      <c r="B31" s="774">
        <v>836</v>
      </c>
      <c r="C31" s="709">
        <v>636</v>
      </c>
      <c r="D31" s="710">
        <v>0.76076555023923442</v>
      </c>
      <c r="E31" s="708">
        <v>451</v>
      </c>
      <c r="F31" s="709">
        <v>332</v>
      </c>
      <c r="G31" s="710">
        <v>0.73614190687361414</v>
      </c>
      <c r="H31" s="711">
        <v>1287</v>
      </c>
      <c r="I31" s="709">
        <v>968</v>
      </c>
      <c r="J31" s="710">
        <v>0.75213675213675213</v>
      </c>
    </row>
    <row r="32" spans="1:10" x14ac:dyDescent="0.25">
      <c r="A32" s="1088"/>
      <c r="B32" s="774">
        <v>592</v>
      </c>
      <c r="C32" s="709">
        <v>516</v>
      </c>
      <c r="D32" s="710">
        <v>0.8716216216216216</v>
      </c>
      <c r="E32" s="708">
        <v>301</v>
      </c>
      <c r="F32" s="709">
        <v>231</v>
      </c>
      <c r="G32" s="710">
        <v>0.76744186046511631</v>
      </c>
      <c r="H32" s="711">
        <v>893</v>
      </c>
      <c r="I32" s="709">
        <v>747</v>
      </c>
      <c r="J32" s="710">
        <v>0.83650615901455772</v>
      </c>
    </row>
    <row r="33" spans="1:10" x14ac:dyDescent="0.25">
      <c r="A33" s="1089" t="s">
        <v>34</v>
      </c>
      <c r="B33" s="774">
        <v>780</v>
      </c>
      <c r="C33" s="709">
        <v>566</v>
      </c>
      <c r="D33" s="710">
        <v>0.72564102564102562</v>
      </c>
      <c r="E33" s="708">
        <v>402</v>
      </c>
      <c r="F33" s="709">
        <v>172</v>
      </c>
      <c r="G33" s="710">
        <v>0.42786069651741293</v>
      </c>
      <c r="H33" s="708">
        <v>1182</v>
      </c>
      <c r="I33" s="709">
        <v>738</v>
      </c>
      <c r="J33" s="710">
        <v>0.62436548223350252</v>
      </c>
    </row>
    <row r="34" spans="1:10" x14ac:dyDescent="0.25">
      <c r="A34" s="1088"/>
      <c r="B34" s="774">
        <v>508</v>
      </c>
      <c r="C34" s="709">
        <v>423</v>
      </c>
      <c r="D34" s="710">
        <v>0.83267716535433067</v>
      </c>
      <c r="E34" s="708">
        <v>271</v>
      </c>
      <c r="F34" s="709">
        <v>108</v>
      </c>
      <c r="G34" s="710">
        <v>0.39852398523985239</v>
      </c>
      <c r="H34" s="708">
        <v>779</v>
      </c>
      <c r="I34" s="709">
        <v>531</v>
      </c>
      <c r="J34" s="710">
        <v>0.68164313222079587</v>
      </c>
    </row>
    <row r="35" spans="1:10" x14ac:dyDescent="0.25">
      <c r="A35" s="1089" t="s">
        <v>359</v>
      </c>
      <c r="B35" s="774">
        <v>24</v>
      </c>
      <c r="C35" s="709">
        <v>20</v>
      </c>
      <c r="D35" s="710">
        <v>0.83333333333333337</v>
      </c>
      <c r="E35" s="708">
        <v>980</v>
      </c>
      <c r="F35" s="709">
        <v>803</v>
      </c>
      <c r="G35" s="710">
        <v>0.81938775510204087</v>
      </c>
      <c r="H35" s="708">
        <v>1004</v>
      </c>
      <c r="I35" s="709">
        <v>823</v>
      </c>
      <c r="J35" s="710">
        <v>0.81972111553784865</v>
      </c>
    </row>
    <row r="36" spans="1:10" x14ac:dyDescent="0.25">
      <c r="A36" s="1088"/>
      <c r="B36" s="774">
        <v>56</v>
      </c>
      <c r="C36" s="709">
        <v>48</v>
      </c>
      <c r="D36" s="710">
        <v>0.8571428571428571</v>
      </c>
      <c r="E36" s="708">
        <v>706</v>
      </c>
      <c r="F36" s="709">
        <v>580</v>
      </c>
      <c r="G36" s="710">
        <v>0.82152974504249288</v>
      </c>
      <c r="H36" s="708">
        <v>762</v>
      </c>
      <c r="I36" s="709">
        <v>628</v>
      </c>
      <c r="J36" s="710">
        <v>0.8241469816272966</v>
      </c>
    </row>
    <row r="37" spans="1:10" ht="15" customHeight="1" x14ac:dyDescent="0.25">
      <c r="A37" s="1089" t="s">
        <v>100</v>
      </c>
      <c r="B37" s="774">
        <v>484</v>
      </c>
      <c r="C37" s="709">
        <v>422</v>
      </c>
      <c r="D37" s="710">
        <v>0.87190082644628097</v>
      </c>
      <c r="E37" s="708">
        <v>487</v>
      </c>
      <c r="F37" s="709">
        <v>339</v>
      </c>
      <c r="G37" s="710">
        <v>0.6960985626283368</v>
      </c>
      <c r="H37" s="708">
        <v>971</v>
      </c>
      <c r="I37" s="709">
        <v>761</v>
      </c>
      <c r="J37" s="710">
        <v>0.78372811534500519</v>
      </c>
    </row>
    <row r="38" spans="1:10" x14ac:dyDescent="0.25">
      <c r="A38" s="1088"/>
      <c r="B38" s="774">
        <v>422</v>
      </c>
      <c r="C38" s="709">
        <v>388</v>
      </c>
      <c r="D38" s="710">
        <v>0.91943127962085303</v>
      </c>
      <c r="E38" s="708">
        <v>393</v>
      </c>
      <c r="F38" s="709">
        <v>298</v>
      </c>
      <c r="G38" s="710">
        <v>0.75826972010178118</v>
      </c>
      <c r="H38" s="708">
        <v>815</v>
      </c>
      <c r="I38" s="709">
        <v>686</v>
      </c>
      <c r="J38" s="710">
        <v>0.84171779141104297</v>
      </c>
    </row>
    <row r="39" spans="1:10" x14ac:dyDescent="0.25">
      <c r="A39" s="1089" t="s">
        <v>35</v>
      </c>
      <c r="B39" s="774">
        <v>127</v>
      </c>
      <c r="C39" s="709">
        <v>113</v>
      </c>
      <c r="D39" s="710">
        <v>0.88976377952755903</v>
      </c>
      <c r="E39" s="708">
        <v>794</v>
      </c>
      <c r="F39" s="709">
        <v>594</v>
      </c>
      <c r="G39" s="710">
        <v>0.74811083123425692</v>
      </c>
      <c r="H39" s="708">
        <v>921</v>
      </c>
      <c r="I39" s="709">
        <v>707</v>
      </c>
      <c r="J39" s="710">
        <v>0.76764386536373508</v>
      </c>
    </row>
    <row r="40" spans="1:10" x14ac:dyDescent="0.25">
      <c r="A40" s="1088"/>
      <c r="B40" s="774">
        <v>103</v>
      </c>
      <c r="C40" s="709">
        <v>97</v>
      </c>
      <c r="D40" s="710">
        <v>0.94174757281553401</v>
      </c>
      <c r="E40" s="708">
        <v>613</v>
      </c>
      <c r="F40" s="709">
        <v>516</v>
      </c>
      <c r="G40" s="710">
        <v>0.84176182707993474</v>
      </c>
      <c r="H40" s="708">
        <v>716</v>
      </c>
      <c r="I40" s="709">
        <v>613</v>
      </c>
      <c r="J40" s="710">
        <v>0.8561452513966481</v>
      </c>
    </row>
    <row r="41" spans="1:10" x14ac:dyDescent="0.25">
      <c r="A41" s="1089" t="s">
        <v>36</v>
      </c>
      <c r="B41" s="774">
        <v>576</v>
      </c>
      <c r="C41" s="709">
        <v>532</v>
      </c>
      <c r="D41" s="710">
        <v>0.92361111111111116</v>
      </c>
      <c r="E41" s="708">
        <v>198</v>
      </c>
      <c r="F41" s="709">
        <v>158</v>
      </c>
      <c r="G41" s="710">
        <v>0.79797979797979801</v>
      </c>
      <c r="H41" s="711">
        <v>774</v>
      </c>
      <c r="I41" s="709">
        <v>690</v>
      </c>
      <c r="J41" s="710">
        <v>0.89147286821705429</v>
      </c>
    </row>
    <row r="42" spans="1:10" x14ac:dyDescent="0.25">
      <c r="A42" s="1088"/>
      <c r="B42" s="774">
        <v>532</v>
      </c>
      <c r="C42" s="709">
        <v>499</v>
      </c>
      <c r="D42" s="710">
        <v>0.93796992481203012</v>
      </c>
      <c r="E42" s="708">
        <v>174</v>
      </c>
      <c r="F42" s="709">
        <v>148</v>
      </c>
      <c r="G42" s="710">
        <v>0.85057471264367812</v>
      </c>
      <c r="H42" s="711">
        <v>706</v>
      </c>
      <c r="I42" s="709">
        <v>647</v>
      </c>
      <c r="J42" s="710">
        <v>0.91643059490084988</v>
      </c>
    </row>
    <row r="43" spans="1:10" x14ac:dyDescent="0.25">
      <c r="A43" s="1089" t="s">
        <v>38</v>
      </c>
      <c r="B43" s="774">
        <v>101</v>
      </c>
      <c r="C43" s="709">
        <v>93</v>
      </c>
      <c r="D43" s="710">
        <v>0.92079207920792083</v>
      </c>
      <c r="E43" s="708">
        <v>539</v>
      </c>
      <c r="F43" s="709">
        <v>287</v>
      </c>
      <c r="G43" s="710">
        <v>0.53246753246753242</v>
      </c>
      <c r="H43" s="708">
        <v>640</v>
      </c>
      <c r="I43" s="709">
        <v>380</v>
      </c>
      <c r="J43" s="710">
        <v>0.59375</v>
      </c>
    </row>
    <row r="44" spans="1:10" x14ac:dyDescent="0.25">
      <c r="A44" s="1088"/>
      <c r="B44" s="774">
        <v>49</v>
      </c>
      <c r="C44" s="709">
        <v>47</v>
      </c>
      <c r="D44" s="710">
        <v>0.95918367346938771</v>
      </c>
      <c r="E44" s="708">
        <v>328</v>
      </c>
      <c r="F44" s="709">
        <v>170</v>
      </c>
      <c r="G44" s="710">
        <v>0.51829268292682928</v>
      </c>
      <c r="H44" s="708">
        <v>377</v>
      </c>
      <c r="I44" s="709">
        <v>217</v>
      </c>
      <c r="J44" s="710">
        <v>0.5755968169761273</v>
      </c>
    </row>
    <row r="45" spans="1:10" x14ac:dyDescent="0.25">
      <c r="A45" s="1089" t="s">
        <v>348</v>
      </c>
      <c r="B45" s="774">
        <v>294</v>
      </c>
      <c r="C45" s="709">
        <v>264</v>
      </c>
      <c r="D45" s="710">
        <v>0.89795918367346939</v>
      </c>
      <c r="E45" s="708">
        <v>294</v>
      </c>
      <c r="F45" s="709">
        <v>176</v>
      </c>
      <c r="G45" s="710">
        <v>0.59863945578231292</v>
      </c>
      <c r="H45" s="708">
        <v>588</v>
      </c>
      <c r="I45" s="709">
        <v>440</v>
      </c>
      <c r="J45" s="710">
        <v>0.74829931972789121</v>
      </c>
    </row>
    <row r="46" spans="1:10" x14ac:dyDescent="0.25">
      <c r="A46" s="1088"/>
      <c r="B46" s="774">
        <v>242</v>
      </c>
      <c r="C46" s="709">
        <v>221</v>
      </c>
      <c r="D46" s="710">
        <v>0.91322314049586772</v>
      </c>
      <c r="E46" s="708">
        <v>256</v>
      </c>
      <c r="F46" s="709">
        <v>165</v>
      </c>
      <c r="G46" s="710">
        <v>0.64453125</v>
      </c>
      <c r="H46" s="708">
        <v>498</v>
      </c>
      <c r="I46" s="709">
        <v>386</v>
      </c>
      <c r="J46" s="710">
        <v>0.77510040160642568</v>
      </c>
    </row>
    <row r="47" spans="1:10" x14ac:dyDescent="0.25">
      <c r="A47" s="1089" t="s">
        <v>37</v>
      </c>
      <c r="B47" s="774">
        <v>276</v>
      </c>
      <c r="C47" s="709">
        <v>267</v>
      </c>
      <c r="D47" s="710">
        <v>0.96739130434782605</v>
      </c>
      <c r="E47" s="708">
        <v>273</v>
      </c>
      <c r="F47" s="709">
        <v>208</v>
      </c>
      <c r="G47" s="710">
        <v>0.76190476190476186</v>
      </c>
      <c r="H47" s="708">
        <v>549</v>
      </c>
      <c r="I47" s="709">
        <v>475</v>
      </c>
      <c r="J47" s="710">
        <v>0.86520947176684881</v>
      </c>
    </row>
    <row r="48" spans="1:10" x14ac:dyDescent="0.25">
      <c r="A48" s="1088"/>
      <c r="B48" s="774">
        <v>266</v>
      </c>
      <c r="C48" s="709">
        <v>259</v>
      </c>
      <c r="D48" s="710">
        <v>0.97368421052631582</v>
      </c>
      <c r="E48" s="708">
        <v>258</v>
      </c>
      <c r="F48" s="709">
        <v>201</v>
      </c>
      <c r="G48" s="710">
        <v>0.77906976744186052</v>
      </c>
      <c r="H48" s="708">
        <v>524</v>
      </c>
      <c r="I48" s="709">
        <v>460</v>
      </c>
      <c r="J48" s="710">
        <v>0.87786259541984735</v>
      </c>
    </row>
    <row r="49" spans="1:10" ht="15" customHeight="1" x14ac:dyDescent="0.25">
      <c r="A49" s="1089" t="s">
        <v>39</v>
      </c>
      <c r="B49" s="774">
        <v>286</v>
      </c>
      <c r="C49" s="709">
        <v>280</v>
      </c>
      <c r="D49" s="710">
        <v>0.97902097902097907</v>
      </c>
      <c r="E49" s="708">
        <v>90</v>
      </c>
      <c r="F49" s="709">
        <v>86</v>
      </c>
      <c r="G49" s="710">
        <v>0.9555555555555556</v>
      </c>
      <c r="H49" s="708">
        <v>376</v>
      </c>
      <c r="I49" s="709">
        <v>366</v>
      </c>
      <c r="J49" s="710">
        <v>0.97340425531914898</v>
      </c>
    </row>
    <row r="50" spans="1:10" x14ac:dyDescent="0.25">
      <c r="A50" s="1088"/>
      <c r="B50" s="774">
        <v>266</v>
      </c>
      <c r="C50" s="709">
        <v>260</v>
      </c>
      <c r="D50" s="710">
        <v>0.97744360902255634</v>
      </c>
      <c r="E50" s="708">
        <v>75</v>
      </c>
      <c r="F50" s="709">
        <v>72</v>
      </c>
      <c r="G50" s="710">
        <v>0.96</v>
      </c>
      <c r="H50" s="708">
        <v>341</v>
      </c>
      <c r="I50" s="709">
        <v>332</v>
      </c>
      <c r="J50" s="710">
        <v>0.97360703812316718</v>
      </c>
    </row>
    <row r="51" spans="1:10" ht="15" customHeight="1" x14ac:dyDescent="0.25">
      <c r="A51" s="1089" t="s">
        <v>40</v>
      </c>
      <c r="B51" s="774">
        <v>221</v>
      </c>
      <c r="C51" s="709">
        <v>192</v>
      </c>
      <c r="D51" s="710">
        <v>0.86877828054298645</v>
      </c>
      <c r="E51" s="708">
        <v>0</v>
      </c>
      <c r="F51" s="709">
        <v>0</v>
      </c>
      <c r="G51" s="712" t="s">
        <v>93</v>
      </c>
      <c r="H51" s="711">
        <v>221</v>
      </c>
      <c r="I51" s="709">
        <v>192</v>
      </c>
      <c r="J51" s="710">
        <v>0.86877828054298645</v>
      </c>
    </row>
    <row r="52" spans="1:10" x14ac:dyDescent="0.25">
      <c r="A52" s="1088"/>
      <c r="B52" s="774">
        <v>160</v>
      </c>
      <c r="C52" s="709">
        <v>151</v>
      </c>
      <c r="D52" s="710">
        <v>0.94374999999999998</v>
      </c>
      <c r="E52" s="708">
        <v>0</v>
      </c>
      <c r="F52" s="709">
        <v>0</v>
      </c>
      <c r="G52" s="712" t="s">
        <v>93</v>
      </c>
      <c r="H52" s="711">
        <v>160</v>
      </c>
      <c r="I52" s="709">
        <v>151</v>
      </c>
      <c r="J52" s="710">
        <v>0.94374999999999998</v>
      </c>
    </row>
    <row r="53" spans="1:10" x14ac:dyDescent="0.25">
      <c r="A53" s="1089" t="s">
        <v>462</v>
      </c>
      <c r="B53" s="774">
        <v>8</v>
      </c>
      <c r="C53" s="709">
        <v>0</v>
      </c>
      <c r="D53" s="710">
        <v>0</v>
      </c>
      <c r="E53" s="708">
        <v>144</v>
      </c>
      <c r="F53" s="709">
        <v>0</v>
      </c>
      <c r="G53" s="710">
        <v>0</v>
      </c>
      <c r="H53" s="708">
        <v>152</v>
      </c>
      <c r="I53" s="709">
        <v>0</v>
      </c>
      <c r="J53" s="710">
        <v>0</v>
      </c>
    </row>
    <row r="54" spans="1:10" x14ac:dyDescent="0.25">
      <c r="A54" s="1091"/>
      <c r="B54" s="804">
        <v>3</v>
      </c>
      <c r="C54" s="714">
        <v>0</v>
      </c>
      <c r="D54" s="715">
        <v>0</v>
      </c>
      <c r="E54" s="713">
        <v>125</v>
      </c>
      <c r="F54" s="714">
        <v>0</v>
      </c>
      <c r="G54" s="715">
        <v>0</v>
      </c>
      <c r="H54" s="713">
        <v>128</v>
      </c>
      <c r="I54" s="714">
        <v>0</v>
      </c>
      <c r="J54" s="715">
        <v>0</v>
      </c>
    </row>
    <row r="55" spans="1:10" x14ac:dyDescent="0.25">
      <c r="A55" s="1089" t="s">
        <v>46</v>
      </c>
      <c r="B55" s="774">
        <v>52</v>
      </c>
      <c r="C55" s="709">
        <v>50</v>
      </c>
      <c r="D55" s="710">
        <v>0.96153846153846156</v>
      </c>
      <c r="E55" s="708">
        <v>88</v>
      </c>
      <c r="F55" s="709">
        <v>27</v>
      </c>
      <c r="G55" s="710">
        <v>0.30681818181818182</v>
      </c>
      <c r="H55" s="708">
        <v>140</v>
      </c>
      <c r="I55" s="709">
        <v>77</v>
      </c>
      <c r="J55" s="710">
        <v>0.55000000000000004</v>
      </c>
    </row>
    <row r="56" spans="1:10" x14ac:dyDescent="0.25">
      <c r="A56" s="1088"/>
      <c r="B56" s="774">
        <v>49</v>
      </c>
      <c r="C56" s="709">
        <v>47</v>
      </c>
      <c r="D56" s="710">
        <v>0.95918367346938771</v>
      </c>
      <c r="E56" s="708">
        <v>57</v>
      </c>
      <c r="F56" s="709">
        <v>21</v>
      </c>
      <c r="G56" s="710">
        <v>0.36842105263157893</v>
      </c>
      <c r="H56" s="708">
        <v>106</v>
      </c>
      <c r="I56" s="709">
        <v>68</v>
      </c>
      <c r="J56" s="710">
        <v>0.64150943396226412</v>
      </c>
    </row>
    <row r="57" spans="1:10" ht="15" customHeight="1" x14ac:dyDescent="0.25">
      <c r="A57" s="1089" t="s">
        <v>47</v>
      </c>
      <c r="B57" s="774">
        <v>35</v>
      </c>
      <c r="C57" s="709">
        <v>30</v>
      </c>
      <c r="D57" s="710">
        <v>0.8571428571428571</v>
      </c>
      <c r="E57" s="708">
        <v>105</v>
      </c>
      <c r="F57" s="709">
        <v>41</v>
      </c>
      <c r="G57" s="710">
        <v>0.39047619047619048</v>
      </c>
      <c r="H57" s="708">
        <v>140</v>
      </c>
      <c r="I57" s="709">
        <v>71</v>
      </c>
      <c r="J57" s="710">
        <v>0.50714285714285712</v>
      </c>
    </row>
    <row r="58" spans="1:10" x14ac:dyDescent="0.25">
      <c r="A58" s="1088"/>
      <c r="B58" s="774">
        <v>23</v>
      </c>
      <c r="C58" s="709">
        <v>21</v>
      </c>
      <c r="D58" s="710">
        <v>0.91304347826086951</v>
      </c>
      <c r="E58" s="708">
        <v>40</v>
      </c>
      <c r="F58" s="709">
        <v>25</v>
      </c>
      <c r="G58" s="710">
        <v>0.625</v>
      </c>
      <c r="H58" s="708">
        <v>63</v>
      </c>
      <c r="I58" s="709">
        <v>46</v>
      </c>
      <c r="J58" s="710">
        <v>0.73015873015873012</v>
      </c>
    </row>
    <row r="59" spans="1:10" x14ac:dyDescent="0.25">
      <c r="A59" s="1089" t="s">
        <v>41</v>
      </c>
      <c r="B59" s="774">
        <v>135</v>
      </c>
      <c r="C59" s="709">
        <v>85</v>
      </c>
      <c r="D59" s="710">
        <v>0.62962962962962965</v>
      </c>
      <c r="E59" s="708">
        <v>0</v>
      </c>
      <c r="F59" s="709">
        <v>0</v>
      </c>
      <c r="G59" s="712" t="s">
        <v>93</v>
      </c>
      <c r="H59" s="711">
        <v>135</v>
      </c>
      <c r="I59" s="709">
        <v>85</v>
      </c>
      <c r="J59" s="710">
        <v>0.62962962962962965</v>
      </c>
    </row>
    <row r="60" spans="1:10" x14ac:dyDescent="0.25">
      <c r="A60" s="1088"/>
      <c r="B60" s="774">
        <v>105</v>
      </c>
      <c r="C60" s="709">
        <v>78</v>
      </c>
      <c r="D60" s="710">
        <v>0.74285714285714288</v>
      </c>
      <c r="E60" s="708">
        <v>0</v>
      </c>
      <c r="F60" s="709">
        <v>0</v>
      </c>
      <c r="G60" s="712" t="s">
        <v>93</v>
      </c>
      <c r="H60" s="711">
        <v>105</v>
      </c>
      <c r="I60" s="709">
        <v>78</v>
      </c>
      <c r="J60" s="710">
        <v>0.74285714285714288</v>
      </c>
    </row>
    <row r="61" spans="1:10" ht="15" customHeight="1" x14ac:dyDescent="0.25">
      <c r="A61" s="1089" t="s">
        <v>160</v>
      </c>
      <c r="B61" s="774">
        <v>90</v>
      </c>
      <c r="C61" s="709">
        <v>77</v>
      </c>
      <c r="D61" s="710">
        <v>0.85555555555555551</v>
      </c>
      <c r="E61" s="708">
        <v>0</v>
      </c>
      <c r="F61" s="709">
        <v>0</v>
      </c>
      <c r="G61" s="712" t="s">
        <v>93</v>
      </c>
      <c r="H61" s="708">
        <v>90</v>
      </c>
      <c r="I61" s="709">
        <v>77</v>
      </c>
      <c r="J61" s="710">
        <v>0.85555555555555551</v>
      </c>
    </row>
    <row r="62" spans="1:10" x14ac:dyDescent="0.25">
      <c r="A62" s="1088"/>
      <c r="B62" s="774">
        <v>79</v>
      </c>
      <c r="C62" s="709">
        <v>71</v>
      </c>
      <c r="D62" s="710">
        <v>0.89873417721518989</v>
      </c>
      <c r="E62" s="708">
        <v>0</v>
      </c>
      <c r="F62" s="709">
        <v>0</v>
      </c>
      <c r="G62" s="712" t="s">
        <v>93</v>
      </c>
      <c r="H62" s="708">
        <v>79</v>
      </c>
      <c r="I62" s="709">
        <v>71</v>
      </c>
      <c r="J62" s="710">
        <v>0.89873417721518989</v>
      </c>
    </row>
    <row r="63" spans="1:10" x14ac:dyDescent="0.25">
      <c r="A63" s="1089" t="s">
        <v>383</v>
      </c>
      <c r="B63" s="774">
        <v>28</v>
      </c>
      <c r="C63" s="709">
        <v>27</v>
      </c>
      <c r="D63" s="710">
        <v>0.9642857142857143</v>
      </c>
      <c r="E63" s="708">
        <v>53</v>
      </c>
      <c r="F63" s="709">
        <v>27</v>
      </c>
      <c r="G63" s="710">
        <v>0.50943396226415094</v>
      </c>
      <c r="H63" s="708">
        <v>81</v>
      </c>
      <c r="I63" s="709">
        <v>54</v>
      </c>
      <c r="J63" s="710">
        <v>0.66666666666666663</v>
      </c>
    </row>
    <row r="64" spans="1:10" x14ac:dyDescent="0.25">
      <c r="A64" s="1088"/>
      <c r="B64" s="774">
        <v>22</v>
      </c>
      <c r="C64" s="709">
        <v>21</v>
      </c>
      <c r="D64" s="710">
        <v>0.95454545454545459</v>
      </c>
      <c r="E64" s="708">
        <v>19</v>
      </c>
      <c r="F64" s="709">
        <v>17</v>
      </c>
      <c r="G64" s="710">
        <v>0.89473684210526316</v>
      </c>
      <c r="H64" s="708">
        <v>41</v>
      </c>
      <c r="I64" s="709">
        <v>38</v>
      </c>
      <c r="J64" s="710">
        <v>0.92682926829268297</v>
      </c>
    </row>
    <row r="65" spans="1:10" ht="15" customHeight="1" x14ac:dyDescent="0.25">
      <c r="A65" s="1089" t="s">
        <v>102</v>
      </c>
      <c r="B65" s="774">
        <v>14</v>
      </c>
      <c r="C65" s="709">
        <v>13</v>
      </c>
      <c r="D65" s="710">
        <v>0.9285714285714286</v>
      </c>
      <c r="E65" s="708">
        <v>11</v>
      </c>
      <c r="F65" s="709">
        <v>9</v>
      </c>
      <c r="G65" s="710">
        <v>0.81818181818181823</v>
      </c>
      <c r="H65" s="711">
        <v>25</v>
      </c>
      <c r="I65" s="709">
        <v>22</v>
      </c>
      <c r="J65" s="710">
        <v>0.88</v>
      </c>
    </row>
    <row r="66" spans="1:10" x14ac:dyDescent="0.25">
      <c r="A66" s="1088"/>
      <c r="B66" s="774">
        <v>14</v>
      </c>
      <c r="C66" s="709">
        <v>13</v>
      </c>
      <c r="D66" s="710">
        <v>0.9285714285714286</v>
      </c>
      <c r="E66" s="708">
        <v>9</v>
      </c>
      <c r="F66" s="709">
        <v>7</v>
      </c>
      <c r="G66" s="710">
        <v>0.77777777777777779</v>
      </c>
      <c r="H66" s="711">
        <v>23</v>
      </c>
      <c r="I66" s="709">
        <v>20</v>
      </c>
      <c r="J66" s="710">
        <v>0.86956521739130432</v>
      </c>
    </row>
    <row r="67" spans="1:10" x14ac:dyDescent="0.25">
      <c r="A67" s="1089" t="s">
        <v>354</v>
      </c>
      <c r="B67" s="774">
        <v>2</v>
      </c>
      <c r="C67" s="709">
        <v>0</v>
      </c>
      <c r="D67" s="710">
        <v>0</v>
      </c>
      <c r="E67" s="708">
        <v>5</v>
      </c>
      <c r="F67" s="709">
        <v>0</v>
      </c>
      <c r="G67" s="710">
        <v>0</v>
      </c>
      <c r="H67" s="708">
        <v>7</v>
      </c>
      <c r="I67" s="709">
        <v>0</v>
      </c>
      <c r="J67" s="710">
        <v>0</v>
      </c>
    </row>
    <row r="68" spans="1:10" x14ac:dyDescent="0.25">
      <c r="A68" s="1088"/>
      <c r="B68" s="774">
        <v>7</v>
      </c>
      <c r="C68" s="709">
        <v>0</v>
      </c>
      <c r="D68" s="710">
        <v>0</v>
      </c>
      <c r="E68" s="708">
        <v>0</v>
      </c>
      <c r="F68" s="709">
        <v>0</v>
      </c>
      <c r="G68" s="712" t="s">
        <v>93</v>
      </c>
      <c r="H68" s="708">
        <v>7</v>
      </c>
      <c r="I68" s="709">
        <v>0</v>
      </c>
      <c r="J68" s="710">
        <v>0</v>
      </c>
    </row>
    <row r="69" spans="1:10" ht="15" customHeight="1" x14ac:dyDescent="0.25">
      <c r="A69" s="1089" t="s">
        <v>412</v>
      </c>
      <c r="B69" s="774">
        <v>1</v>
      </c>
      <c r="C69" s="709">
        <v>0</v>
      </c>
      <c r="D69" s="710">
        <v>0</v>
      </c>
      <c r="E69" s="708">
        <v>3</v>
      </c>
      <c r="F69" s="709">
        <v>0</v>
      </c>
      <c r="G69" s="710">
        <v>0</v>
      </c>
      <c r="H69" s="708">
        <v>4</v>
      </c>
      <c r="I69" s="709">
        <v>0</v>
      </c>
      <c r="J69" s="710">
        <v>0</v>
      </c>
    </row>
    <row r="70" spans="1:10" ht="15.75" thickBot="1" x14ac:dyDescent="0.3">
      <c r="A70" s="1092"/>
      <c r="B70" s="805">
        <v>1</v>
      </c>
      <c r="C70" s="717">
        <v>0</v>
      </c>
      <c r="D70" s="718">
        <v>0</v>
      </c>
      <c r="E70" s="716">
        <v>3</v>
      </c>
      <c r="F70" s="717">
        <v>0</v>
      </c>
      <c r="G70" s="718">
        <v>0</v>
      </c>
      <c r="H70" s="716">
        <v>4</v>
      </c>
      <c r="I70" s="717">
        <v>0</v>
      </c>
      <c r="J70" s="718">
        <v>0</v>
      </c>
    </row>
    <row r="71" spans="1:10" x14ac:dyDescent="0.25">
      <c r="A71" s="703" t="s">
        <v>590</v>
      </c>
      <c r="J71" s="103" t="s">
        <v>468</v>
      </c>
    </row>
    <row r="72" spans="1:10" x14ac:dyDescent="0.25">
      <c r="A72" s="719" t="s">
        <v>591</v>
      </c>
    </row>
  </sheetData>
  <mergeCells count="46">
    <mergeCell ref="A57:A58"/>
    <mergeCell ref="A69:A70"/>
    <mergeCell ref="A59:A60"/>
    <mergeCell ref="A61:A62"/>
    <mergeCell ref="A63:A64"/>
    <mergeCell ref="A65:A66"/>
    <mergeCell ref="A67:A68"/>
    <mergeCell ref="A47:A48"/>
    <mergeCell ref="A49:A50"/>
    <mergeCell ref="A51:A52"/>
    <mergeCell ref="A53:A54"/>
    <mergeCell ref="A55:A56"/>
    <mergeCell ref="A33:A34"/>
    <mergeCell ref="A45:A46"/>
    <mergeCell ref="A35:A36"/>
    <mergeCell ref="A37:A38"/>
    <mergeCell ref="A39:A40"/>
    <mergeCell ref="A41:A42"/>
    <mergeCell ref="A43:A44"/>
    <mergeCell ref="A23:A24"/>
    <mergeCell ref="A25:A26"/>
    <mergeCell ref="A27:A28"/>
    <mergeCell ref="A29:A30"/>
    <mergeCell ref="A31:A32"/>
    <mergeCell ref="A7:A8"/>
    <mergeCell ref="A9:A10"/>
    <mergeCell ref="A21:A22"/>
    <mergeCell ref="A11:A12"/>
    <mergeCell ref="A13:A14"/>
    <mergeCell ref="A15:A16"/>
    <mergeCell ref="A17:A18"/>
    <mergeCell ref="A19:A20"/>
    <mergeCell ref="A1:J1"/>
    <mergeCell ref="B2:D2"/>
    <mergeCell ref="E2:G2"/>
    <mergeCell ref="H2:J2"/>
    <mergeCell ref="A3:A6"/>
    <mergeCell ref="B3:D3"/>
    <mergeCell ref="E3:G3"/>
    <mergeCell ref="H3:J3"/>
    <mergeCell ref="B4:D4"/>
    <mergeCell ref="E4:G4"/>
    <mergeCell ref="H4:J4"/>
    <mergeCell ref="B5:B6"/>
    <mergeCell ref="E5:E6"/>
    <mergeCell ref="H5:H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fitToHeight="2" orientation="portrait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31"/>
  <sheetViews>
    <sheetView tabSelected="1" topLeftCell="A2" zoomScale="90" zoomScaleNormal="90" workbookViewId="0">
      <selection activeCell="A35" sqref="A35"/>
    </sheetView>
  </sheetViews>
  <sheetFormatPr defaultRowHeight="15" x14ac:dyDescent="0.25"/>
  <cols>
    <col min="1" max="1" width="27.28515625" style="25" customWidth="1"/>
    <col min="2" max="2" width="8.7109375" style="26" customWidth="1"/>
    <col min="3" max="3" width="10" style="27" customWidth="1"/>
    <col min="4" max="4" width="9.28515625" style="28" customWidth="1"/>
    <col min="5" max="5" width="10.42578125" style="27" customWidth="1"/>
    <col min="6" max="6" width="8.42578125" style="28" customWidth="1"/>
    <col min="7" max="7" width="9.85546875" style="27" customWidth="1"/>
    <col min="8" max="8" width="9.5703125" style="28" customWidth="1"/>
    <col min="9" max="9" width="10.7109375" style="27" customWidth="1"/>
    <col min="10" max="10" width="8" style="28" customWidth="1"/>
    <col min="11" max="11" width="9.140625" style="27"/>
    <col min="12" max="12" width="6.5703125" style="28" customWidth="1"/>
    <col min="13" max="13" width="8.7109375" style="27" customWidth="1"/>
    <col min="14" max="14" width="9.140625" style="28"/>
    <col min="15" max="15" width="9" style="27" customWidth="1"/>
    <col min="16" max="16" width="8.7109375" style="28" customWidth="1"/>
    <col min="17" max="17" width="7.7109375" style="27" customWidth="1"/>
    <col min="18" max="18" width="8.85546875" style="28" customWidth="1"/>
    <col min="19" max="19" width="8.42578125" style="27" customWidth="1"/>
    <col min="20" max="20" width="3.5703125" style="19" customWidth="1"/>
    <col min="21" max="16384" width="9.140625" style="19"/>
  </cols>
  <sheetData>
    <row r="1" spans="1:19" ht="43.5" customHeight="1" thickBot="1" x14ac:dyDescent="0.3">
      <c r="A1" s="1100" t="s">
        <v>480</v>
      </c>
      <c r="B1" s="1101"/>
      <c r="C1" s="1101"/>
      <c r="D1" s="1101"/>
      <c r="E1" s="1101"/>
      <c r="F1" s="1101"/>
      <c r="G1" s="1101"/>
      <c r="H1" s="1101"/>
      <c r="I1" s="1101"/>
      <c r="J1" s="1101"/>
      <c r="K1" s="1101"/>
      <c r="L1" s="1101"/>
      <c r="M1" s="1101"/>
      <c r="N1" s="1101"/>
      <c r="O1" s="1101"/>
      <c r="P1" s="1101"/>
      <c r="Q1" s="1101"/>
      <c r="R1" s="1101"/>
      <c r="S1" s="1101"/>
    </row>
    <row r="2" spans="1:19" s="20" customFormat="1" ht="18.75" customHeight="1" x14ac:dyDescent="0.25">
      <c r="A2" s="1095" t="s">
        <v>43</v>
      </c>
      <c r="B2" s="1110" t="s">
        <v>103</v>
      </c>
      <c r="C2" s="1093" t="s">
        <v>104</v>
      </c>
      <c r="D2" s="1097" t="s">
        <v>105</v>
      </c>
      <c r="E2" s="1098"/>
      <c r="F2" s="1098"/>
      <c r="G2" s="1098"/>
      <c r="H2" s="1098"/>
      <c r="I2" s="1098"/>
      <c r="J2" s="1098"/>
      <c r="K2" s="1098"/>
      <c r="L2" s="1098"/>
      <c r="M2" s="1099"/>
      <c r="N2" s="1102" t="s">
        <v>106</v>
      </c>
      <c r="O2" s="1104" t="s">
        <v>107</v>
      </c>
      <c r="P2" s="1106" t="s">
        <v>108</v>
      </c>
      <c r="Q2" s="1104" t="s">
        <v>109</v>
      </c>
      <c r="R2" s="1106" t="s">
        <v>110</v>
      </c>
      <c r="S2" s="1108" t="s">
        <v>111</v>
      </c>
    </row>
    <row r="3" spans="1:19" s="20" customFormat="1" ht="63" customHeight="1" thickBot="1" x14ac:dyDescent="0.3">
      <c r="A3" s="1096"/>
      <c r="B3" s="1111"/>
      <c r="C3" s="1094"/>
      <c r="D3" s="187" t="s">
        <v>112</v>
      </c>
      <c r="E3" s="184" t="s">
        <v>113</v>
      </c>
      <c r="F3" s="182" t="s">
        <v>123</v>
      </c>
      <c r="G3" s="184" t="s">
        <v>114</v>
      </c>
      <c r="H3" s="182" t="s">
        <v>115</v>
      </c>
      <c r="I3" s="184" t="s">
        <v>116</v>
      </c>
      <c r="J3" s="182" t="s">
        <v>117</v>
      </c>
      <c r="K3" s="184" t="s">
        <v>118</v>
      </c>
      <c r="L3" s="182" t="s">
        <v>119</v>
      </c>
      <c r="M3" s="183" t="s">
        <v>120</v>
      </c>
      <c r="N3" s="1103"/>
      <c r="O3" s="1105"/>
      <c r="P3" s="1107"/>
      <c r="Q3" s="1105"/>
      <c r="R3" s="1107"/>
      <c r="S3" s="1109"/>
    </row>
    <row r="4" spans="1:19" s="20" customFormat="1" ht="15.75" thickBot="1" x14ac:dyDescent="0.3">
      <c r="A4" s="808" t="s">
        <v>345</v>
      </c>
      <c r="B4" s="810" t="s">
        <v>346</v>
      </c>
      <c r="C4" s="809" t="s">
        <v>347</v>
      </c>
      <c r="D4" s="188" t="s">
        <v>346</v>
      </c>
      <c r="E4" s="189" t="s">
        <v>347</v>
      </c>
      <c r="F4" s="190" t="s">
        <v>346</v>
      </c>
      <c r="G4" s="189" t="s">
        <v>347</v>
      </c>
      <c r="H4" s="190" t="s">
        <v>346</v>
      </c>
      <c r="I4" s="189" t="s">
        <v>347</v>
      </c>
      <c r="J4" s="190" t="s">
        <v>346</v>
      </c>
      <c r="K4" s="189" t="s">
        <v>347</v>
      </c>
      <c r="L4" s="190" t="s">
        <v>346</v>
      </c>
      <c r="M4" s="191" t="s">
        <v>347</v>
      </c>
      <c r="N4" s="186" t="s">
        <v>346</v>
      </c>
      <c r="O4" s="147" t="s">
        <v>347</v>
      </c>
      <c r="P4" s="146" t="s">
        <v>346</v>
      </c>
      <c r="Q4" s="147" t="s">
        <v>347</v>
      </c>
      <c r="R4" s="146" t="s">
        <v>346</v>
      </c>
      <c r="S4" s="148" t="s">
        <v>347</v>
      </c>
    </row>
    <row r="5" spans="1:19" x14ac:dyDescent="0.25">
      <c r="A5" s="412" t="s">
        <v>23</v>
      </c>
      <c r="B5" s="806">
        <v>1962.7</v>
      </c>
      <c r="C5" s="887">
        <v>1296.2</v>
      </c>
      <c r="D5" s="214">
        <v>288.2</v>
      </c>
      <c r="E5" s="890">
        <v>1909</v>
      </c>
      <c r="F5" s="215">
        <v>446.7</v>
      </c>
      <c r="G5" s="890">
        <v>1508.9</v>
      </c>
      <c r="H5" s="215">
        <v>1085.4000000000001</v>
      </c>
      <c r="I5" s="890">
        <v>1105</v>
      </c>
      <c r="J5" s="215">
        <v>81.8</v>
      </c>
      <c r="K5" s="890">
        <v>814.48</v>
      </c>
      <c r="L5" s="215">
        <v>60.6</v>
      </c>
      <c r="M5" s="893">
        <v>888.85</v>
      </c>
      <c r="N5" s="216">
        <v>435.3</v>
      </c>
      <c r="O5" s="890">
        <v>1034.3</v>
      </c>
      <c r="P5" s="215">
        <v>2031.1</v>
      </c>
      <c r="Q5" s="890">
        <v>819.3</v>
      </c>
      <c r="R5" s="215">
        <v>4429.1000000000004</v>
      </c>
      <c r="S5" s="893">
        <v>1051.8</v>
      </c>
    </row>
    <row r="6" spans="1:19" x14ac:dyDescent="0.25">
      <c r="A6" s="411" t="s">
        <v>31</v>
      </c>
      <c r="B6" s="773">
        <v>620.70000000000005</v>
      </c>
      <c r="C6" s="888">
        <v>1382</v>
      </c>
      <c r="D6" s="217">
        <v>103.4</v>
      </c>
      <c r="E6" s="891">
        <v>2117.6999999999998</v>
      </c>
      <c r="F6" s="218">
        <v>130.19999999999999</v>
      </c>
      <c r="G6" s="891">
        <v>1597.7</v>
      </c>
      <c r="H6" s="218">
        <v>331.4</v>
      </c>
      <c r="I6" s="891">
        <v>1151.9000000000001</v>
      </c>
      <c r="J6" s="218">
        <v>45.6</v>
      </c>
      <c r="K6" s="891">
        <v>887.96</v>
      </c>
      <c r="L6" s="218">
        <v>10.1</v>
      </c>
      <c r="M6" s="894">
        <v>851.01</v>
      </c>
      <c r="N6" s="219">
        <v>108.7</v>
      </c>
      <c r="O6" s="891">
        <v>1162</v>
      </c>
      <c r="P6" s="218">
        <v>648.70000000000005</v>
      </c>
      <c r="Q6" s="891">
        <v>680.64</v>
      </c>
      <c r="R6" s="218">
        <v>1378.1</v>
      </c>
      <c r="S6" s="894">
        <v>1034.5</v>
      </c>
    </row>
    <row r="7" spans="1:19" x14ac:dyDescent="0.25">
      <c r="A7" s="175" t="s">
        <v>29</v>
      </c>
      <c r="B7" s="773">
        <v>519</v>
      </c>
      <c r="C7" s="888">
        <v>1126.9000000000001</v>
      </c>
      <c r="D7" s="217">
        <v>53.5</v>
      </c>
      <c r="E7" s="891">
        <v>1788.9</v>
      </c>
      <c r="F7" s="218">
        <v>125.1</v>
      </c>
      <c r="G7" s="891">
        <v>1314.9</v>
      </c>
      <c r="H7" s="218">
        <v>307.39999999999998</v>
      </c>
      <c r="I7" s="891">
        <v>968.67</v>
      </c>
      <c r="J7" s="218">
        <v>16.899999999999999</v>
      </c>
      <c r="K7" s="891">
        <v>751.12</v>
      </c>
      <c r="L7" s="218">
        <v>16.100000000000001</v>
      </c>
      <c r="M7" s="894">
        <v>882.99</v>
      </c>
      <c r="N7" s="219">
        <v>31.3</v>
      </c>
      <c r="O7" s="891">
        <v>912.29</v>
      </c>
      <c r="P7" s="218">
        <v>471</v>
      </c>
      <c r="Q7" s="891">
        <v>618.02</v>
      </c>
      <c r="R7" s="218">
        <v>1021.3</v>
      </c>
      <c r="S7" s="894">
        <v>885.65</v>
      </c>
    </row>
    <row r="8" spans="1:19" x14ac:dyDescent="0.25">
      <c r="A8" s="175" t="s">
        <v>34</v>
      </c>
      <c r="B8" s="773">
        <v>307.89999999999998</v>
      </c>
      <c r="C8" s="888">
        <v>1154.4000000000001</v>
      </c>
      <c r="D8" s="217">
        <v>52.1</v>
      </c>
      <c r="E8" s="891">
        <v>1515.1</v>
      </c>
      <c r="F8" s="218">
        <v>49.5</v>
      </c>
      <c r="G8" s="891">
        <v>1222.9000000000001</v>
      </c>
      <c r="H8" s="218">
        <v>203.1</v>
      </c>
      <c r="I8" s="891">
        <v>1049.3</v>
      </c>
      <c r="J8" s="218">
        <v>1</v>
      </c>
      <c r="K8" s="891">
        <v>1015.8</v>
      </c>
      <c r="L8" s="218">
        <v>2.2000000000000002</v>
      </c>
      <c r="M8" s="894">
        <v>843.79</v>
      </c>
      <c r="N8" s="219">
        <v>9.1</v>
      </c>
      <c r="O8" s="891">
        <v>956.53</v>
      </c>
      <c r="P8" s="218">
        <v>158.4</v>
      </c>
      <c r="Q8" s="891">
        <v>805.69</v>
      </c>
      <c r="R8" s="218">
        <v>475.4</v>
      </c>
      <c r="S8" s="894">
        <v>1034.4000000000001</v>
      </c>
    </row>
    <row r="9" spans="1:19" x14ac:dyDescent="0.25">
      <c r="A9" s="175" t="s">
        <v>102</v>
      </c>
      <c r="B9" s="773">
        <v>194.8</v>
      </c>
      <c r="C9" s="888">
        <v>1183.4000000000001</v>
      </c>
      <c r="D9" s="217">
        <v>21.2</v>
      </c>
      <c r="E9" s="891">
        <v>2020.6</v>
      </c>
      <c r="F9" s="218">
        <v>34.700000000000003</v>
      </c>
      <c r="G9" s="891">
        <v>1449.4</v>
      </c>
      <c r="H9" s="218">
        <v>132</v>
      </c>
      <c r="I9" s="891">
        <v>1007.8</v>
      </c>
      <c r="J9" s="218">
        <v>6.9</v>
      </c>
      <c r="K9" s="891">
        <v>632.27</v>
      </c>
      <c r="L9" s="218">
        <v>0</v>
      </c>
      <c r="M9" s="895">
        <v>0</v>
      </c>
      <c r="N9" s="219">
        <v>28</v>
      </c>
      <c r="O9" s="891">
        <v>939.74</v>
      </c>
      <c r="P9" s="218">
        <v>305.8</v>
      </c>
      <c r="Q9" s="891">
        <v>602.24</v>
      </c>
      <c r="R9" s="218">
        <v>528.6</v>
      </c>
      <c r="S9" s="894">
        <v>834.28</v>
      </c>
    </row>
    <row r="10" spans="1:19" x14ac:dyDescent="0.25">
      <c r="A10" s="411" t="s">
        <v>28</v>
      </c>
      <c r="B10" s="773">
        <v>534</v>
      </c>
      <c r="C10" s="888">
        <v>1248</v>
      </c>
      <c r="D10" s="217">
        <v>74</v>
      </c>
      <c r="E10" s="891">
        <v>1664.4</v>
      </c>
      <c r="F10" s="218">
        <v>121</v>
      </c>
      <c r="G10" s="891">
        <v>1463.6</v>
      </c>
      <c r="H10" s="218">
        <v>324</v>
      </c>
      <c r="I10" s="891">
        <v>1086.2</v>
      </c>
      <c r="J10" s="218">
        <v>1</v>
      </c>
      <c r="K10" s="891">
        <v>1002.5</v>
      </c>
      <c r="L10" s="218">
        <v>14</v>
      </c>
      <c r="M10" s="894">
        <v>944.79</v>
      </c>
      <c r="N10" s="219">
        <v>25</v>
      </c>
      <c r="O10" s="891">
        <v>900.43</v>
      </c>
      <c r="P10" s="218">
        <v>401</v>
      </c>
      <c r="Q10" s="891">
        <v>828.78</v>
      </c>
      <c r="R10" s="218">
        <v>960</v>
      </c>
      <c r="S10" s="894">
        <v>1063.8</v>
      </c>
    </row>
    <row r="11" spans="1:19" x14ac:dyDescent="0.25">
      <c r="A11" s="411" t="s">
        <v>159</v>
      </c>
      <c r="B11" s="773">
        <v>588.4</v>
      </c>
      <c r="C11" s="888">
        <v>1139.7</v>
      </c>
      <c r="D11" s="217">
        <v>74.599999999999994</v>
      </c>
      <c r="E11" s="891">
        <v>1622.9</v>
      </c>
      <c r="F11" s="218">
        <v>128.6</v>
      </c>
      <c r="G11" s="891">
        <v>1323.7</v>
      </c>
      <c r="H11" s="218">
        <v>361.5</v>
      </c>
      <c r="I11" s="891">
        <v>998.25</v>
      </c>
      <c r="J11" s="218">
        <v>16.600000000000001</v>
      </c>
      <c r="K11" s="891">
        <v>772.76</v>
      </c>
      <c r="L11" s="218">
        <v>7.1</v>
      </c>
      <c r="M11" s="894">
        <v>789.28</v>
      </c>
      <c r="N11" s="219">
        <v>35.5</v>
      </c>
      <c r="O11" s="891">
        <v>1165.5999999999999</v>
      </c>
      <c r="P11" s="218">
        <v>531</v>
      </c>
      <c r="Q11" s="891">
        <v>601.20000000000005</v>
      </c>
      <c r="R11" s="218">
        <v>1154.9000000000001</v>
      </c>
      <c r="S11" s="894">
        <v>892.9</v>
      </c>
    </row>
    <row r="12" spans="1:19" x14ac:dyDescent="0.25">
      <c r="A12" s="175" t="s">
        <v>32</v>
      </c>
      <c r="B12" s="773">
        <v>309.5</v>
      </c>
      <c r="C12" s="888">
        <v>1200.2</v>
      </c>
      <c r="D12" s="217">
        <v>47.9</v>
      </c>
      <c r="E12" s="891">
        <v>1649.7</v>
      </c>
      <c r="F12" s="218">
        <v>70.5</v>
      </c>
      <c r="G12" s="891">
        <v>1400.9</v>
      </c>
      <c r="H12" s="218">
        <v>188.3</v>
      </c>
      <c r="I12" s="891">
        <v>1018</v>
      </c>
      <c r="J12" s="218">
        <v>2.5</v>
      </c>
      <c r="K12" s="891">
        <v>722.27</v>
      </c>
      <c r="L12" s="218">
        <v>0.3</v>
      </c>
      <c r="M12" s="895">
        <v>565</v>
      </c>
      <c r="N12" s="219">
        <v>12.5</v>
      </c>
      <c r="O12" s="891">
        <v>899.29</v>
      </c>
      <c r="P12" s="218">
        <v>215.2</v>
      </c>
      <c r="Q12" s="891">
        <v>804.54</v>
      </c>
      <c r="R12" s="218">
        <v>537.20000000000005</v>
      </c>
      <c r="S12" s="894">
        <v>1034.7</v>
      </c>
    </row>
    <row r="13" spans="1:19" x14ac:dyDescent="0.25">
      <c r="A13" s="411" t="s">
        <v>24</v>
      </c>
      <c r="B13" s="773">
        <v>1083.9000000000001</v>
      </c>
      <c r="C13" s="888">
        <v>1416.1</v>
      </c>
      <c r="D13" s="217">
        <v>173.3</v>
      </c>
      <c r="E13" s="891">
        <v>2162.1999999999998</v>
      </c>
      <c r="F13" s="218">
        <v>313</v>
      </c>
      <c r="G13" s="891">
        <v>1569.3</v>
      </c>
      <c r="H13" s="218">
        <v>576.20000000000005</v>
      </c>
      <c r="I13" s="891">
        <v>1122.5</v>
      </c>
      <c r="J13" s="218">
        <v>5.7</v>
      </c>
      <c r="K13" s="891">
        <v>1031.9000000000001</v>
      </c>
      <c r="L13" s="218">
        <v>15.7</v>
      </c>
      <c r="M13" s="894">
        <v>1039.9000000000001</v>
      </c>
      <c r="N13" s="219">
        <v>386.7</v>
      </c>
      <c r="O13" s="891">
        <v>1069.2</v>
      </c>
      <c r="P13" s="218">
        <v>1321.1</v>
      </c>
      <c r="Q13" s="891">
        <v>802.87</v>
      </c>
      <c r="R13" s="218">
        <v>2791.7</v>
      </c>
      <c r="S13" s="894">
        <v>1077.8</v>
      </c>
    </row>
    <row r="14" spans="1:19" x14ac:dyDescent="0.25">
      <c r="A14" s="411" t="s">
        <v>25</v>
      </c>
      <c r="B14" s="773">
        <v>808</v>
      </c>
      <c r="C14" s="888">
        <v>1427.7</v>
      </c>
      <c r="D14" s="217">
        <v>125.7</v>
      </c>
      <c r="E14" s="891">
        <v>2416.8000000000002</v>
      </c>
      <c r="F14" s="218">
        <v>197.9</v>
      </c>
      <c r="G14" s="891">
        <v>1562.6</v>
      </c>
      <c r="H14" s="218">
        <v>470.7</v>
      </c>
      <c r="I14" s="891">
        <v>1124.3</v>
      </c>
      <c r="J14" s="218">
        <v>1.5</v>
      </c>
      <c r="K14" s="891">
        <v>942.06</v>
      </c>
      <c r="L14" s="218">
        <v>12.2</v>
      </c>
      <c r="M14" s="894">
        <v>815.14</v>
      </c>
      <c r="N14" s="219">
        <v>165</v>
      </c>
      <c r="O14" s="891">
        <v>995.32</v>
      </c>
      <c r="P14" s="218">
        <v>873.7</v>
      </c>
      <c r="Q14" s="891">
        <v>719.66</v>
      </c>
      <c r="R14" s="218">
        <v>1846.7</v>
      </c>
      <c r="S14" s="894">
        <v>1054.0999999999999</v>
      </c>
    </row>
    <row r="15" spans="1:19" x14ac:dyDescent="0.25">
      <c r="A15" s="175" t="s">
        <v>45</v>
      </c>
      <c r="B15" s="773">
        <v>636.20000000000005</v>
      </c>
      <c r="C15" s="888">
        <v>1233.5999999999999</v>
      </c>
      <c r="D15" s="217">
        <v>101</v>
      </c>
      <c r="E15" s="891">
        <v>1876.5</v>
      </c>
      <c r="F15" s="218">
        <v>137.69999999999999</v>
      </c>
      <c r="G15" s="891">
        <v>1390.6</v>
      </c>
      <c r="H15" s="218">
        <v>390</v>
      </c>
      <c r="I15" s="891">
        <v>1019.8</v>
      </c>
      <c r="J15" s="218">
        <v>2.6</v>
      </c>
      <c r="K15" s="891">
        <v>724.01</v>
      </c>
      <c r="L15" s="218">
        <v>4.9000000000000004</v>
      </c>
      <c r="M15" s="894">
        <v>859.12</v>
      </c>
      <c r="N15" s="219">
        <v>166.7</v>
      </c>
      <c r="O15" s="891">
        <v>969.79</v>
      </c>
      <c r="P15" s="218">
        <v>683.9</v>
      </c>
      <c r="Q15" s="891">
        <v>690.48</v>
      </c>
      <c r="R15" s="218">
        <v>1486.8</v>
      </c>
      <c r="S15" s="894">
        <v>954.2</v>
      </c>
    </row>
    <row r="16" spans="1:19" x14ac:dyDescent="0.25">
      <c r="A16" s="175" t="s">
        <v>348</v>
      </c>
      <c r="B16" s="773">
        <v>168.3</v>
      </c>
      <c r="C16" s="888">
        <v>1209.0999999999999</v>
      </c>
      <c r="D16" s="217">
        <v>23.7</v>
      </c>
      <c r="E16" s="891">
        <v>1623.7</v>
      </c>
      <c r="F16" s="218">
        <v>31.7</v>
      </c>
      <c r="G16" s="891">
        <v>1430.2</v>
      </c>
      <c r="H16" s="218">
        <v>108.3</v>
      </c>
      <c r="I16" s="891">
        <v>1065.7</v>
      </c>
      <c r="J16" s="218">
        <v>4.4000000000000004</v>
      </c>
      <c r="K16" s="891">
        <v>921.5</v>
      </c>
      <c r="L16" s="218">
        <v>0.2</v>
      </c>
      <c r="M16" s="895">
        <v>1017.5</v>
      </c>
      <c r="N16" s="219">
        <v>15.2</v>
      </c>
      <c r="O16" s="891">
        <v>1013.7</v>
      </c>
      <c r="P16" s="218">
        <v>167.7</v>
      </c>
      <c r="Q16" s="891">
        <v>750</v>
      </c>
      <c r="R16" s="218">
        <v>351.2</v>
      </c>
      <c r="S16" s="894">
        <v>981.42</v>
      </c>
    </row>
    <row r="17" spans="1:21" x14ac:dyDescent="0.25">
      <c r="A17" s="175" t="s">
        <v>27</v>
      </c>
      <c r="B17" s="773">
        <v>625</v>
      </c>
      <c r="C17" s="888">
        <v>1058.5</v>
      </c>
      <c r="D17" s="217">
        <v>73.5</v>
      </c>
      <c r="E17" s="891">
        <v>1685.2</v>
      </c>
      <c r="F17" s="218">
        <v>103.1</v>
      </c>
      <c r="G17" s="891">
        <v>1171</v>
      </c>
      <c r="H17" s="218">
        <v>441.7</v>
      </c>
      <c r="I17" s="891">
        <v>934.88</v>
      </c>
      <c r="J17" s="218">
        <v>3.7</v>
      </c>
      <c r="K17" s="891">
        <v>487.79</v>
      </c>
      <c r="L17" s="218">
        <v>3</v>
      </c>
      <c r="M17" s="894">
        <v>739.31</v>
      </c>
      <c r="N17" s="219">
        <v>34.6</v>
      </c>
      <c r="O17" s="891">
        <v>1020</v>
      </c>
      <c r="P17" s="218">
        <v>598</v>
      </c>
      <c r="Q17" s="891">
        <v>623</v>
      </c>
      <c r="R17" s="218">
        <v>1257.5999999999999</v>
      </c>
      <c r="S17" s="894">
        <v>850.34</v>
      </c>
    </row>
    <row r="18" spans="1:21" x14ac:dyDescent="0.25">
      <c r="A18" s="175" t="s">
        <v>30</v>
      </c>
      <c r="B18" s="773">
        <v>441.1</v>
      </c>
      <c r="C18" s="888">
        <v>1174.7</v>
      </c>
      <c r="D18" s="217">
        <v>61.8</v>
      </c>
      <c r="E18" s="891">
        <v>1650.1</v>
      </c>
      <c r="F18" s="218">
        <v>109.9</v>
      </c>
      <c r="G18" s="891">
        <v>1335.1</v>
      </c>
      <c r="H18" s="218">
        <v>264.39999999999998</v>
      </c>
      <c r="I18" s="891">
        <v>1004.7</v>
      </c>
      <c r="J18" s="218">
        <v>0</v>
      </c>
      <c r="K18" s="891">
        <v>0</v>
      </c>
      <c r="L18" s="218">
        <v>5</v>
      </c>
      <c r="M18" s="895">
        <v>759.38</v>
      </c>
      <c r="N18" s="219">
        <v>73</v>
      </c>
      <c r="O18" s="891">
        <v>674.04</v>
      </c>
      <c r="P18" s="218">
        <v>606.4</v>
      </c>
      <c r="Q18" s="891">
        <v>663.95</v>
      </c>
      <c r="R18" s="218">
        <v>1120.5</v>
      </c>
      <c r="S18" s="894">
        <v>865.67</v>
      </c>
    </row>
    <row r="19" spans="1:21" x14ac:dyDescent="0.25">
      <c r="A19" s="411" t="s">
        <v>36</v>
      </c>
      <c r="B19" s="773">
        <v>264.8</v>
      </c>
      <c r="C19" s="888">
        <v>1135.0999999999999</v>
      </c>
      <c r="D19" s="217">
        <v>35.9</v>
      </c>
      <c r="E19" s="891">
        <v>1717.1</v>
      </c>
      <c r="F19" s="218">
        <v>63.9</v>
      </c>
      <c r="G19" s="891">
        <v>1342</v>
      </c>
      <c r="H19" s="218">
        <v>165</v>
      </c>
      <c r="I19" s="891">
        <v>928.4</v>
      </c>
      <c r="J19" s="218">
        <v>0</v>
      </c>
      <c r="K19" s="891">
        <v>0</v>
      </c>
      <c r="L19" s="218">
        <v>0</v>
      </c>
      <c r="M19" s="895">
        <v>0</v>
      </c>
      <c r="N19" s="219">
        <v>56.4</v>
      </c>
      <c r="O19" s="891">
        <v>765.06</v>
      </c>
      <c r="P19" s="218">
        <v>422</v>
      </c>
      <c r="Q19" s="891">
        <v>616.29999999999995</v>
      </c>
      <c r="R19" s="218">
        <v>743.2</v>
      </c>
      <c r="S19" s="894">
        <v>812.45</v>
      </c>
    </row>
    <row r="20" spans="1:21" x14ac:dyDescent="0.25">
      <c r="A20" s="411" t="s">
        <v>40</v>
      </c>
      <c r="B20" s="773">
        <v>173.7</v>
      </c>
      <c r="C20" s="888">
        <v>1000.4</v>
      </c>
      <c r="D20" s="217">
        <v>33.6</v>
      </c>
      <c r="E20" s="891">
        <v>1165.8</v>
      </c>
      <c r="F20" s="218">
        <v>48.8</v>
      </c>
      <c r="G20" s="891">
        <v>1091.0999999999999</v>
      </c>
      <c r="H20" s="218">
        <v>74</v>
      </c>
      <c r="I20" s="891">
        <v>885.54</v>
      </c>
      <c r="J20" s="218">
        <v>17.3</v>
      </c>
      <c r="K20" s="891">
        <v>915.01</v>
      </c>
      <c r="L20" s="218">
        <v>0</v>
      </c>
      <c r="M20" s="895">
        <v>0</v>
      </c>
      <c r="N20" s="219">
        <v>24.8</v>
      </c>
      <c r="O20" s="891">
        <v>836.08</v>
      </c>
      <c r="P20" s="218">
        <v>97</v>
      </c>
      <c r="Q20" s="891">
        <v>770.36</v>
      </c>
      <c r="R20" s="218">
        <v>295.5</v>
      </c>
      <c r="S20" s="894">
        <v>911.12</v>
      </c>
    </row>
    <row r="21" spans="1:21" x14ac:dyDescent="0.25">
      <c r="A21" s="411" t="s">
        <v>41</v>
      </c>
      <c r="B21" s="773">
        <v>105.1</v>
      </c>
      <c r="C21" s="888">
        <v>959.21</v>
      </c>
      <c r="D21" s="217">
        <v>17.3</v>
      </c>
      <c r="E21" s="891">
        <v>1248.9000000000001</v>
      </c>
      <c r="F21" s="218">
        <v>15.9</v>
      </c>
      <c r="G21" s="891">
        <v>1116.2</v>
      </c>
      <c r="H21" s="218">
        <v>51.9</v>
      </c>
      <c r="I21" s="891">
        <v>890.92</v>
      </c>
      <c r="J21" s="218">
        <v>20</v>
      </c>
      <c r="K21" s="891">
        <v>761.03</v>
      </c>
      <c r="L21" s="218">
        <v>0</v>
      </c>
      <c r="M21" s="895">
        <v>0</v>
      </c>
      <c r="N21" s="219">
        <v>18.7</v>
      </c>
      <c r="O21" s="891">
        <v>855.33</v>
      </c>
      <c r="P21" s="218">
        <v>84.2</v>
      </c>
      <c r="Q21" s="891">
        <v>667.61</v>
      </c>
      <c r="R21" s="218">
        <v>208</v>
      </c>
      <c r="S21" s="894">
        <v>831.83</v>
      </c>
    </row>
    <row r="22" spans="1:21" x14ac:dyDescent="0.25">
      <c r="A22" s="175" t="s">
        <v>160</v>
      </c>
      <c r="B22" s="773">
        <v>105.7</v>
      </c>
      <c r="C22" s="888">
        <v>1064.0999999999999</v>
      </c>
      <c r="D22" s="217">
        <v>32.700000000000003</v>
      </c>
      <c r="E22" s="891">
        <v>1292.7</v>
      </c>
      <c r="F22" s="218">
        <v>20.9</v>
      </c>
      <c r="G22" s="891">
        <v>1185.5</v>
      </c>
      <c r="H22" s="218">
        <v>46.3</v>
      </c>
      <c r="I22" s="891">
        <v>893.7</v>
      </c>
      <c r="J22" s="218">
        <v>5.8</v>
      </c>
      <c r="K22" s="891">
        <v>697.86</v>
      </c>
      <c r="L22" s="218">
        <v>0</v>
      </c>
      <c r="M22" s="895">
        <v>0</v>
      </c>
      <c r="N22" s="219">
        <v>0</v>
      </c>
      <c r="O22" s="897">
        <v>0</v>
      </c>
      <c r="P22" s="218">
        <v>68.099999999999994</v>
      </c>
      <c r="Q22" s="891">
        <v>653.38</v>
      </c>
      <c r="R22" s="218">
        <v>173.8</v>
      </c>
      <c r="S22" s="894">
        <v>903.17</v>
      </c>
    </row>
    <row r="23" spans="1:21" x14ac:dyDescent="0.25">
      <c r="A23" s="175" t="s">
        <v>33</v>
      </c>
      <c r="B23" s="773">
        <v>373.4</v>
      </c>
      <c r="C23" s="888">
        <v>1120.8</v>
      </c>
      <c r="D23" s="217">
        <v>58.8</v>
      </c>
      <c r="E23" s="891">
        <v>1437.8</v>
      </c>
      <c r="F23" s="218">
        <v>86.1</v>
      </c>
      <c r="G23" s="891">
        <v>1162.5</v>
      </c>
      <c r="H23" s="218">
        <v>202.3</v>
      </c>
      <c r="I23" s="891">
        <v>1047.7</v>
      </c>
      <c r="J23" s="218">
        <v>24.7</v>
      </c>
      <c r="K23" s="891">
        <v>840.02</v>
      </c>
      <c r="L23" s="218">
        <v>1.5</v>
      </c>
      <c r="M23" s="894">
        <v>788.11</v>
      </c>
      <c r="N23" s="219">
        <v>10.8</v>
      </c>
      <c r="O23" s="891">
        <v>783.94</v>
      </c>
      <c r="P23" s="218">
        <v>244.3</v>
      </c>
      <c r="Q23" s="891">
        <v>698.83</v>
      </c>
      <c r="R23" s="218">
        <v>628.5</v>
      </c>
      <c r="S23" s="894">
        <v>950.99</v>
      </c>
    </row>
    <row r="24" spans="1:21" ht="15.75" thickBot="1" x14ac:dyDescent="0.3">
      <c r="A24" s="413" t="s">
        <v>39</v>
      </c>
      <c r="B24" s="807">
        <v>96</v>
      </c>
      <c r="C24" s="889">
        <v>1106.9000000000001</v>
      </c>
      <c r="D24" s="220">
        <v>15.1</v>
      </c>
      <c r="E24" s="892">
        <v>1465.2</v>
      </c>
      <c r="F24" s="221">
        <v>15.4</v>
      </c>
      <c r="G24" s="892">
        <v>1184.9000000000001</v>
      </c>
      <c r="H24" s="221">
        <v>46.1</v>
      </c>
      <c r="I24" s="892">
        <v>1072</v>
      </c>
      <c r="J24" s="221">
        <v>18.399999999999999</v>
      </c>
      <c r="K24" s="892">
        <v>842.36</v>
      </c>
      <c r="L24" s="221">
        <v>1</v>
      </c>
      <c r="M24" s="896">
        <v>973.42</v>
      </c>
      <c r="N24" s="222">
        <v>0.7</v>
      </c>
      <c r="O24" s="892">
        <v>1006.5</v>
      </c>
      <c r="P24" s="221">
        <v>76.599999999999994</v>
      </c>
      <c r="Q24" s="892">
        <v>754.58</v>
      </c>
      <c r="R24" s="221">
        <v>173.3</v>
      </c>
      <c r="S24" s="898">
        <v>950.78</v>
      </c>
    </row>
    <row r="25" spans="1:21" s="21" customFormat="1" ht="15.75" thickBot="1" x14ac:dyDescent="0.3">
      <c r="A25" s="268" t="s">
        <v>17</v>
      </c>
      <c r="B25" s="267">
        <v>9918.2000000000007</v>
      </c>
      <c r="C25" s="224">
        <v>1245.19</v>
      </c>
      <c r="D25" s="223">
        <v>1467.3</v>
      </c>
      <c r="E25" s="224">
        <v>1849.37</v>
      </c>
      <c r="F25" s="225">
        <v>2250.6000000000004</v>
      </c>
      <c r="G25" s="224">
        <v>1425.42</v>
      </c>
      <c r="H25" s="225">
        <v>5770</v>
      </c>
      <c r="I25" s="224">
        <v>1051.0899999999999</v>
      </c>
      <c r="J25" s="225">
        <v>276.39999999999998</v>
      </c>
      <c r="K25" s="224">
        <v>822.01</v>
      </c>
      <c r="L25" s="225">
        <v>153.9</v>
      </c>
      <c r="M25" s="224">
        <v>886.2</v>
      </c>
      <c r="N25" s="225">
        <v>1638</v>
      </c>
      <c r="O25" s="224">
        <v>1003.36</v>
      </c>
      <c r="P25" s="225">
        <v>10005.199999999999</v>
      </c>
      <c r="Q25" s="224">
        <v>725.6</v>
      </c>
      <c r="R25" s="225">
        <v>21561.399999999998</v>
      </c>
      <c r="S25" s="226">
        <v>985.71</v>
      </c>
    </row>
    <row r="26" spans="1:21" x14ac:dyDescent="0.25">
      <c r="A26" s="170" t="s">
        <v>122</v>
      </c>
      <c r="B26" s="22"/>
      <c r="C26" s="23"/>
      <c r="D26" s="22"/>
      <c r="E26" s="23"/>
      <c r="F26" s="22"/>
      <c r="G26" s="23"/>
      <c r="H26" s="22"/>
      <c r="I26" s="23"/>
      <c r="J26" s="22"/>
      <c r="K26" s="23"/>
      <c r="L26" s="22"/>
      <c r="M26" s="23"/>
      <c r="N26" s="22"/>
      <c r="O26" s="23"/>
      <c r="P26" s="22"/>
      <c r="Q26" s="23"/>
      <c r="R26" s="22"/>
      <c r="S26" s="23"/>
      <c r="U26" s="421"/>
    </row>
    <row r="27" spans="1:21" x14ac:dyDescent="0.25">
      <c r="A27" s="24"/>
      <c r="B27" s="22"/>
      <c r="C27" s="23"/>
      <c r="D27" s="22"/>
      <c r="E27" s="23"/>
      <c r="F27" s="22"/>
      <c r="G27" s="23"/>
      <c r="H27" s="22"/>
      <c r="I27" s="23"/>
      <c r="J27" s="22"/>
      <c r="K27" s="23"/>
      <c r="L27" s="22"/>
      <c r="M27" s="23"/>
      <c r="N27" s="22"/>
      <c r="O27" s="23"/>
      <c r="P27" s="22"/>
      <c r="Q27" s="23"/>
      <c r="R27" s="22"/>
      <c r="S27" s="23"/>
    </row>
    <row r="28" spans="1:21" x14ac:dyDescent="0.25">
      <c r="U28" s="421"/>
    </row>
    <row r="29" spans="1:21" x14ac:dyDescent="0.25">
      <c r="I29" s="420"/>
      <c r="N29" s="420"/>
      <c r="O29" s="420"/>
      <c r="P29" s="420"/>
    </row>
    <row r="31" spans="1:21" x14ac:dyDescent="0.25">
      <c r="C31" s="420"/>
      <c r="E31" s="420"/>
      <c r="S31" s="420"/>
    </row>
  </sheetData>
  <mergeCells count="11">
    <mergeCell ref="C2:C3"/>
    <mergeCell ref="A2:A3"/>
    <mergeCell ref="D2:M2"/>
    <mergeCell ref="A1:S1"/>
    <mergeCell ref="N2:N3"/>
    <mergeCell ref="O2:O3"/>
    <mergeCell ref="P2:P3"/>
    <mergeCell ref="Q2:Q3"/>
    <mergeCell ref="R2:R3"/>
    <mergeCell ref="S2:S3"/>
    <mergeCell ref="B2:B3"/>
  </mergeCells>
  <phoneticPr fontId="47" type="noConversion"/>
  <pageMargins left="0.51181102362204722" right="0" top="0.74803149606299213" bottom="0.55118110236220474" header="0.11811023622047245" footer="0.11811023622047245"/>
  <pageSetup paperSize="9" scale="74" orientation="landscape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80"/>
  <sheetViews>
    <sheetView tabSelected="1" workbookViewId="0">
      <selection activeCell="A35" sqref="A35"/>
    </sheetView>
  </sheetViews>
  <sheetFormatPr defaultRowHeight="15" x14ac:dyDescent="0.25"/>
  <cols>
    <col min="1" max="1" width="31.42578125" style="48" customWidth="1"/>
    <col min="2" max="2" width="16.7109375" style="48" customWidth="1"/>
    <col min="3" max="3" width="22.85546875" style="5" customWidth="1"/>
    <col min="4" max="4" width="7.85546875" style="48" customWidth="1"/>
    <col min="5" max="16384" width="9.140625" style="48"/>
  </cols>
  <sheetData>
    <row r="1" spans="1:3" ht="51.75" customHeight="1" thickBot="1" x14ac:dyDescent="0.3">
      <c r="A1" s="1112" t="s">
        <v>484</v>
      </c>
      <c r="B1" s="1112"/>
      <c r="C1" s="1112"/>
    </row>
    <row r="2" spans="1:3" ht="48" customHeight="1" thickBot="1" x14ac:dyDescent="0.3">
      <c r="A2" s="202" t="s">
        <v>43</v>
      </c>
      <c r="B2" s="203" t="s">
        <v>344</v>
      </c>
      <c r="C2" s="204" t="s">
        <v>380</v>
      </c>
    </row>
    <row r="3" spans="1:3" ht="21" customHeight="1" x14ac:dyDescent="0.25">
      <c r="A3" s="434" t="s">
        <v>23</v>
      </c>
      <c r="B3" s="429">
        <v>25</v>
      </c>
      <c r="C3" s="431">
        <v>54.28</v>
      </c>
    </row>
    <row r="4" spans="1:3" ht="21" customHeight="1" x14ac:dyDescent="0.25">
      <c r="A4" s="435" t="s">
        <v>31</v>
      </c>
      <c r="B4" s="430">
        <v>1</v>
      </c>
      <c r="C4" s="432">
        <v>50</v>
      </c>
    </row>
    <row r="5" spans="1:3" ht="21" customHeight="1" x14ac:dyDescent="0.25">
      <c r="A5" s="436" t="s">
        <v>29</v>
      </c>
      <c r="B5" s="430">
        <v>5</v>
      </c>
      <c r="C5" s="432">
        <v>52.8</v>
      </c>
    </row>
    <row r="6" spans="1:3" ht="21" customHeight="1" x14ac:dyDescent="0.25">
      <c r="A6" s="436" t="s">
        <v>34</v>
      </c>
      <c r="B6" s="430">
        <v>2</v>
      </c>
      <c r="C6" s="432">
        <v>57.5</v>
      </c>
    </row>
    <row r="7" spans="1:3" ht="21" customHeight="1" x14ac:dyDescent="0.25">
      <c r="A7" s="436" t="s">
        <v>102</v>
      </c>
      <c r="B7" s="430">
        <v>3</v>
      </c>
      <c r="C7" s="432">
        <v>53.33</v>
      </c>
    </row>
    <row r="8" spans="1:3" ht="21" customHeight="1" x14ac:dyDescent="0.25">
      <c r="A8" s="435" t="s">
        <v>28</v>
      </c>
      <c r="B8" s="430">
        <v>8</v>
      </c>
      <c r="C8" s="432">
        <v>50.37</v>
      </c>
    </row>
    <row r="9" spans="1:3" ht="21" customHeight="1" x14ac:dyDescent="0.25">
      <c r="A9" s="435" t="s">
        <v>159</v>
      </c>
      <c r="B9" s="430">
        <v>4</v>
      </c>
      <c r="C9" s="432">
        <v>57</v>
      </c>
    </row>
    <row r="10" spans="1:3" ht="21" customHeight="1" x14ac:dyDescent="0.25">
      <c r="A10" s="436" t="s">
        <v>32</v>
      </c>
      <c r="B10" s="430">
        <v>1</v>
      </c>
      <c r="C10" s="432">
        <v>52</v>
      </c>
    </row>
    <row r="11" spans="1:3" ht="21" customHeight="1" x14ac:dyDescent="0.25">
      <c r="A11" s="435" t="s">
        <v>24</v>
      </c>
      <c r="B11" s="430">
        <v>14</v>
      </c>
      <c r="C11" s="432">
        <v>49.5</v>
      </c>
    </row>
    <row r="12" spans="1:3" ht="21" customHeight="1" x14ac:dyDescent="0.25">
      <c r="A12" s="435" t="s">
        <v>25</v>
      </c>
      <c r="B12" s="430">
        <v>9</v>
      </c>
      <c r="C12" s="432">
        <v>51.33</v>
      </c>
    </row>
    <row r="13" spans="1:3" ht="21" customHeight="1" x14ac:dyDescent="0.25">
      <c r="A13" s="436" t="s">
        <v>45</v>
      </c>
      <c r="B13" s="430">
        <v>5</v>
      </c>
      <c r="C13" s="432">
        <v>55</v>
      </c>
    </row>
    <row r="14" spans="1:3" ht="21" customHeight="1" x14ac:dyDescent="0.25">
      <c r="A14" s="436" t="s">
        <v>348</v>
      </c>
      <c r="B14" s="430">
        <v>2</v>
      </c>
      <c r="C14" s="433">
        <v>43.5</v>
      </c>
    </row>
    <row r="15" spans="1:3" ht="21" customHeight="1" x14ac:dyDescent="0.25">
      <c r="A15" s="436" t="s">
        <v>27</v>
      </c>
      <c r="B15" s="430">
        <v>4</v>
      </c>
      <c r="C15" s="433">
        <v>53.75</v>
      </c>
    </row>
    <row r="16" spans="1:3" x14ac:dyDescent="0.25">
      <c r="A16" s="436" t="s">
        <v>30</v>
      </c>
      <c r="B16" s="430">
        <v>4</v>
      </c>
      <c r="C16" s="682">
        <v>46.25</v>
      </c>
    </row>
    <row r="17" spans="1:3" x14ac:dyDescent="0.25">
      <c r="A17" s="435" t="s">
        <v>36</v>
      </c>
      <c r="B17" s="814">
        <v>1</v>
      </c>
      <c r="C17" s="811">
        <v>45</v>
      </c>
    </row>
    <row r="18" spans="1:3" x14ac:dyDescent="0.25">
      <c r="A18" s="435" t="s">
        <v>40</v>
      </c>
      <c r="B18" s="814">
        <v>7</v>
      </c>
      <c r="C18" s="811">
        <v>53</v>
      </c>
    </row>
    <row r="19" spans="1:3" x14ac:dyDescent="0.25">
      <c r="A19" s="435" t="s">
        <v>41</v>
      </c>
      <c r="B19" s="814">
        <v>1</v>
      </c>
      <c r="C19" s="811">
        <v>55</v>
      </c>
    </row>
    <row r="20" spans="1:3" x14ac:dyDescent="0.25">
      <c r="A20" s="436" t="s">
        <v>160</v>
      </c>
      <c r="B20" s="814">
        <v>1</v>
      </c>
      <c r="C20" s="812">
        <v>67</v>
      </c>
    </row>
    <row r="21" spans="1:3" x14ac:dyDescent="0.25">
      <c r="A21" s="436" t="s">
        <v>33</v>
      </c>
      <c r="B21" s="814">
        <v>1</v>
      </c>
      <c r="C21" s="812">
        <v>56</v>
      </c>
    </row>
    <row r="22" spans="1:3" x14ac:dyDescent="0.25">
      <c r="A22" s="437" t="s">
        <v>26</v>
      </c>
      <c r="B22" s="814">
        <v>3</v>
      </c>
      <c r="C22" s="811">
        <v>50.33</v>
      </c>
    </row>
    <row r="23" spans="1:3" ht="15.75" thickBot="1" x14ac:dyDescent="0.3">
      <c r="A23" s="438" t="s">
        <v>100</v>
      </c>
      <c r="B23" s="815">
        <v>3</v>
      </c>
      <c r="C23" s="813">
        <v>63</v>
      </c>
    </row>
    <row r="24" spans="1:3" ht="15.75" thickBot="1" x14ac:dyDescent="0.3">
      <c r="A24" s="176" t="s">
        <v>17</v>
      </c>
      <c r="B24" s="899">
        <f>SUM(B3:B23)</f>
        <v>104</v>
      </c>
      <c r="C24" s="900">
        <v>52.69</v>
      </c>
    </row>
    <row r="25" spans="1:3" x14ac:dyDescent="0.25">
      <c r="A25" s="140"/>
      <c r="B25" s="140"/>
      <c r="C25" s="171" t="s">
        <v>378</v>
      </c>
    </row>
    <row r="27" spans="1:3" x14ac:dyDescent="0.25">
      <c r="A27" s="5"/>
    </row>
    <row r="28" spans="1:3" x14ac:dyDescent="0.25">
      <c r="A28" s="428"/>
      <c r="B28" s="49"/>
    </row>
    <row r="29" spans="1:3" x14ac:dyDescent="0.25">
      <c r="A29" s="174"/>
      <c r="B29" s="49"/>
    </row>
    <row r="30" spans="1:3" x14ac:dyDescent="0.25">
      <c r="A30" s="174"/>
      <c r="B30" s="49"/>
    </row>
    <row r="33" spans="1:2" x14ac:dyDescent="0.25">
      <c r="A33" s="174"/>
      <c r="B33" s="49"/>
    </row>
    <row r="34" spans="1:2" x14ac:dyDescent="0.25">
      <c r="A34" s="174"/>
      <c r="B34" s="49"/>
    </row>
    <row r="35" spans="1:2" x14ac:dyDescent="0.25">
      <c r="A35" s="5"/>
      <c r="B35" s="49"/>
    </row>
    <row r="36" spans="1:2" x14ac:dyDescent="0.25">
      <c r="A36" s="5"/>
      <c r="B36" s="49"/>
    </row>
    <row r="37" spans="1:2" x14ac:dyDescent="0.25">
      <c r="A37" s="5"/>
      <c r="B37" s="49"/>
    </row>
    <row r="38" spans="1:2" x14ac:dyDescent="0.25">
      <c r="A38" s="5"/>
      <c r="B38" s="49"/>
    </row>
    <row r="39" spans="1:2" x14ac:dyDescent="0.25">
      <c r="A39" s="5"/>
      <c r="B39" s="49"/>
    </row>
    <row r="40" spans="1:2" x14ac:dyDescent="0.25">
      <c r="A40" s="5"/>
      <c r="B40" s="49"/>
    </row>
    <row r="41" spans="1:2" x14ac:dyDescent="0.25">
      <c r="A41" s="5"/>
      <c r="B41" s="49"/>
    </row>
    <row r="42" spans="1:2" x14ac:dyDescent="0.25">
      <c r="A42" s="5"/>
      <c r="B42" s="49"/>
    </row>
    <row r="43" spans="1:2" x14ac:dyDescent="0.25">
      <c r="A43" s="5"/>
      <c r="B43" s="49"/>
    </row>
    <row r="44" spans="1:2" x14ac:dyDescent="0.25">
      <c r="A44" s="5"/>
      <c r="B44" s="49"/>
    </row>
    <row r="45" spans="1:2" x14ac:dyDescent="0.25">
      <c r="A45" s="5"/>
      <c r="B45" s="49"/>
    </row>
    <row r="46" spans="1:2" x14ac:dyDescent="0.25">
      <c r="A46" s="5"/>
      <c r="B46" s="49"/>
    </row>
    <row r="47" spans="1:2" x14ac:dyDescent="0.25">
      <c r="A47" s="5"/>
      <c r="B47" s="49"/>
    </row>
    <row r="48" spans="1:2" x14ac:dyDescent="0.25">
      <c r="A48" s="5"/>
      <c r="B48" s="49"/>
    </row>
    <row r="49" spans="1:2" x14ac:dyDescent="0.25">
      <c r="A49" s="5"/>
      <c r="B49" s="49"/>
    </row>
    <row r="50" spans="1:2" x14ac:dyDescent="0.25">
      <c r="A50" s="5"/>
      <c r="B50" s="49"/>
    </row>
    <row r="51" spans="1:2" x14ac:dyDescent="0.25">
      <c r="A51" s="5"/>
      <c r="B51" s="49"/>
    </row>
    <row r="52" spans="1:2" x14ac:dyDescent="0.25">
      <c r="A52" s="5"/>
      <c r="B52" s="49"/>
    </row>
    <row r="53" spans="1:2" x14ac:dyDescent="0.25">
      <c r="A53" s="5"/>
      <c r="B53" s="49"/>
    </row>
    <row r="54" spans="1:2" x14ac:dyDescent="0.25">
      <c r="A54" s="5"/>
      <c r="B54" s="49"/>
    </row>
    <row r="55" spans="1:2" x14ac:dyDescent="0.25">
      <c r="A55" s="5"/>
      <c r="B55" s="49"/>
    </row>
    <row r="56" spans="1:2" x14ac:dyDescent="0.25">
      <c r="A56" s="5"/>
      <c r="B56" s="49"/>
    </row>
    <row r="57" spans="1:2" x14ac:dyDescent="0.25">
      <c r="A57" s="5"/>
      <c r="B57" s="49"/>
    </row>
    <row r="58" spans="1:2" x14ac:dyDescent="0.25">
      <c r="A58" s="5"/>
      <c r="B58" s="49"/>
    </row>
    <row r="59" spans="1:2" x14ac:dyDescent="0.25">
      <c r="A59" s="5"/>
      <c r="B59" s="49"/>
    </row>
    <row r="60" spans="1:2" x14ac:dyDescent="0.25">
      <c r="A60" s="5"/>
      <c r="B60" s="49"/>
    </row>
    <row r="61" spans="1:2" x14ac:dyDescent="0.25">
      <c r="A61" s="5"/>
      <c r="B61" s="49"/>
    </row>
    <row r="62" spans="1:2" x14ac:dyDescent="0.25">
      <c r="A62" s="5"/>
      <c r="B62" s="49"/>
    </row>
    <row r="63" spans="1:2" x14ac:dyDescent="0.25">
      <c r="A63" s="5"/>
      <c r="B63" s="49"/>
    </row>
    <row r="64" spans="1:2" x14ac:dyDescent="0.25">
      <c r="A64" s="5"/>
      <c r="B64" s="49"/>
    </row>
    <row r="65" spans="1:2" x14ac:dyDescent="0.25">
      <c r="A65" s="5"/>
      <c r="B65" s="49"/>
    </row>
    <row r="66" spans="1:2" x14ac:dyDescent="0.25">
      <c r="A66" s="5"/>
      <c r="B66" s="49"/>
    </row>
    <row r="67" spans="1:2" x14ac:dyDescent="0.25">
      <c r="A67" s="5"/>
      <c r="B67" s="49"/>
    </row>
    <row r="68" spans="1:2" x14ac:dyDescent="0.25">
      <c r="A68" s="5"/>
      <c r="B68" s="49"/>
    </row>
    <row r="69" spans="1:2" x14ac:dyDescent="0.25">
      <c r="A69" s="5"/>
      <c r="B69" s="49"/>
    </row>
    <row r="70" spans="1:2" x14ac:dyDescent="0.25">
      <c r="A70" s="5"/>
      <c r="B70" s="49"/>
    </row>
    <row r="71" spans="1:2" x14ac:dyDescent="0.25">
      <c r="A71" s="5"/>
      <c r="B71" s="49"/>
    </row>
    <row r="72" spans="1:2" x14ac:dyDescent="0.25">
      <c r="A72" s="5"/>
      <c r="B72" s="49"/>
    </row>
    <row r="73" spans="1:2" x14ac:dyDescent="0.25">
      <c r="A73" s="5"/>
      <c r="B73" s="49"/>
    </row>
    <row r="74" spans="1:2" x14ac:dyDescent="0.25">
      <c r="A74" s="5"/>
      <c r="B74" s="49"/>
    </row>
    <row r="75" spans="1:2" x14ac:dyDescent="0.25">
      <c r="A75" s="5"/>
      <c r="B75" s="49"/>
    </row>
    <row r="76" spans="1:2" x14ac:dyDescent="0.25">
      <c r="A76" s="5"/>
      <c r="B76" s="49"/>
    </row>
    <row r="77" spans="1:2" x14ac:dyDescent="0.25">
      <c r="A77" s="5"/>
      <c r="B77" s="49"/>
    </row>
    <row r="78" spans="1:2" x14ac:dyDescent="0.25">
      <c r="A78" s="5"/>
      <c r="B78" s="49"/>
    </row>
    <row r="79" spans="1:2" x14ac:dyDescent="0.25">
      <c r="A79" s="5"/>
      <c r="B79" s="49"/>
    </row>
    <row r="80" spans="1:2" x14ac:dyDescent="0.25">
      <c r="B80" s="49"/>
    </row>
  </sheetData>
  <mergeCells count="1">
    <mergeCell ref="A1:C1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7"/>
  <sheetViews>
    <sheetView tabSelected="1" workbookViewId="0">
      <selection activeCell="A35" sqref="A35"/>
    </sheetView>
  </sheetViews>
  <sheetFormatPr defaultRowHeight="15.75" x14ac:dyDescent="0.25"/>
  <cols>
    <col min="1" max="1" width="23.7109375" style="34" customWidth="1"/>
    <col min="2" max="2" width="13" style="34" customWidth="1"/>
    <col min="3" max="3" width="9.85546875" style="34" customWidth="1"/>
    <col min="4" max="4" width="14.42578125" style="34" customWidth="1"/>
    <col min="5" max="5" width="15.140625" style="34" customWidth="1"/>
    <col min="6" max="6" width="15.7109375" style="34" customWidth="1"/>
    <col min="7" max="7" width="13.140625" style="34" customWidth="1"/>
    <col min="8" max="8" width="15.28515625" style="34" customWidth="1"/>
    <col min="9" max="9" width="13.85546875" style="34" customWidth="1"/>
    <col min="10" max="10" width="17.5703125" style="34" customWidth="1"/>
    <col min="11" max="16384" width="9.140625" style="34"/>
  </cols>
  <sheetData>
    <row r="1" spans="1:12" s="31" customFormat="1" ht="63" customHeight="1" thickBot="1" x14ac:dyDescent="0.3">
      <c r="A1" s="1113" t="s">
        <v>535</v>
      </c>
      <c r="B1" s="1113"/>
      <c r="C1" s="1113"/>
      <c r="D1" s="1113"/>
      <c r="E1" s="1113"/>
      <c r="F1" s="1113"/>
      <c r="G1" s="1113"/>
      <c r="H1" s="1113"/>
      <c r="I1" s="1113"/>
      <c r="J1" s="1113"/>
    </row>
    <row r="2" spans="1:12" s="32" customFormat="1" ht="143.25" customHeight="1" thickBot="1" x14ac:dyDescent="0.3">
      <c r="A2" s="123" t="s">
        <v>43</v>
      </c>
      <c r="B2" s="126" t="s">
        <v>536</v>
      </c>
      <c r="C2" s="124" t="s">
        <v>151</v>
      </c>
      <c r="D2" s="124" t="s">
        <v>152</v>
      </c>
      <c r="E2" s="124" t="s">
        <v>153</v>
      </c>
      <c r="F2" s="125" t="s">
        <v>154</v>
      </c>
      <c r="G2" s="126" t="s">
        <v>155</v>
      </c>
      <c r="H2" s="124" t="s">
        <v>156</v>
      </c>
      <c r="I2" s="124" t="s">
        <v>157</v>
      </c>
      <c r="J2" s="125" t="s">
        <v>158</v>
      </c>
    </row>
    <row r="3" spans="1:12" x14ac:dyDescent="0.25">
      <c r="A3" s="817" t="s">
        <v>23</v>
      </c>
      <c r="B3" s="233">
        <v>187</v>
      </c>
      <c r="C3" s="141">
        <v>98</v>
      </c>
      <c r="D3" s="141">
        <f>E3-C3</f>
        <v>273</v>
      </c>
      <c r="E3" s="141">
        <v>371</v>
      </c>
      <c r="F3" s="901">
        <f>E3/$E$23</f>
        <v>0.26053370786516855</v>
      </c>
      <c r="G3" s="234">
        <v>2036267</v>
      </c>
      <c r="H3" s="141">
        <v>229381</v>
      </c>
      <c r="I3" s="235">
        <f>G3+H3</f>
        <v>2265648</v>
      </c>
      <c r="J3" s="905">
        <f>I3/$I$23</f>
        <v>0.24478952717164529</v>
      </c>
      <c r="K3" s="33"/>
      <c r="L3" s="33"/>
    </row>
    <row r="4" spans="1:12" x14ac:dyDescent="0.25">
      <c r="A4" s="144" t="s">
        <v>31</v>
      </c>
      <c r="B4" s="236">
        <v>55</v>
      </c>
      <c r="C4" s="122">
        <v>24</v>
      </c>
      <c r="D4" s="141">
        <f t="shared" ref="D4:D22" si="0">E4-C4</f>
        <v>91</v>
      </c>
      <c r="E4" s="122">
        <v>115</v>
      </c>
      <c r="F4" s="902">
        <f t="shared" ref="F4:F22" si="1">E4/$E$23</f>
        <v>8.0758426966292138E-2</v>
      </c>
      <c r="G4" s="237">
        <v>637492</v>
      </c>
      <c r="H4" s="141">
        <v>54246</v>
      </c>
      <c r="I4" s="238">
        <f t="shared" ref="I4:I22" si="2">G4+H4</f>
        <v>691738</v>
      </c>
      <c r="J4" s="906">
        <f t="shared" ref="J4:J22" si="3">I4/$I$23</f>
        <v>7.4738096097301782E-2</v>
      </c>
      <c r="K4" s="33"/>
      <c r="L4" s="33"/>
    </row>
    <row r="5" spans="1:12" x14ac:dyDescent="0.25">
      <c r="A5" s="144" t="s">
        <v>29</v>
      </c>
      <c r="B5" s="236">
        <v>58</v>
      </c>
      <c r="C5" s="122">
        <v>15</v>
      </c>
      <c r="D5" s="141">
        <f t="shared" si="0"/>
        <v>45</v>
      </c>
      <c r="E5" s="122">
        <v>60</v>
      </c>
      <c r="F5" s="902">
        <f t="shared" si="1"/>
        <v>4.2134831460674156E-2</v>
      </c>
      <c r="G5" s="237">
        <v>206032</v>
      </c>
      <c r="H5" s="141">
        <v>8073</v>
      </c>
      <c r="I5" s="238">
        <f t="shared" si="2"/>
        <v>214105</v>
      </c>
      <c r="J5" s="906">
        <f t="shared" si="3"/>
        <v>2.3132746885255396E-2</v>
      </c>
      <c r="K5" s="33"/>
      <c r="L5" s="33"/>
    </row>
    <row r="6" spans="1:12" x14ac:dyDescent="0.25">
      <c r="A6" s="144" t="s">
        <v>34</v>
      </c>
      <c r="B6" s="236">
        <v>10</v>
      </c>
      <c r="C6" s="122">
        <v>5</v>
      </c>
      <c r="D6" s="141">
        <f t="shared" si="0"/>
        <v>9</v>
      </c>
      <c r="E6" s="122">
        <v>14</v>
      </c>
      <c r="F6" s="902">
        <f t="shared" si="1"/>
        <v>9.8314606741573031E-3</v>
      </c>
      <c r="G6" s="237">
        <v>69511</v>
      </c>
      <c r="H6" s="141">
        <v>6949</v>
      </c>
      <c r="I6" s="238">
        <f t="shared" si="2"/>
        <v>76460</v>
      </c>
      <c r="J6" s="906">
        <f t="shared" si="3"/>
        <v>8.26103933512355E-3</v>
      </c>
      <c r="K6" s="33"/>
      <c r="L6" s="33"/>
    </row>
    <row r="7" spans="1:12" x14ac:dyDescent="0.25">
      <c r="A7" s="144" t="s">
        <v>102</v>
      </c>
      <c r="B7" s="236">
        <v>19</v>
      </c>
      <c r="C7" s="122">
        <v>11</v>
      </c>
      <c r="D7" s="141">
        <f t="shared" si="0"/>
        <v>43</v>
      </c>
      <c r="E7" s="122">
        <v>54</v>
      </c>
      <c r="F7" s="902">
        <f t="shared" si="1"/>
        <v>3.7921348314606744E-2</v>
      </c>
      <c r="G7" s="237">
        <v>447512</v>
      </c>
      <c r="H7" s="141">
        <v>67889</v>
      </c>
      <c r="I7" s="238">
        <f t="shared" si="2"/>
        <v>515401</v>
      </c>
      <c r="J7" s="906">
        <f t="shared" si="3"/>
        <v>5.5685952581245257E-2</v>
      </c>
      <c r="K7" s="33"/>
      <c r="L7" s="33"/>
    </row>
    <row r="8" spans="1:12" x14ac:dyDescent="0.25">
      <c r="A8" s="144" t="s">
        <v>28</v>
      </c>
      <c r="B8" s="236">
        <v>47</v>
      </c>
      <c r="C8" s="122">
        <v>19</v>
      </c>
      <c r="D8" s="141">
        <f t="shared" si="0"/>
        <v>32</v>
      </c>
      <c r="E8" s="122">
        <v>51</v>
      </c>
      <c r="F8" s="902">
        <f t="shared" si="1"/>
        <v>3.5814606741573031E-2</v>
      </c>
      <c r="G8" s="237">
        <v>190298</v>
      </c>
      <c r="H8" s="141">
        <v>12371</v>
      </c>
      <c r="I8" s="238">
        <f t="shared" si="2"/>
        <v>202669</v>
      </c>
      <c r="J8" s="906">
        <f t="shared" si="3"/>
        <v>2.1897156434869926E-2</v>
      </c>
      <c r="K8" s="33"/>
      <c r="L8" s="33"/>
    </row>
    <row r="9" spans="1:12" x14ac:dyDescent="0.25">
      <c r="A9" s="144" t="s">
        <v>159</v>
      </c>
      <c r="B9" s="236">
        <v>49</v>
      </c>
      <c r="C9" s="122">
        <v>14</v>
      </c>
      <c r="D9" s="141">
        <f t="shared" si="0"/>
        <v>42</v>
      </c>
      <c r="E9" s="122">
        <v>56</v>
      </c>
      <c r="F9" s="902">
        <f t="shared" si="1"/>
        <v>3.9325842696629212E-2</v>
      </c>
      <c r="G9" s="237">
        <v>201306</v>
      </c>
      <c r="H9" s="141">
        <v>3331</v>
      </c>
      <c r="I9" s="238">
        <f t="shared" si="2"/>
        <v>204637</v>
      </c>
      <c r="J9" s="906">
        <f t="shared" si="3"/>
        <v>2.2109786900623565E-2</v>
      </c>
      <c r="K9" s="33"/>
      <c r="L9" s="33"/>
    </row>
    <row r="10" spans="1:12" x14ac:dyDescent="0.25">
      <c r="A10" s="144" t="s">
        <v>32</v>
      </c>
      <c r="B10" s="236">
        <v>30</v>
      </c>
      <c r="C10" s="122">
        <v>6</v>
      </c>
      <c r="D10" s="141">
        <f t="shared" si="0"/>
        <v>32</v>
      </c>
      <c r="E10" s="122">
        <v>38</v>
      </c>
      <c r="F10" s="902">
        <f t="shared" si="1"/>
        <v>2.6685393258426966E-2</v>
      </c>
      <c r="G10" s="237">
        <v>186256</v>
      </c>
      <c r="H10" s="141">
        <v>911</v>
      </c>
      <c r="I10" s="238">
        <f t="shared" si="2"/>
        <v>187167</v>
      </c>
      <c r="J10" s="906">
        <f t="shared" si="3"/>
        <v>2.0222259341316627E-2</v>
      </c>
      <c r="K10" s="33"/>
      <c r="L10" s="33"/>
    </row>
    <row r="11" spans="1:12" x14ac:dyDescent="0.25">
      <c r="A11" s="144" t="s">
        <v>24</v>
      </c>
      <c r="B11" s="236">
        <v>134</v>
      </c>
      <c r="C11" s="122">
        <v>62</v>
      </c>
      <c r="D11" s="141">
        <f t="shared" si="0"/>
        <v>159</v>
      </c>
      <c r="E11" s="122">
        <v>221</v>
      </c>
      <c r="F11" s="902">
        <f t="shared" si="1"/>
        <v>0.15519662921348315</v>
      </c>
      <c r="G11" s="237">
        <v>1657585</v>
      </c>
      <c r="H11" s="141">
        <v>248698</v>
      </c>
      <c r="I11" s="238">
        <f t="shared" si="2"/>
        <v>1906283</v>
      </c>
      <c r="J11" s="906">
        <f t="shared" si="3"/>
        <v>0.20596231816475707</v>
      </c>
      <c r="K11" s="33"/>
      <c r="L11" s="33"/>
    </row>
    <row r="12" spans="1:12" x14ac:dyDescent="0.25">
      <c r="A12" s="144" t="s">
        <v>25</v>
      </c>
      <c r="B12" s="236">
        <v>82</v>
      </c>
      <c r="C12" s="122">
        <v>31</v>
      </c>
      <c r="D12" s="141">
        <f t="shared" si="0"/>
        <v>90</v>
      </c>
      <c r="E12" s="122">
        <v>121</v>
      </c>
      <c r="F12" s="902">
        <f t="shared" si="1"/>
        <v>8.497191011235955E-2</v>
      </c>
      <c r="G12" s="237">
        <v>828779</v>
      </c>
      <c r="H12" s="141">
        <v>158694</v>
      </c>
      <c r="I12" s="238">
        <f t="shared" si="2"/>
        <v>987473</v>
      </c>
      <c r="J12" s="906">
        <f t="shared" si="3"/>
        <v>0.10669046946602742</v>
      </c>
      <c r="K12" s="33"/>
      <c r="L12" s="33"/>
    </row>
    <row r="13" spans="1:12" x14ac:dyDescent="0.25">
      <c r="A13" s="144" t="s">
        <v>45</v>
      </c>
      <c r="B13" s="236">
        <v>65</v>
      </c>
      <c r="C13" s="122">
        <v>21</v>
      </c>
      <c r="D13" s="141">
        <f t="shared" si="0"/>
        <v>78</v>
      </c>
      <c r="E13" s="122">
        <v>99</v>
      </c>
      <c r="F13" s="902">
        <f t="shared" si="1"/>
        <v>6.9522471910112363E-2</v>
      </c>
      <c r="G13" s="237">
        <v>648509</v>
      </c>
      <c r="H13" s="141">
        <v>101715</v>
      </c>
      <c r="I13" s="238">
        <f t="shared" si="2"/>
        <v>750224</v>
      </c>
      <c r="J13" s="906">
        <f t="shared" si="3"/>
        <v>8.1057153729449771E-2</v>
      </c>
      <c r="K13" s="33"/>
      <c r="L13" s="33"/>
    </row>
    <row r="14" spans="1:12" x14ac:dyDescent="0.25">
      <c r="A14" s="144" t="s">
        <v>348</v>
      </c>
      <c r="B14" s="236">
        <v>13</v>
      </c>
      <c r="C14" s="122">
        <v>0</v>
      </c>
      <c r="D14" s="141">
        <f t="shared" si="0"/>
        <v>4</v>
      </c>
      <c r="E14" s="122">
        <v>4</v>
      </c>
      <c r="F14" s="902">
        <f t="shared" si="1"/>
        <v>2.8089887640449437E-3</v>
      </c>
      <c r="G14" s="237">
        <v>23518</v>
      </c>
      <c r="H14" s="141">
        <v>939</v>
      </c>
      <c r="I14" s="238">
        <f t="shared" si="2"/>
        <v>24457</v>
      </c>
      <c r="J14" s="906">
        <f t="shared" si="3"/>
        <v>2.6424305390938614E-3</v>
      </c>
      <c r="K14" s="33"/>
      <c r="L14" s="33"/>
    </row>
    <row r="15" spans="1:12" x14ac:dyDescent="0.25">
      <c r="A15" s="144" t="s">
        <v>27</v>
      </c>
      <c r="B15" s="236">
        <v>48</v>
      </c>
      <c r="C15" s="122">
        <v>21</v>
      </c>
      <c r="D15" s="141">
        <f t="shared" si="0"/>
        <v>59</v>
      </c>
      <c r="E15" s="122">
        <v>80</v>
      </c>
      <c r="F15" s="902">
        <f t="shared" si="1"/>
        <v>5.6179775280898875E-2</v>
      </c>
      <c r="G15" s="237">
        <v>330994</v>
      </c>
      <c r="H15" s="141">
        <v>31718</v>
      </c>
      <c r="I15" s="238">
        <f t="shared" si="2"/>
        <v>362712</v>
      </c>
      <c r="J15" s="906">
        <f t="shared" si="3"/>
        <v>3.9188832060179611E-2</v>
      </c>
      <c r="K15" s="33"/>
      <c r="L15" s="33"/>
    </row>
    <row r="16" spans="1:12" x14ac:dyDescent="0.25">
      <c r="A16" s="144" t="s">
        <v>30</v>
      </c>
      <c r="B16" s="236">
        <v>67</v>
      </c>
      <c r="C16" s="122">
        <v>23</v>
      </c>
      <c r="D16" s="141">
        <f t="shared" si="0"/>
        <v>49</v>
      </c>
      <c r="E16" s="122">
        <v>72</v>
      </c>
      <c r="F16" s="902">
        <f t="shared" si="1"/>
        <v>5.0561797752808987E-2</v>
      </c>
      <c r="G16" s="237">
        <v>439468</v>
      </c>
      <c r="H16" s="141">
        <v>44207</v>
      </c>
      <c r="I16" s="238">
        <f t="shared" si="2"/>
        <v>483675</v>
      </c>
      <c r="J16" s="906">
        <f t="shared" si="3"/>
        <v>5.2258150672454651E-2</v>
      </c>
      <c r="K16" s="33"/>
      <c r="L16" s="33"/>
    </row>
    <row r="17" spans="1:12" x14ac:dyDescent="0.25">
      <c r="A17" s="144" t="s">
        <v>36</v>
      </c>
      <c r="B17" s="236">
        <v>26</v>
      </c>
      <c r="C17" s="122">
        <v>11</v>
      </c>
      <c r="D17" s="141">
        <f t="shared" si="0"/>
        <v>36</v>
      </c>
      <c r="E17" s="122">
        <v>47</v>
      </c>
      <c r="F17" s="902">
        <f t="shared" si="1"/>
        <v>3.3005617977528087E-2</v>
      </c>
      <c r="G17" s="237">
        <v>308693</v>
      </c>
      <c r="H17" s="141">
        <v>17467</v>
      </c>
      <c r="I17" s="238">
        <f t="shared" si="2"/>
        <v>326160</v>
      </c>
      <c r="J17" s="906">
        <f t="shared" si="3"/>
        <v>3.5239610116974851E-2</v>
      </c>
      <c r="K17" s="33"/>
      <c r="L17" s="33"/>
    </row>
    <row r="18" spans="1:12" x14ac:dyDescent="0.25">
      <c r="A18" s="763" t="s">
        <v>40</v>
      </c>
      <c r="B18" s="236">
        <v>0</v>
      </c>
      <c r="C18" s="122">
        <v>1</v>
      </c>
      <c r="D18" s="141">
        <f t="shared" si="0"/>
        <v>1</v>
      </c>
      <c r="E18" s="122">
        <v>2</v>
      </c>
      <c r="F18" s="902">
        <f t="shared" si="1"/>
        <v>1.4044943820224719E-3</v>
      </c>
      <c r="G18" s="237">
        <v>5959</v>
      </c>
      <c r="H18" s="141">
        <v>0</v>
      </c>
      <c r="I18" s="238">
        <f t="shared" si="2"/>
        <v>5959</v>
      </c>
      <c r="J18" s="906">
        <f t="shared" si="3"/>
        <v>6.4383381373268672E-4</v>
      </c>
      <c r="K18" s="33"/>
      <c r="L18" s="33"/>
    </row>
    <row r="19" spans="1:12" x14ac:dyDescent="0.25">
      <c r="A19" s="144" t="s">
        <v>41</v>
      </c>
      <c r="B19" s="236">
        <v>1</v>
      </c>
      <c r="C19" s="122">
        <v>0</v>
      </c>
      <c r="D19" s="141">
        <f t="shared" si="0"/>
        <v>2</v>
      </c>
      <c r="E19" s="122">
        <v>2</v>
      </c>
      <c r="F19" s="902">
        <f t="shared" si="1"/>
        <v>1.4044943820224719E-3</v>
      </c>
      <c r="G19" s="237">
        <v>2648</v>
      </c>
      <c r="H19" s="141">
        <v>0</v>
      </c>
      <c r="I19" s="238">
        <f t="shared" si="2"/>
        <v>2648</v>
      </c>
      <c r="J19" s="906">
        <f t="shared" si="3"/>
        <v>2.8610034213192724E-4</v>
      </c>
      <c r="K19" s="33"/>
      <c r="L19" s="33"/>
    </row>
    <row r="20" spans="1:12" x14ac:dyDescent="0.25">
      <c r="A20" s="144" t="s">
        <v>160</v>
      </c>
      <c r="B20" s="236">
        <v>1</v>
      </c>
      <c r="C20" s="122">
        <v>0</v>
      </c>
      <c r="D20" s="141">
        <f t="shared" si="0"/>
        <v>0</v>
      </c>
      <c r="E20" s="122">
        <v>0</v>
      </c>
      <c r="F20" s="902">
        <f t="shared" si="1"/>
        <v>0</v>
      </c>
      <c r="G20" s="237">
        <v>0</v>
      </c>
      <c r="H20" s="141">
        <v>0</v>
      </c>
      <c r="I20" s="238">
        <f t="shared" si="2"/>
        <v>0</v>
      </c>
      <c r="J20" s="906">
        <f t="shared" si="3"/>
        <v>0</v>
      </c>
      <c r="K20" s="33"/>
      <c r="L20" s="33"/>
    </row>
    <row r="21" spans="1:12" x14ac:dyDescent="0.25">
      <c r="A21" s="144" t="s">
        <v>33</v>
      </c>
      <c r="B21" s="236">
        <v>17</v>
      </c>
      <c r="C21" s="122">
        <v>5</v>
      </c>
      <c r="D21" s="141">
        <f t="shared" si="0"/>
        <v>8</v>
      </c>
      <c r="E21" s="122">
        <v>13</v>
      </c>
      <c r="F21" s="902">
        <f t="shared" si="1"/>
        <v>9.1292134831460672E-3</v>
      </c>
      <c r="G21" s="237">
        <v>35035</v>
      </c>
      <c r="H21" s="141">
        <v>5958</v>
      </c>
      <c r="I21" s="238">
        <f t="shared" si="2"/>
        <v>40993</v>
      </c>
      <c r="J21" s="906">
        <f t="shared" si="3"/>
        <v>4.4290450623165013E-3</v>
      </c>
      <c r="K21" s="33"/>
      <c r="L21" s="33"/>
    </row>
    <row r="22" spans="1:12" ht="16.5" thickBot="1" x14ac:dyDescent="0.3">
      <c r="A22" s="145" t="s">
        <v>39</v>
      </c>
      <c r="B22" s="239">
        <v>10</v>
      </c>
      <c r="C22" s="142">
        <v>1</v>
      </c>
      <c r="D22" s="141">
        <f t="shared" si="0"/>
        <v>3</v>
      </c>
      <c r="E22" s="142">
        <v>4</v>
      </c>
      <c r="F22" s="903">
        <f t="shared" si="1"/>
        <v>2.8089887640449437E-3</v>
      </c>
      <c r="G22" s="240">
        <v>7085</v>
      </c>
      <c r="H22" s="141">
        <v>0</v>
      </c>
      <c r="I22" s="241">
        <f t="shared" si="2"/>
        <v>7085</v>
      </c>
      <c r="J22" s="907">
        <f t="shared" si="3"/>
        <v>7.6549128550026609E-4</v>
      </c>
      <c r="K22" s="33"/>
      <c r="L22" s="33"/>
    </row>
    <row r="23" spans="1:12" s="36" customFormat="1" ht="16.5" thickBot="1" x14ac:dyDescent="0.3">
      <c r="A23" s="816" t="s">
        <v>17</v>
      </c>
      <c r="B23" s="243">
        <f t="shared" ref="B23:J23" si="4">SUM(B3:B22)</f>
        <v>919</v>
      </c>
      <c r="C23" s="143">
        <f t="shared" si="4"/>
        <v>368</v>
      </c>
      <c r="D23" s="143">
        <f t="shared" si="4"/>
        <v>1056</v>
      </c>
      <c r="E23" s="143">
        <f t="shared" si="4"/>
        <v>1424</v>
      </c>
      <c r="F23" s="904">
        <f t="shared" si="4"/>
        <v>1.0000000000000004</v>
      </c>
      <c r="G23" s="244">
        <f t="shared" si="4"/>
        <v>8262947</v>
      </c>
      <c r="H23" s="245">
        <f t="shared" si="4"/>
        <v>992547</v>
      </c>
      <c r="I23" s="143">
        <f t="shared" si="4"/>
        <v>9255494</v>
      </c>
      <c r="J23" s="908">
        <f t="shared" si="4"/>
        <v>1</v>
      </c>
      <c r="K23" s="35"/>
      <c r="L23" s="35"/>
    </row>
    <row r="24" spans="1:12" ht="15.75" customHeight="1" x14ac:dyDescent="0.25">
      <c r="A24" s="1114" t="s">
        <v>537</v>
      </c>
      <c r="B24" s="1114"/>
      <c r="C24" s="1114"/>
      <c r="D24" s="1114"/>
      <c r="E24" s="159"/>
      <c r="F24" s="159"/>
      <c r="G24" s="159"/>
      <c r="H24" s="159"/>
      <c r="I24" s="159"/>
      <c r="J24" s="450" t="s">
        <v>378</v>
      </c>
    </row>
    <row r="25" spans="1:12" x14ac:dyDescent="0.25">
      <c r="E25" s="159"/>
      <c r="F25" s="159"/>
      <c r="G25" s="159"/>
      <c r="H25" s="159"/>
      <c r="I25" s="159"/>
      <c r="J25" s="159"/>
    </row>
    <row r="27" spans="1:12" x14ac:dyDescent="0.25">
      <c r="A27" s="160"/>
      <c r="B27" s="161"/>
    </row>
  </sheetData>
  <mergeCells count="2">
    <mergeCell ref="A1:J1"/>
    <mergeCell ref="A24:D24"/>
  </mergeCells>
  <phoneticPr fontId="47" type="noConversion"/>
  <pageMargins left="0.70866141732283472" right="0.11811023622047245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8"/>
  <sheetViews>
    <sheetView tabSelected="1" workbookViewId="0">
      <selection activeCell="A35" sqref="A35"/>
    </sheetView>
  </sheetViews>
  <sheetFormatPr defaultRowHeight="15.75" x14ac:dyDescent="0.25"/>
  <cols>
    <col min="1" max="1" width="55.7109375" style="37" customWidth="1"/>
    <col min="2" max="2" width="14.42578125" style="37" customWidth="1"/>
    <col min="3" max="3" width="16.28515625" style="37" customWidth="1"/>
    <col min="4" max="4" width="14.85546875" style="37" customWidth="1"/>
    <col min="5" max="5" width="15.7109375" style="37" customWidth="1"/>
    <col min="6" max="6" width="14.7109375" style="37" customWidth="1"/>
    <col min="7" max="7" width="16.7109375" style="37" customWidth="1"/>
    <col min="8" max="9" width="13.140625" style="37" bestFit="1" customWidth="1"/>
    <col min="10" max="16384" width="9.140625" style="37"/>
  </cols>
  <sheetData>
    <row r="1" spans="1:9" ht="57" customHeight="1" thickBot="1" x14ac:dyDescent="0.3">
      <c r="A1" s="1115" t="s">
        <v>538</v>
      </c>
      <c r="B1" s="1115"/>
      <c r="C1" s="1115"/>
      <c r="D1" s="1115"/>
      <c r="E1" s="1115"/>
      <c r="F1" s="1115"/>
      <c r="G1" s="1115"/>
    </row>
    <row r="2" spans="1:9" ht="92.25" customHeight="1" thickBot="1" x14ac:dyDescent="0.3">
      <c r="A2" s="451" t="s">
        <v>161</v>
      </c>
      <c r="B2" s="452" t="s">
        <v>162</v>
      </c>
      <c r="C2" s="125" t="s">
        <v>163</v>
      </c>
      <c r="D2" s="452" t="s">
        <v>155</v>
      </c>
      <c r="E2" s="453" t="s">
        <v>156</v>
      </c>
      <c r="F2" s="124" t="s">
        <v>164</v>
      </c>
      <c r="G2" s="125" t="s">
        <v>165</v>
      </c>
    </row>
    <row r="3" spans="1:9" ht="30" x14ac:dyDescent="0.25">
      <c r="A3" s="454" t="s">
        <v>455</v>
      </c>
      <c r="B3" s="455">
        <v>66</v>
      </c>
      <c r="C3" s="901">
        <f>B3/$B$16</f>
        <v>4.6348314606741575E-2</v>
      </c>
      <c r="D3" s="455">
        <v>369870</v>
      </c>
      <c r="E3" s="141">
        <v>43237</v>
      </c>
      <c r="F3" s="141">
        <f>D3+E3</f>
        <v>413107</v>
      </c>
      <c r="G3" s="901">
        <f>F3/$F$16</f>
        <v>4.463370620736181E-2</v>
      </c>
      <c r="H3" s="38"/>
      <c r="I3" s="38"/>
    </row>
    <row r="4" spans="1:9" ht="30" x14ac:dyDescent="0.25">
      <c r="A4" s="456" t="s">
        <v>166</v>
      </c>
      <c r="B4" s="457">
        <v>85</v>
      </c>
      <c r="C4" s="902">
        <f t="shared" ref="C4:C15" si="0">B4/$B$16</f>
        <v>5.9691011235955056E-2</v>
      </c>
      <c r="D4" s="457">
        <v>466540</v>
      </c>
      <c r="E4" s="141">
        <v>41277</v>
      </c>
      <c r="F4" s="122">
        <f t="shared" ref="F4:F15" si="1">D4+E4</f>
        <v>507817</v>
      </c>
      <c r="G4" s="902">
        <f t="shared" ref="G4:G15" si="2">F4/$F$16</f>
        <v>5.4866547371755628E-2</v>
      </c>
      <c r="H4" s="38"/>
      <c r="I4" s="38"/>
    </row>
    <row r="5" spans="1:9" ht="30" x14ac:dyDescent="0.25">
      <c r="A5" s="456" t="s">
        <v>456</v>
      </c>
      <c r="B5" s="457">
        <v>62</v>
      </c>
      <c r="C5" s="902">
        <f t="shared" si="0"/>
        <v>4.3539325842696631E-2</v>
      </c>
      <c r="D5" s="457">
        <v>458697</v>
      </c>
      <c r="E5" s="141">
        <v>81592</v>
      </c>
      <c r="F5" s="122">
        <f t="shared" si="1"/>
        <v>540289</v>
      </c>
      <c r="G5" s="902">
        <f t="shared" si="2"/>
        <v>5.8374950056690654E-2</v>
      </c>
      <c r="H5" s="38"/>
      <c r="I5" s="38"/>
    </row>
    <row r="6" spans="1:9" x14ac:dyDescent="0.25">
      <c r="A6" s="456" t="s">
        <v>421</v>
      </c>
      <c r="B6" s="457">
        <v>54</v>
      </c>
      <c r="C6" s="902">
        <f t="shared" si="0"/>
        <v>3.7921348314606744E-2</v>
      </c>
      <c r="D6" s="457">
        <v>404434</v>
      </c>
      <c r="E6" s="141">
        <v>61279</v>
      </c>
      <c r="F6" s="122">
        <f t="shared" si="1"/>
        <v>465713</v>
      </c>
      <c r="G6" s="902">
        <f t="shared" si="2"/>
        <v>5.0317465496709304E-2</v>
      </c>
      <c r="H6" s="38"/>
      <c r="I6" s="38"/>
    </row>
    <row r="7" spans="1:9" ht="45" x14ac:dyDescent="0.25">
      <c r="A7" s="456" t="s">
        <v>457</v>
      </c>
      <c r="B7" s="457">
        <v>94</v>
      </c>
      <c r="C7" s="902">
        <f t="shared" si="0"/>
        <v>6.6011235955056174E-2</v>
      </c>
      <c r="D7" s="457">
        <v>799930</v>
      </c>
      <c r="E7" s="141">
        <v>130465</v>
      </c>
      <c r="F7" s="122">
        <f t="shared" si="1"/>
        <v>930395</v>
      </c>
      <c r="G7" s="902">
        <f t="shared" si="2"/>
        <v>0.10052353769555682</v>
      </c>
      <c r="H7" s="38"/>
      <c r="I7" s="38"/>
    </row>
    <row r="8" spans="1:9" ht="48" customHeight="1" x14ac:dyDescent="0.25">
      <c r="A8" s="456" t="s">
        <v>422</v>
      </c>
      <c r="B8" s="457">
        <v>97</v>
      </c>
      <c r="C8" s="902">
        <f t="shared" si="0"/>
        <v>6.8117977528089887E-2</v>
      </c>
      <c r="D8" s="457">
        <v>633610</v>
      </c>
      <c r="E8" s="141">
        <v>91873</v>
      </c>
      <c r="F8" s="122">
        <f t="shared" si="1"/>
        <v>725483</v>
      </c>
      <c r="G8" s="902">
        <f t="shared" si="2"/>
        <v>7.8384038712574391E-2</v>
      </c>
      <c r="H8" s="38"/>
      <c r="I8" s="38"/>
    </row>
    <row r="9" spans="1:9" ht="45" x14ac:dyDescent="0.25">
      <c r="A9" s="456" t="s">
        <v>423</v>
      </c>
      <c r="B9" s="457">
        <v>146</v>
      </c>
      <c r="C9" s="902">
        <f t="shared" si="0"/>
        <v>0.10252808988764045</v>
      </c>
      <c r="D9" s="457">
        <v>1106930</v>
      </c>
      <c r="E9" s="141">
        <v>188032</v>
      </c>
      <c r="F9" s="122">
        <f t="shared" si="1"/>
        <v>1294962</v>
      </c>
      <c r="G9" s="902">
        <f t="shared" si="2"/>
        <v>0.13991279125673897</v>
      </c>
      <c r="H9" s="38"/>
      <c r="I9" s="38"/>
    </row>
    <row r="10" spans="1:9" ht="30" x14ac:dyDescent="0.25">
      <c r="A10" s="456" t="s">
        <v>458</v>
      </c>
      <c r="B10" s="457">
        <v>161</v>
      </c>
      <c r="C10" s="902">
        <f t="shared" si="0"/>
        <v>0.11306179775280899</v>
      </c>
      <c r="D10" s="457">
        <v>1175326</v>
      </c>
      <c r="E10" s="141">
        <v>144842</v>
      </c>
      <c r="F10" s="122">
        <f t="shared" si="1"/>
        <v>1320168</v>
      </c>
      <c r="G10" s="902">
        <f t="shared" si="2"/>
        <v>0.1426361467037848</v>
      </c>
      <c r="H10" s="38"/>
      <c r="I10" s="38"/>
    </row>
    <row r="11" spans="1:9" ht="21" customHeight="1" x14ac:dyDescent="0.25">
      <c r="A11" s="456" t="s">
        <v>167</v>
      </c>
      <c r="B11" s="457">
        <v>138</v>
      </c>
      <c r="C11" s="902">
        <f t="shared" si="0"/>
        <v>9.6910112359550563E-2</v>
      </c>
      <c r="D11" s="457">
        <v>939865</v>
      </c>
      <c r="E11" s="141">
        <v>110499</v>
      </c>
      <c r="F11" s="122">
        <f t="shared" si="1"/>
        <v>1050364</v>
      </c>
      <c r="G11" s="902">
        <f t="shared" si="2"/>
        <v>0.11348546063559654</v>
      </c>
      <c r="H11" s="38"/>
      <c r="I11" s="38"/>
    </row>
    <row r="12" spans="1:9" ht="30" x14ac:dyDescent="0.25">
      <c r="A12" s="458" t="s">
        <v>168</v>
      </c>
      <c r="B12" s="457">
        <v>135</v>
      </c>
      <c r="C12" s="902">
        <f t="shared" si="0"/>
        <v>9.480337078651685E-2</v>
      </c>
      <c r="D12" s="457">
        <v>437942</v>
      </c>
      <c r="E12" s="141">
        <v>31779</v>
      </c>
      <c r="F12" s="122">
        <f t="shared" si="1"/>
        <v>469721</v>
      </c>
      <c r="G12" s="902">
        <f t="shared" si="2"/>
        <v>5.0750505591597814E-2</v>
      </c>
      <c r="H12" s="38"/>
      <c r="I12" s="38"/>
    </row>
    <row r="13" spans="1:9" ht="30" x14ac:dyDescent="0.25">
      <c r="A13" s="456" t="s">
        <v>169</v>
      </c>
      <c r="B13" s="457">
        <v>96</v>
      </c>
      <c r="C13" s="902">
        <f t="shared" si="0"/>
        <v>6.741573033707865E-2</v>
      </c>
      <c r="D13" s="457">
        <v>350240</v>
      </c>
      <c r="E13" s="141">
        <v>10743</v>
      </c>
      <c r="F13" s="122">
        <f t="shared" si="1"/>
        <v>360983</v>
      </c>
      <c r="G13" s="902">
        <f t="shared" si="2"/>
        <v>3.900202409509422E-2</v>
      </c>
      <c r="H13" s="38"/>
      <c r="I13" s="38"/>
    </row>
    <row r="14" spans="1:9" ht="19.5" customHeight="1" x14ac:dyDescent="0.25">
      <c r="A14" s="456" t="s">
        <v>170</v>
      </c>
      <c r="B14" s="457">
        <v>81</v>
      </c>
      <c r="C14" s="902">
        <f t="shared" si="0"/>
        <v>5.6882022471910113E-2</v>
      </c>
      <c r="D14" s="457">
        <v>240465</v>
      </c>
      <c r="E14" s="141">
        <v>5209</v>
      </c>
      <c r="F14" s="122">
        <f t="shared" si="1"/>
        <v>245674</v>
      </c>
      <c r="G14" s="902">
        <f t="shared" si="2"/>
        <v>2.6543585896117484E-2</v>
      </c>
      <c r="H14" s="38"/>
      <c r="I14" s="38"/>
    </row>
    <row r="15" spans="1:9" ht="16.5" thickBot="1" x14ac:dyDescent="0.3">
      <c r="A15" s="459" t="s">
        <v>171</v>
      </c>
      <c r="B15" s="460">
        <v>209</v>
      </c>
      <c r="C15" s="903">
        <f t="shared" si="0"/>
        <v>0.14676966292134833</v>
      </c>
      <c r="D15" s="460">
        <v>879098</v>
      </c>
      <c r="E15" s="141">
        <v>51720</v>
      </c>
      <c r="F15" s="142">
        <f t="shared" si="1"/>
        <v>930818</v>
      </c>
      <c r="G15" s="903">
        <f t="shared" si="2"/>
        <v>0.10056924028042155</v>
      </c>
      <c r="H15" s="38"/>
      <c r="I15" s="38"/>
    </row>
    <row r="16" spans="1:9" ht="18" customHeight="1" thickBot="1" x14ac:dyDescent="0.3">
      <c r="A16" s="242" t="s">
        <v>17</v>
      </c>
      <c r="B16" s="243">
        <f t="shared" ref="B16:G16" si="3">SUM(B3:B15)</f>
        <v>1424</v>
      </c>
      <c r="C16" s="904">
        <f t="shared" si="3"/>
        <v>1</v>
      </c>
      <c r="D16" s="243">
        <f t="shared" si="3"/>
        <v>8262947</v>
      </c>
      <c r="E16" s="143">
        <f t="shared" si="3"/>
        <v>992547</v>
      </c>
      <c r="F16" s="143">
        <f t="shared" si="3"/>
        <v>9255494</v>
      </c>
      <c r="G16" s="904">
        <f t="shared" si="3"/>
        <v>0.99999999999999989</v>
      </c>
      <c r="H16" s="38"/>
      <c r="I16" s="38"/>
    </row>
    <row r="17" spans="1:7" ht="13.5" customHeight="1" x14ac:dyDescent="0.25">
      <c r="A17" s="1116" t="s">
        <v>537</v>
      </c>
      <c r="B17" s="1116"/>
      <c r="C17" s="1116"/>
      <c r="D17" s="1116"/>
      <c r="E17" s="1116"/>
      <c r="F17" s="1116"/>
      <c r="G17" s="450" t="s">
        <v>378</v>
      </c>
    </row>
    <row r="18" spans="1:7" x14ac:dyDescent="0.25">
      <c r="A18" s="121"/>
      <c r="B18" s="121"/>
      <c r="C18" s="121"/>
      <c r="D18" s="121"/>
      <c r="E18" s="121"/>
      <c r="F18" s="121"/>
      <c r="G18" s="121"/>
    </row>
  </sheetData>
  <mergeCells count="2">
    <mergeCell ref="A1:G1"/>
    <mergeCell ref="A17:F17"/>
  </mergeCells>
  <phoneticPr fontId="47" type="noConversion"/>
  <pageMargins left="0.70866141732283472" right="0.11811023622047245" top="0.74803149606299213" bottom="0.55118110236220474" header="0.31496062992125984" footer="0.11811023622047245"/>
  <pageSetup paperSize="9" scale="90" fitToHeight="0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7"/>
  <sheetViews>
    <sheetView tabSelected="1" topLeftCell="A2" workbookViewId="0">
      <selection activeCell="A35" sqref="A35"/>
    </sheetView>
  </sheetViews>
  <sheetFormatPr defaultRowHeight="15.75" x14ac:dyDescent="0.25"/>
  <cols>
    <col min="1" max="1" width="19.42578125" style="39" customWidth="1"/>
    <col min="2" max="2" width="13.140625" style="39" customWidth="1"/>
    <col min="3" max="3" width="12" style="39" customWidth="1"/>
    <col min="4" max="4" width="14" style="39" customWidth="1"/>
    <col min="5" max="5" width="12" style="39" customWidth="1"/>
    <col min="6" max="6" width="12.85546875" style="39" customWidth="1"/>
    <col min="7" max="7" width="13.85546875" style="39" customWidth="1"/>
    <col min="8" max="8" width="11.5703125" style="39" customWidth="1"/>
    <col min="9" max="9" width="13" style="39" customWidth="1"/>
    <col min="10" max="10" width="14.5703125" style="39" customWidth="1"/>
    <col min="11" max="11" width="33" style="39" customWidth="1"/>
    <col min="12" max="12" width="20.28515625" style="39" bestFit="1" customWidth="1"/>
    <col min="13" max="13" width="32.140625" style="39" bestFit="1" customWidth="1"/>
    <col min="14" max="14" width="33" style="39" bestFit="1" customWidth="1"/>
    <col min="15" max="15" width="11.85546875" style="39" bestFit="1" customWidth="1"/>
    <col min="16" max="16" width="12.5703125" style="39" bestFit="1" customWidth="1"/>
    <col min="17" max="16384" width="9.140625" style="39"/>
  </cols>
  <sheetData>
    <row r="1" spans="1:12" ht="66.75" customHeight="1" thickBot="1" x14ac:dyDescent="0.3">
      <c r="A1" s="1117" t="s">
        <v>539</v>
      </c>
      <c r="B1" s="1117"/>
      <c r="C1" s="1117"/>
      <c r="D1" s="1117"/>
      <c r="E1" s="1117"/>
      <c r="F1" s="1117"/>
      <c r="G1" s="1117"/>
      <c r="H1" s="1117"/>
      <c r="I1" s="1117"/>
      <c r="J1" s="1117"/>
    </row>
    <row r="2" spans="1:12" ht="128.25" customHeight="1" thickBot="1" x14ac:dyDescent="0.3">
      <c r="A2" s="123" t="s">
        <v>43</v>
      </c>
      <c r="B2" s="126" t="s">
        <v>536</v>
      </c>
      <c r="C2" s="124" t="s">
        <v>151</v>
      </c>
      <c r="D2" s="124" t="s">
        <v>459</v>
      </c>
      <c r="E2" s="124" t="s">
        <v>460</v>
      </c>
      <c r="F2" s="125" t="s">
        <v>461</v>
      </c>
      <c r="G2" s="126" t="s">
        <v>155</v>
      </c>
      <c r="H2" s="124" t="s">
        <v>156</v>
      </c>
      <c r="I2" s="124" t="s">
        <v>157</v>
      </c>
      <c r="J2" s="125" t="s">
        <v>158</v>
      </c>
    </row>
    <row r="3" spans="1:12" x14ac:dyDescent="0.25">
      <c r="A3" s="162" t="s">
        <v>23</v>
      </c>
      <c r="B3" s="246">
        <v>100</v>
      </c>
      <c r="C3" s="247">
        <v>27</v>
      </c>
      <c r="D3" s="247">
        <v>27</v>
      </c>
      <c r="E3" s="248">
        <f>SUM(C3:D3)</f>
        <v>54</v>
      </c>
      <c r="F3" s="913">
        <f>E3/$E$23</f>
        <v>0.13500000000000001</v>
      </c>
      <c r="G3" s="249">
        <v>263261</v>
      </c>
      <c r="H3" s="247">
        <v>0</v>
      </c>
      <c r="I3" s="250">
        <f t="shared" ref="I3:I21" si="0">SUM(G3:H3)</f>
        <v>263261</v>
      </c>
      <c r="J3" s="909">
        <f>I3/$I$23</f>
        <v>0.105642455858748</v>
      </c>
      <c r="K3" s="40"/>
      <c r="L3" s="40"/>
    </row>
    <row r="4" spans="1:12" x14ac:dyDescent="0.25">
      <c r="A4" s="163" t="s">
        <v>31</v>
      </c>
      <c r="B4" s="251">
        <v>21</v>
      </c>
      <c r="C4" s="252">
        <v>4</v>
      </c>
      <c r="D4" s="252">
        <v>10</v>
      </c>
      <c r="E4" s="253">
        <f t="shared" ref="E4:E22" si="1">SUM(C4:D4)</f>
        <v>14</v>
      </c>
      <c r="F4" s="914">
        <f t="shared" ref="F4:F22" si="2">E4/$E$23</f>
        <v>3.5000000000000003E-2</v>
      </c>
      <c r="G4" s="254">
        <v>114390</v>
      </c>
      <c r="H4" s="252">
        <v>0</v>
      </c>
      <c r="I4" s="255">
        <f t="shared" si="0"/>
        <v>114390</v>
      </c>
      <c r="J4" s="910">
        <f>I4/$I$23</f>
        <v>4.5902889245585873E-2</v>
      </c>
      <c r="K4" s="40"/>
      <c r="L4" s="40"/>
    </row>
    <row r="5" spans="1:12" x14ac:dyDescent="0.25">
      <c r="A5" s="144" t="s">
        <v>29</v>
      </c>
      <c r="B5" s="251">
        <v>46</v>
      </c>
      <c r="C5" s="252">
        <v>12</v>
      </c>
      <c r="D5" s="252">
        <v>25</v>
      </c>
      <c r="E5" s="253">
        <f t="shared" si="1"/>
        <v>37</v>
      </c>
      <c r="F5" s="914">
        <f t="shared" si="2"/>
        <v>9.2499999999999999E-2</v>
      </c>
      <c r="G5" s="254">
        <v>207398</v>
      </c>
      <c r="H5" s="252">
        <v>0</v>
      </c>
      <c r="I5" s="255">
        <f t="shared" si="0"/>
        <v>207398</v>
      </c>
      <c r="J5" s="910">
        <f>I5/$I$23</f>
        <v>8.3225521669341898E-2</v>
      </c>
      <c r="K5" s="40"/>
      <c r="L5" s="40"/>
    </row>
    <row r="6" spans="1:12" x14ac:dyDescent="0.25">
      <c r="A6" s="144" t="s">
        <v>34</v>
      </c>
      <c r="B6" s="251">
        <v>17</v>
      </c>
      <c r="C6" s="252">
        <v>2</v>
      </c>
      <c r="D6" s="252">
        <v>0</v>
      </c>
      <c r="E6" s="253">
        <f t="shared" si="1"/>
        <v>2</v>
      </c>
      <c r="F6" s="914">
        <f t="shared" si="2"/>
        <v>5.0000000000000001E-3</v>
      </c>
      <c r="G6" s="254">
        <v>7936</v>
      </c>
      <c r="H6" s="252">
        <v>0</v>
      </c>
      <c r="I6" s="255">
        <f t="shared" si="0"/>
        <v>7936</v>
      </c>
      <c r="J6" s="910">
        <f t="shared" ref="J6:J22" si="3">I6/$I$23</f>
        <v>3.1845906902086677E-3</v>
      </c>
      <c r="K6" s="40"/>
      <c r="L6" s="40"/>
    </row>
    <row r="7" spans="1:12" x14ac:dyDescent="0.25">
      <c r="A7" s="144" t="s">
        <v>102</v>
      </c>
      <c r="B7" s="251">
        <v>15</v>
      </c>
      <c r="C7" s="252">
        <v>5</v>
      </c>
      <c r="D7" s="252">
        <v>17</v>
      </c>
      <c r="E7" s="253">
        <f t="shared" si="1"/>
        <v>22</v>
      </c>
      <c r="F7" s="914">
        <f t="shared" si="2"/>
        <v>5.5E-2</v>
      </c>
      <c r="G7" s="254">
        <v>176327</v>
      </c>
      <c r="H7" s="252">
        <v>0</v>
      </c>
      <c r="I7" s="255">
        <f t="shared" si="0"/>
        <v>176327</v>
      </c>
      <c r="J7" s="910">
        <f t="shared" si="3"/>
        <v>7.0757223113964693E-2</v>
      </c>
      <c r="K7" s="40"/>
      <c r="L7" s="40"/>
    </row>
    <row r="8" spans="1:12" x14ac:dyDescent="0.25">
      <c r="A8" s="144" t="s">
        <v>28</v>
      </c>
      <c r="B8" s="251">
        <v>44</v>
      </c>
      <c r="C8" s="252">
        <v>10</v>
      </c>
      <c r="D8" s="252">
        <v>30</v>
      </c>
      <c r="E8" s="253">
        <f t="shared" si="1"/>
        <v>40</v>
      </c>
      <c r="F8" s="914">
        <f t="shared" si="2"/>
        <v>0.1</v>
      </c>
      <c r="G8" s="254">
        <v>198607</v>
      </c>
      <c r="H8" s="252">
        <v>0</v>
      </c>
      <c r="I8" s="255">
        <f t="shared" si="0"/>
        <v>198607</v>
      </c>
      <c r="J8" s="910">
        <f t="shared" si="3"/>
        <v>7.9697833065810589E-2</v>
      </c>
      <c r="K8" s="40"/>
      <c r="L8" s="40"/>
    </row>
    <row r="9" spans="1:12" x14ac:dyDescent="0.25">
      <c r="A9" s="205" t="s">
        <v>159</v>
      </c>
      <c r="B9" s="251">
        <v>41</v>
      </c>
      <c r="C9" s="252">
        <v>5</v>
      </c>
      <c r="D9" s="252">
        <v>17</v>
      </c>
      <c r="E9" s="253">
        <f t="shared" si="1"/>
        <v>22</v>
      </c>
      <c r="F9" s="914">
        <f t="shared" si="2"/>
        <v>5.5E-2</v>
      </c>
      <c r="G9" s="254">
        <v>95511</v>
      </c>
      <c r="H9" s="252">
        <v>0</v>
      </c>
      <c r="I9" s="255">
        <f t="shared" si="0"/>
        <v>95511</v>
      </c>
      <c r="J9" s="910">
        <f t="shared" si="3"/>
        <v>3.8327046548956661E-2</v>
      </c>
      <c r="K9" s="40"/>
      <c r="L9" s="40"/>
    </row>
    <row r="10" spans="1:12" x14ac:dyDescent="0.25">
      <c r="A10" s="144" t="s">
        <v>32</v>
      </c>
      <c r="B10" s="251">
        <v>19</v>
      </c>
      <c r="C10" s="252">
        <v>6</v>
      </c>
      <c r="D10" s="252">
        <v>9</v>
      </c>
      <c r="E10" s="253">
        <f t="shared" si="1"/>
        <v>15</v>
      </c>
      <c r="F10" s="914">
        <f t="shared" si="2"/>
        <v>3.7499999999999999E-2</v>
      </c>
      <c r="G10" s="254">
        <v>106288</v>
      </c>
      <c r="H10" s="252">
        <v>0</v>
      </c>
      <c r="I10" s="255">
        <f t="shared" si="0"/>
        <v>106288</v>
      </c>
      <c r="J10" s="910">
        <f t="shared" si="3"/>
        <v>4.2651685393258428E-2</v>
      </c>
      <c r="K10" s="40"/>
      <c r="L10" s="40"/>
    </row>
    <row r="11" spans="1:12" x14ac:dyDescent="0.25">
      <c r="A11" s="163" t="s">
        <v>24</v>
      </c>
      <c r="B11" s="251">
        <v>50</v>
      </c>
      <c r="C11" s="252">
        <v>10</v>
      </c>
      <c r="D11" s="252">
        <v>14</v>
      </c>
      <c r="E11" s="253">
        <f t="shared" si="1"/>
        <v>24</v>
      </c>
      <c r="F11" s="914">
        <f t="shared" si="2"/>
        <v>0.06</v>
      </c>
      <c r="G11" s="254">
        <v>154093</v>
      </c>
      <c r="H11" s="252">
        <v>0</v>
      </c>
      <c r="I11" s="255">
        <f t="shared" si="0"/>
        <v>154093</v>
      </c>
      <c r="J11" s="910">
        <f t="shared" si="3"/>
        <v>6.1835072231139647E-2</v>
      </c>
      <c r="K11" s="40"/>
      <c r="L11" s="40"/>
    </row>
    <row r="12" spans="1:12" x14ac:dyDescent="0.25">
      <c r="A12" s="144" t="s">
        <v>25</v>
      </c>
      <c r="B12" s="251">
        <v>57</v>
      </c>
      <c r="C12" s="252">
        <v>18</v>
      </c>
      <c r="D12" s="252">
        <v>30</v>
      </c>
      <c r="E12" s="253">
        <f t="shared" si="1"/>
        <v>48</v>
      </c>
      <c r="F12" s="914">
        <f t="shared" si="2"/>
        <v>0.12</v>
      </c>
      <c r="G12" s="254">
        <v>392588</v>
      </c>
      <c r="H12" s="252">
        <v>0</v>
      </c>
      <c r="I12" s="255">
        <f t="shared" si="0"/>
        <v>392588</v>
      </c>
      <c r="J12" s="910">
        <f t="shared" si="3"/>
        <v>0.15753932584269664</v>
      </c>
      <c r="K12" s="40"/>
      <c r="L12" s="40"/>
    </row>
    <row r="13" spans="1:12" x14ac:dyDescent="0.25">
      <c r="A13" s="164" t="s">
        <v>45</v>
      </c>
      <c r="B13" s="251">
        <v>48</v>
      </c>
      <c r="C13" s="252">
        <v>7</v>
      </c>
      <c r="D13" s="252">
        <v>27</v>
      </c>
      <c r="E13" s="253">
        <f t="shared" si="1"/>
        <v>34</v>
      </c>
      <c r="F13" s="914">
        <f t="shared" si="2"/>
        <v>8.5000000000000006E-2</v>
      </c>
      <c r="G13" s="254">
        <v>234902</v>
      </c>
      <c r="H13" s="252">
        <v>0</v>
      </c>
      <c r="I13" s="255">
        <f t="shared" si="0"/>
        <v>234902</v>
      </c>
      <c r="J13" s="910">
        <f t="shared" si="3"/>
        <v>9.4262439807383622E-2</v>
      </c>
      <c r="K13" s="40"/>
      <c r="L13" s="40"/>
    </row>
    <row r="14" spans="1:12" x14ac:dyDescent="0.25">
      <c r="A14" s="144" t="s">
        <v>348</v>
      </c>
      <c r="B14" s="251">
        <v>4</v>
      </c>
      <c r="C14" s="252">
        <v>1</v>
      </c>
      <c r="D14" s="252">
        <v>2</v>
      </c>
      <c r="E14" s="253">
        <f t="shared" si="1"/>
        <v>3</v>
      </c>
      <c r="F14" s="914">
        <f t="shared" si="2"/>
        <v>7.4999999999999997E-3</v>
      </c>
      <c r="G14" s="254">
        <v>11954</v>
      </c>
      <c r="H14" s="252">
        <v>0</v>
      </c>
      <c r="I14" s="255">
        <f t="shared" si="0"/>
        <v>11954</v>
      </c>
      <c r="J14" s="910">
        <f t="shared" si="3"/>
        <v>4.7969502407704655E-3</v>
      </c>
      <c r="K14" s="40"/>
      <c r="L14" s="40"/>
    </row>
    <row r="15" spans="1:12" x14ac:dyDescent="0.25">
      <c r="A15" s="144" t="s">
        <v>27</v>
      </c>
      <c r="B15" s="251">
        <v>30</v>
      </c>
      <c r="C15" s="252">
        <v>3</v>
      </c>
      <c r="D15" s="252">
        <v>4</v>
      </c>
      <c r="E15" s="253">
        <f t="shared" si="1"/>
        <v>7</v>
      </c>
      <c r="F15" s="914">
        <f t="shared" si="2"/>
        <v>1.7500000000000002E-2</v>
      </c>
      <c r="G15" s="254">
        <v>41264</v>
      </c>
      <c r="H15" s="252">
        <v>0</v>
      </c>
      <c r="I15" s="255">
        <f t="shared" si="0"/>
        <v>41264</v>
      </c>
      <c r="J15" s="910">
        <f t="shared" si="3"/>
        <v>1.6558587479935796E-2</v>
      </c>
      <c r="K15" s="40"/>
      <c r="L15" s="40"/>
    </row>
    <row r="16" spans="1:12" x14ac:dyDescent="0.25">
      <c r="A16" s="164" t="s">
        <v>30</v>
      </c>
      <c r="B16" s="251">
        <v>30</v>
      </c>
      <c r="C16" s="252">
        <v>10</v>
      </c>
      <c r="D16" s="252">
        <v>20</v>
      </c>
      <c r="E16" s="253">
        <f t="shared" si="1"/>
        <v>30</v>
      </c>
      <c r="F16" s="914">
        <f t="shared" si="2"/>
        <v>7.4999999999999997E-2</v>
      </c>
      <c r="G16" s="254">
        <v>196156</v>
      </c>
      <c r="H16" s="252">
        <v>0</v>
      </c>
      <c r="I16" s="255">
        <f t="shared" si="0"/>
        <v>196156</v>
      </c>
      <c r="J16" s="910">
        <f t="shared" si="3"/>
        <v>7.8714285714285709E-2</v>
      </c>
      <c r="K16" s="40"/>
      <c r="L16" s="40"/>
    </row>
    <row r="17" spans="1:12" x14ac:dyDescent="0.25">
      <c r="A17" s="163" t="s">
        <v>36</v>
      </c>
      <c r="B17" s="251">
        <v>15</v>
      </c>
      <c r="C17" s="252">
        <v>4</v>
      </c>
      <c r="D17" s="252">
        <v>11</v>
      </c>
      <c r="E17" s="253">
        <f t="shared" si="1"/>
        <v>15</v>
      </c>
      <c r="F17" s="914">
        <f t="shared" si="2"/>
        <v>3.7499999999999999E-2</v>
      </c>
      <c r="G17" s="254">
        <v>91020</v>
      </c>
      <c r="H17" s="252">
        <v>0</v>
      </c>
      <c r="I17" s="255">
        <f t="shared" si="0"/>
        <v>91020</v>
      </c>
      <c r="J17" s="910">
        <f t="shared" si="3"/>
        <v>3.6524879614767254E-2</v>
      </c>
      <c r="K17" s="40"/>
      <c r="L17" s="40"/>
    </row>
    <row r="18" spans="1:12" x14ac:dyDescent="0.25">
      <c r="A18" s="763" t="s">
        <v>40</v>
      </c>
      <c r="B18" s="251">
        <v>4</v>
      </c>
      <c r="C18" s="252">
        <v>1</v>
      </c>
      <c r="D18" s="252">
        <v>4</v>
      </c>
      <c r="E18" s="253">
        <f t="shared" si="1"/>
        <v>5</v>
      </c>
      <c r="F18" s="914">
        <f t="shared" si="2"/>
        <v>1.2500000000000001E-2</v>
      </c>
      <c r="G18" s="254">
        <v>29724</v>
      </c>
      <c r="H18" s="252">
        <v>0</v>
      </c>
      <c r="I18" s="255">
        <f t="shared" si="0"/>
        <v>29724</v>
      </c>
      <c r="J18" s="910">
        <f t="shared" si="3"/>
        <v>1.1927768860353131E-2</v>
      </c>
      <c r="K18" s="40"/>
      <c r="L18" s="40"/>
    </row>
    <row r="19" spans="1:12" x14ac:dyDescent="0.25">
      <c r="A19" s="144" t="s">
        <v>41</v>
      </c>
      <c r="B19" s="251">
        <v>6</v>
      </c>
      <c r="C19" s="252">
        <v>1</v>
      </c>
      <c r="D19" s="252">
        <v>4</v>
      </c>
      <c r="E19" s="253">
        <f t="shared" si="1"/>
        <v>5</v>
      </c>
      <c r="F19" s="914">
        <f t="shared" si="2"/>
        <v>1.2500000000000001E-2</v>
      </c>
      <c r="G19" s="254">
        <v>55823</v>
      </c>
      <c r="H19" s="252">
        <v>0</v>
      </c>
      <c r="I19" s="255">
        <f t="shared" si="0"/>
        <v>55823</v>
      </c>
      <c r="J19" s="910">
        <f t="shared" si="3"/>
        <v>2.2400882825040127E-2</v>
      </c>
      <c r="K19" s="40"/>
      <c r="L19" s="40"/>
    </row>
    <row r="20" spans="1:12" ht="16.5" customHeight="1" x14ac:dyDescent="0.25">
      <c r="A20" s="144" t="s">
        <v>160</v>
      </c>
      <c r="B20" s="251">
        <v>8</v>
      </c>
      <c r="C20" s="252">
        <v>2</v>
      </c>
      <c r="D20" s="252">
        <v>2</v>
      </c>
      <c r="E20" s="253">
        <f t="shared" si="1"/>
        <v>4</v>
      </c>
      <c r="F20" s="914">
        <f t="shared" si="2"/>
        <v>0.01</v>
      </c>
      <c r="G20" s="254">
        <v>25622</v>
      </c>
      <c r="H20" s="252">
        <v>0</v>
      </c>
      <c r="I20" s="255">
        <f t="shared" si="0"/>
        <v>25622</v>
      </c>
      <c r="J20" s="910">
        <f t="shared" si="3"/>
        <v>1.0281701444622792E-2</v>
      </c>
      <c r="K20" s="40"/>
      <c r="L20" s="40"/>
    </row>
    <row r="21" spans="1:12" x14ac:dyDescent="0.25">
      <c r="A21" s="144" t="s">
        <v>33</v>
      </c>
      <c r="B21" s="251">
        <v>29</v>
      </c>
      <c r="C21" s="252">
        <v>5</v>
      </c>
      <c r="D21" s="252">
        <v>11</v>
      </c>
      <c r="E21" s="253">
        <f t="shared" si="1"/>
        <v>16</v>
      </c>
      <c r="F21" s="914">
        <f t="shared" si="2"/>
        <v>0.04</v>
      </c>
      <c r="G21" s="254">
        <v>75287</v>
      </c>
      <c r="H21" s="252">
        <v>0</v>
      </c>
      <c r="I21" s="255">
        <f t="shared" si="0"/>
        <v>75287</v>
      </c>
      <c r="J21" s="910">
        <f t="shared" si="3"/>
        <v>3.0211476725521668E-2</v>
      </c>
      <c r="K21" s="40"/>
      <c r="L21" s="40"/>
    </row>
    <row r="22" spans="1:12" s="34" customFormat="1" ht="16.5" thickBot="1" x14ac:dyDescent="0.3">
      <c r="A22" s="145" t="s">
        <v>39</v>
      </c>
      <c r="B22" s="256">
        <v>5</v>
      </c>
      <c r="C22" s="257">
        <v>0</v>
      </c>
      <c r="D22" s="257">
        <v>3</v>
      </c>
      <c r="E22" s="258">
        <f t="shared" si="1"/>
        <v>3</v>
      </c>
      <c r="F22" s="915">
        <f t="shared" si="2"/>
        <v>7.4999999999999997E-3</v>
      </c>
      <c r="G22" s="259">
        <v>13849</v>
      </c>
      <c r="H22" s="257">
        <v>0</v>
      </c>
      <c r="I22" s="260">
        <f>SUM(G22:H22)</f>
        <v>13849</v>
      </c>
      <c r="J22" s="911">
        <f t="shared" si="3"/>
        <v>5.5573836276083463E-3</v>
      </c>
      <c r="K22" s="40"/>
      <c r="L22" s="40"/>
    </row>
    <row r="23" spans="1:12" s="41" customFormat="1" ht="16.5" thickBot="1" x14ac:dyDescent="0.3">
      <c r="A23" s="242" t="s">
        <v>17</v>
      </c>
      <c r="B23" s="261">
        <f t="shared" ref="B23:J23" si="4">SUM(B3:B22)</f>
        <v>589</v>
      </c>
      <c r="C23" s="262">
        <f t="shared" si="4"/>
        <v>133</v>
      </c>
      <c r="D23" s="262">
        <f t="shared" si="4"/>
        <v>267</v>
      </c>
      <c r="E23" s="263">
        <f t="shared" si="4"/>
        <v>400</v>
      </c>
      <c r="F23" s="916">
        <f t="shared" si="4"/>
        <v>0.99999999999999967</v>
      </c>
      <c r="G23" s="264">
        <f>SUM(G3:G22)</f>
        <v>2492000</v>
      </c>
      <c r="H23" s="265">
        <f>SUM(H3:H22)</f>
        <v>0</v>
      </c>
      <c r="I23" s="266">
        <f t="shared" si="4"/>
        <v>2492000</v>
      </c>
      <c r="J23" s="912">
        <f t="shared" si="4"/>
        <v>1</v>
      </c>
    </row>
    <row r="24" spans="1:12" ht="15.75" customHeight="1" x14ac:dyDescent="0.25">
      <c r="A24" s="1114" t="s">
        <v>540</v>
      </c>
      <c r="B24" s="1114"/>
      <c r="C24" s="1114"/>
      <c r="D24" s="1114"/>
      <c r="E24" s="1114"/>
      <c r="F24" s="1114"/>
      <c r="G24" s="1114"/>
      <c r="H24" s="1114"/>
      <c r="I24" s="1114"/>
      <c r="J24" s="450" t="s">
        <v>378</v>
      </c>
    </row>
    <row r="25" spans="1:12" s="42" customFormat="1" ht="12.75" x14ac:dyDescent="0.2">
      <c r="E25" s="165"/>
      <c r="F25" s="165"/>
      <c r="G25" s="165"/>
      <c r="H25" s="165"/>
      <c r="I25" s="165"/>
      <c r="J25" s="165"/>
    </row>
    <row r="26" spans="1:12" x14ac:dyDescent="0.25">
      <c r="A26" s="42"/>
      <c r="B26" s="42"/>
    </row>
    <row r="27" spans="1:12" x14ac:dyDescent="0.25">
      <c r="C27" s="42"/>
    </row>
  </sheetData>
  <mergeCells count="2">
    <mergeCell ref="A1:J1"/>
    <mergeCell ref="A24:I24"/>
  </mergeCells>
  <phoneticPr fontId="47" type="noConversion"/>
  <pageMargins left="0.70866141732283472" right="0.11811023622047245" top="0.74803149606299213" bottom="0.15748031496062992" header="0" footer="0"/>
  <pageSetup paperSize="9" scale="95" orientation="landscape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0"/>
  <sheetViews>
    <sheetView tabSelected="1" workbookViewId="0">
      <selection activeCell="A35" sqref="A35"/>
    </sheetView>
  </sheetViews>
  <sheetFormatPr defaultColWidth="20.5703125" defaultRowHeight="15" x14ac:dyDescent="0.25"/>
  <cols>
    <col min="1" max="1" width="20.5703125" customWidth="1"/>
    <col min="2" max="2" width="14.5703125" customWidth="1"/>
    <col min="3" max="4" width="20.5703125" style="158" customWidth="1"/>
    <col min="5" max="6" width="20.5703125" customWidth="1"/>
    <col min="7" max="7" width="17" style="158" customWidth="1"/>
  </cols>
  <sheetData>
    <row r="1" spans="1:7" ht="78.75" customHeight="1" thickBot="1" x14ac:dyDescent="0.3">
      <c r="A1" s="1118" t="s">
        <v>481</v>
      </c>
      <c r="B1" s="1118"/>
      <c r="C1" s="1118"/>
      <c r="D1" s="1118"/>
      <c r="E1" s="1118"/>
      <c r="F1" s="1118"/>
      <c r="G1" s="1118"/>
    </row>
    <row r="2" spans="1:7" s="231" customFormat="1" ht="89.25" customHeight="1" thickBot="1" x14ac:dyDescent="0.3">
      <c r="A2" s="271" t="s">
        <v>365</v>
      </c>
      <c r="B2" s="679" t="s">
        <v>366</v>
      </c>
      <c r="C2" s="272" t="s">
        <v>482</v>
      </c>
      <c r="D2" s="272" t="s">
        <v>367</v>
      </c>
      <c r="E2" s="272" t="s">
        <v>368</v>
      </c>
      <c r="F2" s="272" t="s">
        <v>369</v>
      </c>
      <c r="G2" s="273" t="s">
        <v>370</v>
      </c>
    </row>
    <row r="3" spans="1:7" s="48" customFormat="1" x14ac:dyDescent="0.25">
      <c r="A3" s="443" t="s">
        <v>23</v>
      </c>
      <c r="B3" s="441">
        <v>135</v>
      </c>
      <c r="C3" s="863">
        <f t="shared" ref="C3:C18" si="0">B3/$B$19</f>
        <v>0.32451923076923078</v>
      </c>
      <c r="D3" s="439">
        <v>3848736</v>
      </c>
      <c r="E3" s="439">
        <v>0</v>
      </c>
      <c r="F3" s="439">
        <f t="shared" ref="F3:F18" si="1">D3+E3</f>
        <v>3848736</v>
      </c>
      <c r="G3" s="867">
        <f t="shared" ref="G3:G18" si="2">F3/$F$19</f>
        <v>0.30861308474524085</v>
      </c>
    </row>
    <row r="4" spans="1:7" s="48" customFormat="1" x14ac:dyDescent="0.25">
      <c r="A4" s="444" t="s">
        <v>24</v>
      </c>
      <c r="B4" s="442">
        <v>90</v>
      </c>
      <c r="C4" s="864">
        <f t="shared" si="0"/>
        <v>0.21634615384615385</v>
      </c>
      <c r="D4" s="440">
        <v>3218592</v>
      </c>
      <c r="E4" s="440">
        <v>2000</v>
      </c>
      <c r="F4" s="440">
        <f t="shared" si="1"/>
        <v>3220592</v>
      </c>
      <c r="G4" s="868">
        <f t="shared" si="2"/>
        <v>0.25824500091090807</v>
      </c>
    </row>
    <row r="5" spans="1:7" s="48" customFormat="1" x14ac:dyDescent="0.25">
      <c r="A5" s="444" t="s">
        <v>31</v>
      </c>
      <c r="B5" s="442">
        <v>32</v>
      </c>
      <c r="C5" s="864">
        <f t="shared" si="0"/>
        <v>7.6923076923076927E-2</v>
      </c>
      <c r="D5" s="440">
        <v>1016769</v>
      </c>
      <c r="E5" s="440">
        <v>0</v>
      </c>
      <c r="F5" s="440">
        <f t="shared" si="1"/>
        <v>1016769</v>
      </c>
      <c r="G5" s="868">
        <f t="shared" si="2"/>
        <v>8.1530200451091939E-2</v>
      </c>
    </row>
    <row r="6" spans="1:7" s="48" customFormat="1" x14ac:dyDescent="0.25">
      <c r="A6" s="444" t="s">
        <v>25</v>
      </c>
      <c r="B6" s="442">
        <v>36</v>
      </c>
      <c r="C6" s="864">
        <f t="shared" si="0"/>
        <v>8.6538461538461536E-2</v>
      </c>
      <c r="D6" s="440">
        <v>1091334</v>
      </c>
      <c r="E6" s="440">
        <v>16245</v>
      </c>
      <c r="F6" s="440">
        <f t="shared" si="1"/>
        <v>1107579</v>
      </c>
      <c r="G6" s="868">
        <f t="shared" si="2"/>
        <v>8.8811851940234166E-2</v>
      </c>
    </row>
    <row r="7" spans="1:7" s="48" customFormat="1" x14ac:dyDescent="0.25">
      <c r="A7" s="444" t="s">
        <v>45</v>
      </c>
      <c r="B7" s="442">
        <v>30</v>
      </c>
      <c r="C7" s="864">
        <f t="shared" si="0"/>
        <v>7.2115384615384609E-2</v>
      </c>
      <c r="D7" s="440">
        <v>922214</v>
      </c>
      <c r="E7" s="440">
        <v>0</v>
      </c>
      <c r="F7" s="440">
        <f t="shared" si="1"/>
        <v>922214</v>
      </c>
      <c r="G7" s="868">
        <f t="shared" si="2"/>
        <v>7.3948254007353983E-2</v>
      </c>
    </row>
    <row r="8" spans="1:7" s="48" customFormat="1" x14ac:dyDescent="0.25">
      <c r="A8" s="444" t="s">
        <v>36</v>
      </c>
      <c r="B8" s="442">
        <v>20</v>
      </c>
      <c r="C8" s="864">
        <f t="shared" si="0"/>
        <v>4.807692307692308E-2</v>
      </c>
      <c r="D8" s="440">
        <v>368837</v>
      </c>
      <c r="E8" s="440">
        <v>0</v>
      </c>
      <c r="F8" s="440">
        <f t="shared" si="1"/>
        <v>368837</v>
      </c>
      <c r="G8" s="868">
        <f t="shared" si="2"/>
        <v>2.9575404584305184E-2</v>
      </c>
    </row>
    <row r="9" spans="1:7" s="48" customFormat="1" x14ac:dyDescent="0.25">
      <c r="A9" s="144" t="s">
        <v>29</v>
      </c>
      <c r="B9" s="442">
        <v>17</v>
      </c>
      <c r="C9" s="864">
        <f t="shared" si="0"/>
        <v>4.0865384615384616E-2</v>
      </c>
      <c r="D9" s="440">
        <v>452324</v>
      </c>
      <c r="E9" s="440">
        <v>0</v>
      </c>
      <c r="F9" s="440">
        <f t="shared" si="1"/>
        <v>452324</v>
      </c>
      <c r="G9" s="868">
        <f t="shared" si="2"/>
        <v>3.6269857154220583E-2</v>
      </c>
    </row>
    <row r="10" spans="1:7" s="48" customFormat="1" x14ac:dyDescent="0.25">
      <c r="A10" s="444" t="s">
        <v>30</v>
      </c>
      <c r="B10" s="442">
        <v>11</v>
      </c>
      <c r="C10" s="864">
        <f t="shared" si="0"/>
        <v>2.6442307692307692E-2</v>
      </c>
      <c r="D10" s="440">
        <v>215486</v>
      </c>
      <c r="E10" s="440">
        <v>0</v>
      </c>
      <c r="F10" s="440">
        <f t="shared" si="1"/>
        <v>215486</v>
      </c>
      <c r="G10" s="868">
        <f t="shared" si="2"/>
        <v>1.7278867446198692E-2</v>
      </c>
    </row>
    <row r="11" spans="1:7" s="48" customFormat="1" x14ac:dyDescent="0.25">
      <c r="A11" s="144" t="s">
        <v>28</v>
      </c>
      <c r="B11" s="442">
        <v>8</v>
      </c>
      <c r="C11" s="864">
        <f t="shared" si="0"/>
        <v>1.9230769230769232E-2</v>
      </c>
      <c r="D11" s="440">
        <v>127941</v>
      </c>
      <c r="E11" s="440">
        <v>0</v>
      </c>
      <c r="F11" s="440">
        <f t="shared" si="1"/>
        <v>127941</v>
      </c>
      <c r="G11" s="868">
        <f t="shared" si="2"/>
        <v>1.0259021838699993E-2</v>
      </c>
    </row>
    <row r="12" spans="1:7" s="48" customFormat="1" x14ac:dyDescent="0.25">
      <c r="A12" s="144" t="s">
        <v>102</v>
      </c>
      <c r="B12" s="442">
        <v>10</v>
      </c>
      <c r="C12" s="864">
        <f t="shared" si="0"/>
        <v>2.403846153846154E-2</v>
      </c>
      <c r="D12" s="440">
        <v>565549</v>
      </c>
      <c r="E12" s="440">
        <v>0</v>
      </c>
      <c r="F12" s="440">
        <f t="shared" si="1"/>
        <v>565549</v>
      </c>
      <c r="G12" s="868">
        <f t="shared" si="2"/>
        <v>4.5348868164661389E-2</v>
      </c>
    </row>
    <row r="13" spans="1:7" s="48" customFormat="1" x14ac:dyDescent="0.25">
      <c r="A13" s="444" t="s">
        <v>159</v>
      </c>
      <c r="B13" s="442">
        <v>11</v>
      </c>
      <c r="C13" s="864">
        <f t="shared" si="0"/>
        <v>2.6442307692307692E-2</v>
      </c>
      <c r="D13" s="440">
        <v>235839</v>
      </c>
      <c r="E13" s="440">
        <v>0</v>
      </c>
      <c r="F13" s="440">
        <f t="shared" si="1"/>
        <v>235839</v>
      </c>
      <c r="G13" s="868">
        <f t="shared" si="2"/>
        <v>1.8910884324940151E-2</v>
      </c>
    </row>
    <row r="14" spans="1:7" s="48" customFormat="1" x14ac:dyDescent="0.25">
      <c r="A14" s="444" t="s">
        <v>27</v>
      </c>
      <c r="B14" s="442">
        <v>3</v>
      </c>
      <c r="C14" s="864">
        <f t="shared" si="0"/>
        <v>7.2115384615384619E-3</v>
      </c>
      <c r="D14" s="440">
        <v>86499</v>
      </c>
      <c r="E14" s="440">
        <v>0</v>
      </c>
      <c r="F14" s="440">
        <f t="shared" si="1"/>
        <v>86499</v>
      </c>
      <c r="G14" s="868">
        <f t="shared" si="2"/>
        <v>6.9359715026903858E-3</v>
      </c>
    </row>
    <row r="15" spans="1:7" s="48" customFormat="1" x14ac:dyDescent="0.25">
      <c r="A15" s="444" t="s">
        <v>453</v>
      </c>
      <c r="B15" s="442">
        <v>6</v>
      </c>
      <c r="C15" s="864">
        <f t="shared" si="0"/>
        <v>1.4423076923076924E-2</v>
      </c>
      <c r="D15" s="440">
        <v>99458</v>
      </c>
      <c r="E15" s="440">
        <v>0</v>
      </c>
      <c r="F15" s="440">
        <f t="shared" si="1"/>
        <v>99458</v>
      </c>
      <c r="G15" s="868">
        <f t="shared" si="2"/>
        <v>7.9750962868308361E-3</v>
      </c>
    </row>
    <row r="16" spans="1:7" s="48" customFormat="1" x14ac:dyDescent="0.25">
      <c r="A16" s="144" t="s">
        <v>348</v>
      </c>
      <c r="B16" s="442">
        <v>1</v>
      </c>
      <c r="C16" s="864">
        <f t="shared" si="0"/>
        <v>2.403846153846154E-3</v>
      </c>
      <c r="D16" s="440">
        <v>71504</v>
      </c>
      <c r="E16" s="440">
        <v>0</v>
      </c>
      <c r="F16" s="440">
        <f t="shared" si="1"/>
        <v>71504</v>
      </c>
      <c r="G16" s="868">
        <f t="shared" si="2"/>
        <v>5.7335889007777358E-3</v>
      </c>
    </row>
    <row r="17" spans="1:7" s="48" customFormat="1" x14ac:dyDescent="0.25">
      <c r="A17" s="144" t="s">
        <v>34</v>
      </c>
      <c r="B17" s="442">
        <v>5</v>
      </c>
      <c r="C17" s="864">
        <f t="shared" si="0"/>
        <v>1.201923076923077E-2</v>
      </c>
      <c r="D17" s="440">
        <v>129794</v>
      </c>
      <c r="E17" s="440">
        <v>0</v>
      </c>
      <c r="F17" s="440">
        <f t="shared" si="1"/>
        <v>129794</v>
      </c>
      <c r="G17" s="868">
        <f t="shared" si="2"/>
        <v>1.0407605697409172E-2</v>
      </c>
    </row>
    <row r="18" spans="1:7" s="48" customFormat="1" ht="15.75" thickBot="1" x14ac:dyDescent="0.3">
      <c r="A18" s="763" t="s">
        <v>33</v>
      </c>
      <c r="B18" s="445">
        <v>1</v>
      </c>
      <c r="C18" s="865">
        <f t="shared" si="0"/>
        <v>2.403846153846154E-3</v>
      </c>
      <c r="D18" s="446">
        <v>1951</v>
      </c>
      <c r="E18" s="446">
        <v>0</v>
      </c>
      <c r="F18" s="446">
        <f t="shared" si="1"/>
        <v>1951</v>
      </c>
      <c r="G18" s="869">
        <f t="shared" si="2"/>
        <v>1.564420444369177E-4</v>
      </c>
    </row>
    <row r="19" spans="1:7" s="48" customFormat="1" ht="15.75" thickBot="1" x14ac:dyDescent="0.3">
      <c r="A19" s="447" t="s">
        <v>371</v>
      </c>
      <c r="B19" s="448">
        <f t="shared" ref="B19:G19" si="3">SUM(B3:B18)</f>
        <v>416</v>
      </c>
      <c r="C19" s="866">
        <f t="shared" si="3"/>
        <v>0.99999999999999989</v>
      </c>
      <c r="D19" s="449">
        <f t="shared" si="3"/>
        <v>12452827</v>
      </c>
      <c r="E19" s="449">
        <f t="shared" si="3"/>
        <v>18245</v>
      </c>
      <c r="F19" s="449">
        <f t="shared" si="3"/>
        <v>12471072</v>
      </c>
      <c r="G19" s="870">
        <f t="shared" si="3"/>
        <v>1</v>
      </c>
    </row>
    <row r="20" spans="1:7" s="48" customFormat="1" x14ac:dyDescent="0.25">
      <c r="A20" s="768" t="s">
        <v>454</v>
      </c>
      <c r="B20" s="426"/>
      <c r="C20" s="427"/>
      <c r="D20" s="427"/>
      <c r="E20" s="426"/>
      <c r="F20" s="426"/>
      <c r="G20" s="172" t="s">
        <v>172</v>
      </c>
    </row>
  </sheetData>
  <mergeCells count="1">
    <mergeCell ref="A1:G1"/>
  </mergeCells>
  <phoneticPr fontId="47" type="noConversion"/>
  <pageMargins left="0.70866141732283472" right="0.31496062992125984" top="0.74803149606299213" bottom="0.55118110236220474" header="0.31496062992125984" footer="0.11811023622047245"/>
  <pageSetup paperSize="9" orientation="landscape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42"/>
  <sheetViews>
    <sheetView tabSelected="1" workbookViewId="0">
      <selection activeCell="A35" sqref="A35"/>
    </sheetView>
  </sheetViews>
  <sheetFormatPr defaultRowHeight="15" x14ac:dyDescent="0.25"/>
  <cols>
    <col min="1" max="1" width="29.5703125" customWidth="1"/>
    <col min="2" max="2" width="23.28515625" customWidth="1"/>
    <col min="3" max="3" width="25.140625" customWidth="1"/>
    <col min="4" max="4" width="21.7109375" style="232" customWidth="1"/>
    <col min="5" max="5" width="22.140625" customWidth="1"/>
  </cols>
  <sheetData>
    <row r="1" spans="1:5" ht="63.75" customHeight="1" thickBot="1" x14ac:dyDescent="0.3">
      <c r="A1" s="1119" t="s">
        <v>483</v>
      </c>
      <c r="B1" s="1120"/>
      <c r="C1" s="1120"/>
      <c r="D1" s="1120"/>
      <c r="E1" s="1120"/>
    </row>
    <row r="2" spans="1:5" s="48" customFormat="1" ht="78.75" customHeight="1" thickBot="1" x14ac:dyDescent="0.3">
      <c r="A2" s="271" t="s">
        <v>335</v>
      </c>
      <c r="B2" s="274" t="s">
        <v>463</v>
      </c>
      <c r="C2" s="272" t="s">
        <v>464</v>
      </c>
      <c r="D2" s="272" t="s">
        <v>465</v>
      </c>
      <c r="E2" s="273" t="s">
        <v>372</v>
      </c>
    </row>
    <row r="3" spans="1:5" s="48" customFormat="1" ht="26.25" customHeight="1" x14ac:dyDescent="0.25">
      <c r="A3" s="329" t="s">
        <v>373</v>
      </c>
      <c r="B3" s="422">
        <v>12452827</v>
      </c>
      <c r="C3" s="422">
        <v>18245</v>
      </c>
      <c r="D3" s="422">
        <f>SUM(B3:C3)</f>
        <v>12471072</v>
      </c>
      <c r="E3" s="875">
        <f>D3/$D$8</f>
        <v>0.48687698230617821</v>
      </c>
    </row>
    <row r="4" spans="1:5" s="48" customFormat="1" ht="27" customHeight="1" x14ac:dyDescent="0.25">
      <c r="A4" s="330" t="s">
        <v>350</v>
      </c>
      <c r="B4" s="422">
        <v>129293</v>
      </c>
      <c r="C4" s="422">
        <v>0</v>
      </c>
      <c r="D4" s="422">
        <f>SUM(B4:C4)</f>
        <v>129293</v>
      </c>
      <c r="E4" s="876">
        <f>D4/$D$8</f>
        <v>5.0476643606349719E-3</v>
      </c>
    </row>
    <row r="5" spans="1:5" s="48" customFormat="1" ht="24" customHeight="1" x14ac:dyDescent="0.25">
      <c r="A5" s="330" t="s">
        <v>424</v>
      </c>
      <c r="B5" s="422">
        <v>10732061</v>
      </c>
      <c r="C5" s="422">
        <v>0</v>
      </c>
      <c r="D5" s="422">
        <f>SUM(B5:C5)</f>
        <v>10732061</v>
      </c>
      <c r="E5" s="876">
        <f>D5/$D$8</f>
        <v>0.41898510998940791</v>
      </c>
    </row>
    <row r="6" spans="1:5" s="48" customFormat="1" ht="30.75" customHeight="1" x14ac:dyDescent="0.25">
      <c r="A6" s="330" t="s">
        <v>425</v>
      </c>
      <c r="B6" s="422">
        <v>1852248</v>
      </c>
      <c r="C6" s="422">
        <v>0</v>
      </c>
      <c r="D6" s="422">
        <f>SUM(B6:C6)</f>
        <v>1852248</v>
      </c>
      <c r="E6" s="876">
        <f>D6/$D$8</f>
        <v>7.2312702285950561E-2</v>
      </c>
    </row>
    <row r="7" spans="1:5" s="48" customFormat="1" ht="29.25" customHeight="1" thickBot="1" x14ac:dyDescent="0.3">
      <c r="A7" s="331" t="s">
        <v>374</v>
      </c>
      <c r="B7" s="423">
        <v>429747</v>
      </c>
      <c r="C7" s="424">
        <v>0</v>
      </c>
      <c r="D7" s="423">
        <f>SUM(B7:C7)</f>
        <v>429747</v>
      </c>
      <c r="E7" s="877">
        <f>D7/$D$8</f>
        <v>1.6777541057828322E-2</v>
      </c>
    </row>
    <row r="8" spans="1:5" s="48" customFormat="1" ht="15.75" thickBot="1" x14ac:dyDescent="0.3">
      <c r="A8" s="332" t="s">
        <v>371</v>
      </c>
      <c r="B8" s="425">
        <f>SUM(B3:B7)</f>
        <v>25596176</v>
      </c>
      <c r="C8" s="425">
        <f>SUM(C3:C7)</f>
        <v>18245</v>
      </c>
      <c r="D8" s="425">
        <f>SUM(D3:D7)</f>
        <v>25614421</v>
      </c>
      <c r="E8" s="878">
        <f>SUM(E3:E7)</f>
        <v>1</v>
      </c>
    </row>
    <row r="9" spans="1:5" x14ac:dyDescent="0.25">
      <c r="A9" s="288" t="s">
        <v>454</v>
      </c>
      <c r="E9" s="172" t="s">
        <v>172</v>
      </c>
    </row>
    <row r="15" spans="1:5" ht="30.75" customHeight="1" x14ac:dyDescent="0.25"/>
    <row r="19" spans="1:1" x14ac:dyDescent="0.25">
      <c r="A19" s="50"/>
    </row>
    <row r="20" spans="1:1" x14ac:dyDescent="0.25">
      <c r="A20" s="50"/>
    </row>
    <row r="42" ht="13.5" customHeight="1" x14ac:dyDescent="0.25"/>
  </sheetData>
  <mergeCells count="1">
    <mergeCell ref="A1:E1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workbookViewId="0">
      <selection activeCell="A35" sqref="A35"/>
    </sheetView>
  </sheetViews>
  <sheetFormatPr defaultRowHeight="15" x14ac:dyDescent="0.25"/>
  <cols>
    <col min="1" max="1" width="13.85546875" style="15" customWidth="1"/>
    <col min="2" max="8" width="9.140625" style="15" customWidth="1"/>
    <col min="9" max="9" width="8.85546875" style="15" customWidth="1"/>
    <col min="11" max="11" width="11.140625" customWidth="1"/>
  </cols>
  <sheetData>
    <row r="1" spans="1:20" ht="34.5" customHeight="1" x14ac:dyDescent="0.25">
      <c r="A1" s="862" t="s">
        <v>420</v>
      </c>
    </row>
    <row r="2" spans="1:20" ht="17.100000000000001" customHeight="1" x14ac:dyDescent="0.25">
      <c r="A2" s="133" t="s">
        <v>94</v>
      </c>
      <c r="B2" s="149" t="s">
        <v>95</v>
      </c>
      <c r="C2" s="149"/>
      <c r="D2" s="149"/>
      <c r="E2" s="149"/>
      <c r="F2" s="149"/>
      <c r="G2" s="149"/>
      <c r="H2" s="149"/>
      <c r="I2" s="133"/>
      <c r="J2" s="127"/>
      <c r="K2" s="127"/>
    </row>
    <row r="3" spans="1:20" ht="17.100000000000001" customHeight="1" x14ac:dyDescent="0.25">
      <c r="A3" s="133" t="s">
        <v>96</v>
      </c>
      <c r="B3" s="680" t="s">
        <v>560</v>
      </c>
      <c r="C3" s="133"/>
      <c r="D3" s="133"/>
      <c r="E3" s="133"/>
      <c r="F3" s="133"/>
      <c r="G3" s="133"/>
      <c r="H3" s="133"/>
      <c r="I3" s="133"/>
      <c r="J3" s="127"/>
      <c r="K3" s="127"/>
    </row>
    <row r="4" spans="1:20" ht="17.100000000000001" customHeight="1" x14ac:dyDescent="0.25">
      <c r="A4" s="133" t="s">
        <v>97</v>
      </c>
      <c r="B4" s="680" t="s">
        <v>561</v>
      </c>
      <c r="C4" s="133"/>
      <c r="D4" s="133"/>
      <c r="E4" s="133"/>
      <c r="F4" s="133"/>
      <c r="G4" s="133"/>
      <c r="H4" s="133"/>
      <c r="I4" s="133"/>
      <c r="J4" s="127"/>
      <c r="K4" s="127"/>
    </row>
    <row r="5" spans="1:20" ht="17.100000000000001" customHeight="1" x14ac:dyDescent="0.25">
      <c r="A5" s="133" t="s">
        <v>98</v>
      </c>
      <c r="B5" s="985" t="s">
        <v>562</v>
      </c>
      <c r="C5" s="986"/>
      <c r="D5" s="986"/>
      <c r="E5" s="986"/>
      <c r="F5" s="986"/>
      <c r="G5" s="986"/>
      <c r="H5" s="986"/>
      <c r="I5" s="986"/>
      <c r="J5" s="127"/>
      <c r="K5" s="127"/>
      <c r="L5" s="50"/>
      <c r="M5" s="50"/>
      <c r="N5" s="50"/>
    </row>
    <row r="6" spans="1:20" ht="17.100000000000001" customHeight="1" x14ac:dyDescent="0.25">
      <c r="A6" s="133" t="s">
        <v>434</v>
      </c>
      <c r="B6" s="985" t="s">
        <v>563</v>
      </c>
      <c r="C6" s="986"/>
      <c r="D6" s="986"/>
      <c r="E6" s="986"/>
      <c r="F6" s="986"/>
      <c r="G6" s="986"/>
      <c r="H6" s="986"/>
      <c r="I6" s="986"/>
      <c r="J6" s="127"/>
      <c r="K6" s="127"/>
      <c r="L6" s="50"/>
      <c r="M6" s="50"/>
      <c r="N6" s="50"/>
    </row>
    <row r="7" spans="1:20" ht="17.100000000000001" customHeight="1" x14ac:dyDescent="0.25">
      <c r="A7" s="133" t="s">
        <v>435</v>
      </c>
      <c r="B7" s="680" t="s">
        <v>564</v>
      </c>
      <c r="C7" s="133"/>
      <c r="D7" s="133"/>
      <c r="E7" s="133"/>
      <c r="F7" s="133"/>
      <c r="G7" s="133"/>
      <c r="H7" s="133"/>
      <c r="I7" s="133"/>
      <c r="J7" s="127"/>
      <c r="K7" s="127"/>
      <c r="L7" s="50"/>
      <c r="M7" s="50"/>
      <c r="N7" s="50"/>
    </row>
    <row r="8" spans="1:20" ht="44.25" customHeight="1" x14ac:dyDescent="0.25">
      <c r="A8" s="133" t="s">
        <v>99</v>
      </c>
      <c r="B8" s="987" t="s">
        <v>565</v>
      </c>
      <c r="C8" s="988"/>
      <c r="D8" s="988"/>
      <c r="E8" s="988"/>
      <c r="F8" s="988"/>
      <c r="G8" s="988"/>
      <c r="H8" s="988"/>
      <c r="I8" s="988"/>
      <c r="J8" s="134"/>
      <c r="K8" s="134"/>
      <c r="L8" s="50"/>
      <c r="M8" s="50"/>
      <c r="N8" s="50"/>
    </row>
    <row r="9" spans="1:20" ht="45.75" customHeight="1" x14ac:dyDescent="0.25">
      <c r="A9" s="133" t="s">
        <v>436</v>
      </c>
      <c r="B9" s="987" t="s">
        <v>566</v>
      </c>
      <c r="C9" s="988"/>
      <c r="D9" s="988"/>
      <c r="E9" s="988"/>
      <c r="F9" s="988"/>
      <c r="G9" s="988"/>
      <c r="H9" s="988"/>
      <c r="I9" s="988"/>
      <c r="J9" s="134"/>
      <c r="K9" s="134"/>
      <c r="L9" s="50"/>
      <c r="M9" s="50"/>
      <c r="N9" s="50"/>
    </row>
    <row r="10" spans="1:20" ht="34.5" customHeight="1" x14ac:dyDescent="0.25">
      <c r="A10" s="133" t="s">
        <v>437</v>
      </c>
      <c r="B10" s="993" t="s">
        <v>567</v>
      </c>
      <c r="C10" s="994"/>
      <c r="D10" s="994"/>
      <c r="E10" s="994"/>
      <c r="F10" s="994"/>
      <c r="G10" s="994"/>
      <c r="H10" s="994"/>
      <c r="I10" s="994"/>
      <c r="J10" s="127"/>
      <c r="K10" s="127"/>
      <c r="L10" s="50"/>
      <c r="M10" s="50"/>
      <c r="N10" s="50"/>
    </row>
    <row r="11" spans="1:20" ht="33" customHeight="1" x14ac:dyDescent="0.25">
      <c r="A11" s="133" t="s">
        <v>349</v>
      </c>
      <c r="B11" s="995" t="s">
        <v>568</v>
      </c>
      <c r="C11" s="996"/>
      <c r="D11" s="996"/>
      <c r="E11" s="996"/>
      <c r="F11" s="996"/>
      <c r="G11" s="996"/>
      <c r="H11" s="996"/>
      <c r="I11" s="996"/>
      <c r="J11" s="128"/>
      <c r="K11" s="128"/>
    </row>
    <row r="12" spans="1:20" ht="17.100000000000001" customHeight="1" x14ac:dyDescent="0.25">
      <c r="A12" s="133" t="s">
        <v>329</v>
      </c>
      <c r="B12" s="997" t="s">
        <v>569</v>
      </c>
      <c r="C12" s="998"/>
      <c r="D12" s="998"/>
      <c r="E12" s="998"/>
      <c r="F12" s="998"/>
      <c r="G12" s="998"/>
      <c r="H12" s="998"/>
      <c r="I12" s="998"/>
      <c r="J12" s="137"/>
      <c r="K12" s="137"/>
      <c r="L12" s="50"/>
      <c r="M12" s="50"/>
      <c r="N12" s="50"/>
    </row>
    <row r="13" spans="1:20" ht="46.5" customHeight="1" x14ac:dyDescent="0.25">
      <c r="A13" s="133" t="s">
        <v>331</v>
      </c>
      <c r="B13" s="999" t="s">
        <v>570</v>
      </c>
      <c r="C13" s="1000"/>
      <c r="D13" s="1000"/>
      <c r="E13" s="1000"/>
      <c r="F13" s="1000"/>
      <c r="G13" s="1000"/>
      <c r="H13" s="1000"/>
      <c r="I13" s="1000"/>
      <c r="J13" s="135"/>
      <c r="K13" s="173"/>
      <c r="L13" s="173"/>
      <c r="M13" s="173"/>
      <c r="N13" s="173"/>
      <c r="O13" s="173"/>
      <c r="P13" s="173"/>
      <c r="Q13" s="173"/>
      <c r="R13" s="173"/>
      <c r="S13" s="173"/>
      <c r="T13" s="173"/>
    </row>
    <row r="14" spans="1:20" ht="49.5" customHeight="1" x14ac:dyDescent="0.25">
      <c r="A14" s="133" t="s">
        <v>332</v>
      </c>
      <c r="B14" s="1003" t="s">
        <v>571</v>
      </c>
      <c r="C14" s="1004"/>
      <c r="D14" s="1004"/>
      <c r="E14" s="1004"/>
      <c r="F14" s="1004"/>
      <c r="G14" s="1004"/>
      <c r="H14" s="1004"/>
      <c r="I14" s="1004"/>
      <c r="J14" s="136"/>
      <c r="K14" s="136"/>
    </row>
    <row r="15" spans="1:20" ht="46.5" customHeight="1" x14ac:dyDescent="0.25">
      <c r="A15" s="133" t="s">
        <v>330</v>
      </c>
      <c r="B15" s="1005" t="s">
        <v>572</v>
      </c>
      <c r="C15" s="1006"/>
      <c r="D15" s="1006"/>
      <c r="E15" s="1006"/>
      <c r="F15" s="1006"/>
      <c r="G15" s="1006"/>
      <c r="H15" s="1006"/>
      <c r="I15" s="1006"/>
      <c r="J15" s="132"/>
      <c r="K15" s="132"/>
    </row>
    <row r="16" spans="1:20" ht="48" customHeight="1" x14ac:dyDescent="0.25">
      <c r="A16" s="133" t="s">
        <v>333</v>
      </c>
      <c r="B16" s="1005" t="s">
        <v>573</v>
      </c>
      <c r="C16" s="1006"/>
      <c r="D16" s="1006"/>
      <c r="E16" s="1006"/>
      <c r="F16" s="1006"/>
      <c r="G16" s="1006"/>
      <c r="H16" s="1006"/>
      <c r="I16" s="1006"/>
      <c r="J16" s="129"/>
      <c r="K16" s="129"/>
    </row>
    <row r="17" spans="1:16" ht="32.25" customHeight="1" x14ac:dyDescent="0.25">
      <c r="A17" s="133" t="s">
        <v>334</v>
      </c>
      <c r="B17" s="1005" t="s">
        <v>574</v>
      </c>
      <c r="C17" s="1006"/>
      <c r="D17" s="1006"/>
      <c r="E17" s="1006"/>
      <c r="F17" s="1006"/>
      <c r="G17" s="1006"/>
      <c r="H17" s="1006"/>
      <c r="I17" s="1006"/>
      <c r="J17" s="129"/>
      <c r="K17" s="129"/>
    </row>
    <row r="18" spans="1:16" ht="21" x14ac:dyDescent="0.25">
      <c r="A18" s="680" t="s">
        <v>624</v>
      </c>
      <c r="B18" s="991" t="s">
        <v>626</v>
      </c>
      <c r="C18" s="991"/>
      <c r="D18" s="991"/>
      <c r="E18" s="991"/>
      <c r="F18" s="991"/>
      <c r="G18" s="991"/>
      <c r="H18" s="991"/>
      <c r="I18" s="991"/>
      <c r="J18" s="861"/>
      <c r="K18" s="861"/>
      <c r="L18" s="861"/>
      <c r="M18" s="861"/>
      <c r="N18" s="861"/>
      <c r="O18" s="861"/>
      <c r="P18" s="861"/>
    </row>
    <row r="19" spans="1:16" ht="37.5" customHeight="1" x14ac:dyDescent="0.25">
      <c r="A19" s="680" t="s">
        <v>625</v>
      </c>
      <c r="B19" s="992" t="s">
        <v>627</v>
      </c>
      <c r="C19" s="992"/>
      <c r="D19" s="992"/>
      <c r="E19" s="992"/>
      <c r="F19" s="992"/>
      <c r="G19" s="992"/>
      <c r="H19" s="992"/>
      <c r="I19" s="992"/>
      <c r="J19" s="860"/>
      <c r="K19" s="860"/>
      <c r="L19" s="860"/>
      <c r="M19" s="860"/>
      <c r="N19" s="860"/>
      <c r="O19" s="860"/>
    </row>
    <row r="20" spans="1:16" ht="33.75" customHeight="1" x14ac:dyDescent="0.25">
      <c r="A20" s="680" t="s">
        <v>336</v>
      </c>
      <c r="B20" s="982" t="s">
        <v>575</v>
      </c>
      <c r="C20" s="989"/>
      <c r="D20" s="989"/>
      <c r="E20" s="989"/>
      <c r="F20" s="989"/>
      <c r="G20" s="989"/>
      <c r="H20" s="989"/>
      <c r="I20" s="989"/>
      <c r="J20" s="130"/>
      <c r="K20" s="130"/>
    </row>
    <row r="21" spans="1:16" ht="17.100000000000001" customHeight="1" x14ac:dyDescent="0.25">
      <c r="A21" s="859" t="s">
        <v>620</v>
      </c>
      <c r="B21" s="1001" t="s">
        <v>576</v>
      </c>
      <c r="C21" s="1002"/>
      <c r="D21" s="1002"/>
      <c r="E21" s="1002"/>
      <c r="F21" s="1002"/>
      <c r="G21" s="1002"/>
      <c r="H21" s="1002"/>
      <c r="I21" s="1002"/>
      <c r="J21" s="130"/>
      <c r="K21" s="130"/>
    </row>
    <row r="22" spans="1:16" ht="17.100000000000001" customHeight="1" x14ac:dyDescent="0.25">
      <c r="A22" s="859" t="s">
        <v>621</v>
      </c>
      <c r="B22" s="982" t="s">
        <v>577</v>
      </c>
      <c r="C22" s="982"/>
      <c r="D22" s="982"/>
      <c r="E22" s="982"/>
      <c r="F22" s="982"/>
      <c r="G22" s="982"/>
      <c r="H22" s="982"/>
      <c r="I22" s="982"/>
      <c r="J22" s="130"/>
      <c r="K22" s="130"/>
    </row>
    <row r="23" spans="1:16" ht="17.100000000000001" customHeight="1" x14ac:dyDescent="0.25">
      <c r="A23" s="680" t="s">
        <v>622</v>
      </c>
      <c r="B23" s="982" t="s">
        <v>578</v>
      </c>
      <c r="C23" s="982"/>
      <c r="D23" s="982"/>
      <c r="E23" s="982"/>
      <c r="F23" s="982"/>
      <c r="G23" s="982"/>
      <c r="H23" s="982"/>
      <c r="I23" s="982"/>
      <c r="J23" s="139"/>
      <c r="K23" s="139"/>
    </row>
    <row r="24" spans="1:16" ht="17.100000000000001" customHeight="1" x14ac:dyDescent="0.25">
      <c r="A24" s="680" t="s">
        <v>379</v>
      </c>
      <c r="B24" s="982" t="s">
        <v>580</v>
      </c>
      <c r="C24" s="982"/>
      <c r="D24" s="982"/>
      <c r="E24" s="982"/>
      <c r="F24" s="982"/>
      <c r="G24" s="982"/>
      <c r="H24" s="982"/>
      <c r="I24" s="982"/>
      <c r="J24" s="131"/>
      <c r="K24" s="131"/>
    </row>
    <row r="25" spans="1:16" ht="17.100000000000001" customHeight="1" x14ac:dyDescent="0.25">
      <c r="A25" s="680" t="s">
        <v>337</v>
      </c>
      <c r="B25" s="983" t="s">
        <v>579</v>
      </c>
      <c r="C25" s="983"/>
      <c r="D25" s="983"/>
      <c r="E25" s="983"/>
      <c r="F25" s="983"/>
      <c r="G25" s="983"/>
      <c r="H25" s="983"/>
      <c r="I25" s="983"/>
      <c r="J25" s="131"/>
      <c r="K25" s="131"/>
    </row>
    <row r="26" spans="1:16" ht="17.100000000000001" customHeight="1" x14ac:dyDescent="0.25">
      <c r="A26" s="680" t="s">
        <v>338</v>
      </c>
      <c r="B26" s="984" t="s">
        <v>581</v>
      </c>
      <c r="C26" s="984"/>
      <c r="D26" s="984"/>
      <c r="E26" s="984"/>
      <c r="F26" s="984"/>
      <c r="G26" s="984"/>
      <c r="H26" s="984"/>
      <c r="I26" s="984"/>
      <c r="J26" s="131"/>
      <c r="K26" s="131"/>
    </row>
    <row r="27" spans="1:16" ht="17.100000000000001" customHeight="1" x14ac:dyDescent="0.25">
      <c r="A27" s="680" t="s">
        <v>339</v>
      </c>
      <c r="B27" s="984" t="s">
        <v>582</v>
      </c>
      <c r="C27" s="984"/>
      <c r="D27" s="984"/>
      <c r="E27" s="984"/>
      <c r="F27" s="984"/>
      <c r="G27" s="984"/>
      <c r="H27" s="984"/>
      <c r="I27" s="984"/>
      <c r="J27" s="130"/>
      <c r="K27" s="130"/>
    </row>
    <row r="28" spans="1:16" ht="17.100000000000001" customHeight="1" x14ac:dyDescent="0.25">
      <c r="A28" s="680" t="s">
        <v>340</v>
      </c>
      <c r="B28" s="984" t="s">
        <v>583</v>
      </c>
      <c r="C28" s="984"/>
      <c r="D28" s="984"/>
      <c r="E28" s="984"/>
      <c r="F28" s="984"/>
      <c r="G28" s="984"/>
      <c r="H28" s="984"/>
      <c r="I28" s="984"/>
      <c r="J28" s="137"/>
      <c r="K28" s="137"/>
    </row>
    <row r="29" spans="1:16" ht="36" customHeight="1" x14ac:dyDescent="0.25">
      <c r="A29" s="680" t="s">
        <v>341</v>
      </c>
      <c r="B29" s="981" t="s">
        <v>584</v>
      </c>
      <c r="C29" s="981"/>
      <c r="D29" s="981"/>
      <c r="E29" s="981"/>
      <c r="F29" s="981"/>
      <c r="G29" s="981"/>
      <c r="H29" s="981"/>
      <c r="I29" s="981"/>
      <c r="J29" s="137"/>
    </row>
    <row r="30" spans="1:16" ht="24" customHeight="1" x14ac:dyDescent="0.25">
      <c r="A30" s="680" t="s">
        <v>342</v>
      </c>
      <c r="B30" s="982" t="s">
        <v>585</v>
      </c>
      <c r="C30" s="982"/>
      <c r="D30" s="982"/>
      <c r="E30" s="982"/>
      <c r="F30" s="982"/>
      <c r="G30" s="982"/>
      <c r="H30" s="982"/>
      <c r="I30" s="982"/>
      <c r="J30" s="138"/>
      <c r="K30" s="138"/>
    </row>
    <row r="31" spans="1:16" ht="37.5" customHeight="1" x14ac:dyDescent="0.25">
      <c r="A31" s="680" t="s">
        <v>343</v>
      </c>
      <c r="B31" s="981" t="s">
        <v>586</v>
      </c>
      <c r="C31" s="981"/>
      <c r="D31" s="981"/>
      <c r="E31" s="981"/>
      <c r="F31" s="981"/>
      <c r="G31" s="981"/>
      <c r="H31" s="981"/>
      <c r="I31" s="981"/>
      <c r="J31" s="127"/>
      <c r="K31" s="127"/>
    </row>
    <row r="32" spans="1:16" ht="17.100000000000001" customHeight="1" x14ac:dyDescent="0.25">
      <c r="A32" s="680" t="s">
        <v>623</v>
      </c>
      <c r="B32" s="990" t="s">
        <v>587</v>
      </c>
      <c r="C32" s="990"/>
      <c r="D32" s="990"/>
      <c r="E32" s="990"/>
      <c r="F32" s="990"/>
      <c r="G32" s="990"/>
      <c r="H32" s="990"/>
      <c r="I32" s="990"/>
      <c r="J32" s="127"/>
      <c r="K32" s="127"/>
    </row>
    <row r="33" spans="1:11" x14ac:dyDescent="0.25">
      <c r="A33" s="133"/>
      <c r="B33" s="133"/>
      <c r="C33" s="133"/>
      <c r="D33" s="133"/>
      <c r="E33" s="133"/>
      <c r="F33" s="133"/>
      <c r="G33" s="133"/>
      <c r="H33" s="133"/>
      <c r="I33" s="133"/>
      <c r="J33" s="127"/>
      <c r="K33" s="127"/>
    </row>
    <row r="34" spans="1:11" x14ac:dyDescent="0.25">
      <c r="A34" s="133"/>
      <c r="B34" s="133"/>
      <c r="C34" s="133"/>
      <c r="D34" s="133"/>
      <c r="E34" s="133"/>
      <c r="F34" s="133"/>
      <c r="G34" s="133"/>
      <c r="H34" s="133"/>
      <c r="I34" s="133"/>
      <c r="J34" s="127"/>
      <c r="K34" s="127"/>
    </row>
    <row r="35" spans="1:11" x14ac:dyDescent="0.25">
      <c r="A35" s="133"/>
      <c r="B35" s="133"/>
      <c r="C35" s="133"/>
      <c r="D35" s="133"/>
      <c r="E35" s="133"/>
      <c r="F35" s="133"/>
      <c r="G35" s="133"/>
      <c r="H35" s="133"/>
      <c r="I35" s="133"/>
      <c r="J35" s="127"/>
      <c r="K35" s="127"/>
    </row>
    <row r="36" spans="1:11" x14ac:dyDescent="0.25">
      <c r="A36" s="133"/>
      <c r="B36" s="133"/>
      <c r="C36" s="133"/>
      <c r="D36" s="133"/>
      <c r="E36" s="133"/>
      <c r="F36" s="133"/>
      <c r="G36" s="133"/>
      <c r="H36" s="133"/>
      <c r="I36" s="133"/>
      <c r="J36" s="127"/>
      <c r="K36" s="127"/>
    </row>
    <row r="37" spans="1:11" x14ac:dyDescent="0.25">
      <c r="A37" s="133"/>
      <c r="B37" s="133"/>
      <c r="C37" s="133"/>
      <c r="D37" s="133"/>
      <c r="E37" s="133"/>
      <c r="F37" s="133"/>
      <c r="G37" s="133"/>
      <c r="H37" s="133"/>
      <c r="I37" s="133"/>
      <c r="J37" s="127"/>
      <c r="K37" s="127"/>
    </row>
    <row r="38" spans="1:11" x14ac:dyDescent="0.25">
      <c r="A38" s="133"/>
      <c r="B38" s="133"/>
      <c r="C38" s="133"/>
      <c r="D38" s="133"/>
      <c r="E38" s="133"/>
      <c r="F38" s="133"/>
      <c r="G38" s="133"/>
      <c r="H38" s="133"/>
      <c r="I38" s="133"/>
      <c r="J38" s="127"/>
      <c r="K38" s="127"/>
    </row>
    <row r="39" spans="1:11" x14ac:dyDescent="0.25">
      <c r="A39" s="133"/>
      <c r="B39" s="133"/>
      <c r="C39" s="133"/>
      <c r="D39" s="133"/>
      <c r="E39" s="133"/>
      <c r="F39" s="133"/>
      <c r="G39" s="133"/>
      <c r="H39" s="133"/>
      <c r="I39" s="133"/>
      <c r="J39" s="127"/>
      <c r="K39" s="127"/>
    </row>
    <row r="40" spans="1:11" x14ac:dyDescent="0.25">
      <c r="A40" s="133"/>
      <c r="B40" s="133"/>
      <c r="C40" s="133"/>
      <c r="D40" s="133"/>
      <c r="E40" s="133"/>
      <c r="F40" s="133"/>
      <c r="G40" s="133"/>
      <c r="H40" s="133"/>
      <c r="I40" s="133"/>
      <c r="J40" s="127"/>
      <c r="K40" s="127"/>
    </row>
    <row r="41" spans="1:11" x14ac:dyDescent="0.25">
      <c r="A41" s="133"/>
      <c r="B41" s="133"/>
      <c r="C41" s="133"/>
      <c r="D41" s="133"/>
      <c r="E41" s="133"/>
      <c r="F41" s="133"/>
      <c r="G41" s="133"/>
      <c r="H41" s="133"/>
      <c r="I41" s="133"/>
      <c r="J41" s="127"/>
      <c r="K41" s="127"/>
    </row>
    <row r="42" spans="1:11" x14ac:dyDescent="0.25">
      <c r="A42" s="133"/>
      <c r="B42" s="133"/>
      <c r="C42" s="133"/>
      <c r="D42" s="133"/>
      <c r="E42" s="133"/>
      <c r="F42" s="133"/>
      <c r="G42" s="133"/>
      <c r="H42" s="133"/>
      <c r="I42" s="133"/>
      <c r="J42" s="127"/>
      <c r="K42" s="127"/>
    </row>
    <row r="43" spans="1:11" x14ac:dyDescent="0.25">
      <c r="A43" s="133"/>
      <c r="B43" s="133"/>
      <c r="C43" s="133"/>
      <c r="D43" s="133"/>
      <c r="E43" s="133"/>
      <c r="F43" s="133"/>
      <c r="G43" s="133"/>
      <c r="H43" s="133"/>
      <c r="I43" s="133"/>
      <c r="J43" s="127"/>
      <c r="K43" s="127"/>
    </row>
    <row r="44" spans="1:11" x14ac:dyDescent="0.25">
      <c r="A44" s="133"/>
      <c r="B44" s="133"/>
      <c r="C44" s="133"/>
      <c r="D44" s="133"/>
      <c r="E44" s="133"/>
      <c r="F44" s="133"/>
      <c r="G44" s="133"/>
      <c r="H44" s="133"/>
      <c r="I44" s="133"/>
      <c r="J44" s="127"/>
      <c r="K44" s="127"/>
    </row>
    <row r="45" spans="1:11" x14ac:dyDescent="0.25">
      <c r="A45" s="133"/>
      <c r="B45" s="133"/>
      <c r="C45" s="133"/>
      <c r="D45" s="133"/>
      <c r="E45" s="133"/>
      <c r="F45" s="133"/>
      <c r="G45" s="133"/>
      <c r="H45" s="133"/>
      <c r="I45" s="133"/>
      <c r="J45" s="127"/>
      <c r="K45" s="127"/>
    </row>
    <row r="46" spans="1:11" x14ac:dyDescent="0.25">
      <c r="A46" s="133"/>
      <c r="B46" s="133"/>
      <c r="C46" s="133"/>
      <c r="D46" s="133"/>
      <c r="E46" s="133"/>
      <c r="F46" s="133"/>
      <c r="G46" s="133"/>
      <c r="H46" s="133"/>
      <c r="I46" s="133"/>
      <c r="J46" s="127"/>
      <c r="K46" s="127"/>
    </row>
    <row r="47" spans="1:11" x14ac:dyDescent="0.25">
      <c r="A47" s="133"/>
      <c r="B47" s="133"/>
      <c r="C47" s="133"/>
      <c r="D47" s="133"/>
      <c r="E47" s="133"/>
      <c r="F47" s="133"/>
      <c r="G47" s="133"/>
      <c r="H47" s="133"/>
      <c r="I47" s="133"/>
      <c r="J47" s="127"/>
      <c r="K47" s="127"/>
    </row>
    <row r="48" spans="1:11" x14ac:dyDescent="0.25">
      <c r="A48" s="133"/>
      <c r="B48" s="133"/>
      <c r="C48" s="133"/>
      <c r="D48" s="133"/>
      <c r="E48" s="133"/>
      <c r="F48" s="133"/>
      <c r="G48" s="133"/>
      <c r="H48" s="133"/>
      <c r="I48" s="133"/>
      <c r="J48" s="127"/>
      <c r="K48" s="127"/>
    </row>
  </sheetData>
  <mergeCells count="27">
    <mergeCell ref="B31:I31"/>
    <mergeCell ref="B32:I32"/>
    <mergeCell ref="B18:I18"/>
    <mergeCell ref="B19:I19"/>
    <mergeCell ref="B10:I10"/>
    <mergeCell ref="B11:I11"/>
    <mergeCell ref="B12:I12"/>
    <mergeCell ref="B13:I13"/>
    <mergeCell ref="B22:I22"/>
    <mergeCell ref="B23:I23"/>
    <mergeCell ref="B21:I21"/>
    <mergeCell ref="B14:I14"/>
    <mergeCell ref="B15:I15"/>
    <mergeCell ref="B16:I16"/>
    <mergeCell ref="B17:I17"/>
    <mergeCell ref="B30:I30"/>
    <mergeCell ref="B5:I5"/>
    <mergeCell ref="B6:I6"/>
    <mergeCell ref="B8:I8"/>
    <mergeCell ref="B9:I9"/>
    <mergeCell ref="B20:I20"/>
    <mergeCell ref="B29:I29"/>
    <mergeCell ref="B24:I24"/>
    <mergeCell ref="B25:I25"/>
    <mergeCell ref="B26:I26"/>
    <mergeCell ref="B27:I27"/>
    <mergeCell ref="B28:I28"/>
  </mergeCells>
  <phoneticPr fontId="47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6"/>
  <sheetViews>
    <sheetView tabSelected="1" zoomScaleNormal="100" zoomScaleSheetLayoutView="70" workbookViewId="0">
      <selection activeCell="A35" sqref="A35"/>
    </sheetView>
  </sheetViews>
  <sheetFormatPr defaultRowHeight="15" x14ac:dyDescent="0.25"/>
  <cols>
    <col min="1" max="1" width="21.28515625" style="858" customWidth="1"/>
    <col min="2" max="2" width="11" customWidth="1"/>
    <col min="3" max="3" width="11.42578125" customWidth="1"/>
    <col min="4" max="4" width="10.28515625" customWidth="1"/>
    <col min="5" max="5" width="15.5703125" customWidth="1"/>
    <col min="6" max="6" width="10.5703125" customWidth="1"/>
    <col min="7" max="7" width="14.28515625" customWidth="1"/>
    <col min="8" max="8" width="11.140625" customWidth="1"/>
    <col min="9" max="9" width="12.42578125" customWidth="1"/>
    <col min="10" max="10" width="8.28515625" customWidth="1"/>
    <col min="11" max="11" width="10.42578125" customWidth="1"/>
    <col min="12" max="12" width="10.7109375" bestFit="1" customWidth="1"/>
    <col min="13" max="13" width="9.5703125" customWidth="1"/>
    <col min="14" max="14" width="11" customWidth="1"/>
    <col min="15" max="15" width="12.7109375" customWidth="1"/>
  </cols>
  <sheetData>
    <row r="1" spans="1:15" ht="25.5" customHeight="1" thickBot="1" x14ac:dyDescent="0.3">
      <c r="A1" s="1121" t="s">
        <v>600</v>
      </c>
      <c r="B1" s="1121"/>
      <c r="C1" s="1121"/>
      <c r="D1" s="1121"/>
      <c r="E1" s="1121"/>
      <c r="F1" s="1121"/>
      <c r="G1" s="1121"/>
      <c r="H1" s="1121"/>
      <c r="I1" s="1121"/>
      <c r="J1" s="1121"/>
      <c r="K1" s="1121"/>
      <c r="L1" s="1121"/>
      <c r="M1" s="1121"/>
      <c r="N1" s="1121"/>
      <c r="O1" s="1121"/>
    </row>
    <row r="2" spans="1:15" ht="129" customHeight="1" thickBot="1" x14ac:dyDescent="0.3">
      <c r="A2" s="847" t="s">
        <v>43</v>
      </c>
      <c r="B2" s="949" t="s">
        <v>601</v>
      </c>
      <c r="C2" s="850" t="s">
        <v>646</v>
      </c>
      <c r="D2" s="847" t="s">
        <v>602</v>
      </c>
      <c r="E2" s="949" t="s">
        <v>603</v>
      </c>
      <c r="F2" s="849" t="s">
        <v>647</v>
      </c>
      <c r="G2" s="850" t="s">
        <v>648</v>
      </c>
      <c r="H2" s="847" t="s">
        <v>604</v>
      </c>
      <c r="I2" s="960" t="s">
        <v>640</v>
      </c>
      <c r="J2" s="847" t="s">
        <v>17</v>
      </c>
      <c r="K2" s="949" t="s">
        <v>641</v>
      </c>
      <c r="L2" s="850" t="s">
        <v>642</v>
      </c>
      <c r="M2" s="848" t="s">
        <v>643</v>
      </c>
      <c r="N2" s="849" t="s">
        <v>644</v>
      </c>
      <c r="O2" s="850" t="s">
        <v>645</v>
      </c>
    </row>
    <row r="3" spans="1:15" x14ac:dyDescent="0.25">
      <c r="A3" s="851" t="s">
        <v>23</v>
      </c>
      <c r="B3" s="953">
        <v>292</v>
      </c>
      <c r="C3" s="954">
        <v>92</v>
      </c>
      <c r="D3" s="958">
        <v>396</v>
      </c>
      <c r="E3" s="953">
        <v>849</v>
      </c>
      <c r="F3" s="852">
        <v>847</v>
      </c>
      <c r="G3" s="954">
        <v>2</v>
      </c>
      <c r="H3" s="958">
        <v>6595</v>
      </c>
      <c r="I3" s="961">
        <v>2318</v>
      </c>
      <c r="J3" s="756">
        <v>10450</v>
      </c>
      <c r="K3" s="950">
        <v>8.8038277511961714E-3</v>
      </c>
      <c r="L3" s="918">
        <v>8.124401913875598E-2</v>
      </c>
      <c r="M3" s="946">
        <v>0.38294993234100133</v>
      </c>
      <c r="N3" s="917">
        <v>9.1542288557213927E-2</v>
      </c>
      <c r="O3" s="918">
        <v>0.18704804181284457</v>
      </c>
    </row>
    <row r="4" spans="1:15" x14ac:dyDescent="0.25">
      <c r="A4" s="853" t="s">
        <v>24</v>
      </c>
      <c r="B4" s="399">
        <v>109</v>
      </c>
      <c r="C4" s="955">
        <v>55</v>
      </c>
      <c r="D4" s="959">
        <v>180</v>
      </c>
      <c r="E4" s="399">
        <v>380</v>
      </c>
      <c r="F4" s="854">
        <v>338</v>
      </c>
      <c r="G4" s="955">
        <v>5</v>
      </c>
      <c r="H4" s="959">
        <v>4809</v>
      </c>
      <c r="I4" s="962">
        <v>167</v>
      </c>
      <c r="J4" s="757">
        <v>5645</v>
      </c>
      <c r="K4" s="951">
        <v>9.7431355181576609E-3</v>
      </c>
      <c r="L4" s="920">
        <v>6.0761736049601417E-2</v>
      </c>
      <c r="M4" s="947">
        <v>0.15471357690572846</v>
      </c>
      <c r="N4" s="919">
        <v>5.4726368159203981E-2</v>
      </c>
      <c r="O4" s="920">
        <v>0.10104174124722561</v>
      </c>
    </row>
    <row r="5" spans="1:15" x14ac:dyDescent="0.25">
      <c r="A5" s="853" t="s">
        <v>25</v>
      </c>
      <c r="B5" s="399">
        <v>192</v>
      </c>
      <c r="C5" s="955">
        <v>143</v>
      </c>
      <c r="D5" s="959">
        <v>281</v>
      </c>
      <c r="E5" s="399">
        <v>222</v>
      </c>
      <c r="F5" s="854">
        <v>162</v>
      </c>
      <c r="G5" s="955">
        <v>0</v>
      </c>
      <c r="H5" s="959">
        <v>3728</v>
      </c>
      <c r="I5" s="962">
        <v>833</v>
      </c>
      <c r="J5" s="757">
        <v>5256</v>
      </c>
      <c r="K5" s="951">
        <v>2.7207001522070014E-2</v>
      </c>
      <c r="L5" s="920">
        <v>3.0821917808219176E-2</v>
      </c>
      <c r="M5" s="947">
        <v>7.307171853856563E-2</v>
      </c>
      <c r="N5" s="919">
        <v>0.14228855721393036</v>
      </c>
      <c r="O5" s="920">
        <v>9.4078900264910142E-2</v>
      </c>
    </row>
    <row r="6" spans="1:15" x14ac:dyDescent="0.25">
      <c r="A6" s="853" t="s">
        <v>29</v>
      </c>
      <c r="B6" s="399">
        <v>198</v>
      </c>
      <c r="C6" s="955">
        <v>119</v>
      </c>
      <c r="D6" s="959">
        <v>290</v>
      </c>
      <c r="E6" s="399">
        <v>39</v>
      </c>
      <c r="F6" s="854">
        <v>36</v>
      </c>
      <c r="G6" s="955">
        <v>3</v>
      </c>
      <c r="H6" s="959">
        <v>2652</v>
      </c>
      <c r="I6" s="962">
        <v>1097</v>
      </c>
      <c r="J6" s="757">
        <v>4276</v>
      </c>
      <c r="K6" s="951">
        <v>2.7829747427502338E-2</v>
      </c>
      <c r="L6" s="920">
        <v>9.1206735266604298E-3</v>
      </c>
      <c r="M6" s="947">
        <v>1.7591339648173207E-2</v>
      </c>
      <c r="N6" s="919">
        <v>0.11840796019900497</v>
      </c>
      <c r="O6" s="920">
        <v>7.653755280303573E-2</v>
      </c>
    </row>
    <row r="7" spans="1:15" x14ac:dyDescent="0.25">
      <c r="A7" s="853" t="s">
        <v>27</v>
      </c>
      <c r="B7" s="399">
        <v>82</v>
      </c>
      <c r="C7" s="955">
        <v>52</v>
      </c>
      <c r="D7" s="959">
        <v>228</v>
      </c>
      <c r="E7" s="399">
        <v>30</v>
      </c>
      <c r="F7" s="854">
        <v>30</v>
      </c>
      <c r="G7" s="955">
        <v>0</v>
      </c>
      <c r="H7" s="959">
        <v>3147</v>
      </c>
      <c r="I7" s="962">
        <v>752</v>
      </c>
      <c r="J7" s="757">
        <v>4239</v>
      </c>
      <c r="K7" s="951">
        <v>1.2267044114177872E-2</v>
      </c>
      <c r="L7" s="920">
        <v>7.0771408351026181E-3</v>
      </c>
      <c r="M7" s="947">
        <v>1.3531799729364006E-2</v>
      </c>
      <c r="N7" s="919">
        <v>5.1741293532338306E-2</v>
      </c>
      <c r="O7" s="920">
        <v>7.5875277439679242E-2</v>
      </c>
    </row>
    <row r="8" spans="1:15" x14ac:dyDescent="0.25">
      <c r="A8" s="853" t="s">
        <v>45</v>
      </c>
      <c r="B8" s="399">
        <v>69</v>
      </c>
      <c r="C8" s="955">
        <v>25</v>
      </c>
      <c r="D8" s="959">
        <v>168</v>
      </c>
      <c r="E8" s="399">
        <v>53</v>
      </c>
      <c r="F8" s="854">
        <v>45</v>
      </c>
      <c r="G8" s="955">
        <v>0</v>
      </c>
      <c r="H8" s="959">
        <v>2614</v>
      </c>
      <c r="I8" s="962">
        <v>471</v>
      </c>
      <c r="J8" s="757">
        <v>3375</v>
      </c>
      <c r="K8" s="951">
        <v>7.4074074074074077E-3</v>
      </c>
      <c r="L8" s="920">
        <v>1.3333333333333334E-2</v>
      </c>
      <c r="M8" s="947">
        <v>2.0297699594046009E-2</v>
      </c>
      <c r="N8" s="919">
        <v>2.4875621890547265E-2</v>
      </c>
      <c r="O8" s="920">
        <v>6.0410252738598125E-2</v>
      </c>
    </row>
    <row r="9" spans="1:15" x14ac:dyDescent="0.25">
      <c r="A9" s="853" t="s">
        <v>495</v>
      </c>
      <c r="B9" s="399">
        <v>240</v>
      </c>
      <c r="C9" s="955">
        <v>81</v>
      </c>
      <c r="D9" s="959">
        <v>228</v>
      </c>
      <c r="E9" s="399">
        <v>48</v>
      </c>
      <c r="F9" s="854">
        <v>47</v>
      </c>
      <c r="G9" s="955">
        <v>0</v>
      </c>
      <c r="H9" s="959">
        <v>2119</v>
      </c>
      <c r="I9" s="962">
        <v>491</v>
      </c>
      <c r="J9" s="757">
        <v>3126</v>
      </c>
      <c r="K9" s="951">
        <v>2.5911708253358926E-2</v>
      </c>
      <c r="L9" s="920">
        <v>1.5035188739603326E-2</v>
      </c>
      <c r="M9" s="947">
        <v>2.1199819576003608E-2</v>
      </c>
      <c r="N9" s="919">
        <v>8.0597014925373134E-2</v>
      </c>
      <c r="O9" s="920">
        <v>5.5953318536550438E-2</v>
      </c>
    </row>
    <row r="10" spans="1:15" x14ac:dyDescent="0.25">
      <c r="A10" s="853" t="s">
        <v>28</v>
      </c>
      <c r="B10" s="399">
        <v>174</v>
      </c>
      <c r="C10" s="955">
        <v>79</v>
      </c>
      <c r="D10" s="959">
        <v>251</v>
      </c>
      <c r="E10" s="399">
        <v>69</v>
      </c>
      <c r="F10" s="854">
        <v>69</v>
      </c>
      <c r="G10" s="955">
        <v>0</v>
      </c>
      <c r="H10" s="959">
        <v>1872</v>
      </c>
      <c r="I10" s="962">
        <v>714</v>
      </c>
      <c r="J10" s="757">
        <v>3080</v>
      </c>
      <c r="K10" s="951">
        <v>2.5649350649350651E-2</v>
      </c>
      <c r="L10" s="920">
        <v>2.2402597402597403E-2</v>
      </c>
      <c r="M10" s="947">
        <v>3.1123139377537211E-2</v>
      </c>
      <c r="N10" s="919">
        <v>7.8606965174129351E-2</v>
      </c>
      <c r="O10" s="920">
        <v>5.5129949165891028E-2</v>
      </c>
    </row>
    <row r="11" spans="1:15" x14ac:dyDescent="0.25">
      <c r="A11" s="853" t="s">
        <v>31</v>
      </c>
      <c r="B11" s="399">
        <v>104</v>
      </c>
      <c r="C11" s="955">
        <v>27</v>
      </c>
      <c r="D11" s="959">
        <v>105</v>
      </c>
      <c r="E11" s="399">
        <v>289</v>
      </c>
      <c r="F11" s="854">
        <v>286</v>
      </c>
      <c r="G11" s="955">
        <v>3</v>
      </c>
      <c r="H11" s="959">
        <v>2017</v>
      </c>
      <c r="I11" s="962">
        <v>418</v>
      </c>
      <c r="J11" s="757">
        <v>2933</v>
      </c>
      <c r="K11" s="951">
        <v>9.2055915444936923E-3</v>
      </c>
      <c r="L11" s="920">
        <v>9.8533924309580634E-2</v>
      </c>
      <c r="M11" s="947">
        <v>0.13035633739287325</v>
      </c>
      <c r="N11" s="919">
        <v>2.6865671641791045E-2</v>
      </c>
      <c r="O11" s="920">
        <v>5.2498747046609867E-2</v>
      </c>
    </row>
    <row r="12" spans="1:15" x14ac:dyDescent="0.25">
      <c r="A12" s="853" t="s">
        <v>30</v>
      </c>
      <c r="B12" s="399">
        <v>53</v>
      </c>
      <c r="C12" s="955">
        <v>30</v>
      </c>
      <c r="D12" s="959">
        <v>152</v>
      </c>
      <c r="E12" s="399">
        <v>66</v>
      </c>
      <c r="F12" s="854">
        <v>62</v>
      </c>
      <c r="G12" s="955">
        <v>0</v>
      </c>
      <c r="H12" s="959">
        <v>1858</v>
      </c>
      <c r="I12" s="962">
        <v>167</v>
      </c>
      <c r="J12" s="757">
        <v>2296</v>
      </c>
      <c r="K12" s="951">
        <v>1.3066202090592335E-2</v>
      </c>
      <c r="L12" s="920">
        <v>2.7003484320557491E-2</v>
      </c>
      <c r="M12" s="947">
        <v>2.796571944068561E-2</v>
      </c>
      <c r="N12" s="919">
        <v>2.9850746268656716E-2</v>
      </c>
      <c r="O12" s="920">
        <v>4.1096871196391493E-2</v>
      </c>
    </row>
    <row r="13" spans="1:15" x14ac:dyDescent="0.25">
      <c r="A13" s="853" t="s">
        <v>33</v>
      </c>
      <c r="B13" s="399">
        <v>143</v>
      </c>
      <c r="C13" s="955">
        <v>81</v>
      </c>
      <c r="D13" s="959">
        <v>137</v>
      </c>
      <c r="E13" s="399">
        <v>34</v>
      </c>
      <c r="F13" s="854">
        <v>32</v>
      </c>
      <c r="G13" s="955">
        <v>1</v>
      </c>
      <c r="H13" s="959">
        <v>1229</v>
      </c>
      <c r="I13" s="962">
        <v>273</v>
      </c>
      <c r="J13" s="757">
        <v>1816</v>
      </c>
      <c r="K13" s="951">
        <v>4.460352422907489E-2</v>
      </c>
      <c r="L13" s="920">
        <v>1.817180616740088E-2</v>
      </c>
      <c r="M13" s="947">
        <v>1.4884979702300407E-2</v>
      </c>
      <c r="N13" s="919">
        <v>8.0597014925373134E-2</v>
      </c>
      <c r="O13" s="920">
        <v>3.2505190806901986E-2</v>
      </c>
    </row>
    <row r="14" spans="1:15" x14ac:dyDescent="0.25">
      <c r="A14" s="853" t="s">
        <v>32</v>
      </c>
      <c r="B14" s="399">
        <v>144</v>
      </c>
      <c r="C14" s="955">
        <v>62</v>
      </c>
      <c r="D14" s="959">
        <v>167</v>
      </c>
      <c r="E14" s="399">
        <v>38</v>
      </c>
      <c r="F14" s="854">
        <v>34</v>
      </c>
      <c r="G14" s="955">
        <v>0</v>
      </c>
      <c r="H14" s="959">
        <v>934</v>
      </c>
      <c r="I14" s="962">
        <v>409</v>
      </c>
      <c r="J14" s="757">
        <v>1692</v>
      </c>
      <c r="K14" s="951">
        <v>3.664302600472813E-2</v>
      </c>
      <c r="L14" s="920">
        <v>2.0094562647754138E-2</v>
      </c>
      <c r="M14" s="947">
        <v>1.5336039693279206E-2</v>
      </c>
      <c r="N14" s="919">
        <v>6.1691542288557215E-2</v>
      </c>
      <c r="O14" s="920">
        <v>3.0285673372950527E-2</v>
      </c>
    </row>
    <row r="15" spans="1:15" x14ac:dyDescent="0.25">
      <c r="A15" s="853" t="s">
        <v>34</v>
      </c>
      <c r="B15" s="399">
        <v>49</v>
      </c>
      <c r="C15" s="955">
        <v>31</v>
      </c>
      <c r="D15" s="959">
        <v>94</v>
      </c>
      <c r="E15" s="399">
        <v>60</v>
      </c>
      <c r="F15" s="854">
        <v>60</v>
      </c>
      <c r="G15" s="955">
        <v>0</v>
      </c>
      <c r="H15" s="959">
        <v>835</v>
      </c>
      <c r="I15" s="962">
        <v>411</v>
      </c>
      <c r="J15" s="757">
        <v>1449</v>
      </c>
      <c r="K15" s="951">
        <v>2.139406487232574E-2</v>
      </c>
      <c r="L15" s="920">
        <v>4.1407867494824016E-2</v>
      </c>
      <c r="M15" s="947">
        <v>2.7063599458728011E-2</v>
      </c>
      <c r="N15" s="919">
        <v>3.0845771144278607E-2</v>
      </c>
      <c r="O15" s="920">
        <v>2.5936135175771462E-2</v>
      </c>
    </row>
    <row r="16" spans="1:15" x14ac:dyDescent="0.25">
      <c r="A16" s="853" t="s">
        <v>36</v>
      </c>
      <c r="B16" s="399">
        <v>51</v>
      </c>
      <c r="C16" s="955">
        <v>30</v>
      </c>
      <c r="D16" s="959">
        <v>118</v>
      </c>
      <c r="E16" s="399">
        <v>70</v>
      </c>
      <c r="F16" s="854">
        <v>44</v>
      </c>
      <c r="G16" s="955">
        <v>1</v>
      </c>
      <c r="H16" s="959">
        <v>876</v>
      </c>
      <c r="I16" s="962">
        <v>311</v>
      </c>
      <c r="J16" s="757">
        <v>1426</v>
      </c>
      <c r="K16" s="951">
        <v>2.1037868162692847E-2</v>
      </c>
      <c r="L16" s="920">
        <v>3.155680224403927E-2</v>
      </c>
      <c r="M16" s="947">
        <v>2.0297699594046009E-2</v>
      </c>
      <c r="N16" s="919">
        <v>2.9850746268656716E-2</v>
      </c>
      <c r="O16" s="920">
        <v>2.5524450490441757E-2</v>
      </c>
    </row>
    <row r="17" spans="1:15" x14ac:dyDescent="0.25">
      <c r="A17" s="853" t="s">
        <v>348</v>
      </c>
      <c r="B17" s="399">
        <v>38</v>
      </c>
      <c r="C17" s="955">
        <v>15</v>
      </c>
      <c r="D17" s="959">
        <v>52</v>
      </c>
      <c r="E17" s="399">
        <v>34</v>
      </c>
      <c r="F17" s="854">
        <v>25</v>
      </c>
      <c r="G17" s="955">
        <v>0</v>
      </c>
      <c r="H17" s="959">
        <v>751</v>
      </c>
      <c r="I17" s="962">
        <v>64</v>
      </c>
      <c r="J17" s="757">
        <v>939</v>
      </c>
      <c r="K17" s="951">
        <v>1.5974440894568689E-2</v>
      </c>
      <c r="L17" s="920">
        <v>2.6624068157614485E-2</v>
      </c>
      <c r="M17" s="947">
        <v>1.1276499774470004E-2</v>
      </c>
      <c r="N17" s="919">
        <v>1.4925373134328358E-2</v>
      </c>
      <c r="O17" s="920">
        <v>1.6807474761938855E-2</v>
      </c>
    </row>
    <row r="18" spans="1:15" x14ac:dyDescent="0.25">
      <c r="A18" s="853" t="s">
        <v>102</v>
      </c>
      <c r="B18" s="399">
        <v>22</v>
      </c>
      <c r="C18" s="955">
        <v>4</v>
      </c>
      <c r="D18" s="959">
        <v>73</v>
      </c>
      <c r="E18" s="399">
        <v>70</v>
      </c>
      <c r="F18" s="854">
        <v>67</v>
      </c>
      <c r="G18" s="955">
        <v>0</v>
      </c>
      <c r="H18" s="959">
        <v>598</v>
      </c>
      <c r="I18" s="962">
        <v>72</v>
      </c>
      <c r="J18" s="757">
        <v>835</v>
      </c>
      <c r="K18" s="951">
        <v>4.7904191616766467E-3</v>
      </c>
      <c r="L18" s="920">
        <v>8.0239520958083829E-2</v>
      </c>
      <c r="M18" s="947">
        <v>3.0221019395579612E-2</v>
      </c>
      <c r="N18" s="919">
        <v>3.9800995024875619E-3</v>
      </c>
      <c r="O18" s="920">
        <v>1.4945944010882796E-2</v>
      </c>
    </row>
    <row r="19" spans="1:15" x14ac:dyDescent="0.25">
      <c r="A19" s="853" t="s">
        <v>39</v>
      </c>
      <c r="B19" s="399">
        <v>31</v>
      </c>
      <c r="C19" s="955">
        <v>27</v>
      </c>
      <c r="D19" s="959">
        <v>44</v>
      </c>
      <c r="E19" s="399">
        <v>12</v>
      </c>
      <c r="F19" s="854">
        <v>12</v>
      </c>
      <c r="G19" s="955">
        <v>0</v>
      </c>
      <c r="H19" s="959">
        <v>334</v>
      </c>
      <c r="I19" s="962">
        <v>129</v>
      </c>
      <c r="J19" s="757">
        <v>550</v>
      </c>
      <c r="K19" s="951">
        <v>4.9090909090909088E-2</v>
      </c>
      <c r="L19" s="920">
        <v>2.181818181818182E-2</v>
      </c>
      <c r="M19" s="947">
        <v>5.4127198917456026E-3</v>
      </c>
      <c r="N19" s="919">
        <v>2.6865671641791045E-2</v>
      </c>
      <c r="O19" s="920">
        <v>9.8446337796233973E-3</v>
      </c>
    </row>
    <row r="20" spans="1:15" x14ac:dyDescent="0.25">
      <c r="A20" s="855" t="s">
        <v>100</v>
      </c>
      <c r="B20" s="399">
        <v>26</v>
      </c>
      <c r="C20" s="955">
        <v>12</v>
      </c>
      <c r="D20" s="959">
        <v>29</v>
      </c>
      <c r="E20" s="399">
        <v>2</v>
      </c>
      <c r="F20" s="854">
        <v>2</v>
      </c>
      <c r="G20" s="955">
        <v>0</v>
      </c>
      <c r="H20" s="959">
        <v>299</v>
      </c>
      <c r="I20" s="962">
        <v>65</v>
      </c>
      <c r="J20" s="757">
        <v>421</v>
      </c>
      <c r="K20" s="951">
        <v>2.8503562945368172E-2</v>
      </c>
      <c r="L20" s="920">
        <v>4.7505938242280287E-3</v>
      </c>
      <c r="M20" s="947">
        <v>9.0211998195760036E-4</v>
      </c>
      <c r="N20" s="919">
        <v>1.1940298507462687E-2</v>
      </c>
      <c r="O20" s="920">
        <v>7.5356196749480917E-3</v>
      </c>
    </row>
    <row r="21" spans="1:15" x14ac:dyDescent="0.25">
      <c r="A21" s="855" t="s">
        <v>605</v>
      </c>
      <c r="B21" s="399">
        <v>21</v>
      </c>
      <c r="C21" s="955">
        <v>4</v>
      </c>
      <c r="D21" s="959">
        <v>23</v>
      </c>
      <c r="E21" s="399">
        <v>1</v>
      </c>
      <c r="F21" s="854">
        <v>1</v>
      </c>
      <c r="G21" s="955">
        <v>0</v>
      </c>
      <c r="H21" s="959">
        <v>272</v>
      </c>
      <c r="I21" s="962">
        <v>66</v>
      </c>
      <c r="J21" s="757">
        <v>383</v>
      </c>
      <c r="K21" s="951">
        <v>1.0443864229765013E-2</v>
      </c>
      <c r="L21" s="920">
        <v>2.6109660574412533E-3</v>
      </c>
      <c r="M21" s="947">
        <v>4.5105999097880018E-4</v>
      </c>
      <c r="N21" s="919">
        <v>3.9800995024875619E-3</v>
      </c>
      <c r="O21" s="920">
        <v>6.8554449774468392E-3</v>
      </c>
    </row>
    <row r="22" spans="1:15" x14ac:dyDescent="0.25">
      <c r="A22" s="855" t="s">
        <v>35</v>
      </c>
      <c r="B22" s="399">
        <v>13</v>
      </c>
      <c r="C22" s="955">
        <v>6</v>
      </c>
      <c r="D22" s="959">
        <v>9</v>
      </c>
      <c r="E22" s="399">
        <v>0</v>
      </c>
      <c r="F22" s="854">
        <v>0</v>
      </c>
      <c r="G22" s="955">
        <v>0</v>
      </c>
      <c r="H22" s="959">
        <v>211</v>
      </c>
      <c r="I22" s="962">
        <v>58</v>
      </c>
      <c r="J22" s="757">
        <v>291</v>
      </c>
      <c r="K22" s="951">
        <v>2.0618556701030927E-2</v>
      </c>
      <c r="L22" s="920">
        <v>0</v>
      </c>
      <c r="M22" s="947">
        <v>0</v>
      </c>
      <c r="N22" s="919">
        <v>5.9701492537313433E-3</v>
      </c>
      <c r="O22" s="920">
        <v>5.208706236128016E-3</v>
      </c>
    </row>
    <row r="23" spans="1:15" x14ac:dyDescent="0.25">
      <c r="A23" s="855" t="s">
        <v>651</v>
      </c>
      <c r="B23" s="399">
        <v>5</v>
      </c>
      <c r="C23" s="955">
        <v>5</v>
      </c>
      <c r="D23" s="959">
        <v>18</v>
      </c>
      <c r="E23" s="399">
        <v>2</v>
      </c>
      <c r="F23" s="854">
        <v>1</v>
      </c>
      <c r="G23" s="955">
        <v>0</v>
      </c>
      <c r="H23" s="959">
        <v>167</v>
      </c>
      <c r="I23" s="962">
        <v>27</v>
      </c>
      <c r="J23" s="757">
        <v>219</v>
      </c>
      <c r="K23" s="951">
        <v>2.2831050228310501E-2</v>
      </c>
      <c r="L23" s="920">
        <v>4.5662100456621002E-3</v>
      </c>
      <c r="M23" s="947">
        <v>4.5105999097880018E-4</v>
      </c>
      <c r="N23" s="919">
        <v>4.9751243781094526E-3</v>
      </c>
      <c r="O23" s="920">
        <v>3.9199541777045896E-3</v>
      </c>
    </row>
    <row r="24" spans="1:15" x14ac:dyDescent="0.25">
      <c r="A24" s="855" t="s">
        <v>41</v>
      </c>
      <c r="B24" s="399">
        <v>2</v>
      </c>
      <c r="C24" s="955">
        <v>2</v>
      </c>
      <c r="D24" s="959">
        <v>12</v>
      </c>
      <c r="E24" s="399">
        <v>0</v>
      </c>
      <c r="F24" s="854">
        <v>0</v>
      </c>
      <c r="G24" s="955">
        <v>0</v>
      </c>
      <c r="H24" s="959">
        <v>79</v>
      </c>
      <c r="I24" s="962">
        <v>92</v>
      </c>
      <c r="J24" s="757">
        <v>185</v>
      </c>
      <c r="K24" s="951">
        <v>1.0810810810810811E-2</v>
      </c>
      <c r="L24" s="920">
        <v>0</v>
      </c>
      <c r="M24" s="947">
        <v>0</v>
      </c>
      <c r="N24" s="919">
        <v>1.990049751243781E-3</v>
      </c>
      <c r="O24" s="920">
        <v>3.3113768167824156E-3</v>
      </c>
    </row>
    <row r="25" spans="1:15" x14ac:dyDescent="0.25">
      <c r="A25" s="855" t="s">
        <v>40</v>
      </c>
      <c r="B25" s="399">
        <v>14</v>
      </c>
      <c r="C25" s="955">
        <v>8</v>
      </c>
      <c r="D25" s="959">
        <v>6</v>
      </c>
      <c r="E25" s="399">
        <v>0</v>
      </c>
      <c r="F25" s="854">
        <v>0</v>
      </c>
      <c r="G25" s="955">
        <v>0</v>
      </c>
      <c r="H25" s="959">
        <v>72</v>
      </c>
      <c r="I25" s="962">
        <v>80</v>
      </c>
      <c r="J25" s="757">
        <v>172</v>
      </c>
      <c r="K25" s="951">
        <v>4.6511627906976744E-2</v>
      </c>
      <c r="L25" s="920">
        <v>0</v>
      </c>
      <c r="M25" s="947">
        <v>0</v>
      </c>
      <c r="N25" s="919">
        <v>7.9601990049751239E-3</v>
      </c>
      <c r="O25" s="920">
        <v>3.0786854729004079E-3</v>
      </c>
    </row>
    <row r="26" spans="1:15" x14ac:dyDescent="0.25">
      <c r="A26" s="853" t="s">
        <v>160</v>
      </c>
      <c r="B26" s="399">
        <v>3</v>
      </c>
      <c r="C26" s="955">
        <v>2</v>
      </c>
      <c r="D26" s="959">
        <v>17</v>
      </c>
      <c r="E26" s="399">
        <v>0</v>
      </c>
      <c r="F26" s="854">
        <v>0</v>
      </c>
      <c r="G26" s="955">
        <v>0</v>
      </c>
      <c r="H26" s="959">
        <v>94</v>
      </c>
      <c r="I26" s="962">
        <v>41</v>
      </c>
      <c r="J26" s="757">
        <v>155</v>
      </c>
      <c r="K26" s="951">
        <v>1.2903225806451613E-2</v>
      </c>
      <c r="L26" s="920">
        <v>0</v>
      </c>
      <c r="M26" s="947">
        <v>0</v>
      </c>
      <c r="N26" s="919">
        <v>1.990049751243781E-3</v>
      </c>
      <c r="O26" s="920">
        <v>2.7743967924393213E-3</v>
      </c>
    </row>
    <row r="27" spans="1:15" x14ac:dyDescent="0.25">
      <c r="A27" s="855" t="s">
        <v>359</v>
      </c>
      <c r="B27" s="399">
        <v>7</v>
      </c>
      <c r="C27" s="955">
        <v>4</v>
      </c>
      <c r="D27" s="959">
        <v>14</v>
      </c>
      <c r="E27" s="399">
        <v>0</v>
      </c>
      <c r="F27" s="854">
        <v>0</v>
      </c>
      <c r="G27" s="955">
        <v>0</v>
      </c>
      <c r="H27" s="959">
        <v>119</v>
      </c>
      <c r="I27" s="962">
        <v>8</v>
      </c>
      <c r="J27" s="757">
        <v>148</v>
      </c>
      <c r="K27" s="951">
        <v>2.7027027027027029E-2</v>
      </c>
      <c r="L27" s="920">
        <v>0</v>
      </c>
      <c r="M27" s="947">
        <v>0</v>
      </c>
      <c r="N27" s="919">
        <v>3.9800995024875619E-3</v>
      </c>
      <c r="O27" s="920">
        <v>2.6491014534259327E-3</v>
      </c>
    </row>
    <row r="28" spans="1:15" x14ac:dyDescent="0.25">
      <c r="A28" s="855" t="s">
        <v>37</v>
      </c>
      <c r="B28" s="399">
        <v>12</v>
      </c>
      <c r="C28" s="955">
        <v>3</v>
      </c>
      <c r="D28" s="959">
        <v>2</v>
      </c>
      <c r="E28" s="399">
        <v>0</v>
      </c>
      <c r="F28" s="854">
        <v>0</v>
      </c>
      <c r="G28" s="955">
        <v>0</v>
      </c>
      <c r="H28" s="959">
        <v>118</v>
      </c>
      <c r="I28" s="962">
        <v>3</v>
      </c>
      <c r="J28" s="757">
        <v>135</v>
      </c>
      <c r="K28" s="951">
        <v>2.2222222222222223E-2</v>
      </c>
      <c r="L28" s="920">
        <v>0</v>
      </c>
      <c r="M28" s="947">
        <v>0</v>
      </c>
      <c r="N28" s="919">
        <v>2.9850746268656717E-3</v>
      </c>
      <c r="O28" s="920">
        <v>2.4164101095439251E-3</v>
      </c>
    </row>
    <row r="29" spans="1:15" x14ac:dyDescent="0.25">
      <c r="A29" s="853" t="s">
        <v>46</v>
      </c>
      <c r="B29" s="399">
        <v>2</v>
      </c>
      <c r="C29" s="955">
        <v>2</v>
      </c>
      <c r="D29" s="959">
        <v>31</v>
      </c>
      <c r="E29" s="399">
        <v>0</v>
      </c>
      <c r="F29" s="854">
        <v>0</v>
      </c>
      <c r="G29" s="955">
        <v>0</v>
      </c>
      <c r="H29" s="959">
        <v>79</v>
      </c>
      <c r="I29" s="962">
        <v>4</v>
      </c>
      <c r="J29" s="757">
        <v>116</v>
      </c>
      <c r="K29" s="951">
        <v>1.7241379310344827E-2</v>
      </c>
      <c r="L29" s="920">
        <v>0</v>
      </c>
      <c r="M29" s="947">
        <v>0</v>
      </c>
      <c r="N29" s="919">
        <v>1.990049751243781E-3</v>
      </c>
      <c r="O29" s="920">
        <v>2.0763227607932984E-3</v>
      </c>
    </row>
    <row r="30" spans="1:15" x14ac:dyDescent="0.25">
      <c r="A30" s="853" t="s">
        <v>38</v>
      </c>
      <c r="B30" s="399">
        <v>27</v>
      </c>
      <c r="C30" s="955">
        <v>3</v>
      </c>
      <c r="D30" s="959">
        <v>4</v>
      </c>
      <c r="E30" s="399">
        <v>1</v>
      </c>
      <c r="F30" s="854">
        <v>1</v>
      </c>
      <c r="G30" s="955">
        <v>0</v>
      </c>
      <c r="H30" s="959">
        <v>70</v>
      </c>
      <c r="I30" s="962">
        <v>5</v>
      </c>
      <c r="J30" s="757">
        <v>107</v>
      </c>
      <c r="K30" s="951">
        <v>2.8037383177570093E-2</v>
      </c>
      <c r="L30" s="920">
        <v>9.3457943925233638E-3</v>
      </c>
      <c r="M30" s="947">
        <v>4.5105999097880018E-4</v>
      </c>
      <c r="N30" s="919">
        <v>2.9850746268656717E-3</v>
      </c>
      <c r="O30" s="920">
        <v>1.9152287534903701E-3</v>
      </c>
    </row>
    <row r="31" spans="1:15" x14ac:dyDescent="0.25">
      <c r="A31" s="855" t="s">
        <v>383</v>
      </c>
      <c r="B31" s="399">
        <v>6</v>
      </c>
      <c r="C31" s="955">
        <v>1</v>
      </c>
      <c r="D31" s="959">
        <v>3</v>
      </c>
      <c r="E31" s="399">
        <v>0</v>
      </c>
      <c r="F31" s="854">
        <v>0</v>
      </c>
      <c r="G31" s="955">
        <v>0</v>
      </c>
      <c r="H31" s="959">
        <v>65</v>
      </c>
      <c r="I31" s="962">
        <v>3</v>
      </c>
      <c r="J31" s="757">
        <v>77</v>
      </c>
      <c r="K31" s="951">
        <v>1.2987012987012988E-2</v>
      </c>
      <c r="L31" s="920">
        <v>0</v>
      </c>
      <c r="M31" s="947">
        <v>0</v>
      </c>
      <c r="N31" s="919">
        <v>9.9502487562189048E-4</v>
      </c>
      <c r="O31" s="920">
        <v>1.3782487291472756E-3</v>
      </c>
    </row>
    <row r="32" spans="1:15" x14ac:dyDescent="0.25">
      <c r="A32" s="855" t="s">
        <v>47</v>
      </c>
      <c r="B32" s="399">
        <v>3</v>
      </c>
      <c r="C32" s="955">
        <v>0</v>
      </c>
      <c r="D32" s="959">
        <v>1</v>
      </c>
      <c r="E32" s="399">
        <v>1</v>
      </c>
      <c r="F32" s="854">
        <v>1</v>
      </c>
      <c r="G32" s="955">
        <v>0</v>
      </c>
      <c r="H32" s="959">
        <v>52</v>
      </c>
      <c r="I32" s="962">
        <v>7</v>
      </c>
      <c r="J32" s="757">
        <v>64</v>
      </c>
      <c r="K32" s="951">
        <v>0</v>
      </c>
      <c r="L32" s="920">
        <v>1.5625E-2</v>
      </c>
      <c r="M32" s="947">
        <v>4.5105999097880018E-4</v>
      </c>
      <c r="N32" s="919">
        <v>0</v>
      </c>
      <c r="O32" s="920">
        <v>1.1455573852652682E-3</v>
      </c>
    </row>
    <row r="33" spans="1:15" ht="15.75" thickBot="1" x14ac:dyDescent="0.3">
      <c r="A33" s="855" t="s">
        <v>650</v>
      </c>
      <c r="B33" s="399">
        <v>0</v>
      </c>
      <c r="C33" s="955">
        <v>0</v>
      </c>
      <c r="D33" s="959">
        <v>0</v>
      </c>
      <c r="E33" s="399">
        <v>0</v>
      </c>
      <c r="F33" s="854">
        <v>0</v>
      </c>
      <c r="G33" s="955">
        <v>0</v>
      </c>
      <c r="H33" s="959">
        <v>9</v>
      </c>
      <c r="I33" s="962">
        <v>3</v>
      </c>
      <c r="J33" s="757">
        <v>12</v>
      </c>
      <c r="K33" s="951">
        <v>0</v>
      </c>
      <c r="L33" s="920">
        <v>0</v>
      </c>
      <c r="M33" s="947">
        <v>0</v>
      </c>
      <c r="N33" s="919">
        <v>0</v>
      </c>
      <c r="O33" s="920">
        <v>2.1479200973723776E-4</v>
      </c>
    </row>
    <row r="34" spans="1:15" ht="15.75" thickBot="1" x14ac:dyDescent="0.3">
      <c r="A34" s="856" t="s">
        <v>17</v>
      </c>
      <c r="B34" s="956">
        <v>2132</v>
      </c>
      <c r="C34" s="957">
        <v>1005</v>
      </c>
      <c r="D34" s="856">
        <v>3133</v>
      </c>
      <c r="E34" s="956">
        <v>2370</v>
      </c>
      <c r="F34" s="857">
        <v>2202</v>
      </c>
      <c r="G34" s="957">
        <v>15</v>
      </c>
      <c r="H34" s="856">
        <v>38674</v>
      </c>
      <c r="I34" s="963">
        <v>9559</v>
      </c>
      <c r="J34" s="856">
        <v>55868</v>
      </c>
      <c r="K34" s="952">
        <v>1.7988830815493663E-2</v>
      </c>
      <c r="L34" s="922">
        <v>8.1835755709887589E-2</v>
      </c>
      <c r="M34" s="948">
        <v>1</v>
      </c>
      <c r="N34" s="921">
        <v>1</v>
      </c>
      <c r="O34" s="922">
        <v>1</v>
      </c>
    </row>
    <row r="35" spans="1:15" x14ac:dyDescent="0.25">
      <c r="A35" s="1189" t="s">
        <v>639</v>
      </c>
      <c r="O35" s="846" t="s">
        <v>599</v>
      </c>
    </row>
    <row r="36" spans="1:15" x14ac:dyDescent="0.25">
      <c r="A36" s="1190" t="s">
        <v>649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26"/>
  <sheetViews>
    <sheetView tabSelected="1" zoomScaleNormal="100" workbookViewId="0">
      <selection activeCell="A35" sqref="A35"/>
    </sheetView>
  </sheetViews>
  <sheetFormatPr defaultRowHeight="15" x14ac:dyDescent="0.25"/>
  <cols>
    <col min="1" max="1" width="17.42578125" customWidth="1"/>
    <col min="2" max="2" width="8.5703125" customWidth="1"/>
    <col min="3" max="3" width="1.42578125" customWidth="1"/>
    <col min="4" max="4" width="15.85546875" customWidth="1"/>
    <col min="5" max="5" width="10.7109375" customWidth="1"/>
    <col min="6" max="6" width="1.7109375" customWidth="1"/>
    <col min="7" max="7" width="17.42578125" customWidth="1"/>
    <col min="8" max="8" width="9.140625" customWidth="1"/>
    <col min="9" max="9" width="2" customWidth="1"/>
    <col min="10" max="10" width="15.28515625" customWidth="1"/>
    <col min="11" max="11" width="8.7109375" customWidth="1"/>
    <col min="12" max="12" width="1.7109375" customWidth="1"/>
    <col min="13" max="13" width="15.85546875" customWidth="1"/>
    <col min="14" max="14" width="10.28515625" customWidth="1"/>
    <col min="16" max="16" width="15.28515625" customWidth="1"/>
  </cols>
  <sheetData>
    <row r="1" spans="1:14" ht="45.75" customHeight="1" thickBot="1" x14ac:dyDescent="0.3">
      <c r="A1" s="1122" t="s">
        <v>592</v>
      </c>
      <c r="B1" s="1122"/>
      <c r="C1" s="1122"/>
      <c r="D1" s="1122"/>
      <c r="E1" s="1122"/>
      <c r="F1" s="1122"/>
      <c r="G1" s="1122"/>
      <c r="H1" s="1122"/>
      <c r="I1" s="1122"/>
      <c r="J1" s="1122"/>
      <c r="K1" s="1122"/>
      <c r="L1" s="1122"/>
      <c r="M1" s="1122"/>
      <c r="N1" s="1122"/>
    </row>
    <row r="2" spans="1:14" ht="88.5" customHeight="1" x14ac:dyDescent="0.25">
      <c r="A2" s="1123" t="s">
        <v>593</v>
      </c>
      <c r="B2" s="1124"/>
      <c r="C2" s="841"/>
      <c r="D2" s="1123" t="s">
        <v>594</v>
      </c>
      <c r="E2" s="1124"/>
      <c r="F2" s="841"/>
      <c r="G2" s="1123" t="s">
        <v>595</v>
      </c>
      <c r="H2" s="1124"/>
      <c r="I2" s="841"/>
      <c r="J2" s="1123" t="s">
        <v>596</v>
      </c>
      <c r="K2" s="1124"/>
      <c r="L2" s="841"/>
      <c r="M2" s="1123" t="s">
        <v>597</v>
      </c>
      <c r="N2" s="1124"/>
    </row>
    <row r="3" spans="1:14" x14ac:dyDescent="0.25">
      <c r="A3" s="923" t="s">
        <v>29</v>
      </c>
      <c r="B3" s="924">
        <v>7.7703071052153376</v>
      </c>
      <c r="C3" s="842"/>
      <c r="D3" s="923" t="s">
        <v>39</v>
      </c>
      <c r="E3" s="924">
        <v>0.27921406411582211</v>
      </c>
      <c r="F3" s="842"/>
      <c r="G3" s="923" t="s">
        <v>31</v>
      </c>
      <c r="H3" s="924">
        <v>0.39621606800109677</v>
      </c>
      <c r="I3" s="842"/>
      <c r="J3" s="923" t="s">
        <v>39</v>
      </c>
      <c r="K3" s="924">
        <v>0.88524590163934425</v>
      </c>
      <c r="L3" s="842"/>
      <c r="M3" s="923" t="s">
        <v>31</v>
      </c>
      <c r="N3" s="924">
        <v>1.2371575342465753</v>
      </c>
    </row>
    <row r="4" spans="1:14" x14ac:dyDescent="0.25">
      <c r="A4" s="923" t="s">
        <v>27</v>
      </c>
      <c r="B4" s="924">
        <v>6.4266221952698599</v>
      </c>
      <c r="C4" s="842"/>
      <c r="D4" s="923" t="s">
        <v>29</v>
      </c>
      <c r="E4" s="924">
        <v>0.21624568417226969</v>
      </c>
      <c r="F4" s="842"/>
      <c r="G4" s="923" t="s">
        <v>23</v>
      </c>
      <c r="H4" s="924">
        <v>0.35404503753127609</v>
      </c>
      <c r="I4" s="842"/>
      <c r="J4" s="923" t="s">
        <v>29</v>
      </c>
      <c r="K4" s="924">
        <v>0.66629339305711088</v>
      </c>
      <c r="L4" s="842"/>
      <c r="M4" s="923" t="s">
        <v>102</v>
      </c>
      <c r="N4" s="924">
        <v>1.1985688729874775</v>
      </c>
    </row>
    <row r="5" spans="1:14" x14ac:dyDescent="0.25">
      <c r="A5" s="923" t="s">
        <v>39</v>
      </c>
      <c r="B5" s="924">
        <v>5.6876938986556356</v>
      </c>
      <c r="C5" s="842"/>
      <c r="D5" s="923" t="s">
        <v>33</v>
      </c>
      <c r="E5" s="924">
        <v>0.21082769390942219</v>
      </c>
      <c r="F5" s="842"/>
      <c r="G5" s="923" t="s">
        <v>102</v>
      </c>
      <c r="H5" s="924">
        <v>0.3007181328545781</v>
      </c>
      <c r="I5" s="842"/>
      <c r="J5" s="923" t="s">
        <v>33</v>
      </c>
      <c r="K5" s="924">
        <v>0.55900621118012428</v>
      </c>
      <c r="L5" s="842"/>
      <c r="M5" s="923" t="s">
        <v>23</v>
      </c>
      <c r="N5" s="924">
        <v>1.1552592189413526</v>
      </c>
    </row>
    <row r="6" spans="1:14" x14ac:dyDescent="0.25">
      <c r="A6" s="923" t="s">
        <v>28</v>
      </c>
      <c r="B6" s="924">
        <v>5.5098389982110909</v>
      </c>
      <c r="C6" s="842"/>
      <c r="D6" s="923" t="s">
        <v>32</v>
      </c>
      <c r="E6" s="924">
        <v>0.19254658385093168</v>
      </c>
      <c r="F6" s="842"/>
      <c r="G6" s="923" t="s">
        <v>24</v>
      </c>
      <c r="H6" s="924">
        <v>0.23323813409492722</v>
      </c>
      <c r="I6" s="842"/>
      <c r="J6" s="923" t="s">
        <v>32</v>
      </c>
      <c r="K6" s="924">
        <v>0.52364864864864857</v>
      </c>
      <c r="L6" s="842"/>
      <c r="M6" s="923" t="s">
        <v>24</v>
      </c>
      <c r="N6" s="924">
        <v>0.70532593049557879</v>
      </c>
    </row>
    <row r="7" spans="1:14" x14ac:dyDescent="0.25">
      <c r="A7" s="923" t="s">
        <v>25</v>
      </c>
      <c r="B7" s="924">
        <v>5.4018499486125382</v>
      </c>
      <c r="C7" s="842"/>
      <c r="D7" s="923" t="s">
        <v>25</v>
      </c>
      <c r="E7" s="924">
        <v>0.14696813977389517</v>
      </c>
      <c r="F7" s="842"/>
      <c r="G7" s="923" t="s">
        <v>34</v>
      </c>
      <c r="H7" s="924">
        <v>0.1892744479495268</v>
      </c>
      <c r="I7" s="842"/>
      <c r="J7" s="923" t="s">
        <v>25</v>
      </c>
      <c r="K7" s="924">
        <v>0.44190358467243507</v>
      </c>
      <c r="L7" s="842"/>
      <c r="M7" s="923" t="s">
        <v>34</v>
      </c>
      <c r="N7" s="924">
        <v>0.59055118110236227</v>
      </c>
    </row>
    <row r="8" spans="1:14" x14ac:dyDescent="0.25">
      <c r="A8" s="923" t="s">
        <v>32</v>
      </c>
      <c r="B8" s="924">
        <v>5.2546583850931681</v>
      </c>
      <c r="C8" s="842"/>
      <c r="D8" s="923" t="s">
        <v>28</v>
      </c>
      <c r="E8" s="924">
        <v>0.14132379248658319</v>
      </c>
      <c r="F8" s="842"/>
      <c r="G8" s="923" t="s">
        <v>25</v>
      </c>
      <c r="H8" s="924">
        <v>0.16649537512846865</v>
      </c>
      <c r="I8" s="842"/>
      <c r="J8" s="923" t="s">
        <v>28</v>
      </c>
      <c r="K8" s="924">
        <v>0.40512820512820513</v>
      </c>
      <c r="L8" s="842"/>
      <c r="M8" s="923" t="s">
        <v>25</v>
      </c>
      <c r="N8" s="924">
        <v>0.50061804697156975</v>
      </c>
    </row>
    <row r="9" spans="1:14" x14ac:dyDescent="0.25">
      <c r="A9" s="923" t="s">
        <v>348</v>
      </c>
      <c r="B9" s="924">
        <v>5.1171662125340598</v>
      </c>
      <c r="C9" s="842"/>
      <c r="D9" s="923" t="s">
        <v>495</v>
      </c>
      <c r="E9" s="924">
        <v>0.1298284981567559</v>
      </c>
      <c r="F9" s="842"/>
      <c r="G9" s="923" t="s">
        <v>36</v>
      </c>
      <c r="H9" s="924">
        <v>0.14009962640099627</v>
      </c>
      <c r="I9" s="842"/>
      <c r="J9" s="923" t="s">
        <v>495</v>
      </c>
      <c r="K9" s="924">
        <v>0.3986220472440945</v>
      </c>
      <c r="L9" s="842"/>
      <c r="M9" s="923" t="s">
        <v>348</v>
      </c>
      <c r="N9" s="924">
        <v>0.45126353790613721</v>
      </c>
    </row>
    <row r="10" spans="1:14" x14ac:dyDescent="0.25">
      <c r="A10" s="923" t="s">
        <v>495</v>
      </c>
      <c r="B10" s="924">
        <v>5.0104183362718384</v>
      </c>
      <c r="C10" s="842"/>
      <c r="D10" s="923" t="s">
        <v>34</v>
      </c>
      <c r="E10" s="924">
        <v>9.7791798107255523E-2</v>
      </c>
      <c r="F10" s="842"/>
      <c r="G10" s="923" t="s">
        <v>348</v>
      </c>
      <c r="H10" s="924">
        <v>0.13623978201634879</v>
      </c>
      <c r="I10" s="842"/>
      <c r="J10" s="923" t="s">
        <v>34</v>
      </c>
      <c r="K10" s="924">
        <v>0.30511811023622049</v>
      </c>
      <c r="L10" s="842"/>
      <c r="M10" s="923" t="s">
        <v>36</v>
      </c>
      <c r="N10" s="924">
        <v>0.45090180360721444</v>
      </c>
    </row>
    <row r="11" spans="1:14" x14ac:dyDescent="0.25">
      <c r="A11" s="923" t="s">
        <v>33</v>
      </c>
      <c r="B11" s="924">
        <v>4.7267048412285266</v>
      </c>
      <c r="C11" s="842"/>
      <c r="D11" s="923" t="s">
        <v>36</v>
      </c>
      <c r="E11" s="924">
        <v>9.3399750933997508E-2</v>
      </c>
      <c r="F11" s="842"/>
      <c r="G11" s="923" t="s">
        <v>39</v>
      </c>
      <c r="H11" s="924">
        <v>0.12409513960703206</v>
      </c>
      <c r="I11" s="842"/>
      <c r="J11" s="923" t="s">
        <v>36</v>
      </c>
      <c r="K11" s="924">
        <v>0.30060120240480964</v>
      </c>
      <c r="L11" s="842"/>
      <c r="M11" s="923" t="s">
        <v>39</v>
      </c>
      <c r="N11" s="924">
        <v>0.39344262295081966</v>
      </c>
    </row>
    <row r="12" spans="1:14" x14ac:dyDescent="0.25">
      <c r="A12" s="923" t="s">
        <v>34</v>
      </c>
      <c r="B12" s="924">
        <v>4.5709779179810726</v>
      </c>
      <c r="C12" s="842"/>
      <c r="D12" s="923" t="s">
        <v>348</v>
      </c>
      <c r="E12" s="924">
        <v>8.1743869209809264E-2</v>
      </c>
      <c r="F12" s="842"/>
      <c r="G12" s="923" t="s">
        <v>28</v>
      </c>
      <c r="H12" s="924">
        <v>0.12343470483005367</v>
      </c>
      <c r="I12" s="842"/>
      <c r="J12" s="923" t="s">
        <v>27</v>
      </c>
      <c r="K12" s="924">
        <v>0.29445073612684031</v>
      </c>
      <c r="L12" s="842"/>
      <c r="M12" s="923" t="s">
        <v>30</v>
      </c>
      <c r="N12" s="924">
        <v>0.36109493302271406</v>
      </c>
    </row>
    <row r="13" spans="1:14" x14ac:dyDescent="0.25">
      <c r="A13" s="923" t="s">
        <v>30</v>
      </c>
      <c r="B13" s="924">
        <v>4.4660571873176425</v>
      </c>
      <c r="C13" s="842"/>
      <c r="D13" s="923" t="s">
        <v>27</v>
      </c>
      <c r="E13" s="924">
        <v>7.8835657974530016E-2</v>
      </c>
      <c r="F13" s="842"/>
      <c r="G13" s="923" t="s">
        <v>30</v>
      </c>
      <c r="H13" s="924">
        <v>0.12059910523244505</v>
      </c>
      <c r="I13" s="842"/>
      <c r="J13" s="923" t="s">
        <v>348</v>
      </c>
      <c r="K13" s="924">
        <v>0.27075812274368233</v>
      </c>
      <c r="L13" s="842"/>
      <c r="M13" s="923" t="s">
        <v>28</v>
      </c>
      <c r="N13" s="924">
        <v>0.35384615384615387</v>
      </c>
    </row>
    <row r="14" spans="1:14" x14ac:dyDescent="0.25">
      <c r="A14" s="923" t="s">
        <v>36</v>
      </c>
      <c r="B14" s="924">
        <v>4.4396014943960154</v>
      </c>
      <c r="C14" s="842"/>
      <c r="D14" s="923" t="s">
        <v>30</v>
      </c>
      <c r="E14" s="924">
        <v>5.8354405757634696E-2</v>
      </c>
      <c r="F14" s="842"/>
      <c r="G14" s="923" t="s">
        <v>32</v>
      </c>
      <c r="H14" s="924">
        <v>0.10559006211180125</v>
      </c>
      <c r="I14" s="842"/>
      <c r="J14" s="923" t="s">
        <v>30</v>
      </c>
      <c r="K14" s="924">
        <v>0.17472335468841002</v>
      </c>
      <c r="L14" s="842"/>
      <c r="M14" s="923" t="s">
        <v>32</v>
      </c>
      <c r="N14" s="924">
        <v>0.28716216216216217</v>
      </c>
    </row>
    <row r="15" spans="1:14" x14ac:dyDescent="0.25">
      <c r="A15" s="923" t="s">
        <v>23</v>
      </c>
      <c r="B15" s="924">
        <v>4.3577981651376145</v>
      </c>
      <c r="C15" s="842"/>
      <c r="D15" s="923" t="s">
        <v>40</v>
      </c>
      <c r="E15" s="924">
        <v>4.0302267002518891E-2</v>
      </c>
      <c r="F15" s="842"/>
      <c r="G15" s="923" t="s">
        <v>33</v>
      </c>
      <c r="H15" s="924">
        <v>8.5892764185320145E-2</v>
      </c>
      <c r="I15" s="842"/>
      <c r="J15" s="923" t="s">
        <v>23</v>
      </c>
      <c r="K15" s="924">
        <v>0.12518710028575317</v>
      </c>
      <c r="L15" s="842"/>
      <c r="M15" s="923" t="s">
        <v>495</v>
      </c>
      <c r="N15" s="924">
        <v>0.2312992125984252</v>
      </c>
    </row>
    <row r="16" spans="1:14" x14ac:dyDescent="0.25">
      <c r="A16" s="923" t="s">
        <v>45</v>
      </c>
      <c r="B16" s="924">
        <v>4.2035122680283967</v>
      </c>
      <c r="C16" s="842"/>
      <c r="D16" s="923" t="s">
        <v>23</v>
      </c>
      <c r="E16" s="924">
        <v>3.8365304420350292E-2</v>
      </c>
      <c r="F16" s="842"/>
      <c r="G16" s="923" t="s">
        <v>495</v>
      </c>
      <c r="H16" s="924">
        <v>7.5332585350216377E-2</v>
      </c>
      <c r="I16" s="842"/>
      <c r="J16" s="923" t="s">
        <v>31</v>
      </c>
      <c r="K16" s="924">
        <v>0.11558219178082192</v>
      </c>
      <c r="L16" s="842"/>
      <c r="M16" s="923" t="s">
        <v>33</v>
      </c>
      <c r="N16" s="924">
        <v>0.22774327122153212</v>
      </c>
    </row>
    <row r="17" spans="1:14" x14ac:dyDescent="0.25">
      <c r="A17" s="923" t="s">
        <v>31</v>
      </c>
      <c r="B17" s="924">
        <v>4.0211132437619961</v>
      </c>
      <c r="C17" s="842"/>
      <c r="D17" s="923" t="s">
        <v>24</v>
      </c>
      <c r="E17" s="924">
        <v>3.7399700802393576E-2</v>
      </c>
      <c r="F17" s="842"/>
      <c r="G17" s="923" t="s">
        <v>29</v>
      </c>
      <c r="H17" s="924">
        <v>7.087043430855898E-2</v>
      </c>
      <c r="I17" s="842"/>
      <c r="J17" s="923" t="s">
        <v>24</v>
      </c>
      <c r="K17" s="924">
        <v>0.11309891013777504</v>
      </c>
      <c r="L17" s="842"/>
      <c r="M17" s="923" t="s">
        <v>29</v>
      </c>
      <c r="N17" s="924">
        <v>0.21836506159014557</v>
      </c>
    </row>
    <row r="18" spans="1:14" x14ac:dyDescent="0.25">
      <c r="A18" s="923" t="s">
        <v>24</v>
      </c>
      <c r="B18" s="924">
        <v>3.8385692914456682</v>
      </c>
      <c r="C18" s="842"/>
      <c r="D18" s="923" t="s">
        <v>31</v>
      </c>
      <c r="E18" s="924">
        <v>3.7016726076227031E-2</v>
      </c>
      <c r="F18" s="842"/>
      <c r="G18" s="923" t="s">
        <v>45</v>
      </c>
      <c r="H18" s="924">
        <v>5.6046830240378619E-2</v>
      </c>
      <c r="I18" s="842"/>
      <c r="J18" s="923" t="s">
        <v>45</v>
      </c>
      <c r="K18" s="924">
        <v>0.10473397570171764</v>
      </c>
      <c r="L18" s="842"/>
      <c r="M18" s="923" t="s">
        <v>45</v>
      </c>
      <c r="N18" s="924">
        <v>0.18852115626309177</v>
      </c>
    </row>
    <row r="19" spans="1:14" x14ac:dyDescent="0.25">
      <c r="A19" s="923" t="s">
        <v>102</v>
      </c>
      <c r="B19" s="924">
        <v>3.7477558348294431</v>
      </c>
      <c r="C19" s="842"/>
      <c r="D19" s="923" t="s">
        <v>45</v>
      </c>
      <c r="E19" s="924">
        <v>3.1137127911321456E-2</v>
      </c>
      <c r="F19" s="842"/>
      <c r="G19" s="923" t="s">
        <v>27</v>
      </c>
      <c r="H19" s="924">
        <v>4.5482110369921162E-2</v>
      </c>
      <c r="I19" s="842"/>
      <c r="J19" s="923" t="s">
        <v>40</v>
      </c>
      <c r="K19" s="924">
        <v>9.7087378640776698E-2</v>
      </c>
      <c r="L19" s="842"/>
      <c r="M19" s="923" t="s">
        <v>27</v>
      </c>
      <c r="N19" s="924">
        <v>0.16987542468856173</v>
      </c>
    </row>
    <row r="20" spans="1:14" x14ac:dyDescent="0.25">
      <c r="A20" s="923" t="s">
        <v>41</v>
      </c>
      <c r="B20" s="924">
        <v>1.494345718901454</v>
      </c>
      <c r="C20" s="842"/>
      <c r="D20" s="923" t="s">
        <v>496</v>
      </c>
      <c r="E20" s="924">
        <v>1.8921475875118259E-2</v>
      </c>
      <c r="F20" s="842"/>
      <c r="G20" s="923" t="s">
        <v>40</v>
      </c>
      <c r="H20" s="924">
        <v>0</v>
      </c>
      <c r="I20" s="842"/>
      <c r="J20" s="923" t="s">
        <v>102</v>
      </c>
      <c r="K20" s="924">
        <v>7.1556350626118065E-2</v>
      </c>
      <c r="L20" s="842"/>
      <c r="M20" s="923" t="s">
        <v>40</v>
      </c>
      <c r="N20" s="924">
        <v>0</v>
      </c>
    </row>
    <row r="21" spans="1:14" x14ac:dyDescent="0.25">
      <c r="A21" s="923" t="s">
        <v>496</v>
      </c>
      <c r="B21" s="924">
        <v>1.4664143803216652</v>
      </c>
      <c r="C21" s="842"/>
      <c r="D21" s="923" t="s">
        <v>102</v>
      </c>
      <c r="E21" s="924">
        <v>1.7953321364452424E-2</v>
      </c>
      <c r="F21" s="842"/>
      <c r="G21" s="923" t="s">
        <v>41</v>
      </c>
      <c r="H21" s="924">
        <v>0</v>
      </c>
      <c r="I21" s="842"/>
      <c r="J21" s="923" t="s">
        <v>41</v>
      </c>
      <c r="K21" s="924">
        <v>6.0240963855421679E-2</v>
      </c>
      <c r="L21" s="842"/>
      <c r="M21" s="923" t="s">
        <v>41</v>
      </c>
      <c r="N21" s="924">
        <v>0</v>
      </c>
    </row>
    <row r="22" spans="1:14" ht="15.75" thickBot="1" x14ac:dyDescent="0.3">
      <c r="A22" s="925" t="s">
        <v>40</v>
      </c>
      <c r="B22" s="926">
        <v>0.86649874055415621</v>
      </c>
      <c r="C22" s="842"/>
      <c r="D22" s="925" t="s">
        <v>41</v>
      </c>
      <c r="E22" s="926">
        <v>1.6155088852988692E-2</v>
      </c>
      <c r="F22" s="842"/>
      <c r="G22" s="925" t="s">
        <v>496</v>
      </c>
      <c r="H22" s="926">
        <v>0</v>
      </c>
      <c r="I22" s="842"/>
      <c r="J22" s="925" t="s">
        <v>496</v>
      </c>
      <c r="K22" s="926">
        <v>3.7313432835820892E-2</v>
      </c>
      <c r="L22" s="842"/>
      <c r="M22" s="925" t="s">
        <v>496</v>
      </c>
      <c r="N22" s="926">
        <v>0</v>
      </c>
    </row>
    <row r="23" spans="1:14" ht="15.75" thickBot="1" x14ac:dyDescent="0.3">
      <c r="A23" s="843" t="s">
        <v>598</v>
      </c>
      <c r="B23" s="844">
        <f>+AVERAGE(B3:B22)</f>
        <v>4.418895208188359</v>
      </c>
      <c r="C23" s="845"/>
      <c r="D23" s="843" t="s">
        <v>598</v>
      </c>
      <c r="E23" s="844">
        <f>+AVERAGE(E3:E22)</f>
        <v>9.8216547537713875E-2</v>
      </c>
      <c r="F23" s="845"/>
      <c r="G23" s="843" t="s">
        <v>598</v>
      </c>
      <c r="H23" s="844">
        <f>+AVERAGE(H3:H22)</f>
        <v>0.13618351701064729</v>
      </c>
      <c r="I23" s="845"/>
      <c r="J23" s="843" t="s">
        <v>598</v>
      </c>
      <c r="K23" s="844">
        <f>+AVERAGE(K3:K22)</f>
        <v>0.29751499108170659</v>
      </c>
      <c r="L23" s="845"/>
      <c r="M23" s="843" t="s">
        <v>598</v>
      </c>
      <c r="N23" s="844">
        <f>+AVERAGE(N3:N22)</f>
        <v>0.4360498062300936</v>
      </c>
    </row>
    <row r="24" spans="1:14" x14ac:dyDescent="0.25">
      <c r="A24" s="1191" t="s">
        <v>652</v>
      </c>
      <c r="B24" s="845"/>
      <c r="C24" s="845"/>
      <c r="N24" s="964" t="s">
        <v>378</v>
      </c>
    </row>
    <row r="26" spans="1:14" x14ac:dyDescent="0.25">
      <c r="B26" s="845"/>
      <c r="C26" s="845"/>
    </row>
  </sheetData>
  <mergeCells count="6">
    <mergeCell ref="A1:N1"/>
    <mergeCell ref="A2:B2"/>
    <mergeCell ref="D2:E2"/>
    <mergeCell ref="G2:H2"/>
    <mergeCell ref="J2:K2"/>
    <mergeCell ref="M2:N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5"/>
  <sheetViews>
    <sheetView tabSelected="1" zoomScale="90" zoomScaleNormal="90" zoomScaleSheetLayoutView="100" workbookViewId="0">
      <selection activeCell="A35" sqref="A35"/>
    </sheetView>
  </sheetViews>
  <sheetFormatPr defaultRowHeight="15.75" x14ac:dyDescent="0.25"/>
  <cols>
    <col min="1" max="1" width="18.42578125" style="30" customWidth="1"/>
    <col min="2" max="2" width="13.5703125" style="30" customWidth="1"/>
    <col min="3" max="3" width="15.42578125" style="30" customWidth="1"/>
    <col min="4" max="4" width="11.28515625" style="30" customWidth="1"/>
    <col min="5" max="5" width="11.140625" style="30" customWidth="1"/>
    <col min="6" max="6" width="12.7109375" style="30" customWidth="1"/>
    <col min="7" max="7" width="13.85546875" style="30" customWidth="1"/>
    <col min="8" max="8" width="13.5703125" style="30" customWidth="1"/>
    <col min="9" max="9" width="10.7109375" style="30" customWidth="1"/>
    <col min="10" max="10" width="11.28515625" style="30" customWidth="1"/>
    <col min="11" max="11" width="13.140625" style="30" customWidth="1"/>
    <col min="12" max="16384" width="9.140625" style="30"/>
  </cols>
  <sheetData>
    <row r="1" spans="1:11" ht="33.75" customHeight="1" thickBot="1" x14ac:dyDescent="0.3">
      <c r="A1" s="1125" t="s">
        <v>612</v>
      </c>
      <c r="B1" s="1126"/>
      <c r="C1" s="1126"/>
      <c r="D1" s="1126"/>
      <c r="E1" s="1126"/>
      <c r="F1" s="1126"/>
      <c r="G1" s="1126"/>
      <c r="H1" s="1126"/>
      <c r="I1" s="1126"/>
      <c r="J1" s="1126"/>
      <c r="K1" s="1126"/>
    </row>
    <row r="2" spans="1:11" ht="16.5" thickBot="1" x14ac:dyDescent="0.3">
      <c r="A2" s="464"/>
      <c r="B2" s="1127">
        <v>2012</v>
      </c>
      <c r="C2" s="1128"/>
      <c r="D2" s="1128"/>
      <c r="E2" s="1128"/>
      <c r="F2" s="1129"/>
      <c r="G2" s="1127">
        <v>2013</v>
      </c>
      <c r="H2" s="1128"/>
      <c r="I2" s="1128"/>
      <c r="J2" s="1128"/>
      <c r="K2" s="1130"/>
    </row>
    <row r="3" spans="1:11" s="289" customFormat="1" ht="151.5" customHeight="1" thickBot="1" x14ac:dyDescent="0.3">
      <c r="A3" s="464" t="s">
        <v>43</v>
      </c>
      <c r="B3" s="465" t="s">
        <v>628</v>
      </c>
      <c r="C3" s="466" t="s">
        <v>629</v>
      </c>
      <c r="D3" s="466" t="s">
        <v>451</v>
      </c>
      <c r="E3" s="466" t="s">
        <v>452</v>
      </c>
      <c r="F3" s="467" t="s">
        <v>630</v>
      </c>
      <c r="G3" s="465" t="s">
        <v>633</v>
      </c>
      <c r="H3" s="466" t="s">
        <v>632</v>
      </c>
      <c r="I3" s="466" t="s">
        <v>485</v>
      </c>
      <c r="J3" s="466" t="s">
        <v>486</v>
      </c>
      <c r="K3" s="467" t="s">
        <v>631</v>
      </c>
    </row>
    <row r="4" spans="1:11" x14ac:dyDescent="0.25">
      <c r="A4" s="819" t="s">
        <v>23</v>
      </c>
      <c r="B4" s="965">
        <v>2989986</v>
      </c>
      <c r="C4" s="965">
        <v>2803280</v>
      </c>
      <c r="D4" s="966">
        <v>1553</v>
      </c>
      <c r="E4" s="630">
        <v>-63</v>
      </c>
      <c r="F4" s="469">
        <v>216495</v>
      </c>
      <c r="G4" s="781">
        <v>3111292</v>
      </c>
      <c r="H4" s="470">
        <v>2800070</v>
      </c>
      <c r="I4" s="470">
        <v>1863</v>
      </c>
      <c r="J4" s="468">
        <f>I4-D4</f>
        <v>310</v>
      </c>
      <c r="K4" s="469">
        <f>H4-C4</f>
        <v>-3210</v>
      </c>
    </row>
    <row r="5" spans="1:11" x14ac:dyDescent="0.25">
      <c r="A5" s="820" t="s">
        <v>31</v>
      </c>
      <c r="B5" s="471">
        <v>2204394</v>
      </c>
      <c r="C5" s="785">
        <v>2012160</v>
      </c>
      <c r="D5" s="785">
        <v>1421</v>
      </c>
      <c r="E5" s="786">
        <v>315</v>
      </c>
      <c r="F5" s="787">
        <v>137896</v>
      </c>
      <c r="G5" s="781">
        <v>1811623</v>
      </c>
      <c r="H5" s="470">
        <v>1524530</v>
      </c>
      <c r="I5" s="470">
        <v>959</v>
      </c>
      <c r="J5" s="468">
        <f t="shared" ref="J5:J23" si="0">I5-D5</f>
        <v>-462</v>
      </c>
      <c r="K5" s="469">
        <f t="shared" ref="K5:K23" si="1">H5-C5</f>
        <v>-487630</v>
      </c>
    </row>
    <row r="6" spans="1:11" x14ac:dyDescent="0.25">
      <c r="A6" s="820" t="s">
        <v>29</v>
      </c>
      <c r="B6" s="471">
        <v>4258632</v>
      </c>
      <c r="C6" s="785">
        <v>3627427</v>
      </c>
      <c r="D6" s="785">
        <v>1636</v>
      </c>
      <c r="E6" s="786">
        <v>91</v>
      </c>
      <c r="F6" s="787">
        <v>426203</v>
      </c>
      <c r="G6" s="781">
        <v>2993667</v>
      </c>
      <c r="H6" s="470">
        <v>2975051</v>
      </c>
      <c r="I6" s="470">
        <v>1407</v>
      </c>
      <c r="J6" s="468">
        <f t="shared" si="0"/>
        <v>-229</v>
      </c>
      <c r="K6" s="469">
        <f t="shared" si="1"/>
        <v>-652376</v>
      </c>
    </row>
    <row r="7" spans="1:11" x14ac:dyDescent="0.25">
      <c r="A7" s="820" t="s">
        <v>34</v>
      </c>
      <c r="B7" s="471">
        <v>664811</v>
      </c>
      <c r="C7" s="785">
        <v>607770</v>
      </c>
      <c r="D7" s="785">
        <v>394</v>
      </c>
      <c r="E7" s="786">
        <v>80</v>
      </c>
      <c r="F7" s="787">
        <v>44920</v>
      </c>
      <c r="G7" s="781">
        <v>808432</v>
      </c>
      <c r="H7" s="470">
        <v>786520</v>
      </c>
      <c r="I7" s="470">
        <v>469</v>
      </c>
      <c r="J7" s="468">
        <f t="shared" si="0"/>
        <v>75</v>
      </c>
      <c r="K7" s="469">
        <f t="shared" si="1"/>
        <v>178750</v>
      </c>
    </row>
    <row r="8" spans="1:11" x14ac:dyDescent="0.25">
      <c r="A8" s="820" t="s">
        <v>102</v>
      </c>
      <c r="B8" s="471">
        <v>682821</v>
      </c>
      <c r="C8" s="785">
        <v>584015</v>
      </c>
      <c r="D8" s="785">
        <v>372</v>
      </c>
      <c r="E8" s="786">
        <v>-23</v>
      </c>
      <c r="F8" s="787">
        <v>110760</v>
      </c>
      <c r="G8" s="781">
        <v>560992</v>
      </c>
      <c r="H8" s="470">
        <v>511320</v>
      </c>
      <c r="I8" s="470">
        <v>442</v>
      </c>
      <c r="J8" s="468">
        <f t="shared" si="0"/>
        <v>70</v>
      </c>
      <c r="K8" s="469">
        <f t="shared" si="1"/>
        <v>-72695</v>
      </c>
    </row>
    <row r="9" spans="1:11" x14ac:dyDescent="0.25">
      <c r="A9" s="820" t="s">
        <v>28</v>
      </c>
      <c r="B9" s="471">
        <v>1665906</v>
      </c>
      <c r="C9" s="785">
        <v>1526780</v>
      </c>
      <c r="D9" s="785">
        <v>1329</v>
      </c>
      <c r="E9" s="786">
        <v>25</v>
      </c>
      <c r="F9" s="787">
        <v>117650</v>
      </c>
      <c r="G9" s="781">
        <v>1613756</v>
      </c>
      <c r="H9" s="470">
        <v>1572190</v>
      </c>
      <c r="I9" s="470">
        <v>1360</v>
      </c>
      <c r="J9" s="468">
        <f t="shared" si="0"/>
        <v>31</v>
      </c>
      <c r="K9" s="469">
        <f t="shared" si="1"/>
        <v>45410</v>
      </c>
    </row>
    <row r="10" spans="1:11" x14ac:dyDescent="0.25">
      <c r="A10" s="820" t="s">
        <v>487</v>
      </c>
      <c r="B10" s="471">
        <v>2069093</v>
      </c>
      <c r="C10" s="785">
        <v>1752685</v>
      </c>
      <c r="D10" s="785">
        <v>1480</v>
      </c>
      <c r="E10" s="786">
        <v>-135</v>
      </c>
      <c r="F10" s="787">
        <v>156055</v>
      </c>
      <c r="G10" s="781">
        <v>1673388</v>
      </c>
      <c r="H10" s="470">
        <v>1577122.9</v>
      </c>
      <c r="I10" s="470">
        <v>1390</v>
      </c>
      <c r="J10" s="468">
        <f t="shared" si="0"/>
        <v>-90</v>
      </c>
      <c r="K10" s="469">
        <f t="shared" si="1"/>
        <v>-175562.10000000009</v>
      </c>
    </row>
    <row r="11" spans="1:11" x14ac:dyDescent="0.25">
      <c r="A11" s="820" t="s">
        <v>32</v>
      </c>
      <c r="B11" s="471">
        <v>818273</v>
      </c>
      <c r="C11" s="785">
        <v>751710</v>
      </c>
      <c r="D11" s="785">
        <v>648</v>
      </c>
      <c r="E11" s="786">
        <v>42</v>
      </c>
      <c r="F11" s="787">
        <v>35865</v>
      </c>
      <c r="G11" s="781">
        <v>764348</v>
      </c>
      <c r="H11" s="470">
        <v>728195</v>
      </c>
      <c r="I11" s="470">
        <v>606</v>
      </c>
      <c r="J11" s="468">
        <f t="shared" si="0"/>
        <v>-42</v>
      </c>
      <c r="K11" s="469">
        <f t="shared" si="1"/>
        <v>-23515</v>
      </c>
    </row>
    <row r="12" spans="1:11" x14ac:dyDescent="0.25">
      <c r="A12" s="820" t="s">
        <v>24</v>
      </c>
      <c r="B12" s="471">
        <v>2014897</v>
      </c>
      <c r="C12" s="785">
        <v>1850135</v>
      </c>
      <c r="D12" s="785">
        <v>1753</v>
      </c>
      <c r="E12" s="786">
        <v>388</v>
      </c>
      <c r="F12" s="787">
        <v>105215</v>
      </c>
      <c r="G12" s="781">
        <v>1896932</v>
      </c>
      <c r="H12" s="470">
        <v>1820778</v>
      </c>
      <c r="I12" s="470">
        <v>1718</v>
      </c>
      <c r="J12" s="468">
        <f t="shared" si="0"/>
        <v>-35</v>
      </c>
      <c r="K12" s="469">
        <f t="shared" si="1"/>
        <v>-29357</v>
      </c>
    </row>
    <row r="13" spans="1:11" x14ac:dyDescent="0.25">
      <c r="A13" s="820" t="s">
        <v>25</v>
      </c>
      <c r="B13" s="471">
        <v>3676473</v>
      </c>
      <c r="C13" s="785">
        <v>3557574</v>
      </c>
      <c r="D13" s="785">
        <v>2358</v>
      </c>
      <c r="E13" s="786">
        <v>-43</v>
      </c>
      <c r="F13" s="787">
        <v>124954</v>
      </c>
      <c r="G13" s="781">
        <v>3196957</v>
      </c>
      <c r="H13" s="470">
        <v>2846100</v>
      </c>
      <c r="I13" s="470">
        <v>2204</v>
      </c>
      <c r="J13" s="468">
        <f t="shared" si="0"/>
        <v>-154</v>
      </c>
      <c r="K13" s="469">
        <f t="shared" si="1"/>
        <v>-711474</v>
      </c>
    </row>
    <row r="14" spans="1:11" x14ac:dyDescent="0.25">
      <c r="A14" s="820" t="s">
        <v>45</v>
      </c>
      <c r="B14" s="471">
        <v>1812938</v>
      </c>
      <c r="C14" s="785">
        <v>1721805</v>
      </c>
      <c r="D14" s="785">
        <v>756</v>
      </c>
      <c r="E14" s="786">
        <v>-138</v>
      </c>
      <c r="F14" s="787">
        <v>195615</v>
      </c>
      <c r="G14" s="781">
        <v>1901406</v>
      </c>
      <c r="H14" s="470">
        <v>1737790</v>
      </c>
      <c r="I14" s="470">
        <v>820</v>
      </c>
      <c r="J14" s="468">
        <f t="shared" si="0"/>
        <v>64</v>
      </c>
      <c r="K14" s="469">
        <f t="shared" si="1"/>
        <v>15985</v>
      </c>
    </row>
    <row r="15" spans="1:11" x14ac:dyDescent="0.25">
      <c r="A15" s="820" t="s">
        <v>348</v>
      </c>
      <c r="B15" s="471">
        <v>515859</v>
      </c>
      <c r="C15" s="785">
        <v>495565</v>
      </c>
      <c r="D15" s="785">
        <v>449</v>
      </c>
      <c r="E15" s="786">
        <v>157</v>
      </c>
      <c r="F15" s="787">
        <v>-12660</v>
      </c>
      <c r="G15" s="781">
        <v>484181</v>
      </c>
      <c r="H15" s="470">
        <v>493965</v>
      </c>
      <c r="I15" s="470">
        <v>440</v>
      </c>
      <c r="J15" s="468">
        <f t="shared" si="0"/>
        <v>-9</v>
      </c>
      <c r="K15" s="469">
        <f t="shared" si="1"/>
        <v>-1600</v>
      </c>
    </row>
    <row r="16" spans="1:11" x14ac:dyDescent="0.25">
      <c r="A16" s="820" t="s">
        <v>27</v>
      </c>
      <c r="B16" s="471">
        <v>1371984</v>
      </c>
      <c r="C16" s="785">
        <v>1377635</v>
      </c>
      <c r="D16" s="785">
        <v>939</v>
      </c>
      <c r="E16" s="786">
        <v>-21</v>
      </c>
      <c r="F16" s="787">
        <v>183965</v>
      </c>
      <c r="G16" s="781">
        <v>1240249</v>
      </c>
      <c r="H16" s="470">
        <v>1244490</v>
      </c>
      <c r="I16" s="470">
        <v>853</v>
      </c>
      <c r="J16" s="468">
        <f t="shared" si="0"/>
        <v>-86</v>
      </c>
      <c r="K16" s="469">
        <f t="shared" si="1"/>
        <v>-133145</v>
      </c>
    </row>
    <row r="17" spans="1:11" x14ac:dyDescent="0.25">
      <c r="A17" s="820" t="s">
        <v>30</v>
      </c>
      <c r="B17" s="471">
        <v>1112138</v>
      </c>
      <c r="C17" s="785">
        <v>1091805</v>
      </c>
      <c r="D17" s="785">
        <v>651</v>
      </c>
      <c r="E17" s="786">
        <v>16</v>
      </c>
      <c r="F17" s="787">
        <v>32150</v>
      </c>
      <c r="G17" s="781">
        <v>1285251</v>
      </c>
      <c r="H17" s="470">
        <v>1183755</v>
      </c>
      <c r="I17" s="470">
        <v>668</v>
      </c>
      <c r="J17" s="468">
        <f t="shared" si="0"/>
        <v>17</v>
      </c>
      <c r="K17" s="469">
        <f t="shared" si="1"/>
        <v>91950</v>
      </c>
    </row>
    <row r="18" spans="1:11" x14ac:dyDescent="0.25">
      <c r="A18" s="820" t="s">
        <v>36</v>
      </c>
      <c r="B18" s="471">
        <v>689188</v>
      </c>
      <c r="C18" s="785">
        <v>645140</v>
      </c>
      <c r="D18" s="785">
        <v>445</v>
      </c>
      <c r="E18" s="786">
        <v>-22</v>
      </c>
      <c r="F18" s="787">
        <v>-3105</v>
      </c>
      <c r="G18" s="781">
        <v>635235</v>
      </c>
      <c r="H18" s="470">
        <v>627355</v>
      </c>
      <c r="I18" s="470">
        <v>486</v>
      </c>
      <c r="J18" s="468">
        <f t="shared" si="0"/>
        <v>41</v>
      </c>
      <c r="K18" s="469">
        <f t="shared" si="1"/>
        <v>-17785</v>
      </c>
    </row>
    <row r="19" spans="1:11" x14ac:dyDescent="0.25">
      <c r="A19" s="820" t="s">
        <v>40</v>
      </c>
      <c r="B19" s="471">
        <v>194102</v>
      </c>
      <c r="C19" s="785">
        <v>167335</v>
      </c>
      <c r="D19" s="785">
        <v>136</v>
      </c>
      <c r="E19" s="786">
        <v>7</v>
      </c>
      <c r="F19" s="787">
        <v>-7769</v>
      </c>
      <c r="G19" s="781">
        <v>153031</v>
      </c>
      <c r="H19" s="470">
        <v>147235</v>
      </c>
      <c r="I19" s="470">
        <v>118</v>
      </c>
      <c r="J19" s="468">
        <f t="shared" si="0"/>
        <v>-18</v>
      </c>
      <c r="K19" s="469">
        <f t="shared" si="1"/>
        <v>-20100</v>
      </c>
    </row>
    <row r="20" spans="1:11" x14ac:dyDescent="0.25">
      <c r="A20" s="820" t="s">
        <v>41</v>
      </c>
      <c r="B20" s="471">
        <v>125961</v>
      </c>
      <c r="C20" s="785">
        <v>117200</v>
      </c>
      <c r="D20" s="785">
        <v>90</v>
      </c>
      <c r="E20" s="786">
        <v>-4</v>
      </c>
      <c r="F20" s="787">
        <v>6790</v>
      </c>
      <c r="G20" s="781">
        <v>92732</v>
      </c>
      <c r="H20" s="470">
        <v>97270</v>
      </c>
      <c r="I20" s="470">
        <v>85</v>
      </c>
      <c r="J20" s="468">
        <f t="shared" si="0"/>
        <v>-5</v>
      </c>
      <c r="K20" s="469">
        <f t="shared" si="1"/>
        <v>-19930</v>
      </c>
    </row>
    <row r="21" spans="1:11" x14ac:dyDescent="0.25">
      <c r="A21" s="820" t="s">
        <v>488</v>
      </c>
      <c r="B21" s="471">
        <v>240805</v>
      </c>
      <c r="C21" s="785">
        <v>247710</v>
      </c>
      <c r="D21" s="785">
        <v>88</v>
      </c>
      <c r="E21" s="786">
        <v>-37</v>
      </c>
      <c r="F21" s="787">
        <v>-9665</v>
      </c>
      <c r="G21" s="781">
        <v>222610</v>
      </c>
      <c r="H21" s="470">
        <v>162915</v>
      </c>
      <c r="I21" s="470">
        <v>83</v>
      </c>
      <c r="J21" s="468">
        <f t="shared" si="0"/>
        <v>-5</v>
      </c>
      <c r="K21" s="469">
        <f t="shared" si="1"/>
        <v>-84795</v>
      </c>
    </row>
    <row r="22" spans="1:11" x14ac:dyDescent="0.25">
      <c r="A22" s="820" t="s">
        <v>33</v>
      </c>
      <c r="B22" s="471">
        <v>1770624</v>
      </c>
      <c r="C22" s="785">
        <v>1631400</v>
      </c>
      <c r="D22" s="785">
        <v>722</v>
      </c>
      <c r="E22" s="786">
        <v>81</v>
      </c>
      <c r="F22" s="787">
        <v>283610</v>
      </c>
      <c r="G22" s="781">
        <v>1894614</v>
      </c>
      <c r="H22" s="470">
        <v>1644729</v>
      </c>
      <c r="I22" s="470">
        <v>768</v>
      </c>
      <c r="J22" s="468">
        <f t="shared" si="0"/>
        <v>46</v>
      </c>
      <c r="K22" s="469">
        <f t="shared" si="1"/>
        <v>13329</v>
      </c>
    </row>
    <row r="23" spans="1:11" ht="16.5" thickBot="1" x14ac:dyDescent="0.3">
      <c r="A23" s="821" t="s">
        <v>39</v>
      </c>
      <c r="B23" s="818">
        <v>432812</v>
      </c>
      <c r="C23" s="788">
        <v>392825</v>
      </c>
      <c r="D23" s="788">
        <v>313</v>
      </c>
      <c r="E23" s="789">
        <v>-11</v>
      </c>
      <c r="F23" s="790">
        <v>29693</v>
      </c>
      <c r="G23" s="781">
        <v>356409</v>
      </c>
      <c r="H23" s="470">
        <v>383005</v>
      </c>
      <c r="I23" s="470">
        <v>214</v>
      </c>
      <c r="J23" s="468">
        <f t="shared" si="0"/>
        <v>-99</v>
      </c>
      <c r="K23" s="469">
        <f t="shared" si="1"/>
        <v>-9820</v>
      </c>
    </row>
    <row r="24" spans="1:11" s="290" customFormat="1" ht="16.5" thickBot="1" x14ac:dyDescent="0.3">
      <c r="A24" s="472" t="s">
        <v>17</v>
      </c>
      <c r="B24" s="782">
        <v>29311697</v>
      </c>
      <c r="C24" s="783">
        <v>26961956</v>
      </c>
      <c r="D24" s="783">
        <v>17533</v>
      </c>
      <c r="E24" s="783">
        <v>705</v>
      </c>
      <c r="F24" s="784">
        <v>2174637</v>
      </c>
      <c r="G24" s="473">
        <f>SUM(G4:G23)</f>
        <v>26697105</v>
      </c>
      <c r="H24" s="474">
        <f>SUM(H4:H23)</f>
        <v>24864385.899999999</v>
      </c>
      <c r="I24" s="474">
        <f>SUM(I4:I23)</f>
        <v>16953</v>
      </c>
      <c r="J24" s="474">
        <f>SUM(J4:J23)</f>
        <v>-580</v>
      </c>
      <c r="K24" s="475">
        <f>SUM(K4:K23)</f>
        <v>-2097570.1</v>
      </c>
    </row>
    <row r="25" spans="1:11" x14ac:dyDescent="0.25">
      <c r="K25" s="171" t="s">
        <v>378</v>
      </c>
    </row>
  </sheetData>
  <mergeCells count="3">
    <mergeCell ref="A1:K1"/>
    <mergeCell ref="B2:F2"/>
    <mergeCell ref="G2:K2"/>
  </mergeCells>
  <phoneticPr fontId="47" type="noConversion"/>
  <conditionalFormatting sqref="B24:K24">
    <cfRule type="cellIs" dxfId="2" priority="1" stopIfTrue="1" operator="lessThan">
      <formula>0</formula>
    </cfRule>
  </conditionalFormatting>
  <pageMargins left="0.51181102362204722" right="0.11811023622047245" top="0.35433070866141736" bottom="0.15748031496062992" header="0" footer="0"/>
  <pageSetup paperSize="9" scale="95" orientation="landscape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52"/>
  <sheetViews>
    <sheetView tabSelected="1" topLeftCell="A2" zoomScale="85" zoomScaleNormal="85" workbookViewId="0">
      <selection activeCell="A35" sqref="A35"/>
    </sheetView>
  </sheetViews>
  <sheetFormatPr defaultColWidth="22.5703125" defaultRowHeight="15.75" x14ac:dyDescent="0.25"/>
  <cols>
    <col min="1" max="1" width="19" style="43" customWidth="1"/>
    <col min="2" max="2" width="12" style="43" customWidth="1"/>
    <col min="3" max="3" width="11.85546875" style="43" customWidth="1"/>
    <col min="4" max="5" width="12.7109375" style="43" customWidth="1"/>
    <col min="6" max="7" width="12.140625" style="43" customWidth="1"/>
    <col min="8" max="8" width="12" style="43" customWidth="1"/>
    <col min="9" max="9" width="13" style="43" customWidth="1"/>
    <col min="10" max="10" width="12" style="43" customWidth="1"/>
    <col min="11" max="11" width="10.7109375" style="43" customWidth="1"/>
    <col min="12" max="12" width="10.140625" style="43" customWidth="1"/>
    <col min="13" max="13" width="9.28515625" style="43" customWidth="1"/>
    <col min="14" max="16384" width="22.5703125" style="43"/>
  </cols>
  <sheetData>
    <row r="1" spans="1:13" ht="39.75" customHeight="1" thickBot="1" x14ac:dyDescent="0.3">
      <c r="A1" s="1133" t="s">
        <v>613</v>
      </c>
      <c r="B1" s="1134"/>
      <c r="C1" s="1134"/>
      <c r="D1" s="1134"/>
      <c r="E1" s="1134"/>
      <c r="F1" s="1134"/>
      <c r="G1" s="1134"/>
      <c r="H1" s="1134"/>
      <c r="I1" s="1134"/>
      <c r="J1" s="1134"/>
      <c r="K1" s="1134"/>
      <c r="L1" s="1134"/>
      <c r="M1" s="1134"/>
    </row>
    <row r="2" spans="1:13" ht="27.75" customHeight="1" thickBot="1" x14ac:dyDescent="0.3">
      <c r="A2" s="481"/>
      <c r="B2" s="1131">
        <v>2011</v>
      </c>
      <c r="C2" s="1132"/>
      <c r="D2" s="1132"/>
      <c r="E2" s="1132"/>
      <c r="F2" s="1131">
        <v>2012</v>
      </c>
      <c r="G2" s="1132"/>
      <c r="H2" s="1132"/>
      <c r="I2" s="1132"/>
      <c r="J2" s="1135">
        <v>2013</v>
      </c>
      <c r="K2" s="1136"/>
      <c r="L2" s="1136"/>
      <c r="M2" s="1137"/>
    </row>
    <row r="3" spans="1:13" s="291" customFormat="1" ht="129" customHeight="1" thickBot="1" x14ac:dyDescent="0.3">
      <c r="A3" s="482" t="s">
        <v>43</v>
      </c>
      <c r="B3" s="483" t="s">
        <v>360</v>
      </c>
      <c r="C3" s="484" t="s">
        <v>375</v>
      </c>
      <c r="D3" s="484" t="s">
        <v>361</v>
      </c>
      <c r="E3" s="485" t="s">
        <v>362</v>
      </c>
      <c r="F3" s="483" t="s">
        <v>447</v>
      </c>
      <c r="G3" s="484" t="s">
        <v>448</v>
      </c>
      <c r="H3" s="484" t="s">
        <v>449</v>
      </c>
      <c r="I3" s="485" t="s">
        <v>450</v>
      </c>
      <c r="J3" s="967" t="s">
        <v>476</v>
      </c>
      <c r="K3" s="968" t="s">
        <v>477</v>
      </c>
      <c r="L3" s="968" t="s">
        <v>478</v>
      </c>
      <c r="M3" s="969" t="s">
        <v>479</v>
      </c>
    </row>
    <row r="4" spans="1:13" x14ac:dyDescent="0.25">
      <c r="A4" s="824" t="s">
        <v>23</v>
      </c>
      <c r="B4" s="822">
        <v>10921</v>
      </c>
      <c r="C4" s="610">
        <v>0</v>
      </c>
      <c r="D4" s="610">
        <f>B4+C4</f>
        <v>10921</v>
      </c>
      <c r="E4" s="611">
        <v>650</v>
      </c>
      <c r="F4" s="609">
        <v>10926</v>
      </c>
      <c r="G4" s="493">
        <v>0</v>
      </c>
      <c r="H4" s="493">
        <f>F4+G4</f>
        <v>10926</v>
      </c>
      <c r="I4" s="486">
        <v>76</v>
      </c>
      <c r="J4" s="973">
        <v>10940</v>
      </c>
      <c r="K4" s="974">
        <v>0</v>
      </c>
      <c r="L4" s="975">
        <f>J4+K4</f>
        <v>10940</v>
      </c>
      <c r="M4" s="976">
        <v>143</v>
      </c>
    </row>
    <row r="5" spans="1:13" x14ac:dyDescent="0.25">
      <c r="A5" s="825" t="s">
        <v>31</v>
      </c>
      <c r="B5" s="772">
        <v>1951</v>
      </c>
      <c r="C5" s="491">
        <v>820</v>
      </c>
      <c r="D5" s="491">
        <f t="shared" ref="D5:D23" si="0">B5+C5</f>
        <v>2771</v>
      </c>
      <c r="E5" s="492">
        <v>585</v>
      </c>
      <c r="F5" s="490">
        <v>1951</v>
      </c>
      <c r="G5" s="488">
        <v>880</v>
      </c>
      <c r="H5" s="493">
        <f t="shared" ref="H5:H23" si="1">F5+G5</f>
        <v>2831</v>
      </c>
      <c r="I5" s="486">
        <v>631</v>
      </c>
      <c r="J5" s="487">
        <v>1951</v>
      </c>
      <c r="K5" s="972">
        <v>880</v>
      </c>
      <c r="L5" s="488">
        <f t="shared" ref="L5:L23" si="2">J5+K5</f>
        <v>2831</v>
      </c>
      <c r="M5" s="489">
        <v>186</v>
      </c>
    </row>
    <row r="6" spans="1:13" ht="22.5" customHeight="1" x14ac:dyDescent="0.25">
      <c r="A6" s="825" t="s">
        <v>29</v>
      </c>
      <c r="B6" s="772">
        <v>1933</v>
      </c>
      <c r="C6" s="491">
        <v>87</v>
      </c>
      <c r="D6" s="491">
        <f t="shared" si="0"/>
        <v>2020</v>
      </c>
      <c r="E6" s="492">
        <v>542</v>
      </c>
      <c r="F6" s="490">
        <v>1937</v>
      </c>
      <c r="G6" s="488">
        <v>143</v>
      </c>
      <c r="H6" s="493">
        <f t="shared" si="1"/>
        <v>2080</v>
      </c>
      <c r="I6" s="486">
        <v>634</v>
      </c>
      <c r="J6" s="487">
        <v>1943</v>
      </c>
      <c r="K6" s="972">
        <v>143</v>
      </c>
      <c r="L6" s="488">
        <f t="shared" si="2"/>
        <v>2086</v>
      </c>
      <c r="M6" s="489">
        <v>669</v>
      </c>
    </row>
    <row r="7" spans="1:13" ht="18.75" customHeight="1" x14ac:dyDescent="0.25">
      <c r="A7" s="825" t="s">
        <v>34</v>
      </c>
      <c r="B7" s="772">
        <v>237</v>
      </c>
      <c r="C7" s="491">
        <v>375</v>
      </c>
      <c r="D7" s="491">
        <f t="shared" si="0"/>
        <v>612</v>
      </c>
      <c r="E7" s="492">
        <v>213</v>
      </c>
      <c r="F7" s="490">
        <v>237</v>
      </c>
      <c r="G7" s="488">
        <v>210</v>
      </c>
      <c r="H7" s="493">
        <f t="shared" si="1"/>
        <v>447</v>
      </c>
      <c r="I7" s="486">
        <v>673</v>
      </c>
      <c r="J7" s="487">
        <v>237</v>
      </c>
      <c r="K7" s="972">
        <v>210</v>
      </c>
      <c r="L7" s="488">
        <f t="shared" si="2"/>
        <v>447</v>
      </c>
      <c r="M7" s="489">
        <v>645</v>
      </c>
    </row>
    <row r="8" spans="1:13" x14ac:dyDescent="0.25">
      <c r="A8" s="825" t="s">
        <v>102</v>
      </c>
      <c r="B8" s="772">
        <v>899</v>
      </c>
      <c r="C8" s="491">
        <v>0</v>
      </c>
      <c r="D8" s="491">
        <f t="shared" si="0"/>
        <v>899</v>
      </c>
      <c r="E8" s="492">
        <v>183</v>
      </c>
      <c r="F8" s="490">
        <v>901</v>
      </c>
      <c r="G8" s="488">
        <v>0</v>
      </c>
      <c r="H8" s="493">
        <f t="shared" si="1"/>
        <v>901</v>
      </c>
      <c r="I8" s="486">
        <v>173</v>
      </c>
      <c r="J8" s="487">
        <v>903</v>
      </c>
      <c r="K8" s="972">
        <v>0</v>
      </c>
      <c r="L8" s="488">
        <f t="shared" si="2"/>
        <v>903</v>
      </c>
      <c r="M8" s="489">
        <v>299</v>
      </c>
    </row>
    <row r="9" spans="1:13" x14ac:dyDescent="0.25">
      <c r="A9" s="825" t="s">
        <v>28</v>
      </c>
      <c r="B9" s="772">
        <v>1235</v>
      </c>
      <c r="C9" s="491">
        <v>482</v>
      </c>
      <c r="D9" s="491">
        <f t="shared" si="0"/>
        <v>1717</v>
      </c>
      <c r="E9" s="492">
        <v>2683</v>
      </c>
      <c r="F9" s="490">
        <v>1363</v>
      </c>
      <c r="G9" s="488">
        <v>427</v>
      </c>
      <c r="H9" s="493">
        <f t="shared" si="1"/>
        <v>1790</v>
      </c>
      <c r="I9" s="486">
        <v>2114</v>
      </c>
      <c r="J9" s="487">
        <v>1363</v>
      </c>
      <c r="K9" s="972">
        <v>427</v>
      </c>
      <c r="L9" s="488">
        <f t="shared" si="2"/>
        <v>1790</v>
      </c>
      <c r="M9" s="489">
        <v>1950</v>
      </c>
    </row>
    <row r="10" spans="1:13" ht="15.75" customHeight="1" x14ac:dyDescent="0.25">
      <c r="A10" s="825" t="s">
        <v>487</v>
      </c>
      <c r="B10" s="772">
        <v>2565</v>
      </c>
      <c r="C10" s="491">
        <v>0</v>
      </c>
      <c r="D10" s="491">
        <f t="shared" si="0"/>
        <v>2565</v>
      </c>
      <c r="E10" s="492">
        <v>900</v>
      </c>
      <c r="F10" s="490">
        <v>2582</v>
      </c>
      <c r="G10" s="488">
        <v>0</v>
      </c>
      <c r="H10" s="493">
        <f t="shared" si="1"/>
        <v>2582</v>
      </c>
      <c r="I10" s="486">
        <v>1080</v>
      </c>
      <c r="J10" s="487">
        <v>2582</v>
      </c>
      <c r="K10" s="972">
        <v>0</v>
      </c>
      <c r="L10" s="488">
        <f t="shared" si="2"/>
        <v>2582</v>
      </c>
      <c r="M10" s="489">
        <v>1068</v>
      </c>
    </row>
    <row r="11" spans="1:13" x14ac:dyDescent="0.25">
      <c r="A11" s="825" t="s">
        <v>32</v>
      </c>
      <c r="B11" s="772">
        <v>0</v>
      </c>
      <c r="C11" s="491">
        <v>629</v>
      </c>
      <c r="D11" s="491">
        <f t="shared" si="0"/>
        <v>629</v>
      </c>
      <c r="E11" s="492">
        <v>0</v>
      </c>
      <c r="F11" s="490">
        <v>0</v>
      </c>
      <c r="G11" s="488">
        <v>587</v>
      </c>
      <c r="H11" s="493">
        <f t="shared" si="1"/>
        <v>587</v>
      </c>
      <c r="I11" s="486">
        <v>0</v>
      </c>
      <c r="J11" s="487">
        <v>0</v>
      </c>
      <c r="K11" s="972">
        <v>587</v>
      </c>
      <c r="L11" s="488">
        <f t="shared" si="2"/>
        <v>587</v>
      </c>
      <c r="M11" s="489">
        <v>0</v>
      </c>
    </row>
    <row r="12" spans="1:13" x14ac:dyDescent="0.25">
      <c r="A12" s="825" t="s">
        <v>24</v>
      </c>
      <c r="B12" s="772">
        <v>8220</v>
      </c>
      <c r="C12" s="491">
        <v>0</v>
      </c>
      <c r="D12" s="491">
        <f t="shared" si="0"/>
        <v>8220</v>
      </c>
      <c r="E12" s="492">
        <v>685</v>
      </c>
      <c r="F12" s="490">
        <v>8220</v>
      </c>
      <c r="G12" s="488">
        <v>0</v>
      </c>
      <c r="H12" s="493">
        <f t="shared" si="1"/>
        <v>8220</v>
      </c>
      <c r="I12" s="486">
        <v>3526</v>
      </c>
      <c r="J12" s="487">
        <v>8220</v>
      </c>
      <c r="K12" s="972">
        <v>0</v>
      </c>
      <c r="L12" s="488">
        <f t="shared" si="2"/>
        <v>8220</v>
      </c>
      <c r="M12" s="489">
        <v>2976</v>
      </c>
    </row>
    <row r="13" spans="1:13" x14ac:dyDescent="0.25">
      <c r="A13" s="825" t="s">
        <v>25</v>
      </c>
      <c r="B13" s="772">
        <v>5821</v>
      </c>
      <c r="C13" s="491">
        <v>0</v>
      </c>
      <c r="D13" s="491">
        <f t="shared" si="0"/>
        <v>5821</v>
      </c>
      <c r="E13" s="492">
        <v>0</v>
      </c>
      <c r="F13" s="490">
        <v>5821</v>
      </c>
      <c r="G13" s="488">
        <v>0</v>
      </c>
      <c r="H13" s="493">
        <f t="shared" si="1"/>
        <v>5821</v>
      </c>
      <c r="I13" s="486">
        <v>0</v>
      </c>
      <c r="J13" s="487">
        <v>4986</v>
      </c>
      <c r="K13" s="972">
        <v>0</v>
      </c>
      <c r="L13" s="488">
        <f t="shared" si="2"/>
        <v>4986</v>
      </c>
      <c r="M13" s="489">
        <v>0</v>
      </c>
    </row>
    <row r="14" spans="1:13" x14ac:dyDescent="0.25">
      <c r="A14" s="825" t="s">
        <v>45</v>
      </c>
      <c r="B14" s="772">
        <v>5048</v>
      </c>
      <c r="C14" s="491">
        <v>10</v>
      </c>
      <c r="D14" s="491">
        <f t="shared" si="0"/>
        <v>5058</v>
      </c>
      <c r="E14" s="492">
        <v>0</v>
      </c>
      <c r="F14" s="490">
        <v>5024</v>
      </c>
      <c r="G14" s="488">
        <v>6</v>
      </c>
      <c r="H14" s="493">
        <f t="shared" si="1"/>
        <v>5030</v>
      </c>
      <c r="I14" s="486">
        <v>0</v>
      </c>
      <c r="J14" s="487">
        <v>5026</v>
      </c>
      <c r="K14" s="972">
        <v>6</v>
      </c>
      <c r="L14" s="488">
        <f t="shared" si="2"/>
        <v>5032</v>
      </c>
      <c r="M14" s="489">
        <v>0</v>
      </c>
    </row>
    <row r="15" spans="1:13" x14ac:dyDescent="0.25">
      <c r="A15" s="825" t="s">
        <v>348</v>
      </c>
      <c r="B15" s="772">
        <v>300</v>
      </c>
      <c r="C15" s="491">
        <v>365</v>
      </c>
      <c r="D15" s="491">
        <f t="shared" si="0"/>
        <v>665</v>
      </c>
      <c r="E15" s="492">
        <v>0</v>
      </c>
      <c r="F15" s="490">
        <v>306</v>
      </c>
      <c r="G15" s="488">
        <v>276</v>
      </c>
      <c r="H15" s="493">
        <f t="shared" si="1"/>
        <v>582</v>
      </c>
      <c r="I15" s="486">
        <v>0</v>
      </c>
      <c r="J15" s="487">
        <v>215</v>
      </c>
      <c r="K15" s="972">
        <v>276</v>
      </c>
      <c r="L15" s="488">
        <f t="shared" si="2"/>
        <v>491</v>
      </c>
      <c r="M15" s="489">
        <v>0</v>
      </c>
    </row>
    <row r="16" spans="1:13" x14ac:dyDescent="0.25">
      <c r="A16" s="825" t="s">
        <v>27</v>
      </c>
      <c r="B16" s="772">
        <v>3011</v>
      </c>
      <c r="C16" s="491">
        <v>181</v>
      </c>
      <c r="D16" s="491">
        <f t="shared" si="0"/>
        <v>3192</v>
      </c>
      <c r="E16" s="492">
        <v>209</v>
      </c>
      <c r="F16" s="490">
        <v>3017</v>
      </c>
      <c r="G16" s="488">
        <v>0</v>
      </c>
      <c r="H16" s="493">
        <f t="shared" si="1"/>
        <v>3017</v>
      </c>
      <c r="I16" s="486">
        <v>29</v>
      </c>
      <c r="J16" s="487">
        <v>2558</v>
      </c>
      <c r="K16" s="972">
        <v>0</v>
      </c>
      <c r="L16" s="488">
        <f t="shared" si="2"/>
        <v>2558</v>
      </c>
      <c r="M16" s="489">
        <v>3</v>
      </c>
    </row>
    <row r="17" spans="1:13" x14ac:dyDescent="0.25">
      <c r="A17" s="825" t="s">
        <v>30</v>
      </c>
      <c r="B17" s="772">
        <v>2825</v>
      </c>
      <c r="C17" s="491">
        <v>0</v>
      </c>
      <c r="D17" s="491">
        <f t="shared" si="0"/>
        <v>2825</v>
      </c>
      <c r="E17" s="492">
        <v>1030</v>
      </c>
      <c r="F17" s="490">
        <v>2425</v>
      </c>
      <c r="G17" s="488">
        <v>0</v>
      </c>
      <c r="H17" s="493">
        <f t="shared" si="1"/>
        <v>2425</v>
      </c>
      <c r="I17" s="486">
        <v>1144</v>
      </c>
      <c r="J17" s="487">
        <v>2815</v>
      </c>
      <c r="K17" s="972">
        <v>0</v>
      </c>
      <c r="L17" s="488">
        <f t="shared" si="2"/>
        <v>2815</v>
      </c>
      <c r="M17" s="489">
        <v>646</v>
      </c>
    </row>
    <row r="18" spans="1:13" x14ac:dyDescent="0.25">
      <c r="A18" s="825" t="s">
        <v>36</v>
      </c>
      <c r="B18" s="772">
        <v>1524</v>
      </c>
      <c r="C18" s="491">
        <v>0</v>
      </c>
      <c r="D18" s="491">
        <f t="shared" si="0"/>
        <v>1524</v>
      </c>
      <c r="E18" s="492">
        <v>137</v>
      </c>
      <c r="F18" s="490">
        <v>1524</v>
      </c>
      <c r="G18" s="488">
        <v>0</v>
      </c>
      <c r="H18" s="493">
        <f t="shared" si="1"/>
        <v>1524</v>
      </c>
      <c r="I18" s="486">
        <v>0</v>
      </c>
      <c r="J18" s="487">
        <v>1524</v>
      </c>
      <c r="K18" s="972">
        <v>0</v>
      </c>
      <c r="L18" s="488">
        <f t="shared" si="2"/>
        <v>1524</v>
      </c>
      <c r="M18" s="489">
        <v>0</v>
      </c>
    </row>
    <row r="19" spans="1:13" x14ac:dyDescent="0.25">
      <c r="A19" s="825" t="s">
        <v>40</v>
      </c>
      <c r="B19" s="772">
        <v>0</v>
      </c>
      <c r="C19" s="491">
        <v>0</v>
      </c>
      <c r="D19" s="491">
        <f t="shared" si="0"/>
        <v>0</v>
      </c>
      <c r="E19" s="492">
        <v>0</v>
      </c>
      <c r="F19" s="490">
        <v>0</v>
      </c>
      <c r="G19" s="488">
        <v>0</v>
      </c>
      <c r="H19" s="493">
        <f t="shared" si="1"/>
        <v>0</v>
      </c>
      <c r="I19" s="486">
        <v>0</v>
      </c>
      <c r="J19" s="487">
        <v>0</v>
      </c>
      <c r="K19" s="972">
        <v>0</v>
      </c>
      <c r="L19" s="488">
        <f t="shared" si="2"/>
        <v>0</v>
      </c>
      <c r="M19" s="489">
        <v>0</v>
      </c>
    </row>
    <row r="20" spans="1:13" x14ac:dyDescent="0.25">
      <c r="A20" s="825" t="s">
        <v>41</v>
      </c>
      <c r="B20" s="772">
        <v>0</v>
      </c>
      <c r="C20" s="491">
        <v>0</v>
      </c>
      <c r="D20" s="491">
        <f t="shared" si="0"/>
        <v>0</v>
      </c>
      <c r="E20" s="492">
        <v>0</v>
      </c>
      <c r="F20" s="490">
        <v>0</v>
      </c>
      <c r="G20" s="488">
        <v>0</v>
      </c>
      <c r="H20" s="493">
        <f t="shared" si="1"/>
        <v>0</v>
      </c>
      <c r="I20" s="486">
        <v>0</v>
      </c>
      <c r="J20" s="487">
        <v>0</v>
      </c>
      <c r="K20" s="972">
        <v>0</v>
      </c>
      <c r="L20" s="488">
        <f t="shared" si="2"/>
        <v>0</v>
      </c>
      <c r="M20" s="489"/>
    </row>
    <row r="21" spans="1:13" x14ac:dyDescent="0.25">
      <c r="A21" s="825" t="s">
        <v>488</v>
      </c>
      <c r="B21" s="772">
        <v>136</v>
      </c>
      <c r="C21" s="491">
        <v>0</v>
      </c>
      <c r="D21" s="491">
        <f t="shared" si="0"/>
        <v>136</v>
      </c>
      <c r="E21" s="492">
        <v>75</v>
      </c>
      <c r="F21" s="490">
        <v>136</v>
      </c>
      <c r="G21" s="488">
        <v>0</v>
      </c>
      <c r="H21" s="493">
        <f t="shared" si="1"/>
        <v>136</v>
      </c>
      <c r="I21" s="486">
        <v>85</v>
      </c>
      <c r="J21" s="487">
        <v>136</v>
      </c>
      <c r="K21" s="972">
        <v>0</v>
      </c>
      <c r="L21" s="488">
        <f t="shared" si="2"/>
        <v>136</v>
      </c>
      <c r="M21" s="489">
        <v>83</v>
      </c>
    </row>
    <row r="22" spans="1:13" x14ac:dyDescent="0.25">
      <c r="A22" s="825" t="s">
        <v>33</v>
      </c>
      <c r="B22" s="772">
        <v>648</v>
      </c>
      <c r="C22" s="491">
        <v>381</v>
      </c>
      <c r="D22" s="491">
        <f t="shared" si="0"/>
        <v>1029</v>
      </c>
      <c r="E22" s="492">
        <v>0</v>
      </c>
      <c r="F22" s="490">
        <v>667</v>
      </c>
      <c r="G22" s="488">
        <v>569</v>
      </c>
      <c r="H22" s="493">
        <f t="shared" si="1"/>
        <v>1236</v>
      </c>
      <c r="I22" s="486">
        <v>0</v>
      </c>
      <c r="J22" s="487">
        <v>667</v>
      </c>
      <c r="K22" s="972">
        <v>569</v>
      </c>
      <c r="L22" s="488">
        <f t="shared" si="2"/>
        <v>1236</v>
      </c>
      <c r="M22" s="489">
        <v>0</v>
      </c>
    </row>
    <row r="23" spans="1:13" ht="16.5" thickBot="1" x14ac:dyDescent="0.3">
      <c r="A23" s="826" t="s">
        <v>39</v>
      </c>
      <c r="B23" s="823">
        <v>513</v>
      </c>
      <c r="C23" s="494">
        <v>86</v>
      </c>
      <c r="D23" s="494">
        <f t="shared" si="0"/>
        <v>599</v>
      </c>
      <c r="E23" s="495">
        <v>0</v>
      </c>
      <c r="F23" s="496">
        <v>513</v>
      </c>
      <c r="G23" s="497">
        <v>80</v>
      </c>
      <c r="H23" s="498">
        <f t="shared" si="1"/>
        <v>593</v>
      </c>
      <c r="I23" s="499">
        <v>0</v>
      </c>
      <c r="J23" s="977">
        <v>513</v>
      </c>
      <c r="K23" s="978">
        <v>80</v>
      </c>
      <c r="L23" s="979">
        <f t="shared" si="2"/>
        <v>593</v>
      </c>
      <c r="M23" s="980">
        <v>0</v>
      </c>
    </row>
    <row r="24" spans="1:13" s="292" customFormat="1" ht="16.5" thickBot="1" x14ac:dyDescent="0.3">
      <c r="A24" s="476" t="s">
        <v>17</v>
      </c>
      <c r="B24" s="478">
        <f t="shared" ref="B24:I24" si="3">SUM(B4:B23)</f>
        <v>47787</v>
      </c>
      <c r="C24" s="479">
        <f t="shared" si="3"/>
        <v>3416</v>
      </c>
      <c r="D24" s="479">
        <f t="shared" si="3"/>
        <v>51203</v>
      </c>
      <c r="E24" s="480">
        <f t="shared" si="3"/>
        <v>7892</v>
      </c>
      <c r="F24" s="478">
        <f t="shared" si="3"/>
        <v>47550</v>
      </c>
      <c r="G24" s="479">
        <f t="shared" si="3"/>
        <v>3178</v>
      </c>
      <c r="H24" s="479">
        <f t="shared" si="3"/>
        <v>50728</v>
      </c>
      <c r="I24" s="479">
        <f t="shared" si="3"/>
        <v>10165</v>
      </c>
      <c r="J24" s="970">
        <f>SUM(J4:J23)</f>
        <v>46579</v>
      </c>
      <c r="K24" s="653">
        <f>SUM(K4:K23)</f>
        <v>3178</v>
      </c>
      <c r="L24" s="653">
        <f>SUM(L4:L23)</f>
        <v>49757</v>
      </c>
      <c r="M24" s="971">
        <f>SUM(M4:M23)</f>
        <v>8668</v>
      </c>
    </row>
    <row r="25" spans="1:13" ht="30.75" customHeight="1" x14ac:dyDescent="0.25">
      <c r="B25" s="293"/>
      <c r="E25" s="293"/>
      <c r="I25" s="293"/>
      <c r="M25" s="293" t="s">
        <v>468</v>
      </c>
    </row>
    <row r="52" ht="13.5" customHeight="1" x14ac:dyDescent="0.25"/>
  </sheetData>
  <mergeCells count="4">
    <mergeCell ref="B2:E2"/>
    <mergeCell ref="F2:I2"/>
    <mergeCell ref="A1:M1"/>
    <mergeCell ref="J2:M2"/>
  </mergeCells>
  <phoneticPr fontId="47" type="noConversion"/>
  <pageMargins left="0.31496062992125984" right="0.11811023622047245" top="0.35433070866141736" bottom="0.15748031496062992" header="0" footer="0"/>
  <pageSetup paperSize="9" scale="89" orientation="landscape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52"/>
  <sheetViews>
    <sheetView tabSelected="1" zoomScale="90" zoomScaleNormal="90" workbookViewId="0">
      <selection activeCell="A35" sqref="A35"/>
    </sheetView>
  </sheetViews>
  <sheetFormatPr defaultRowHeight="15.75" x14ac:dyDescent="0.25"/>
  <cols>
    <col min="1" max="1" width="15.85546875" style="46" customWidth="1"/>
    <col min="2" max="2" width="25.5703125" style="46" customWidth="1"/>
    <col min="3" max="3" width="43" style="46" customWidth="1"/>
    <col min="4" max="4" width="25" style="46" customWidth="1"/>
    <col min="5" max="6" width="18.7109375" style="46" customWidth="1"/>
    <col min="7" max="7" width="9.140625" style="46"/>
    <col min="8" max="8" width="15.42578125" style="46" bestFit="1" customWidth="1"/>
    <col min="9" max="16384" width="9.140625" style="46"/>
  </cols>
  <sheetData>
    <row r="1" spans="1:8" ht="37.5" customHeight="1" thickBot="1" x14ac:dyDescent="0.3">
      <c r="A1" s="1125" t="s">
        <v>634</v>
      </c>
      <c r="B1" s="1126"/>
      <c r="C1" s="1126"/>
      <c r="D1" s="1126"/>
      <c r="E1" s="230"/>
      <c r="F1" s="230"/>
      <c r="G1" s="230"/>
      <c r="H1" s="230"/>
    </row>
    <row r="2" spans="1:8" ht="15.75" customHeight="1" x14ac:dyDescent="0.25">
      <c r="A2" s="829" t="s">
        <v>173</v>
      </c>
      <c r="B2" s="1138" t="s">
        <v>174</v>
      </c>
      <c r="C2" s="500" t="s">
        <v>175</v>
      </c>
      <c r="D2" s="501">
        <v>21050332.77</v>
      </c>
    </row>
    <row r="3" spans="1:8" x14ac:dyDescent="0.25">
      <c r="A3" s="830"/>
      <c r="B3" s="1139"/>
      <c r="C3" s="503" t="s">
        <v>176</v>
      </c>
      <c r="D3" s="504">
        <v>333870.99</v>
      </c>
    </row>
    <row r="4" spans="1:8" x14ac:dyDescent="0.25">
      <c r="A4" s="830"/>
      <c r="B4" s="1139"/>
      <c r="C4" s="503" t="s">
        <v>177</v>
      </c>
      <c r="D4" s="504">
        <v>88683.31</v>
      </c>
    </row>
    <row r="5" spans="1:8" x14ac:dyDescent="0.25">
      <c r="A5" s="830"/>
      <c r="B5" s="1139"/>
      <c r="C5" s="503" t="s">
        <v>178</v>
      </c>
      <c r="D5" s="504">
        <v>424804.25</v>
      </c>
    </row>
    <row r="6" spans="1:8" ht="30" x14ac:dyDescent="0.25">
      <c r="A6" s="830"/>
      <c r="B6" s="1140"/>
      <c r="C6" s="503" t="s">
        <v>545</v>
      </c>
      <c r="D6" s="504">
        <v>0</v>
      </c>
    </row>
    <row r="7" spans="1:8" x14ac:dyDescent="0.25">
      <c r="A7" s="830"/>
      <c r="B7" s="771" t="s">
        <v>179</v>
      </c>
      <c r="C7" s="506"/>
      <c r="D7" s="507">
        <f>SUM(D2:D6)</f>
        <v>21897691.319999997</v>
      </c>
    </row>
    <row r="8" spans="1:8" x14ac:dyDescent="0.25">
      <c r="A8" s="830"/>
      <c r="B8" s="521" t="s">
        <v>180</v>
      </c>
      <c r="C8" s="503" t="s">
        <v>181</v>
      </c>
      <c r="D8" s="504">
        <v>120299454.31</v>
      </c>
    </row>
    <row r="9" spans="1:8" x14ac:dyDescent="0.25">
      <c r="A9" s="830"/>
      <c r="B9" s="827"/>
      <c r="C9" s="503" t="s">
        <v>182</v>
      </c>
      <c r="D9" s="504">
        <v>728227.45</v>
      </c>
    </row>
    <row r="10" spans="1:8" x14ac:dyDescent="0.25">
      <c r="A10" s="830"/>
      <c r="B10" s="827"/>
      <c r="C10" s="503" t="s">
        <v>183</v>
      </c>
      <c r="D10" s="504">
        <v>39547281.210000001</v>
      </c>
    </row>
    <row r="11" spans="1:8" x14ac:dyDescent="0.25">
      <c r="A11" s="830"/>
      <c r="B11" s="827"/>
      <c r="C11" s="503" t="s">
        <v>184</v>
      </c>
      <c r="D11" s="504">
        <v>624725272.51999998</v>
      </c>
    </row>
    <row r="12" spans="1:8" ht="30" x14ac:dyDescent="0.25">
      <c r="A12" s="830"/>
      <c r="B12" s="827"/>
      <c r="C12" s="503" t="s">
        <v>546</v>
      </c>
      <c r="D12" s="504">
        <v>168249787.78999999</v>
      </c>
    </row>
    <row r="13" spans="1:8" x14ac:dyDescent="0.25">
      <c r="A13" s="830"/>
      <c r="B13" s="827"/>
      <c r="C13" s="503" t="s">
        <v>185</v>
      </c>
      <c r="D13" s="504">
        <v>1617510.98</v>
      </c>
    </row>
    <row r="14" spans="1:8" x14ac:dyDescent="0.25">
      <c r="A14" s="830"/>
      <c r="B14" s="827"/>
      <c r="C14" s="503" t="s">
        <v>186</v>
      </c>
      <c r="D14" s="504">
        <v>31411.99</v>
      </c>
    </row>
    <row r="15" spans="1:8" x14ac:dyDescent="0.25">
      <c r="A15" s="830"/>
      <c r="B15" s="827"/>
      <c r="C15" s="503" t="s">
        <v>187</v>
      </c>
      <c r="D15" s="504">
        <v>5809.45</v>
      </c>
    </row>
    <row r="16" spans="1:8" x14ac:dyDescent="0.25">
      <c r="A16" s="830"/>
      <c r="B16" s="827"/>
      <c r="C16" s="503" t="s">
        <v>188</v>
      </c>
      <c r="D16" s="504">
        <v>2138417.29</v>
      </c>
    </row>
    <row r="17" spans="1:4" x14ac:dyDescent="0.25">
      <c r="A17" s="830"/>
      <c r="B17" s="827"/>
      <c r="C17" s="503" t="s">
        <v>189</v>
      </c>
      <c r="D17" s="504">
        <v>2001512</v>
      </c>
    </row>
    <row r="18" spans="1:4" ht="30" x14ac:dyDescent="0.25">
      <c r="A18" s="830"/>
      <c r="B18" s="827"/>
      <c r="C18" s="503" t="s">
        <v>190</v>
      </c>
      <c r="D18" s="504">
        <v>944775</v>
      </c>
    </row>
    <row r="19" spans="1:4" x14ac:dyDescent="0.25">
      <c r="A19" s="831"/>
      <c r="B19" s="771" t="s">
        <v>191</v>
      </c>
      <c r="C19" s="506"/>
      <c r="D19" s="510">
        <f>SUM(D8:D18)</f>
        <v>960289459.99000001</v>
      </c>
    </row>
    <row r="20" spans="1:4" ht="30" x14ac:dyDescent="0.25">
      <c r="A20" s="831"/>
      <c r="B20" s="1141" t="s">
        <v>192</v>
      </c>
      <c r="C20" s="503" t="s">
        <v>541</v>
      </c>
      <c r="D20" s="503">
        <v>5038789.0599999996</v>
      </c>
    </row>
    <row r="21" spans="1:4" ht="30" x14ac:dyDescent="0.25">
      <c r="A21" s="831"/>
      <c r="B21" s="1142"/>
      <c r="C21" s="503" t="s">
        <v>542</v>
      </c>
      <c r="D21" s="511">
        <v>318575.78000000003</v>
      </c>
    </row>
    <row r="22" spans="1:4" x14ac:dyDescent="0.25">
      <c r="A22" s="830"/>
      <c r="B22" s="1143"/>
      <c r="C22" s="503" t="s">
        <v>193</v>
      </c>
      <c r="D22" s="511">
        <v>114369.27</v>
      </c>
    </row>
    <row r="23" spans="1:4" ht="16.5" thickBot="1" x14ac:dyDescent="0.3">
      <c r="A23" s="832"/>
      <c r="B23" s="771" t="s">
        <v>445</v>
      </c>
      <c r="C23" s="506"/>
      <c r="D23" s="507">
        <f>SUM(D20:D22)</f>
        <v>5471734.1099999994</v>
      </c>
    </row>
    <row r="24" spans="1:4" ht="16.5" thickBot="1" x14ac:dyDescent="0.3">
      <c r="A24" s="828" t="s">
        <v>194</v>
      </c>
      <c r="B24" s="525"/>
      <c r="C24" s="525"/>
      <c r="D24" s="606">
        <f>D7+D19+D23</f>
        <v>987658885.42000008</v>
      </c>
    </row>
    <row r="25" spans="1:4" x14ac:dyDescent="0.25">
      <c r="A25" s="607" t="s">
        <v>195</v>
      </c>
      <c r="B25" s="513" t="s">
        <v>196</v>
      </c>
      <c r="C25" s="608" t="s">
        <v>197</v>
      </c>
      <c r="D25" s="523">
        <v>1988557.79</v>
      </c>
    </row>
    <row r="26" spans="1:4" x14ac:dyDescent="0.25">
      <c r="A26" s="502"/>
      <c r="B26" s="509"/>
      <c r="C26" s="503" t="s">
        <v>198</v>
      </c>
      <c r="D26" s="504">
        <v>10847.77</v>
      </c>
    </row>
    <row r="27" spans="1:4" x14ac:dyDescent="0.25">
      <c r="A27" s="502"/>
      <c r="B27" s="509"/>
      <c r="C27" s="503" t="s">
        <v>199</v>
      </c>
      <c r="D27" s="504">
        <v>1891851.14</v>
      </c>
    </row>
    <row r="28" spans="1:4" x14ac:dyDescent="0.25">
      <c r="A28" s="502"/>
      <c r="B28" s="509"/>
      <c r="C28" s="503" t="s">
        <v>200</v>
      </c>
      <c r="D28" s="504">
        <v>35367.339999999997</v>
      </c>
    </row>
    <row r="29" spans="1:4" x14ac:dyDescent="0.25">
      <c r="A29" s="502"/>
      <c r="B29" s="509"/>
      <c r="C29" s="503" t="s">
        <v>201</v>
      </c>
      <c r="D29" s="504">
        <v>852019.04</v>
      </c>
    </row>
    <row r="30" spans="1:4" x14ac:dyDescent="0.25">
      <c r="A30" s="502"/>
      <c r="B30" s="509"/>
      <c r="C30" s="503" t="s">
        <v>202</v>
      </c>
      <c r="D30" s="504">
        <v>3022656.95</v>
      </c>
    </row>
    <row r="31" spans="1:4" ht="14.25" customHeight="1" x14ac:dyDescent="0.25">
      <c r="A31" s="502"/>
      <c r="B31" s="505" t="s">
        <v>203</v>
      </c>
      <c r="C31" s="506"/>
      <c r="D31" s="507">
        <f>SUM(D25:D30)</f>
        <v>7801300.0300000003</v>
      </c>
    </row>
    <row r="32" spans="1:4" x14ac:dyDescent="0.25">
      <c r="A32" s="502"/>
      <c r="B32" s="508" t="s">
        <v>204</v>
      </c>
      <c r="C32" s="503" t="s">
        <v>205</v>
      </c>
      <c r="D32" s="504">
        <v>66275</v>
      </c>
    </row>
    <row r="33" spans="1:4" x14ac:dyDescent="0.25">
      <c r="A33" s="502"/>
      <c r="B33" s="509"/>
      <c r="C33" s="503" t="s">
        <v>206</v>
      </c>
      <c r="D33" s="504">
        <v>972635.24</v>
      </c>
    </row>
    <row r="34" spans="1:4" x14ac:dyDescent="0.25">
      <c r="A34" s="502"/>
      <c r="B34" s="509"/>
      <c r="C34" s="503" t="s">
        <v>207</v>
      </c>
      <c r="D34" s="504">
        <v>0</v>
      </c>
    </row>
    <row r="35" spans="1:4" x14ac:dyDescent="0.25">
      <c r="A35" s="502"/>
      <c r="B35" s="505" t="s">
        <v>208</v>
      </c>
      <c r="C35" s="506"/>
      <c r="D35" s="507">
        <f>SUM(D32:D34)</f>
        <v>1038910.24</v>
      </c>
    </row>
    <row r="36" spans="1:4" x14ac:dyDescent="0.25">
      <c r="A36" s="502"/>
      <c r="B36" s="508" t="s">
        <v>209</v>
      </c>
      <c r="C36" s="503" t="s">
        <v>205</v>
      </c>
      <c r="D36" s="504">
        <v>6550491.6399999997</v>
      </c>
    </row>
    <row r="37" spans="1:4" x14ac:dyDescent="0.25">
      <c r="A37" s="502"/>
      <c r="B37" s="513"/>
      <c r="C37" s="503" t="s">
        <v>206</v>
      </c>
      <c r="D37" s="504">
        <v>472540.53</v>
      </c>
    </row>
    <row r="38" spans="1:4" x14ac:dyDescent="0.25">
      <c r="A38" s="502"/>
      <c r="B38" s="509"/>
      <c r="C38" s="503" t="s">
        <v>210</v>
      </c>
      <c r="D38" s="504">
        <v>11644741.26</v>
      </c>
    </row>
    <row r="39" spans="1:4" ht="30" x14ac:dyDescent="0.25">
      <c r="A39" s="502"/>
      <c r="B39" s="509"/>
      <c r="C39" s="503" t="s">
        <v>543</v>
      </c>
      <c r="D39" s="504">
        <v>105074648.66</v>
      </c>
    </row>
    <row r="40" spans="1:4" ht="30" x14ac:dyDescent="0.25">
      <c r="A40" s="502"/>
      <c r="B40" s="509"/>
      <c r="C40" s="503" t="s">
        <v>544</v>
      </c>
      <c r="D40" s="504">
        <v>0</v>
      </c>
    </row>
    <row r="41" spans="1:4" x14ac:dyDescent="0.25">
      <c r="A41" s="502"/>
      <c r="B41" s="509"/>
      <c r="C41" s="503" t="s">
        <v>207</v>
      </c>
      <c r="D41" s="504">
        <v>7806817.2300000004</v>
      </c>
    </row>
    <row r="42" spans="1:4" x14ac:dyDescent="0.25">
      <c r="A42" s="502"/>
      <c r="B42" s="505" t="s">
        <v>211</v>
      </c>
      <c r="C42" s="506"/>
      <c r="D42" s="507">
        <f>SUM(D36:D41)</f>
        <v>131549239.32000001</v>
      </c>
    </row>
    <row r="43" spans="1:4" x14ac:dyDescent="0.25">
      <c r="A43" s="502"/>
      <c r="B43" s="508" t="s">
        <v>212</v>
      </c>
      <c r="C43" s="503" t="s">
        <v>213</v>
      </c>
      <c r="D43" s="504">
        <v>192355</v>
      </c>
    </row>
    <row r="44" spans="1:4" x14ac:dyDescent="0.25">
      <c r="A44" s="502"/>
      <c r="B44" s="509"/>
      <c r="C44" s="503" t="s">
        <v>214</v>
      </c>
      <c r="D44" s="504">
        <v>242866776.24000001</v>
      </c>
    </row>
    <row r="45" spans="1:4" ht="16.5" thickBot="1" x14ac:dyDescent="0.3">
      <c r="A45" s="502"/>
      <c r="B45" s="505" t="s">
        <v>446</v>
      </c>
      <c r="C45" s="506"/>
      <c r="D45" s="507">
        <f>SUM(D43:D44)</f>
        <v>243059131.24000001</v>
      </c>
    </row>
    <row r="46" spans="1:4" ht="16.5" thickBot="1" x14ac:dyDescent="0.3">
      <c r="A46" s="514" t="s">
        <v>215</v>
      </c>
      <c r="B46" s="515"/>
      <c r="C46" s="515"/>
      <c r="D46" s="606">
        <f>D31+D35+D42+D45</f>
        <v>383448580.83000004</v>
      </c>
    </row>
    <row r="47" spans="1:4" ht="30" x14ac:dyDescent="0.25">
      <c r="A47" s="607" t="s">
        <v>216</v>
      </c>
      <c r="B47" s="513" t="s">
        <v>217</v>
      </c>
      <c r="C47" s="608" t="s">
        <v>218</v>
      </c>
      <c r="D47" s="523">
        <v>1133691.67</v>
      </c>
    </row>
    <row r="48" spans="1:4" x14ac:dyDescent="0.25">
      <c r="A48" s="502"/>
      <c r="B48" s="509"/>
      <c r="C48" s="503" t="s">
        <v>219</v>
      </c>
      <c r="D48" s="504">
        <v>566886.09</v>
      </c>
    </row>
    <row r="49" spans="1:4" ht="16.5" thickBot="1" x14ac:dyDescent="0.3">
      <c r="A49" s="502"/>
      <c r="B49" s="505" t="s">
        <v>220</v>
      </c>
      <c r="C49" s="506"/>
      <c r="D49" s="507">
        <f>SUM(D47:D48)</f>
        <v>1700577.7599999998</v>
      </c>
    </row>
    <row r="50" spans="1:4" ht="16.5" thickBot="1" x14ac:dyDescent="0.3">
      <c r="A50" s="514" t="s">
        <v>221</v>
      </c>
      <c r="B50" s="515"/>
      <c r="C50" s="515"/>
      <c r="D50" s="606">
        <f>D49</f>
        <v>1700577.7599999998</v>
      </c>
    </row>
    <row r="51" spans="1:4" ht="16.5" thickBot="1" x14ac:dyDescent="0.3">
      <c r="A51" s="514" t="s">
        <v>222</v>
      </c>
      <c r="B51" s="515"/>
      <c r="C51" s="515"/>
      <c r="D51" s="516">
        <f>D24+D46+D50</f>
        <v>1372808044.01</v>
      </c>
    </row>
    <row r="52" spans="1:4" x14ac:dyDescent="0.25">
      <c r="D52" s="171" t="s">
        <v>378</v>
      </c>
    </row>
  </sheetData>
  <mergeCells count="3">
    <mergeCell ref="A1:D1"/>
    <mergeCell ref="B2:B6"/>
    <mergeCell ref="B20:B22"/>
  </mergeCells>
  <phoneticPr fontId="47" type="noConversion"/>
  <pageMargins left="0.31496062992125984" right="0.11811023622047245" top="0.35433070866141736" bottom="0.15748031496062992" header="0" footer="0"/>
  <pageSetup paperSize="9" scale="80" orientation="portrait" r:id="rId1"/>
  <headerFoot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52"/>
  <sheetViews>
    <sheetView tabSelected="1" zoomScaleNormal="100" workbookViewId="0">
      <selection activeCell="A35" sqref="A35"/>
    </sheetView>
  </sheetViews>
  <sheetFormatPr defaultRowHeight="15.75" x14ac:dyDescent="0.25"/>
  <cols>
    <col min="1" max="1" width="14.28515625" style="46" customWidth="1"/>
    <col min="2" max="2" width="27.7109375" style="294" customWidth="1"/>
    <col min="3" max="3" width="40.28515625" style="46" customWidth="1"/>
    <col min="4" max="4" width="25" style="46" customWidth="1"/>
    <col min="5" max="5" width="21.7109375" style="46" customWidth="1"/>
    <col min="6" max="6" width="25.140625" style="46" customWidth="1"/>
    <col min="7" max="7" width="17.28515625" style="46" bestFit="1" customWidth="1"/>
    <col min="8" max="8" width="17.42578125" style="46" bestFit="1" customWidth="1"/>
    <col min="9" max="16384" width="9.140625" style="46"/>
  </cols>
  <sheetData>
    <row r="1" spans="1:4" ht="58.5" customHeight="1" thickBot="1" x14ac:dyDescent="0.3">
      <c r="A1" s="1145" t="s">
        <v>635</v>
      </c>
      <c r="B1" s="1146"/>
      <c r="C1" s="1146"/>
      <c r="D1" s="1146"/>
    </row>
    <row r="2" spans="1:4" ht="47.25" customHeight="1" x14ac:dyDescent="0.25">
      <c r="A2" s="1160" t="s">
        <v>223</v>
      </c>
      <c r="B2" s="1147" t="s">
        <v>224</v>
      </c>
      <c r="C2" s="517" t="s">
        <v>225</v>
      </c>
      <c r="D2" s="501">
        <v>513707079.18000001</v>
      </c>
    </row>
    <row r="3" spans="1:4" x14ac:dyDescent="0.25">
      <c r="A3" s="1161"/>
      <c r="B3" s="1148"/>
      <c r="C3" s="518" t="s">
        <v>226</v>
      </c>
      <c r="D3" s="504">
        <v>9206183.6099999994</v>
      </c>
    </row>
    <row r="4" spans="1:4" x14ac:dyDescent="0.25">
      <c r="A4" s="1161"/>
      <c r="B4" s="1148"/>
      <c r="C4" s="519" t="s">
        <v>227</v>
      </c>
      <c r="D4" s="520">
        <v>66924149.409999996</v>
      </c>
    </row>
    <row r="5" spans="1:4" x14ac:dyDescent="0.25">
      <c r="A5" s="1161"/>
      <c r="B5" s="1149"/>
      <c r="C5" s="503" t="s">
        <v>228</v>
      </c>
      <c r="D5" s="504">
        <v>314284.77</v>
      </c>
    </row>
    <row r="6" spans="1:4" ht="30.75" customHeight="1" x14ac:dyDescent="0.25">
      <c r="A6" s="1161"/>
      <c r="B6" s="1150" t="s">
        <v>224</v>
      </c>
      <c r="C6" s="1151"/>
      <c r="D6" s="504">
        <f>SUM(D2:D5)</f>
        <v>590151696.97000003</v>
      </c>
    </row>
    <row r="7" spans="1:4" ht="29.25" customHeight="1" x14ac:dyDescent="0.25">
      <c r="A7" s="1161"/>
      <c r="B7" s="1152" t="s">
        <v>382</v>
      </c>
      <c r="C7" s="518" t="s">
        <v>229</v>
      </c>
      <c r="D7" s="504">
        <v>22667102.84</v>
      </c>
    </row>
    <row r="8" spans="1:4" x14ac:dyDescent="0.25">
      <c r="A8" s="1161"/>
      <c r="B8" s="1148"/>
      <c r="C8" s="518" t="s">
        <v>230</v>
      </c>
      <c r="D8" s="504">
        <v>295557.15000000002</v>
      </c>
    </row>
    <row r="9" spans="1:4" x14ac:dyDescent="0.25">
      <c r="A9" s="1161"/>
      <c r="B9" s="1153"/>
      <c r="C9" s="518" t="s">
        <v>231</v>
      </c>
      <c r="D9" s="504">
        <v>3924665.76</v>
      </c>
    </row>
    <row r="10" spans="1:4" ht="15.75" customHeight="1" x14ac:dyDescent="0.25">
      <c r="A10" s="1161"/>
      <c r="B10" s="1162" t="s">
        <v>439</v>
      </c>
      <c r="C10" s="1163"/>
      <c r="D10" s="504">
        <f>SUM(D7:D9)</f>
        <v>26887325.75</v>
      </c>
    </row>
    <row r="11" spans="1:4" ht="30" x14ac:dyDescent="0.25">
      <c r="A11" s="1161"/>
      <c r="B11" s="1152" t="s">
        <v>232</v>
      </c>
      <c r="C11" s="518" t="s">
        <v>233</v>
      </c>
      <c r="D11" s="504">
        <v>22373601.620000001</v>
      </c>
    </row>
    <row r="12" spans="1:4" x14ac:dyDescent="0.25">
      <c r="A12" s="1161"/>
      <c r="B12" s="1149"/>
      <c r="C12" s="518" t="s">
        <v>547</v>
      </c>
      <c r="D12" s="504">
        <v>12501304.23</v>
      </c>
    </row>
    <row r="13" spans="1:4" ht="16.5" customHeight="1" thickBot="1" x14ac:dyDescent="0.3">
      <c r="A13" s="1161"/>
      <c r="B13" s="1164" t="s">
        <v>234</v>
      </c>
      <c r="C13" s="1165"/>
      <c r="D13" s="520">
        <f>SUM(D11:D12)</f>
        <v>34874905.850000001</v>
      </c>
    </row>
    <row r="14" spans="1:4" ht="24.75" customHeight="1" thickBot="1" x14ac:dyDescent="0.3">
      <c r="A14" s="835" t="s">
        <v>440</v>
      </c>
      <c r="B14" s="833"/>
      <c r="C14" s="525"/>
      <c r="D14" s="475">
        <f>D6+D10+D13</f>
        <v>651913928.57000005</v>
      </c>
    </row>
    <row r="15" spans="1:4" x14ac:dyDescent="0.25">
      <c r="A15" s="1148" t="s">
        <v>426</v>
      </c>
      <c r="B15" s="1142" t="s">
        <v>235</v>
      </c>
      <c r="C15" s="513" t="s">
        <v>441</v>
      </c>
      <c r="D15" s="523">
        <v>0</v>
      </c>
    </row>
    <row r="16" spans="1:4" x14ac:dyDescent="0.25">
      <c r="A16" s="1148"/>
      <c r="B16" s="1143"/>
      <c r="C16" s="521" t="s">
        <v>236</v>
      </c>
      <c r="D16" s="504">
        <v>8274586.0700000003</v>
      </c>
    </row>
    <row r="17" spans="1:4" x14ac:dyDescent="0.25">
      <c r="A17" s="1148"/>
      <c r="B17" s="521" t="s">
        <v>442</v>
      </c>
      <c r="C17" s="512"/>
      <c r="D17" s="504">
        <f>SUM(D15:D16)</f>
        <v>8274586.0700000003</v>
      </c>
    </row>
    <row r="18" spans="1:4" x14ac:dyDescent="0.25">
      <c r="A18" s="1148"/>
      <c r="B18" s="1154" t="s">
        <v>237</v>
      </c>
      <c r="C18" s="518" t="s">
        <v>238</v>
      </c>
      <c r="D18" s="504">
        <v>1033164.96</v>
      </c>
    </row>
    <row r="19" spans="1:4" x14ac:dyDescent="0.25">
      <c r="A19" s="1148"/>
      <c r="B19" s="1155"/>
      <c r="C19" s="518" t="s">
        <v>443</v>
      </c>
      <c r="D19" s="504">
        <v>649.46</v>
      </c>
    </row>
    <row r="20" spans="1:4" x14ac:dyDescent="0.25">
      <c r="A20" s="1148"/>
      <c r="B20" s="1156"/>
      <c r="C20" s="518" t="s">
        <v>239</v>
      </c>
      <c r="D20" s="504">
        <v>28207.79</v>
      </c>
    </row>
    <row r="21" spans="1:4" x14ac:dyDescent="0.25">
      <c r="A21" s="1148"/>
      <c r="B21" s="521" t="s">
        <v>240</v>
      </c>
      <c r="C21" s="522"/>
      <c r="D21" s="504">
        <f>SUM(D18:D20)</f>
        <v>1062022.21</v>
      </c>
    </row>
    <row r="22" spans="1:4" x14ac:dyDescent="0.25">
      <c r="A22" s="1148"/>
      <c r="B22" s="521" t="s">
        <v>241</v>
      </c>
      <c r="C22" s="518" t="s">
        <v>242</v>
      </c>
      <c r="D22" s="504">
        <v>22967420.199999999</v>
      </c>
    </row>
    <row r="23" spans="1:4" x14ac:dyDescent="0.25">
      <c r="A23" s="1148"/>
      <c r="B23" s="827"/>
      <c r="C23" s="518" t="s">
        <v>243</v>
      </c>
      <c r="D23" s="504">
        <v>17547708.66</v>
      </c>
    </row>
    <row r="24" spans="1:4" ht="31.5" customHeight="1" x14ac:dyDescent="0.25">
      <c r="A24" s="1148"/>
      <c r="B24" s="827"/>
      <c r="C24" s="518" t="s">
        <v>548</v>
      </c>
      <c r="D24" s="504">
        <v>10639086.77</v>
      </c>
    </row>
    <row r="25" spans="1:4" ht="30.75" customHeight="1" x14ac:dyDescent="0.25">
      <c r="A25" s="1148"/>
      <c r="B25" s="827"/>
      <c r="C25" s="518" t="s">
        <v>549</v>
      </c>
      <c r="D25" s="504">
        <v>23385.58</v>
      </c>
    </row>
    <row r="26" spans="1:4" x14ac:dyDescent="0.25">
      <c r="A26" s="1148"/>
      <c r="B26" s="827"/>
      <c r="C26" s="518" t="s">
        <v>244</v>
      </c>
      <c r="D26" s="504">
        <v>13849751.470000001</v>
      </c>
    </row>
    <row r="27" spans="1:4" ht="30" x14ac:dyDescent="0.25">
      <c r="A27" s="1148"/>
      <c r="B27" s="827"/>
      <c r="C27" s="518" t="s">
        <v>489</v>
      </c>
      <c r="D27" s="504">
        <v>30000</v>
      </c>
    </row>
    <row r="28" spans="1:4" x14ac:dyDescent="0.25">
      <c r="A28" s="1148"/>
      <c r="B28" s="827"/>
      <c r="C28" s="518" t="s">
        <v>245</v>
      </c>
      <c r="D28" s="504">
        <v>9193504.6400000006</v>
      </c>
    </row>
    <row r="29" spans="1:4" x14ac:dyDescent="0.25">
      <c r="A29" s="1148"/>
      <c r="B29" s="521" t="s">
        <v>246</v>
      </c>
      <c r="C29" s="522"/>
      <c r="D29" s="504">
        <f>SUM(D22:D28)</f>
        <v>74250857.319999993</v>
      </c>
    </row>
    <row r="30" spans="1:4" x14ac:dyDescent="0.25">
      <c r="A30" s="1148"/>
      <c r="B30" s="1157" t="s">
        <v>247</v>
      </c>
      <c r="C30" s="518" t="s">
        <v>248</v>
      </c>
      <c r="D30" s="504">
        <v>0</v>
      </c>
    </row>
    <row r="31" spans="1:4" x14ac:dyDescent="0.25">
      <c r="A31" s="1148"/>
      <c r="B31" s="1158"/>
      <c r="C31" s="518" t="s">
        <v>249</v>
      </c>
      <c r="D31" s="520">
        <v>0</v>
      </c>
    </row>
    <row r="32" spans="1:4" x14ac:dyDescent="0.25">
      <c r="A32" s="1148"/>
      <c r="B32" s="1159"/>
      <c r="C32" s="518" t="s">
        <v>250</v>
      </c>
      <c r="D32" s="520">
        <v>0</v>
      </c>
    </row>
    <row r="33" spans="1:4" ht="32.25" customHeight="1" thickBot="1" x14ac:dyDescent="0.3">
      <c r="A33" s="1148"/>
      <c r="B33" s="834" t="s">
        <v>444</v>
      </c>
      <c r="C33" s="604"/>
      <c r="D33" s="520">
        <f>SUM(D30:D32)</f>
        <v>0</v>
      </c>
    </row>
    <row r="34" spans="1:4" ht="15.75" customHeight="1" thickBot="1" x14ac:dyDescent="0.3">
      <c r="A34" s="514" t="s">
        <v>251</v>
      </c>
      <c r="B34" s="603"/>
      <c r="C34" s="525"/>
      <c r="D34" s="475">
        <f>D17+D21+D29+D33</f>
        <v>83587465.599999994</v>
      </c>
    </row>
    <row r="35" spans="1:4" ht="15.75" customHeight="1" x14ac:dyDescent="0.25">
      <c r="A35" s="1144" t="s">
        <v>216</v>
      </c>
      <c r="B35" s="513" t="s">
        <v>252</v>
      </c>
      <c r="C35" s="605" t="s">
        <v>253</v>
      </c>
      <c r="D35" s="523">
        <v>1474610.14</v>
      </c>
    </row>
    <row r="36" spans="1:4" x14ac:dyDescent="0.25">
      <c r="A36" s="1144"/>
      <c r="B36" s="509"/>
      <c r="C36" s="518" t="s">
        <v>254</v>
      </c>
      <c r="D36" s="504">
        <v>635832039.75</v>
      </c>
    </row>
    <row r="37" spans="1:4" ht="24.75" customHeight="1" thickBot="1" x14ac:dyDescent="0.3">
      <c r="A37" s="1144"/>
      <c r="B37" s="508" t="s">
        <v>255</v>
      </c>
      <c r="C37" s="522"/>
      <c r="D37" s="520">
        <f>SUM(D35:D36)</f>
        <v>637306649.88999999</v>
      </c>
    </row>
    <row r="38" spans="1:4" ht="34.5" customHeight="1" thickBot="1" x14ac:dyDescent="0.3">
      <c r="A38" s="514" t="s">
        <v>221</v>
      </c>
      <c r="B38" s="603"/>
      <c r="C38" s="525"/>
      <c r="D38" s="475">
        <f>D37</f>
        <v>637306649.88999999</v>
      </c>
    </row>
    <row r="39" spans="1:4" ht="16.5" thickBot="1" x14ac:dyDescent="0.3">
      <c r="A39" s="524" t="s">
        <v>256</v>
      </c>
      <c r="B39" s="525"/>
      <c r="C39" s="525"/>
      <c r="D39" s="516">
        <f>D14+D34+D38</f>
        <v>1372808044.0599999</v>
      </c>
    </row>
    <row r="40" spans="1:4" x14ac:dyDescent="0.25">
      <c r="D40" s="171" t="s">
        <v>378</v>
      </c>
    </row>
    <row r="52" ht="13.5" customHeight="1" x14ac:dyDescent="0.25"/>
  </sheetData>
  <mergeCells count="13">
    <mergeCell ref="A35:A37"/>
    <mergeCell ref="A1:D1"/>
    <mergeCell ref="B2:B5"/>
    <mergeCell ref="B6:C6"/>
    <mergeCell ref="B7:B9"/>
    <mergeCell ref="B18:B20"/>
    <mergeCell ref="A15:A33"/>
    <mergeCell ref="B30:B32"/>
    <mergeCell ref="A2:A13"/>
    <mergeCell ref="B10:C10"/>
    <mergeCell ref="B11:B12"/>
    <mergeCell ref="B13:C13"/>
    <mergeCell ref="B15:B16"/>
  </mergeCells>
  <phoneticPr fontId="47" type="noConversion"/>
  <pageMargins left="0.31496062992125984" right="0.11811023622047245" top="0.35433070866141736" bottom="0.15748031496062992" header="0" footer="0"/>
  <pageSetup paperSize="9" scale="85" fitToHeight="0" orientation="portrait" r:id="rId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45"/>
  <sheetViews>
    <sheetView tabSelected="1" topLeftCell="A28" workbookViewId="0">
      <selection activeCell="A35" sqref="A35"/>
    </sheetView>
  </sheetViews>
  <sheetFormatPr defaultRowHeight="15.75" x14ac:dyDescent="0.25"/>
  <cols>
    <col min="1" max="1" width="38" style="296" customWidth="1"/>
    <col min="2" max="2" width="14.28515625" style="296" customWidth="1"/>
    <col min="3" max="3" width="10.42578125" style="299" customWidth="1"/>
    <col min="4" max="4" width="14.85546875" style="296" customWidth="1"/>
    <col min="5" max="5" width="10.85546875" style="300" customWidth="1"/>
    <col min="6" max="6" width="14" style="296" customWidth="1"/>
    <col min="7" max="7" width="8.140625" style="296" customWidth="1"/>
    <col min="8" max="8" width="13" style="296" customWidth="1"/>
    <col min="9" max="13" width="14.85546875" style="296" customWidth="1"/>
    <col min="14" max="16384" width="9.140625" style="296"/>
  </cols>
  <sheetData>
    <row r="1" spans="1:12" ht="24.75" customHeight="1" thickBot="1" x14ac:dyDescent="0.3">
      <c r="A1" s="1125" t="s">
        <v>636</v>
      </c>
      <c r="B1" s="1126"/>
      <c r="C1" s="1126"/>
      <c r="D1" s="1126"/>
      <c r="E1" s="1126"/>
      <c r="F1" s="1126"/>
      <c r="G1" s="1126"/>
      <c r="H1" s="295"/>
      <c r="I1" s="295"/>
      <c r="J1" s="295"/>
      <c r="K1" s="295"/>
      <c r="L1" s="295"/>
    </row>
    <row r="2" spans="1:12" s="297" customFormat="1" ht="45.75" thickBot="1" x14ac:dyDescent="0.3">
      <c r="A2" s="464" t="s">
        <v>124</v>
      </c>
      <c r="B2" s="526" t="s">
        <v>257</v>
      </c>
      <c r="C2" s="527" t="s">
        <v>55</v>
      </c>
      <c r="D2" s="528" t="s">
        <v>258</v>
      </c>
      <c r="E2" s="529" t="s">
        <v>55</v>
      </c>
      <c r="F2" s="528" t="s">
        <v>259</v>
      </c>
      <c r="G2" s="530" t="s">
        <v>55</v>
      </c>
    </row>
    <row r="3" spans="1:12" s="298" customFormat="1" ht="15" x14ac:dyDescent="0.25">
      <c r="A3" s="531" t="s">
        <v>260</v>
      </c>
      <c r="B3" s="532">
        <v>295355.18</v>
      </c>
      <c r="C3" s="533">
        <f t="shared" ref="C3:C37" si="0">B3/$B$38</f>
        <v>4.43319430810734E-4</v>
      </c>
      <c r="D3" s="534">
        <v>3470745.91</v>
      </c>
      <c r="E3" s="533">
        <f t="shared" ref="E3:E37" si="1">D3/$D$38</f>
        <v>0.10581755201826631</v>
      </c>
      <c r="F3" s="535">
        <f t="shared" ref="F3:F42" si="2">B3+D3</f>
        <v>3766101.0900000003</v>
      </c>
      <c r="G3" s="536">
        <f t="shared" ref="G3:G37" si="3">F3/$F$38</f>
        <v>5.3875721470967985E-3</v>
      </c>
    </row>
    <row r="4" spans="1:12" s="298" customFormat="1" ht="15" x14ac:dyDescent="0.25">
      <c r="A4" s="537" t="s">
        <v>261</v>
      </c>
      <c r="B4" s="538">
        <v>36925580.229999997</v>
      </c>
      <c r="C4" s="539">
        <f t="shared" si="0"/>
        <v>5.5424208947070744E-2</v>
      </c>
      <c r="D4" s="540">
        <v>17060331.82</v>
      </c>
      <c r="E4" s="539">
        <f t="shared" si="1"/>
        <v>0.52014252746370992</v>
      </c>
      <c r="F4" s="573">
        <f t="shared" si="2"/>
        <v>53985912.049999997</v>
      </c>
      <c r="G4" s="541">
        <f t="shared" si="3"/>
        <v>7.7229205787515756E-2</v>
      </c>
    </row>
    <row r="5" spans="1:12" s="298" customFormat="1" ht="15" x14ac:dyDescent="0.25">
      <c r="A5" s="537" t="s">
        <v>427</v>
      </c>
      <c r="B5" s="538">
        <v>462311.44</v>
      </c>
      <c r="C5" s="539">
        <f t="shared" si="0"/>
        <v>6.9391586237996846E-4</v>
      </c>
      <c r="D5" s="540">
        <v>4018511.77</v>
      </c>
      <c r="E5" s="539">
        <f t="shared" si="1"/>
        <v>0.12251806651498451</v>
      </c>
      <c r="F5" s="542">
        <f t="shared" si="2"/>
        <v>4480823.21</v>
      </c>
      <c r="G5" s="541">
        <f t="shared" si="3"/>
        <v>6.4100133653769943E-3</v>
      </c>
    </row>
    <row r="6" spans="1:12" s="298" customFormat="1" ht="30" x14ac:dyDescent="0.25">
      <c r="A6" s="537" t="s">
        <v>262</v>
      </c>
      <c r="B6" s="538">
        <v>0</v>
      </c>
      <c r="C6" s="539">
        <f t="shared" si="0"/>
        <v>0</v>
      </c>
      <c r="D6" s="540">
        <v>0</v>
      </c>
      <c r="E6" s="539">
        <f t="shared" si="1"/>
        <v>0</v>
      </c>
      <c r="F6" s="542">
        <f t="shared" si="2"/>
        <v>0</v>
      </c>
      <c r="G6" s="541">
        <f t="shared" si="3"/>
        <v>0</v>
      </c>
    </row>
    <row r="7" spans="1:12" s="298" customFormat="1" ht="15" x14ac:dyDescent="0.25">
      <c r="A7" s="537" t="s">
        <v>263</v>
      </c>
      <c r="B7" s="538">
        <v>0</v>
      </c>
      <c r="C7" s="539">
        <f t="shared" si="0"/>
        <v>0</v>
      </c>
      <c r="D7" s="540">
        <v>0</v>
      </c>
      <c r="E7" s="539">
        <f t="shared" si="1"/>
        <v>0</v>
      </c>
      <c r="F7" s="542">
        <f t="shared" si="2"/>
        <v>0</v>
      </c>
      <c r="G7" s="541">
        <f t="shared" si="3"/>
        <v>0</v>
      </c>
    </row>
    <row r="8" spans="1:12" s="298" customFormat="1" ht="15" x14ac:dyDescent="0.25">
      <c r="A8" s="537" t="s">
        <v>428</v>
      </c>
      <c r="B8" s="538">
        <v>101315.1</v>
      </c>
      <c r="C8" s="539">
        <f t="shared" si="0"/>
        <v>1.5207098268780184E-4</v>
      </c>
      <c r="D8" s="540">
        <v>92635.91</v>
      </c>
      <c r="E8" s="539">
        <f t="shared" si="1"/>
        <v>2.8243223443528993E-3</v>
      </c>
      <c r="F8" s="540">
        <f t="shared" si="2"/>
        <v>193951.01</v>
      </c>
      <c r="G8" s="541">
        <f t="shared" si="3"/>
        <v>2.7745539336473111E-4</v>
      </c>
    </row>
    <row r="9" spans="1:12" s="298" customFormat="1" ht="15" x14ac:dyDescent="0.25">
      <c r="A9" s="537" t="s">
        <v>264</v>
      </c>
      <c r="B9" s="538">
        <v>0</v>
      </c>
      <c r="C9" s="539">
        <f t="shared" si="0"/>
        <v>0</v>
      </c>
      <c r="D9" s="540">
        <v>-8442.6299999999992</v>
      </c>
      <c r="E9" s="539">
        <f t="shared" si="1"/>
        <v>-2.5740243231921743E-4</v>
      </c>
      <c r="F9" s="928">
        <f t="shared" si="2"/>
        <v>-8442.6299999999992</v>
      </c>
      <c r="G9" s="541">
        <f t="shared" si="3"/>
        <v>-1.2077551066544481E-5</v>
      </c>
    </row>
    <row r="10" spans="1:12" s="298" customFormat="1" ht="15" x14ac:dyDescent="0.25">
      <c r="A10" s="537" t="s">
        <v>265</v>
      </c>
      <c r="B10" s="538">
        <v>3493.04</v>
      </c>
      <c r="C10" s="539">
        <f t="shared" si="0"/>
        <v>5.2429502153953289E-6</v>
      </c>
      <c r="D10" s="540">
        <v>23384.86</v>
      </c>
      <c r="E10" s="539">
        <f t="shared" si="1"/>
        <v>7.1296738616336084E-4</v>
      </c>
      <c r="F10" s="542">
        <f t="shared" si="2"/>
        <v>26877.9</v>
      </c>
      <c r="G10" s="541">
        <f t="shared" si="3"/>
        <v>3.8450010223292501E-5</v>
      </c>
    </row>
    <row r="11" spans="1:12" s="298" customFormat="1" ht="30" x14ac:dyDescent="0.25">
      <c r="A11" s="537" t="s">
        <v>266</v>
      </c>
      <c r="B11" s="538">
        <v>1108148.04</v>
      </c>
      <c r="C11" s="539">
        <f t="shared" si="0"/>
        <v>1.6632975874905276E-3</v>
      </c>
      <c r="D11" s="540">
        <v>870116.91</v>
      </c>
      <c r="E11" s="539">
        <f t="shared" si="1"/>
        <v>2.6528488046507027E-2</v>
      </c>
      <c r="F11" s="542">
        <f t="shared" si="2"/>
        <v>1978264.9500000002</v>
      </c>
      <c r="G11" s="541">
        <f t="shared" si="3"/>
        <v>2.8299944397397578E-3</v>
      </c>
    </row>
    <row r="12" spans="1:12" s="298" customFormat="1" ht="30" x14ac:dyDescent="0.25">
      <c r="A12" s="537" t="s">
        <v>267</v>
      </c>
      <c r="B12" s="538">
        <v>0</v>
      </c>
      <c r="C12" s="539">
        <f t="shared" si="0"/>
        <v>0</v>
      </c>
      <c r="D12" s="540">
        <v>0</v>
      </c>
      <c r="E12" s="539">
        <f t="shared" si="1"/>
        <v>0</v>
      </c>
      <c r="F12" s="542">
        <f t="shared" si="2"/>
        <v>0</v>
      </c>
      <c r="G12" s="541">
        <f t="shared" si="3"/>
        <v>0</v>
      </c>
    </row>
    <row r="13" spans="1:12" s="298" customFormat="1" ht="30" x14ac:dyDescent="0.25">
      <c r="A13" s="537" t="s">
        <v>268</v>
      </c>
      <c r="B13" s="538">
        <v>242509.11</v>
      </c>
      <c r="C13" s="539">
        <f t="shared" si="0"/>
        <v>3.6399903537028764E-4</v>
      </c>
      <c r="D13" s="540">
        <v>555.91999999999996</v>
      </c>
      <c r="E13" s="539">
        <f t="shared" si="1"/>
        <v>1.6949121325333379E-5</v>
      </c>
      <c r="F13" s="542">
        <f t="shared" si="2"/>
        <v>243065.03</v>
      </c>
      <c r="G13" s="541">
        <f t="shared" si="3"/>
        <v>3.4771514472577462E-4</v>
      </c>
    </row>
    <row r="14" spans="1:12" s="298" customFormat="1" ht="30" x14ac:dyDescent="0.25">
      <c r="A14" s="537" t="s">
        <v>269</v>
      </c>
      <c r="B14" s="538">
        <v>48991.96</v>
      </c>
      <c r="C14" s="539">
        <f t="shared" si="0"/>
        <v>7.3535489783867157E-5</v>
      </c>
      <c r="D14" s="540">
        <v>25306.19</v>
      </c>
      <c r="E14" s="539">
        <f t="shared" si="1"/>
        <v>7.7154569828741238E-4</v>
      </c>
      <c r="F14" s="542">
        <f t="shared" si="2"/>
        <v>74298.149999999994</v>
      </c>
      <c r="G14" s="541">
        <f t="shared" si="3"/>
        <v>1.0628674959992109E-4</v>
      </c>
    </row>
    <row r="15" spans="1:12" s="298" customFormat="1" ht="15" x14ac:dyDescent="0.25">
      <c r="A15" s="537" t="s">
        <v>270</v>
      </c>
      <c r="B15" s="538">
        <v>108456.69</v>
      </c>
      <c r="C15" s="539">
        <f t="shared" si="0"/>
        <v>1.6279029905084524E-4</v>
      </c>
      <c r="D15" s="540">
        <v>14320.06</v>
      </c>
      <c r="E15" s="539">
        <f t="shared" si="1"/>
        <v>4.3659597482740951E-4</v>
      </c>
      <c r="F15" s="542">
        <f t="shared" si="2"/>
        <v>122776.75</v>
      </c>
      <c r="G15" s="541">
        <f t="shared" si="3"/>
        <v>1.756375048899887E-4</v>
      </c>
    </row>
    <row r="16" spans="1:12" s="298" customFormat="1" ht="15" x14ac:dyDescent="0.25">
      <c r="A16" s="537" t="s">
        <v>271</v>
      </c>
      <c r="B16" s="538">
        <v>14120.36</v>
      </c>
      <c r="C16" s="539">
        <f t="shared" si="0"/>
        <v>2.1194244699018505E-5</v>
      </c>
      <c r="D16" s="540">
        <v>445.26</v>
      </c>
      <c r="E16" s="539">
        <f t="shared" si="1"/>
        <v>1.3575272991290006E-5</v>
      </c>
      <c r="F16" s="542">
        <f t="shared" si="2"/>
        <v>14565.62</v>
      </c>
      <c r="G16" s="541">
        <f t="shared" si="3"/>
        <v>2.083675576992971E-5</v>
      </c>
    </row>
    <row r="17" spans="1:7" s="298" customFormat="1" ht="15" x14ac:dyDescent="0.25">
      <c r="A17" s="537" t="s">
        <v>272</v>
      </c>
      <c r="B17" s="538">
        <v>6324.58</v>
      </c>
      <c r="C17" s="539">
        <f t="shared" si="0"/>
        <v>9.4930084033635428E-6</v>
      </c>
      <c r="D17" s="540">
        <v>7953.34</v>
      </c>
      <c r="E17" s="539">
        <f t="shared" si="1"/>
        <v>2.4248475428411819E-4</v>
      </c>
      <c r="F17" s="542">
        <f t="shared" si="2"/>
        <v>14277.92</v>
      </c>
      <c r="G17" s="541">
        <f t="shared" si="3"/>
        <v>2.0425188350553892E-5</v>
      </c>
    </row>
    <row r="18" spans="1:7" s="298" customFormat="1" ht="15" x14ac:dyDescent="0.25">
      <c r="A18" s="537" t="s">
        <v>273</v>
      </c>
      <c r="B18" s="538">
        <v>29737.34</v>
      </c>
      <c r="C18" s="539">
        <f t="shared" si="0"/>
        <v>4.463487196203998E-5</v>
      </c>
      <c r="D18" s="540">
        <v>1390.66</v>
      </c>
      <c r="E18" s="539">
        <f t="shared" si="1"/>
        <v>4.2399023352799178E-5</v>
      </c>
      <c r="F18" s="542">
        <f t="shared" si="2"/>
        <v>31128</v>
      </c>
      <c r="G18" s="541">
        <f t="shared" si="3"/>
        <v>4.452996395665766E-5</v>
      </c>
    </row>
    <row r="19" spans="1:7" s="298" customFormat="1" ht="15" x14ac:dyDescent="0.25">
      <c r="A19" s="537" t="s">
        <v>274</v>
      </c>
      <c r="B19" s="538">
        <v>18757.490000000002</v>
      </c>
      <c r="C19" s="539">
        <f t="shared" si="0"/>
        <v>2.8154440325841027E-5</v>
      </c>
      <c r="D19" s="540">
        <v>0</v>
      </c>
      <c r="E19" s="539">
        <f t="shared" si="1"/>
        <v>0</v>
      </c>
      <c r="F19" s="542">
        <f t="shared" si="2"/>
        <v>18757.490000000002</v>
      </c>
      <c r="G19" s="541">
        <f t="shared" si="3"/>
        <v>2.6833408944274174E-5</v>
      </c>
    </row>
    <row r="20" spans="1:7" s="298" customFormat="1" ht="15" x14ac:dyDescent="0.25">
      <c r="A20" s="537" t="s">
        <v>275</v>
      </c>
      <c r="B20" s="538">
        <v>0</v>
      </c>
      <c r="C20" s="539">
        <f t="shared" si="0"/>
        <v>0</v>
      </c>
      <c r="D20" s="540">
        <v>0</v>
      </c>
      <c r="E20" s="539">
        <f t="shared" si="1"/>
        <v>0</v>
      </c>
      <c r="F20" s="542">
        <f t="shared" si="2"/>
        <v>0</v>
      </c>
      <c r="G20" s="541">
        <f t="shared" si="3"/>
        <v>0</v>
      </c>
    </row>
    <row r="21" spans="1:7" s="298" customFormat="1" ht="15" x14ac:dyDescent="0.25">
      <c r="A21" s="537" t="s">
        <v>276</v>
      </c>
      <c r="B21" s="538">
        <v>0</v>
      </c>
      <c r="C21" s="539">
        <f t="shared" si="0"/>
        <v>0</v>
      </c>
      <c r="D21" s="540">
        <v>0</v>
      </c>
      <c r="E21" s="539">
        <f t="shared" si="1"/>
        <v>0</v>
      </c>
      <c r="F21" s="542">
        <f t="shared" si="2"/>
        <v>0</v>
      </c>
      <c r="G21" s="541">
        <f t="shared" si="3"/>
        <v>0</v>
      </c>
    </row>
    <row r="22" spans="1:7" s="298" customFormat="1" ht="15" x14ac:dyDescent="0.25">
      <c r="A22" s="537" t="s">
        <v>277</v>
      </c>
      <c r="B22" s="538">
        <v>85147994.359999999</v>
      </c>
      <c r="C22" s="539">
        <f t="shared" si="0"/>
        <v>0.12780463303318665</v>
      </c>
      <c r="D22" s="540">
        <v>2265799.3199999998</v>
      </c>
      <c r="E22" s="539">
        <f t="shared" si="1"/>
        <v>6.9080636734670214E-2</v>
      </c>
      <c r="F22" s="542">
        <f t="shared" si="2"/>
        <v>87413793.679999992</v>
      </c>
      <c r="G22" s="541">
        <f t="shared" si="3"/>
        <v>0.12504925089582075</v>
      </c>
    </row>
    <row r="23" spans="1:7" s="298" customFormat="1" ht="30" x14ac:dyDescent="0.25">
      <c r="A23" s="537" t="s">
        <v>278</v>
      </c>
      <c r="B23" s="538">
        <v>3246204.59</v>
      </c>
      <c r="C23" s="539">
        <f t="shared" si="0"/>
        <v>4.8724575310783178E-3</v>
      </c>
      <c r="D23" s="540">
        <v>219369.54</v>
      </c>
      <c r="E23" s="539">
        <f t="shared" si="1"/>
        <v>6.6882302283468378E-3</v>
      </c>
      <c r="F23" s="542">
        <f t="shared" si="2"/>
        <v>3465574.13</v>
      </c>
      <c r="G23" s="541">
        <f t="shared" si="3"/>
        <v>4.9576552010416738E-3</v>
      </c>
    </row>
    <row r="24" spans="1:7" s="298" customFormat="1" ht="30" x14ac:dyDescent="0.25">
      <c r="A24" s="537" t="s">
        <v>279</v>
      </c>
      <c r="B24" s="538">
        <v>1592.5</v>
      </c>
      <c r="C24" s="539">
        <f t="shared" si="0"/>
        <v>2.3902956215837958E-6</v>
      </c>
      <c r="D24" s="540">
        <v>0</v>
      </c>
      <c r="E24" s="539">
        <f t="shared" si="1"/>
        <v>0</v>
      </c>
      <c r="F24" s="542">
        <f t="shared" si="2"/>
        <v>1592.5</v>
      </c>
      <c r="G24" s="541">
        <f t="shared" si="3"/>
        <v>2.2781408250121215E-6</v>
      </c>
    </row>
    <row r="25" spans="1:7" s="298" customFormat="1" ht="30" x14ac:dyDescent="0.25">
      <c r="A25" s="537" t="s">
        <v>280</v>
      </c>
      <c r="B25" s="538">
        <v>0</v>
      </c>
      <c r="C25" s="539">
        <f t="shared" si="0"/>
        <v>0</v>
      </c>
      <c r="D25" s="540">
        <v>0</v>
      </c>
      <c r="E25" s="539">
        <f t="shared" si="1"/>
        <v>0</v>
      </c>
      <c r="F25" s="542">
        <f t="shared" si="2"/>
        <v>0</v>
      </c>
      <c r="G25" s="541">
        <f t="shared" si="3"/>
        <v>0</v>
      </c>
    </row>
    <row r="26" spans="1:7" s="298" customFormat="1" ht="15" x14ac:dyDescent="0.25">
      <c r="A26" s="537" t="s">
        <v>281</v>
      </c>
      <c r="B26" s="538">
        <v>14348.4</v>
      </c>
      <c r="C26" s="539">
        <f t="shared" si="0"/>
        <v>2.1536526026205923E-5</v>
      </c>
      <c r="D26" s="540">
        <v>2233.9499999999998</v>
      </c>
      <c r="E26" s="539">
        <f t="shared" si="1"/>
        <v>6.8109601354023064E-5</v>
      </c>
      <c r="F26" s="542">
        <f t="shared" si="2"/>
        <v>16582.349999999999</v>
      </c>
      <c r="G26" s="541">
        <f t="shared" si="3"/>
        <v>2.3721776144200788E-5</v>
      </c>
    </row>
    <row r="27" spans="1:7" s="298" customFormat="1" ht="30" x14ac:dyDescent="0.25">
      <c r="A27" s="537" t="s">
        <v>282</v>
      </c>
      <c r="B27" s="538">
        <v>0</v>
      </c>
      <c r="C27" s="539">
        <f t="shared" si="0"/>
        <v>0</v>
      </c>
      <c r="D27" s="540">
        <v>0</v>
      </c>
      <c r="E27" s="539">
        <f t="shared" si="1"/>
        <v>0</v>
      </c>
      <c r="F27" s="542">
        <f t="shared" si="2"/>
        <v>0</v>
      </c>
      <c r="G27" s="541">
        <f t="shared" si="3"/>
        <v>0</v>
      </c>
    </row>
    <row r="28" spans="1:7" s="298" customFormat="1" ht="15" x14ac:dyDescent="0.25">
      <c r="A28" s="537" t="s">
        <v>283</v>
      </c>
      <c r="B28" s="538">
        <v>4293584.1399999997</v>
      </c>
      <c r="C28" s="539">
        <f t="shared" si="0"/>
        <v>6.4445434039206448E-3</v>
      </c>
      <c r="D28" s="540">
        <v>86413.440000000002</v>
      </c>
      <c r="E28" s="539">
        <f t="shared" si="1"/>
        <v>2.6346090781037136E-3</v>
      </c>
      <c r="F28" s="542">
        <f t="shared" si="2"/>
        <v>4379997.58</v>
      </c>
      <c r="G28" s="541">
        <f t="shared" si="3"/>
        <v>6.2657778966733416E-3</v>
      </c>
    </row>
    <row r="29" spans="1:7" s="298" customFormat="1" ht="30" x14ac:dyDescent="0.25">
      <c r="A29" s="537" t="s">
        <v>284</v>
      </c>
      <c r="B29" s="538">
        <v>0</v>
      </c>
      <c r="C29" s="539">
        <f t="shared" si="0"/>
        <v>0</v>
      </c>
      <c r="D29" s="540">
        <v>0</v>
      </c>
      <c r="E29" s="539">
        <f t="shared" si="1"/>
        <v>0</v>
      </c>
      <c r="F29" s="542">
        <f t="shared" si="2"/>
        <v>0</v>
      </c>
      <c r="G29" s="541">
        <f t="shared" si="3"/>
        <v>0</v>
      </c>
    </row>
    <row r="30" spans="1:7" s="298" customFormat="1" ht="15" x14ac:dyDescent="0.25">
      <c r="A30" s="537" t="s">
        <v>285</v>
      </c>
      <c r="B30" s="538">
        <v>57234.65</v>
      </c>
      <c r="C30" s="539">
        <f t="shared" si="0"/>
        <v>8.5907524833834218E-5</v>
      </c>
      <c r="D30" s="540">
        <v>4631064.92</v>
      </c>
      <c r="E30" s="539">
        <f t="shared" si="1"/>
        <v>0.14119384298923462</v>
      </c>
      <c r="F30" s="542">
        <f t="shared" si="2"/>
        <v>4688299.57</v>
      </c>
      <c r="G30" s="541">
        <f t="shared" si="3"/>
        <v>6.7068173628281168E-3</v>
      </c>
    </row>
    <row r="31" spans="1:7" s="298" customFormat="1" ht="30" x14ac:dyDescent="0.25">
      <c r="A31" s="537" t="s">
        <v>286</v>
      </c>
      <c r="B31" s="538">
        <v>0</v>
      </c>
      <c r="C31" s="539">
        <f t="shared" si="0"/>
        <v>0</v>
      </c>
      <c r="D31" s="540">
        <v>0</v>
      </c>
      <c r="E31" s="539">
        <f t="shared" si="1"/>
        <v>0</v>
      </c>
      <c r="F31" s="542">
        <f t="shared" si="2"/>
        <v>0</v>
      </c>
      <c r="G31" s="541">
        <f t="shared" si="3"/>
        <v>0</v>
      </c>
    </row>
    <row r="32" spans="1:7" s="298" customFormat="1" ht="30" x14ac:dyDescent="0.25">
      <c r="A32" s="537" t="s">
        <v>287</v>
      </c>
      <c r="B32" s="538">
        <v>248562.49</v>
      </c>
      <c r="C32" s="539">
        <f t="shared" si="0"/>
        <v>3.7308498055696449E-4</v>
      </c>
      <c r="D32" s="540">
        <v>0</v>
      </c>
      <c r="E32" s="539">
        <f t="shared" si="1"/>
        <v>0</v>
      </c>
      <c r="F32" s="542">
        <f t="shared" si="2"/>
        <v>248562.49</v>
      </c>
      <c r="G32" s="541">
        <f t="shared" si="3"/>
        <v>3.5557950143526984E-4</v>
      </c>
    </row>
    <row r="33" spans="1:7" s="298" customFormat="1" ht="30" x14ac:dyDescent="0.25">
      <c r="A33" s="537" t="s">
        <v>288</v>
      </c>
      <c r="B33" s="538">
        <v>0</v>
      </c>
      <c r="C33" s="539">
        <f t="shared" si="0"/>
        <v>0</v>
      </c>
      <c r="D33" s="540">
        <v>0</v>
      </c>
      <c r="E33" s="539">
        <f t="shared" si="1"/>
        <v>0</v>
      </c>
      <c r="F33" s="542">
        <f t="shared" si="2"/>
        <v>0</v>
      </c>
      <c r="G33" s="541">
        <f t="shared" si="3"/>
        <v>0</v>
      </c>
    </row>
    <row r="34" spans="1:7" s="298" customFormat="1" ht="15" x14ac:dyDescent="0.25">
      <c r="A34" s="537" t="s">
        <v>289</v>
      </c>
      <c r="B34" s="538">
        <v>0</v>
      </c>
      <c r="C34" s="539">
        <f t="shared" si="0"/>
        <v>0</v>
      </c>
      <c r="D34" s="540">
        <v>0</v>
      </c>
      <c r="E34" s="539">
        <f t="shared" si="1"/>
        <v>0</v>
      </c>
      <c r="F34" s="542">
        <f t="shared" si="2"/>
        <v>0</v>
      </c>
      <c r="G34" s="541">
        <f t="shared" si="3"/>
        <v>0</v>
      </c>
    </row>
    <row r="35" spans="1:7" s="298" customFormat="1" ht="30" x14ac:dyDescent="0.25">
      <c r="A35" s="537" t="s">
        <v>290</v>
      </c>
      <c r="B35" s="538">
        <v>8964.5400000000009</v>
      </c>
      <c r="C35" s="539">
        <f t="shared" si="0"/>
        <v>1.3455510650871461E-5</v>
      </c>
      <c r="D35" s="540">
        <v>0</v>
      </c>
      <c r="E35" s="539">
        <f t="shared" si="1"/>
        <v>0</v>
      </c>
      <c r="F35" s="542">
        <f t="shared" si="2"/>
        <v>8964.5400000000009</v>
      </c>
      <c r="G35" s="541">
        <f t="shared" si="3"/>
        <v>1.2824166123362114E-5</v>
      </c>
    </row>
    <row r="36" spans="1:7" s="298" customFormat="1" ht="30" x14ac:dyDescent="0.25">
      <c r="A36" s="537" t="s">
        <v>291</v>
      </c>
      <c r="B36" s="538">
        <v>0</v>
      </c>
      <c r="C36" s="539">
        <f t="shared" si="0"/>
        <v>0</v>
      </c>
      <c r="D36" s="540">
        <v>0</v>
      </c>
      <c r="E36" s="539">
        <f t="shared" si="1"/>
        <v>0</v>
      </c>
      <c r="F36" s="542">
        <f t="shared" si="2"/>
        <v>0</v>
      </c>
      <c r="G36" s="541">
        <f t="shared" si="3"/>
        <v>0</v>
      </c>
    </row>
    <row r="37" spans="1:7" s="298" customFormat="1" ht="24.75" customHeight="1" thickBot="1" x14ac:dyDescent="0.3">
      <c r="A37" s="836" t="s">
        <v>490</v>
      </c>
      <c r="B37" s="538">
        <v>533851998.02999997</v>
      </c>
      <c r="C37" s="539">
        <f t="shared" si="0"/>
        <v>0.80129613404387445</v>
      </c>
      <c r="D37" s="540">
        <v>17203.259999999998</v>
      </c>
      <c r="E37" s="539">
        <f t="shared" si="1"/>
        <v>5.2450018155715691E-4</v>
      </c>
      <c r="F37" s="542">
        <f t="shared" si="2"/>
        <v>533869201.28999996</v>
      </c>
      <c r="G37" s="541">
        <f t="shared" si="3"/>
        <v>0.76372321675062038</v>
      </c>
    </row>
    <row r="38" spans="1:7" ht="16.5" thickBot="1" x14ac:dyDescent="0.3">
      <c r="A38" s="569" t="s">
        <v>259</v>
      </c>
      <c r="B38" s="601">
        <f>SUM(B3:B37)</f>
        <v>666235584.25999999</v>
      </c>
      <c r="C38" s="602">
        <f>SUM(C3:C37)</f>
        <v>1</v>
      </c>
      <c r="D38" s="555">
        <f>SUM(D3:D37)</f>
        <v>32799340.410000008</v>
      </c>
      <c r="E38" s="529">
        <f>SUM(E3:E37)</f>
        <v>0.99999999999999978</v>
      </c>
      <c r="F38" s="555">
        <f t="shared" si="2"/>
        <v>699034924.66999996</v>
      </c>
      <c r="G38" s="927">
        <f>SUM(G3:G37)</f>
        <v>1</v>
      </c>
    </row>
    <row r="39" spans="1:7" s="298" customFormat="1" ht="15" x14ac:dyDescent="0.25">
      <c r="A39" s="568" t="s">
        <v>293</v>
      </c>
      <c r="B39" s="532">
        <v>10231393.529999999</v>
      </c>
      <c r="C39" s="599"/>
      <c r="D39" s="534">
        <v>3107314.31</v>
      </c>
      <c r="E39" s="599"/>
      <c r="F39" s="573">
        <f t="shared" si="2"/>
        <v>13338707.84</v>
      </c>
      <c r="G39" s="600"/>
    </row>
    <row r="40" spans="1:7" s="298" customFormat="1" ht="15" x14ac:dyDescent="0.25">
      <c r="A40" s="537" t="s">
        <v>294</v>
      </c>
      <c r="B40" s="538">
        <v>168349.3</v>
      </c>
      <c r="C40" s="539"/>
      <c r="D40" s="540">
        <v>669054.31000000006</v>
      </c>
      <c r="E40" s="539"/>
      <c r="F40" s="542">
        <f t="shared" si="2"/>
        <v>837403.6100000001</v>
      </c>
      <c r="G40" s="543"/>
    </row>
    <row r="41" spans="1:7" s="298" customFormat="1" thickBot="1" x14ac:dyDescent="0.3">
      <c r="A41" s="544" t="s">
        <v>295</v>
      </c>
      <c r="B41" s="545">
        <v>0</v>
      </c>
      <c r="C41" s="546"/>
      <c r="D41" s="547">
        <v>0</v>
      </c>
      <c r="E41" s="546"/>
      <c r="F41" s="548">
        <f t="shared" si="2"/>
        <v>0</v>
      </c>
      <c r="G41" s="549"/>
    </row>
    <row r="42" spans="1:7" ht="16.5" thickBot="1" x14ac:dyDescent="0.3">
      <c r="A42" s="550" t="s">
        <v>296</v>
      </c>
      <c r="B42" s="551">
        <f>B39-B40-B41</f>
        <v>10063044.229999999</v>
      </c>
      <c r="C42" s="552"/>
      <c r="D42" s="553">
        <f>D39-D40-D41</f>
        <v>2438260</v>
      </c>
      <c r="E42" s="554"/>
      <c r="F42" s="555">
        <f t="shared" si="2"/>
        <v>12501304.229999999</v>
      </c>
      <c r="G42" s="556"/>
    </row>
    <row r="43" spans="1:7" x14ac:dyDescent="0.25">
      <c r="G43" s="171" t="s">
        <v>378</v>
      </c>
    </row>
    <row r="45" spans="1:7" x14ac:dyDescent="0.2">
      <c r="C45" s="229"/>
      <c r="D45" s="229"/>
      <c r="E45" s="229"/>
      <c r="F45" s="229"/>
    </row>
  </sheetData>
  <mergeCells count="1">
    <mergeCell ref="A1:G1"/>
  </mergeCells>
  <phoneticPr fontId="47" type="noConversion"/>
  <pageMargins left="0.51181102362204722" right="0.11811023622047245" top="0.15748031496062992" bottom="0.15748031496062992" header="0" footer="0"/>
  <pageSetup paperSize="9" scale="85" orientation="portrait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2"/>
  <sheetViews>
    <sheetView tabSelected="1" topLeftCell="A10" workbookViewId="0">
      <selection activeCell="A35" sqref="A35"/>
    </sheetView>
  </sheetViews>
  <sheetFormatPr defaultRowHeight="15.75" x14ac:dyDescent="0.25"/>
  <cols>
    <col min="1" max="1" width="44.140625" style="301" customWidth="1"/>
    <col min="2" max="2" width="13.85546875" style="301" customWidth="1"/>
    <col min="3" max="3" width="15.140625" style="301" customWidth="1"/>
    <col min="4" max="5" width="13.85546875" style="301" customWidth="1"/>
    <col min="6" max="6" width="15.7109375" style="301" customWidth="1"/>
    <col min="7" max="7" width="14.5703125" style="301" customWidth="1"/>
    <col min="8" max="8" width="14.7109375" style="301" customWidth="1"/>
    <col min="9" max="9" width="14.42578125" style="301" bestFit="1" customWidth="1"/>
    <col min="10" max="10" width="13.42578125" style="301" customWidth="1"/>
    <col min="11" max="11" width="14.85546875" style="301" customWidth="1"/>
    <col min="12" max="16384" width="9.140625" style="301"/>
  </cols>
  <sheetData>
    <row r="1" spans="1:10" ht="18" customHeight="1" thickBot="1" x14ac:dyDescent="0.3">
      <c r="A1" s="1172" t="s">
        <v>637</v>
      </c>
      <c r="B1" s="1173"/>
      <c r="C1" s="1173"/>
      <c r="D1" s="1173"/>
      <c r="E1" s="1173"/>
      <c r="F1" s="1173"/>
      <c r="G1" s="1173"/>
      <c r="H1" s="1173"/>
      <c r="I1" s="1173"/>
      <c r="J1" s="1173"/>
    </row>
    <row r="2" spans="1:10" ht="16.5" customHeight="1" thickBot="1" x14ac:dyDescent="0.3">
      <c r="A2" s="1174" t="s">
        <v>124</v>
      </c>
      <c r="B2" s="1166" t="s">
        <v>438</v>
      </c>
      <c r="C2" s="1166"/>
      <c r="D2" s="1167"/>
      <c r="E2" s="1168" t="s">
        <v>491</v>
      </c>
      <c r="F2" s="1166"/>
      <c r="G2" s="1167"/>
      <c r="H2" s="1169" t="s">
        <v>492</v>
      </c>
      <c r="I2" s="1170"/>
      <c r="J2" s="1171"/>
    </row>
    <row r="3" spans="1:10" s="302" customFormat="1" ht="45.75" thickBot="1" x14ac:dyDescent="0.3">
      <c r="A3" s="1175"/>
      <c r="B3" s="567" t="s">
        <v>257</v>
      </c>
      <c r="C3" s="558" t="s">
        <v>258</v>
      </c>
      <c r="D3" s="559" t="s">
        <v>259</v>
      </c>
      <c r="E3" s="557" t="s">
        <v>257</v>
      </c>
      <c r="F3" s="558" t="s">
        <v>258</v>
      </c>
      <c r="G3" s="559" t="s">
        <v>259</v>
      </c>
      <c r="H3" s="557" t="s">
        <v>257</v>
      </c>
      <c r="I3" s="558" t="s">
        <v>258</v>
      </c>
      <c r="J3" s="559" t="s">
        <v>259</v>
      </c>
    </row>
    <row r="4" spans="1:10" x14ac:dyDescent="0.25">
      <c r="A4" s="531" t="s">
        <v>260</v>
      </c>
      <c r="B4" s="532">
        <v>777165.27</v>
      </c>
      <c r="C4" s="534">
        <v>3436037.7</v>
      </c>
      <c r="D4" s="560">
        <v>4213202.9700000007</v>
      </c>
      <c r="E4" s="532">
        <v>295355.18</v>
      </c>
      <c r="F4" s="534">
        <v>3470745.91</v>
      </c>
      <c r="G4" s="560">
        <f>E4+F4</f>
        <v>3766101.0900000003</v>
      </c>
      <c r="H4" s="561">
        <f>E4-B4</f>
        <v>-481810.09</v>
      </c>
      <c r="I4" s="534">
        <f>F4-C4</f>
        <v>34708.209999999963</v>
      </c>
      <c r="J4" s="562">
        <f>G4-D4</f>
        <v>-447101.88000000035</v>
      </c>
    </row>
    <row r="5" spans="1:10" x14ac:dyDescent="0.25">
      <c r="A5" s="537" t="s">
        <v>261</v>
      </c>
      <c r="B5" s="538">
        <v>39687382.420000002</v>
      </c>
      <c r="C5" s="540">
        <v>16014925.189999999</v>
      </c>
      <c r="D5" s="560">
        <v>55702307.609999999</v>
      </c>
      <c r="E5" s="538">
        <v>36925580.229999997</v>
      </c>
      <c r="F5" s="540">
        <v>17060331.82</v>
      </c>
      <c r="G5" s="560">
        <f t="shared" ref="G5:G38" si="0">E5+F5</f>
        <v>53985912.049999997</v>
      </c>
      <c r="H5" s="561">
        <f t="shared" ref="H5:J38" si="1">E5-B5</f>
        <v>-2761802.1900000051</v>
      </c>
      <c r="I5" s="534">
        <f t="shared" si="1"/>
        <v>1045406.6300000008</v>
      </c>
      <c r="J5" s="562">
        <f t="shared" si="1"/>
        <v>-1716395.5600000024</v>
      </c>
    </row>
    <row r="6" spans="1:10" x14ac:dyDescent="0.25">
      <c r="A6" s="537" t="s">
        <v>427</v>
      </c>
      <c r="B6" s="538">
        <v>3921447.14</v>
      </c>
      <c r="C6" s="540">
        <v>860491.31</v>
      </c>
      <c r="D6" s="560">
        <v>4781938.45</v>
      </c>
      <c r="E6" s="538">
        <v>462311.44</v>
      </c>
      <c r="F6" s="540">
        <v>4018511.77</v>
      </c>
      <c r="G6" s="560">
        <f t="shared" si="0"/>
        <v>4480823.21</v>
      </c>
      <c r="H6" s="561">
        <f t="shared" si="1"/>
        <v>-3459135.7</v>
      </c>
      <c r="I6" s="534">
        <f t="shared" si="1"/>
        <v>3158020.46</v>
      </c>
      <c r="J6" s="562">
        <f t="shared" si="1"/>
        <v>-301115.24000000022</v>
      </c>
    </row>
    <row r="7" spans="1:10" x14ac:dyDescent="0.25">
      <c r="A7" s="537" t="s">
        <v>262</v>
      </c>
      <c r="B7" s="538">
        <v>0</v>
      </c>
      <c r="C7" s="540">
        <v>0</v>
      </c>
      <c r="D7" s="560">
        <v>0</v>
      </c>
      <c r="E7" s="538">
        <v>0</v>
      </c>
      <c r="F7" s="540">
        <v>0</v>
      </c>
      <c r="G7" s="560">
        <f t="shared" si="0"/>
        <v>0</v>
      </c>
      <c r="H7" s="561">
        <f t="shared" si="1"/>
        <v>0</v>
      </c>
      <c r="I7" s="534">
        <f t="shared" si="1"/>
        <v>0</v>
      </c>
      <c r="J7" s="562">
        <f t="shared" si="1"/>
        <v>0</v>
      </c>
    </row>
    <row r="8" spans="1:10" x14ac:dyDescent="0.25">
      <c r="A8" s="537" t="s">
        <v>263</v>
      </c>
      <c r="B8" s="538">
        <v>0</v>
      </c>
      <c r="C8" s="540">
        <v>0</v>
      </c>
      <c r="D8" s="560">
        <v>0</v>
      </c>
      <c r="E8" s="538">
        <v>0</v>
      </c>
      <c r="F8" s="540">
        <v>0</v>
      </c>
      <c r="G8" s="560">
        <f t="shared" si="0"/>
        <v>0</v>
      </c>
      <c r="H8" s="561">
        <f t="shared" si="1"/>
        <v>0</v>
      </c>
      <c r="I8" s="534">
        <f t="shared" si="1"/>
        <v>0</v>
      </c>
      <c r="J8" s="562">
        <f t="shared" si="1"/>
        <v>0</v>
      </c>
    </row>
    <row r="9" spans="1:10" x14ac:dyDescent="0.25">
      <c r="A9" s="537" t="s">
        <v>428</v>
      </c>
      <c r="B9" s="538">
        <v>81530.19</v>
      </c>
      <c r="C9" s="540">
        <v>-327966.39</v>
      </c>
      <c r="D9" s="560">
        <v>-246436.2</v>
      </c>
      <c r="E9" s="538">
        <v>101315.1</v>
      </c>
      <c r="F9" s="540">
        <v>92635.91</v>
      </c>
      <c r="G9" s="560">
        <f t="shared" si="0"/>
        <v>193951.01</v>
      </c>
      <c r="H9" s="561">
        <f t="shared" si="1"/>
        <v>19784.910000000003</v>
      </c>
      <c r="I9" s="534">
        <f t="shared" si="1"/>
        <v>420602.30000000005</v>
      </c>
      <c r="J9" s="562">
        <f t="shared" si="1"/>
        <v>440387.21</v>
      </c>
    </row>
    <row r="10" spans="1:10" x14ac:dyDescent="0.25">
      <c r="A10" s="537" t="s">
        <v>264</v>
      </c>
      <c r="B10" s="538">
        <v>0</v>
      </c>
      <c r="C10" s="540">
        <v>10277.11</v>
      </c>
      <c r="D10" s="560">
        <v>10277.11</v>
      </c>
      <c r="E10" s="538">
        <v>0</v>
      </c>
      <c r="F10" s="540">
        <v>-8442.6299999999992</v>
      </c>
      <c r="G10" s="560">
        <f t="shared" si="0"/>
        <v>-8442.6299999999992</v>
      </c>
      <c r="H10" s="561">
        <f t="shared" si="1"/>
        <v>0</v>
      </c>
      <c r="I10" s="534">
        <f t="shared" si="1"/>
        <v>-18719.739999999998</v>
      </c>
      <c r="J10" s="562">
        <f t="shared" si="1"/>
        <v>-18719.739999999998</v>
      </c>
    </row>
    <row r="11" spans="1:10" x14ac:dyDescent="0.25">
      <c r="A11" s="537" t="s">
        <v>265</v>
      </c>
      <c r="B11" s="538">
        <v>12121.24</v>
      </c>
      <c r="C11" s="540">
        <v>139367.82999999999</v>
      </c>
      <c r="D11" s="560">
        <v>151489.06999999998</v>
      </c>
      <c r="E11" s="538">
        <v>3493.04</v>
      </c>
      <c r="F11" s="540">
        <v>23384.86</v>
      </c>
      <c r="G11" s="560">
        <f t="shared" si="0"/>
        <v>26877.9</v>
      </c>
      <c r="H11" s="561">
        <f t="shared" si="1"/>
        <v>-8628.2000000000007</v>
      </c>
      <c r="I11" s="534">
        <f t="shared" si="1"/>
        <v>-115982.96999999999</v>
      </c>
      <c r="J11" s="562">
        <f t="shared" si="1"/>
        <v>-124611.16999999998</v>
      </c>
    </row>
    <row r="12" spans="1:10" x14ac:dyDescent="0.25">
      <c r="A12" s="537" t="s">
        <v>266</v>
      </c>
      <c r="B12" s="538">
        <v>1078997.6200000001</v>
      </c>
      <c r="C12" s="540">
        <v>522871.19</v>
      </c>
      <c r="D12" s="560">
        <v>1601868.81</v>
      </c>
      <c r="E12" s="538">
        <v>1108148.04</v>
      </c>
      <c r="F12" s="540">
        <v>870116.91</v>
      </c>
      <c r="G12" s="560">
        <f t="shared" si="0"/>
        <v>1978264.9500000002</v>
      </c>
      <c r="H12" s="561">
        <f t="shared" si="1"/>
        <v>29150.419999999925</v>
      </c>
      <c r="I12" s="534">
        <f t="shared" si="1"/>
        <v>347245.72000000003</v>
      </c>
      <c r="J12" s="562">
        <f t="shared" si="1"/>
        <v>376396.14000000013</v>
      </c>
    </row>
    <row r="13" spans="1:10" ht="26.25" customHeight="1" x14ac:dyDescent="0.25">
      <c r="A13" s="537" t="s">
        <v>267</v>
      </c>
      <c r="B13" s="538">
        <v>0</v>
      </c>
      <c r="C13" s="540">
        <v>0</v>
      </c>
      <c r="D13" s="560">
        <v>0</v>
      </c>
      <c r="E13" s="538">
        <v>0</v>
      </c>
      <c r="F13" s="540">
        <v>0</v>
      </c>
      <c r="G13" s="560">
        <f t="shared" si="0"/>
        <v>0</v>
      </c>
      <c r="H13" s="561">
        <f t="shared" si="1"/>
        <v>0</v>
      </c>
      <c r="I13" s="534">
        <f t="shared" si="1"/>
        <v>0</v>
      </c>
      <c r="J13" s="562">
        <f t="shared" si="1"/>
        <v>0</v>
      </c>
    </row>
    <row r="14" spans="1:10" ht="20.25" customHeight="1" x14ac:dyDescent="0.25">
      <c r="A14" s="537" t="s">
        <v>268</v>
      </c>
      <c r="B14" s="538">
        <v>154185.09</v>
      </c>
      <c r="C14" s="540">
        <v>31069.27</v>
      </c>
      <c r="D14" s="560">
        <v>185254.36</v>
      </c>
      <c r="E14" s="538">
        <v>242509.11</v>
      </c>
      <c r="F14" s="540">
        <v>555.91999999999996</v>
      </c>
      <c r="G14" s="560">
        <f t="shared" si="0"/>
        <v>243065.03</v>
      </c>
      <c r="H14" s="561">
        <f t="shared" si="1"/>
        <v>88324.01999999999</v>
      </c>
      <c r="I14" s="534">
        <f t="shared" si="1"/>
        <v>-30513.350000000002</v>
      </c>
      <c r="J14" s="562">
        <f t="shared" si="1"/>
        <v>57810.670000000013</v>
      </c>
    </row>
    <row r="15" spans="1:10" x14ac:dyDescent="0.25">
      <c r="A15" s="537" t="s">
        <v>269</v>
      </c>
      <c r="B15" s="538">
        <v>11712.9</v>
      </c>
      <c r="C15" s="540">
        <v>21415.93</v>
      </c>
      <c r="D15" s="560">
        <v>33128.83</v>
      </c>
      <c r="E15" s="538">
        <v>48991.96</v>
      </c>
      <c r="F15" s="540">
        <v>25306.19</v>
      </c>
      <c r="G15" s="560">
        <f t="shared" si="0"/>
        <v>74298.149999999994</v>
      </c>
      <c r="H15" s="561">
        <f t="shared" si="1"/>
        <v>37279.06</v>
      </c>
      <c r="I15" s="534">
        <f t="shared" si="1"/>
        <v>3890.2599999999984</v>
      </c>
      <c r="J15" s="562">
        <f t="shared" si="1"/>
        <v>41169.319999999992</v>
      </c>
    </row>
    <row r="16" spans="1:10" x14ac:dyDescent="0.25">
      <c r="A16" s="537" t="s">
        <v>270</v>
      </c>
      <c r="B16" s="538">
        <v>132780.9</v>
      </c>
      <c r="C16" s="540">
        <v>962.72</v>
      </c>
      <c r="D16" s="560">
        <v>133743.62</v>
      </c>
      <c r="E16" s="538">
        <v>108456.69</v>
      </c>
      <c r="F16" s="540">
        <v>14320.06</v>
      </c>
      <c r="G16" s="560">
        <f t="shared" si="0"/>
        <v>122776.75</v>
      </c>
      <c r="H16" s="561">
        <f t="shared" si="1"/>
        <v>-24324.209999999992</v>
      </c>
      <c r="I16" s="534">
        <f t="shared" si="1"/>
        <v>13357.34</v>
      </c>
      <c r="J16" s="562">
        <f t="shared" si="1"/>
        <v>-10966.869999999995</v>
      </c>
    </row>
    <row r="17" spans="1:10" x14ac:dyDescent="0.25">
      <c r="A17" s="537" t="s">
        <v>271</v>
      </c>
      <c r="B17" s="538">
        <v>0</v>
      </c>
      <c r="C17" s="540">
        <v>1207.3</v>
      </c>
      <c r="D17" s="560">
        <v>1207.3</v>
      </c>
      <c r="E17" s="538">
        <v>14120.36</v>
      </c>
      <c r="F17" s="540">
        <v>445.26</v>
      </c>
      <c r="G17" s="560">
        <f t="shared" si="0"/>
        <v>14565.62</v>
      </c>
      <c r="H17" s="561">
        <f t="shared" si="1"/>
        <v>14120.36</v>
      </c>
      <c r="I17" s="534">
        <f t="shared" si="1"/>
        <v>-762.04</v>
      </c>
      <c r="J17" s="562">
        <f t="shared" si="1"/>
        <v>13358.320000000002</v>
      </c>
    </row>
    <row r="18" spans="1:10" x14ac:dyDescent="0.25">
      <c r="A18" s="537" t="s">
        <v>272</v>
      </c>
      <c r="B18" s="538">
        <v>18021.04</v>
      </c>
      <c r="C18" s="540">
        <v>22114.37</v>
      </c>
      <c r="D18" s="560">
        <v>40135.410000000003</v>
      </c>
      <c r="E18" s="538">
        <v>6324.58</v>
      </c>
      <c r="F18" s="540">
        <v>7953.34</v>
      </c>
      <c r="G18" s="560">
        <f t="shared" si="0"/>
        <v>14277.92</v>
      </c>
      <c r="H18" s="561">
        <f t="shared" si="1"/>
        <v>-11696.460000000001</v>
      </c>
      <c r="I18" s="534">
        <f t="shared" si="1"/>
        <v>-14161.029999999999</v>
      </c>
      <c r="J18" s="562">
        <f t="shared" si="1"/>
        <v>-25857.490000000005</v>
      </c>
    </row>
    <row r="19" spans="1:10" x14ac:dyDescent="0.25">
      <c r="A19" s="537" t="s">
        <v>273</v>
      </c>
      <c r="B19" s="538">
        <v>26436.89</v>
      </c>
      <c r="C19" s="540">
        <v>5598.28</v>
      </c>
      <c r="D19" s="560">
        <v>32035.17</v>
      </c>
      <c r="E19" s="538">
        <v>29737.34</v>
      </c>
      <c r="F19" s="540">
        <v>1390.66</v>
      </c>
      <c r="G19" s="560">
        <f t="shared" si="0"/>
        <v>31128</v>
      </c>
      <c r="H19" s="561">
        <f t="shared" si="1"/>
        <v>3300.4500000000007</v>
      </c>
      <c r="I19" s="534">
        <f t="shared" si="1"/>
        <v>-4207.62</v>
      </c>
      <c r="J19" s="562">
        <f t="shared" si="1"/>
        <v>-907.16999999999825</v>
      </c>
    </row>
    <row r="20" spans="1:10" x14ac:dyDescent="0.25">
      <c r="A20" s="537" t="s">
        <v>274</v>
      </c>
      <c r="B20" s="538">
        <v>23139.78</v>
      </c>
      <c r="C20" s="540">
        <v>38.799999999999997</v>
      </c>
      <c r="D20" s="560">
        <v>23178.579999999998</v>
      </c>
      <c r="E20" s="538">
        <v>18757.490000000002</v>
      </c>
      <c r="F20" s="540">
        <v>0</v>
      </c>
      <c r="G20" s="560">
        <f t="shared" si="0"/>
        <v>18757.490000000002</v>
      </c>
      <c r="H20" s="561">
        <f t="shared" si="1"/>
        <v>-4382.2899999999972</v>
      </c>
      <c r="I20" s="534">
        <f t="shared" si="1"/>
        <v>-38.799999999999997</v>
      </c>
      <c r="J20" s="562">
        <f t="shared" si="1"/>
        <v>-4421.0899999999965</v>
      </c>
    </row>
    <row r="21" spans="1:10" x14ac:dyDescent="0.25">
      <c r="A21" s="537" t="s">
        <v>275</v>
      </c>
      <c r="B21" s="538">
        <v>4275</v>
      </c>
      <c r="C21" s="540">
        <v>0</v>
      </c>
      <c r="D21" s="560">
        <v>4275</v>
      </c>
      <c r="E21" s="538">
        <v>0</v>
      </c>
      <c r="F21" s="540">
        <v>0</v>
      </c>
      <c r="G21" s="560">
        <f t="shared" si="0"/>
        <v>0</v>
      </c>
      <c r="H21" s="561">
        <f t="shared" si="1"/>
        <v>-4275</v>
      </c>
      <c r="I21" s="534">
        <f t="shared" si="1"/>
        <v>0</v>
      </c>
      <c r="J21" s="562">
        <f t="shared" si="1"/>
        <v>-4275</v>
      </c>
    </row>
    <row r="22" spans="1:10" x14ac:dyDescent="0.25">
      <c r="A22" s="537" t="s">
        <v>276</v>
      </c>
      <c r="B22" s="538">
        <v>0</v>
      </c>
      <c r="C22" s="540">
        <v>0</v>
      </c>
      <c r="D22" s="560">
        <v>0</v>
      </c>
      <c r="E22" s="538">
        <v>0</v>
      </c>
      <c r="F22" s="540">
        <v>0</v>
      </c>
      <c r="G22" s="560">
        <f t="shared" si="0"/>
        <v>0</v>
      </c>
      <c r="H22" s="561">
        <f t="shared" si="1"/>
        <v>0</v>
      </c>
      <c r="I22" s="534">
        <f t="shared" si="1"/>
        <v>0</v>
      </c>
      <c r="J22" s="562">
        <f t="shared" si="1"/>
        <v>0</v>
      </c>
    </row>
    <row r="23" spans="1:10" x14ac:dyDescent="0.25">
      <c r="A23" s="537" t="s">
        <v>277</v>
      </c>
      <c r="B23" s="538">
        <v>81016849.409999996</v>
      </c>
      <c r="C23" s="540">
        <v>1428608.03</v>
      </c>
      <c r="D23" s="560">
        <v>82445457.439999998</v>
      </c>
      <c r="E23" s="538">
        <v>85147994.359999999</v>
      </c>
      <c r="F23" s="540">
        <v>2265799.3199999998</v>
      </c>
      <c r="G23" s="560">
        <f t="shared" si="0"/>
        <v>87413793.679999992</v>
      </c>
      <c r="H23" s="561">
        <f t="shared" si="1"/>
        <v>4131144.950000003</v>
      </c>
      <c r="I23" s="534">
        <f t="shared" si="1"/>
        <v>837191.2899999998</v>
      </c>
      <c r="J23" s="562">
        <f t="shared" si="1"/>
        <v>4968336.2399999946</v>
      </c>
    </row>
    <row r="24" spans="1:10" ht="30" x14ac:dyDescent="0.25">
      <c r="A24" s="537" t="s">
        <v>278</v>
      </c>
      <c r="B24" s="538">
        <v>3745525.36</v>
      </c>
      <c r="C24" s="540">
        <v>22817.49</v>
      </c>
      <c r="D24" s="560">
        <v>3768342.85</v>
      </c>
      <c r="E24" s="538">
        <v>3246204.59</v>
      </c>
      <c r="F24" s="540">
        <v>219369.54</v>
      </c>
      <c r="G24" s="560">
        <f t="shared" si="0"/>
        <v>3465574.13</v>
      </c>
      <c r="H24" s="561">
        <f t="shared" si="1"/>
        <v>-499320.77</v>
      </c>
      <c r="I24" s="534">
        <f t="shared" si="1"/>
        <v>196552.05000000002</v>
      </c>
      <c r="J24" s="562">
        <f t="shared" si="1"/>
        <v>-302768.7200000002</v>
      </c>
    </row>
    <row r="25" spans="1:10" ht="21" customHeight="1" x14ac:dyDescent="0.25">
      <c r="A25" s="537" t="s">
        <v>279</v>
      </c>
      <c r="B25" s="538">
        <v>0</v>
      </c>
      <c r="C25" s="540">
        <v>0</v>
      </c>
      <c r="D25" s="560">
        <v>0</v>
      </c>
      <c r="E25" s="538">
        <v>1592.5</v>
      </c>
      <c r="F25" s="540">
        <v>0</v>
      </c>
      <c r="G25" s="560">
        <f t="shared" si="0"/>
        <v>1592.5</v>
      </c>
      <c r="H25" s="561">
        <f t="shared" si="1"/>
        <v>1592.5</v>
      </c>
      <c r="I25" s="534">
        <f t="shared" si="1"/>
        <v>0</v>
      </c>
      <c r="J25" s="562">
        <f t="shared" si="1"/>
        <v>1592.5</v>
      </c>
    </row>
    <row r="26" spans="1:10" ht="21.75" customHeight="1" x14ac:dyDescent="0.25">
      <c r="A26" s="537" t="s">
        <v>280</v>
      </c>
      <c r="B26" s="538">
        <v>0</v>
      </c>
      <c r="C26" s="540">
        <v>0</v>
      </c>
      <c r="D26" s="560">
        <v>0</v>
      </c>
      <c r="E26" s="538">
        <v>0</v>
      </c>
      <c r="F26" s="540">
        <v>0</v>
      </c>
      <c r="G26" s="560">
        <f t="shared" si="0"/>
        <v>0</v>
      </c>
      <c r="H26" s="561">
        <f t="shared" si="1"/>
        <v>0</v>
      </c>
      <c r="I26" s="534">
        <f t="shared" si="1"/>
        <v>0</v>
      </c>
      <c r="J26" s="562">
        <f t="shared" si="1"/>
        <v>0</v>
      </c>
    </row>
    <row r="27" spans="1:10" x14ac:dyDescent="0.25">
      <c r="A27" s="537" t="s">
        <v>281</v>
      </c>
      <c r="B27" s="538">
        <v>1051.6600000000001</v>
      </c>
      <c r="C27" s="540">
        <v>13923.33</v>
      </c>
      <c r="D27" s="560">
        <v>14974.99</v>
      </c>
      <c r="E27" s="538">
        <v>14348.4</v>
      </c>
      <c r="F27" s="540">
        <v>2233.9499999999998</v>
      </c>
      <c r="G27" s="560">
        <f t="shared" si="0"/>
        <v>16582.349999999999</v>
      </c>
      <c r="H27" s="561">
        <f t="shared" si="1"/>
        <v>13296.74</v>
      </c>
      <c r="I27" s="534">
        <f t="shared" si="1"/>
        <v>-11689.380000000001</v>
      </c>
      <c r="J27" s="562">
        <f t="shared" si="1"/>
        <v>1607.3599999999988</v>
      </c>
    </row>
    <row r="28" spans="1:10" ht="22.5" customHeight="1" x14ac:dyDescent="0.25">
      <c r="A28" s="537" t="s">
        <v>282</v>
      </c>
      <c r="B28" s="538">
        <v>0</v>
      </c>
      <c r="C28" s="540">
        <v>0</v>
      </c>
      <c r="D28" s="560">
        <v>0</v>
      </c>
      <c r="E28" s="538">
        <v>0</v>
      </c>
      <c r="F28" s="540">
        <v>0</v>
      </c>
      <c r="G28" s="560">
        <f t="shared" si="0"/>
        <v>0</v>
      </c>
      <c r="H28" s="561">
        <f t="shared" si="1"/>
        <v>0</v>
      </c>
      <c r="I28" s="534">
        <f t="shared" si="1"/>
        <v>0</v>
      </c>
      <c r="J28" s="562">
        <f t="shared" si="1"/>
        <v>0</v>
      </c>
    </row>
    <row r="29" spans="1:10" x14ac:dyDescent="0.25">
      <c r="A29" s="537" t="s">
        <v>297</v>
      </c>
      <c r="B29" s="538">
        <v>5660130.7999999998</v>
      </c>
      <c r="C29" s="540">
        <v>23415.97</v>
      </c>
      <c r="D29" s="560">
        <v>5683546.7699999996</v>
      </c>
      <c r="E29" s="538">
        <v>4293584.1399999997</v>
      </c>
      <c r="F29" s="540">
        <v>86413.440000000002</v>
      </c>
      <c r="G29" s="560">
        <f t="shared" si="0"/>
        <v>4379997.58</v>
      </c>
      <c r="H29" s="561">
        <f t="shared" si="1"/>
        <v>-1366546.6600000001</v>
      </c>
      <c r="I29" s="534">
        <f t="shared" si="1"/>
        <v>62997.47</v>
      </c>
      <c r="J29" s="562">
        <f t="shared" si="1"/>
        <v>-1303549.1899999995</v>
      </c>
    </row>
    <row r="30" spans="1:10" x14ac:dyDescent="0.25">
      <c r="A30" s="537" t="s">
        <v>284</v>
      </c>
      <c r="B30" s="538">
        <v>0</v>
      </c>
      <c r="C30" s="540">
        <v>0</v>
      </c>
      <c r="D30" s="560">
        <v>0</v>
      </c>
      <c r="E30" s="538">
        <v>0</v>
      </c>
      <c r="F30" s="540">
        <v>0</v>
      </c>
      <c r="G30" s="560">
        <f t="shared" si="0"/>
        <v>0</v>
      </c>
      <c r="H30" s="561">
        <f t="shared" si="1"/>
        <v>0</v>
      </c>
      <c r="I30" s="534">
        <f t="shared" si="1"/>
        <v>0</v>
      </c>
      <c r="J30" s="562">
        <f t="shared" si="1"/>
        <v>0</v>
      </c>
    </row>
    <row r="31" spans="1:10" x14ac:dyDescent="0.25">
      <c r="A31" s="537" t="s">
        <v>285</v>
      </c>
      <c r="B31" s="538">
        <v>532124.98</v>
      </c>
      <c r="C31" s="540">
        <v>4462865.33</v>
      </c>
      <c r="D31" s="560">
        <v>4994990.3100000005</v>
      </c>
      <c r="E31" s="538">
        <v>57234.65</v>
      </c>
      <c r="F31" s="540">
        <v>4631064.92</v>
      </c>
      <c r="G31" s="560">
        <f t="shared" si="0"/>
        <v>4688299.57</v>
      </c>
      <c r="H31" s="561">
        <f t="shared" si="1"/>
        <v>-474890.32999999996</v>
      </c>
      <c r="I31" s="534">
        <f t="shared" si="1"/>
        <v>168199.58999999985</v>
      </c>
      <c r="J31" s="562">
        <f t="shared" si="1"/>
        <v>-306690.74000000022</v>
      </c>
    </row>
    <row r="32" spans="1:10" ht="18.75" customHeight="1" x14ac:dyDescent="0.25">
      <c r="A32" s="537" t="s">
        <v>286</v>
      </c>
      <c r="B32" s="538">
        <v>0</v>
      </c>
      <c r="C32" s="540">
        <v>0</v>
      </c>
      <c r="D32" s="560">
        <v>0</v>
      </c>
      <c r="E32" s="538">
        <v>0</v>
      </c>
      <c r="F32" s="540">
        <v>0</v>
      </c>
      <c r="G32" s="560">
        <f t="shared" si="0"/>
        <v>0</v>
      </c>
      <c r="H32" s="561">
        <f t="shared" si="1"/>
        <v>0</v>
      </c>
      <c r="I32" s="534">
        <f t="shared" si="1"/>
        <v>0</v>
      </c>
      <c r="J32" s="562">
        <f t="shared" si="1"/>
        <v>0</v>
      </c>
    </row>
    <row r="33" spans="1:10" x14ac:dyDescent="0.25">
      <c r="A33" s="537" t="s">
        <v>287</v>
      </c>
      <c r="B33" s="538">
        <v>393265.99</v>
      </c>
      <c r="C33" s="540">
        <v>0</v>
      </c>
      <c r="D33" s="560">
        <v>393265.99</v>
      </c>
      <c r="E33" s="538">
        <v>248562.49</v>
      </c>
      <c r="F33" s="540">
        <v>0</v>
      </c>
      <c r="G33" s="560">
        <f t="shared" si="0"/>
        <v>248562.49</v>
      </c>
      <c r="H33" s="561">
        <f t="shared" si="1"/>
        <v>-144703.5</v>
      </c>
      <c r="I33" s="534">
        <f t="shared" si="1"/>
        <v>0</v>
      </c>
      <c r="J33" s="562">
        <f t="shared" si="1"/>
        <v>-144703.5</v>
      </c>
    </row>
    <row r="34" spans="1:10" x14ac:dyDescent="0.25">
      <c r="A34" s="537" t="s">
        <v>288</v>
      </c>
      <c r="B34" s="538">
        <v>0</v>
      </c>
      <c r="C34" s="540">
        <v>0</v>
      </c>
      <c r="D34" s="560">
        <v>0</v>
      </c>
      <c r="E34" s="538">
        <v>0</v>
      </c>
      <c r="F34" s="540">
        <v>0</v>
      </c>
      <c r="G34" s="560">
        <f t="shared" si="0"/>
        <v>0</v>
      </c>
      <c r="H34" s="561">
        <f t="shared" si="1"/>
        <v>0</v>
      </c>
      <c r="I34" s="534">
        <f t="shared" si="1"/>
        <v>0</v>
      </c>
      <c r="J34" s="562">
        <f t="shared" si="1"/>
        <v>0</v>
      </c>
    </row>
    <row r="35" spans="1:10" x14ac:dyDescent="0.25">
      <c r="A35" s="537" t="s">
        <v>289</v>
      </c>
      <c r="B35" s="538">
        <v>0</v>
      </c>
      <c r="C35" s="540">
        <v>0</v>
      </c>
      <c r="D35" s="560">
        <v>0</v>
      </c>
      <c r="E35" s="538">
        <v>0</v>
      </c>
      <c r="F35" s="540">
        <v>0</v>
      </c>
      <c r="G35" s="560">
        <f t="shared" si="0"/>
        <v>0</v>
      </c>
      <c r="H35" s="561">
        <f t="shared" si="1"/>
        <v>0</v>
      </c>
      <c r="I35" s="534">
        <f t="shared" si="1"/>
        <v>0</v>
      </c>
      <c r="J35" s="562">
        <f t="shared" si="1"/>
        <v>0</v>
      </c>
    </row>
    <row r="36" spans="1:10" x14ac:dyDescent="0.25">
      <c r="A36" s="537" t="s">
        <v>291</v>
      </c>
      <c r="B36" s="538">
        <v>28415.62</v>
      </c>
      <c r="C36" s="540">
        <v>0</v>
      </c>
      <c r="D36" s="560">
        <v>28415.62</v>
      </c>
      <c r="E36" s="538">
        <v>8964.5400000000009</v>
      </c>
      <c r="F36" s="540">
        <v>0</v>
      </c>
      <c r="G36" s="560">
        <f t="shared" si="0"/>
        <v>8964.5400000000009</v>
      </c>
      <c r="H36" s="561">
        <f t="shared" si="1"/>
        <v>-19451.079999999998</v>
      </c>
      <c r="I36" s="534">
        <f t="shared" si="1"/>
        <v>0</v>
      </c>
      <c r="J36" s="562">
        <f t="shared" si="1"/>
        <v>-19451.079999999998</v>
      </c>
    </row>
    <row r="37" spans="1:10" x14ac:dyDescent="0.25">
      <c r="A37" s="537" t="s">
        <v>290</v>
      </c>
      <c r="B37" s="538">
        <v>0</v>
      </c>
      <c r="C37" s="540">
        <v>0</v>
      </c>
      <c r="D37" s="560">
        <v>0</v>
      </c>
      <c r="E37" s="538">
        <v>0</v>
      </c>
      <c r="F37" s="540">
        <v>0</v>
      </c>
      <c r="G37" s="560">
        <f t="shared" si="0"/>
        <v>0</v>
      </c>
      <c r="H37" s="561">
        <f t="shared" si="1"/>
        <v>0</v>
      </c>
      <c r="I37" s="534">
        <f t="shared" si="1"/>
        <v>0</v>
      </c>
      <c r="J37" s="562">
        <f t="shared" si="1"/>
        <v>0</v>
      </c>
    </row>
    <row r="38" spans="1:10" ht="16.5" thickBot="1" x14ac:dyDescent="0.3">
      <c r="A38" s="836" t="s">
        <v>292</v>
      </c>
      <c r="B38" s="545">
        <v>509324473.85000002</v>
      </c>
      <c r="C38" s="547">
        <v>4533.9799999999996</v>
      </c>
      <c r="D38" s="618">
        <v>509329007.83000004</v>
      </c>
      <c r="E38" s="545">
        <v>533851998.02999997</v>
      </c>
      <c r="F38" s="547">
        <v>17203.259999999998</v>
      </c>
      <c r="G38" s="618">
        <f t="shared" si="0"/>
        <v>533869201.28999996</v>
      </c>
      <c r="H38" s="614">
        <f t="shared" si="1"/>
        <v>24527524.179999948</v>
      </c>
      <c r="I38" s="621">
        <f t="shared" si="1"/>
        <v>12669.279999999999</v>
      </c>
      <c r="J38" s="615">
        <f t="shared" si="1"/>
        <v>24540193.459999919</v>
      </c>
    </row>
    <row r="39" spans="1:10" ht="16.5" thickBot="1" x14ac:dyDescent="0.3">
      <c r="A39" s="569" t="s">
        <v>259</v>
      </c>
      <c r="B39" s="564">
        <f>SUM(B4:B38)</f>
        <v>646631033.1500001</v>
      </c>
      <c r="C39" s="565">
        <f>SUM(C4:C38)</f>
        <v>26694574.739999998</v>
      </c>
      <c r="D39" s="566">
        <f>SUM(D4:D38)</f>
        <v>673325607.8900001</v>
      </c>
      <c r="E39" s="564">
        <f t="shared" ref="E39:J39" si="2">SUM(E4:E38)</f>
        <v>666235584.25999999</v>
      </c>
      <c r="F39" s="565">
        <f t="shared" si="2"/>
        <v>32799340.410000008</v>
      </c>
      <c r="G39" s="566">
        <f t="shared" si="2"/>
        <v>699034924.66999996</v>
      </c>
      <c r="H39" s="564">
        <f t="shared" si="2"/>
        <v>19604551.109999947</v>
      </c>
      <c r="I39" s="565">
        <f t="shared" si="2"/>
        <v>6104765.6699999999</v>
      </c>
      <c r="J39" s="566">
        <f t="shared" si="2"/>
        <v>25709316.779999912</v>
      </c>
    </row>
    <row r="40" spans="1:10" x14ac:dyDescent="0.25">
      <c r="D40" s="303"/>
      <c r="G40" s="303"/>
      <c r="J40" s="333" t="s">
        <v>378</v>
      </c>
    </row>
    <row r="41" spans="1:10" x14ac:dyDescent="0.25">
      <c r="J41" s="304"/>
    </row>
    <row r="42" spans="1:10" x14ac:dyDescent="0.2">
      <c r="E42" s="305"/>
      <c r="F42" s="305"/>
      <c r="G42" s="305"/>
      <c r="H42" s="305"/>
    </row>
  </sheetData>
  <mergeCells count="5">
    <mergeCell ref="B2:D2"/>
    <mergeCell ref="E2:G2"/>
    <mergeCell ref="H2:J2"/>
    <mergeCell ref="A1:J1"/>
    <mergeCell ref="A2:A3"/>
  </mergeCells>
  <phoneticPr fontId="47" type="noConversion"/>
  <pageMargins left="0.51181102362204722" right="0" top="0.35433070866141736" bottom="0.15748031496062992" header="0" footer="0"/>
  <pageSetup paperSize="9" scale="80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7"/>
  <sheetViews>
    <sheetView tabSelected="1" topLeftCell="A13" workbookViewId="0">
      <selection activeCell="A35" sqref="A35"/>
    </sheetView>
  </sheetViews>
  <sheetFormatPr defaultColWidth="11.85546875" defaultRowHeight="15.75" x14ac:dyDescent="0.25"/>
  <cols>
    <col min="1" max="1" width="64.42578125" style="296" customWidth="1"/>
    <col min="2" max="2" width="24.5703125" style="296" customWidth="1"/>
    <col min="3" max="3" width="11.85546875" style="309" customWidth="1"/>
    <col min="4" max="4" width="21.5703125" style="296" customWidth="1"/>
    <col min="5" max="5" width="13.5703125" style="296" customWidth="1"/>
    <col min="6" max="6" width="17" style="296" customWidth="1"/>
    <col min="7" max="7" width="14" style="310" customWidth="1"/>
    <col min="8" max="16384" width="11.85546875" style="296"/>
  </cols>
  <sheetData>
    <row r="1" spans="1:10" ht="15" customHeight="1" thickBot="1" x14ac:dyDescent="0.3">
      <c r="A1" s="1145" t="s">
        <v>614</v>
      </c>
      <c r="B1" s="1146"/>
      <c r="C1" s="1146"/>
      <c r="D1" s="1146"/>
      <c r="E1" s="1146"/>
      <c r="F1" s="1146"/>
      <c r="G1" s="1146"/>
      <c r="H1" s="295"/>
      <c r="I1" s="295"/>
      <c r="J1" s="295"/>
    </row>
    <row r="2" spans="1:10" s="297" customFormat="1" ht="28.5" customHeight="1" thickBot="1" x14ac:dyDescent="0.3">
      <c r="A2" s="464" t="s">
        <v>124</v>
      </c>
      <c r="B2" s="526" t="s">
        <v>125</v>
      </c>
      <c r="C2" s="527" t="s">
        <v>55</v>
      </c>
      <c r="D2" s="528" t="s">
        <v>298</v>
      </c>
      <c r="E2" s="570" t="s">
        <v>55</v>
      </c>
      <c r="F2" s="528" t="s">
        <v>299</v>
      </c>
      <c r="G2" s="571" t="s">
        <v>55</v>
      </c>
    </row>
    <row r="3" spans="1:10" x14ac:dyDescent="0.25">
      <c r="A3" s="531" t="s">
        <v>126</v>
      </c>
      <c r="B3" s="532">
        <v>35571112.159999996</v>
      </c>
      <c r="C3" s="572">
        <f t="shared" ref="C3:C34" si="0">B3/$B$40</f>
        <v>5.4223909942429691E-2</v>
      </c>
      <c r="D3" s="534">
        <v>3795109.84</v>
      </c>
      <c r="E3" s="572">
        <f t="shared" ref="E3:E37" si="1">D3/$D$40</f>
        <v>0.1278157930854372</v>
      </c>
      <c r="F3" s="573">
        <f t="shared" ref="F3:F44" si="2">B3+D3</f>
        <v>39366222</v>
      </c>
      <c r="G3" s="574">
        <f t="shared" ref="G3:G40" si="3">F3/$F$40</f>
        <v>5.7410586561056971E-2</v>
      </c>
    </row>
    <row r="4" spans="1:10" x14ac:dyDescent="0.25">
      <c r="A4" s="537" t="s">
        <v>127</v>
      </c>
      <c r="B4" s="538">
        <v>33232998.260000002</v>
      </c>
      <c r="C4" s="575">
        <f t="shared" si="0"/>
        <v>5.0659734693186013E-2</v>
      </c>
      <c r="D4" s="540">
        <v>2600521.11</v>
      </c>
      <c r="E4" s="575">
        <f t="shared" si="1"/>
        <v>8.7583148347050596E-2</v>
      </c>
      <c r="F4" s="542">
        <f t="shared" si="2"/>
        <v>35833519.370000005</v>
      </c>
      <c r="G4" s="576">
        <f t="shared" si="3"/>
        <v>5.2258592800159917E-2</v>
      </c>
    </row>
    <row r="5" spans="1:10" x14ac:dyDescent="0.25">
      <c r="A5" s="537" t="s">
        <v>429</v>
      </c>
      <c r="B5" s="538">
        <v>402107.91</v>
      </c>
      <c r="C5" s="575">
        <f t="shared" si="0"/>
        <v>6.1296545918789803E-4</v>
      </c>
      <c r="D5" s="540">
        <v>3612801.91</v>
      </c>
      <c r="E5" s="575">
        <f t="shared" si="1"/>
        <v>0.12167583043847614</v>
      </c>
      <c r="F5" s="542">
        <f t="shared" si="2"/>
        <v>4014909.8200000003</v>
      </c>
      <c r="G5" s="576">
        <f t="shared" si="3"/>
        <v>5.8552311104669297E-3</v>
      </c>
    </row>
    <row r="6" spans="1:10" x14ac:dyDescent="0.25">
      <c r="A6" s="537" t="s">
        <v>128</v>
      </c>
      <c r="B6" s="538">
        <v>12279618.84</v>
      </c>
      <c r="C6" s="575">
        <f t="shared" si="0"/>
        <v>1.8718811577004203E-2</v>
      </c>
      <c r="D6" s="540">
        <v>1120032.05</v>
      </c>
      <c r="E6" s="575">
        <f t="shared" si="1"/>
        <v>3.7721644639370451E-2</v>
      </c>
      <c r="F6" s="542">
        <f t="shared" si="2"/>
        <v>13399650.890000001</v>
      </c>
      <c r="G6" s="576">
        <f t="shared" si="3"/>
        <v>1.9541672485317213E-2</v>
      </c>
    </row>
    <row r="7" spans="1:10" x14ac:dyDescent="0.25">
      <c r="A7" s="537" t="s">
        <v>129</v>
      </c>
      <c r="B7" s="538">
        <v>9014154.1099999994</v>
      </c>
      <c r="C7" s="575">
        <f t="shared" si="0"/>
        <v>1.3741000800572733E-2</v>
      </c>
      <c r="D7" s="540">
        <v>254247.16</v>
      </c>
      <c r="E7" s="575">
        <f t="shared" si="1"/>
        <v>8.5628094482556646E-3</v>
      </c>
      <c r="F7" s="542">
        <f t="shared" si="2"/>
        <v>9268401.2699999996</v>
      </c>
      <c r="G7" s="576">
        <f t="shared" si="3"/>
        <v>1.351677469567553E-2</v>
      </c>
    </row>
    <row r="8" spans="1:10" x14ac:dyDescent="0.25">
      <c r="A8" s="537" t="s">
        <v>430</v>
      </c>
      <c r="B8" s="538">
        <v>581494.31000000006</v>
      </c>
      <c r="C8" s="575">
        <f t="shared" si="0"/>
        <v>8.8641859033387329E-4</v>
      </c>
      <c r="D8" s="540">
        <v>142617.14000000001</v>
      </c>
      <c r="E8" s="575">
        <f t="shared" si="1"/>
        <v>4.8032135103306603E-3</v>
      </c>
      <c r="F8" s="542">
        <f t="shared" si="2"/>
        <v>724111.45000000007</v>
      </c>
      <c r="G8" s="576">
        <f t="shared" si="3"/>
        <v>1.0560236915820238E-3</v>
      </c>
    </row>
    <row r="9" spans="1:10" x14ac:dyDescent="0.25">
      <c r="A9" s="537" t="s">
        <v>130</v>
      </c>
      <c r="B9" s="538">
        <v>44427062.130000003</v>
      </c>
      <c r="C9" s="575">
        <f t="shared" si="0"/>
        <v>6.7723747436066919E-2</v>
      </c>
      <c r="D9" s="540">
        <v>4114037.64</v>
      </c>
      <c r="E9" s="575">
        <f t="shared" si="1"/>
        <v>0.13855698673004424</v>
      </c>
      <c r="F9" s="542">
        <f t="shared" si="2"/>
        <v>48541099.770000003</v>
      </c>
      <c r="G9" s="576">
        <f t="shared" si="3"/>
        <v>7.0790969225202449E-2</v>
      </c>
    </row>
    <row r="10" spans="1:10" x14ac:dyDescent="0.25">
      <c r="A10" s="537" t="s">
        <v>131</v>
      </c>
      <c r="B10" s="538">
        <v>258285588</v>
      </c>
      <c r="C10" s="575">
        <f t="shared" si="0"/>
        <v>0.39372551524797472</v>
      </c>
      <c r="D10" s="540">
        <v>8584665.5600000005</v>
      </c>
      <c r="E10" s="575">
        <f t="shared" si="1"/>
        <v>0.28912360463449427</v>
      </c>
      <c r="F10" s="542">
        <f t="shared" si="2"/>
        <v>266870253.56</v>
      </c>
      <c r="G10" s="576">
        <f t="shared" si="3"/>
        <v>0.38919604204278485</v>
      </c>
    </row>
    <row r="11" spans="1:10" x14ac:dyDescent="0.25">
      <c r="A11" s="537" t="s">
        <v>550</v>
      </c>
      <c r="B11" s="538">
        <v>87794445.420000002</v>
      </c>
      <c r="C11" s="575">
        <f t="shared" si="0"/>
        <v>0.13383214110614525</v>
      </c>
      <c r="D11" s="540">
        <v>2692482.33</v>
      </c>
      <c r="E11" s="575">
        <f t="shared" si="1"/>
        <v>9.0680317273103175E-2</v>
      </c>
      <c r="F11" s="542">
        <f t="shared" si="2"/>
        <v>90486927.75</v>
      </c>
      <c r="G11" s="576">
        <f t="shared" si="3"/>
        <v>0.13196358030586433</v>
      </c>
    </row>
    <row r="12" spans="1:10" x14ac:dyDescent="0.25">
      <c r="A12" s="537" t="s">
        <v>132</v>
      </c>
      <c r="B12" s="538">
        <v>1460400.2</v>
      </c>
      <c r="C12" s="575">
        <f t="shared" si="0"/>
        <v>2.2262055953863186E-3</v>
      </c>
      <c r="D12" s="540">
        <v>42518.14</v>
      </c>
      <c r="E12" s="575">
        <f t="shared" si="1"/>
        <v>1.4319716724240188E-3</v>
      </c>
      <c r="F12" s="542">
        <f t="shared" si="2"/>
        <v>1502918.3399999999</v>
      </c>
      <c r="G12" s="576">
        <f t="shared" si="3"/>
        <v>2.1918136683974918E-3</v>
      </c>
    </row>
    <row r="13" spans="1:10" x14ac:dyDescent="0.25">
      <c r="A13" s="537" t="s">
        <v>551</v>
      </c>
      <c r="B13" s="538">
        <v>10321127.810000001</v>
      </c>
      <c r="C13" s="575">
        <f t="shared" si="0"/>
        <v>1.5733326030302749E-2</v>
      </c>
      <c r="D13" s="540">
        <v>196877.1</v>
      </c>
      <c r="E13" s="575">
        <f t="shared" si="1"/>
        <v>6.6306388320136016E-3</v>
      </c>
      <c r="F13" s="542">
        <f t="shared" si="2"/>
        <v>10518004.91</v>
      </c>
      <c r="G13" s="576">
        <f t="shared" si="3"/>
        <v>1.5339161358567182E-2</v>
      </c>
    </row>
    <row r="14" spans="1:10" x14ac:dyDescent="0.25">
      <c r="A14" s="537" t="s">
        <v>133</v>
      </c>
      <c r="B14" s="538">
        <v>7061.41</v>
      </c>
      <c r="C14" s="575">
        <f t="shared" si="0"/>
        <v>1.0764275746687041E-5</v>
      </c>
      <c r="D14" s="540">
        <v>7858.15</v>
      </c>
      <c r="E14" s="575">
        <f t="shared" si="1"/>
        <v>2.6465523180597278E-4</v>
      </c>
      <c r="F14" s="542">
        <f t="shared" si="2"/>
        <v>14919.56</v>
      </c>
      <c r="G14" s="576">
        <f t="shared" si="3"/>
        <v>2.1758265012905813E-5</v>
      </c>
    </row>
    <row r="15" spans="1:10" x14ac:dyDescent="0.25">
      <c r="A15" s="537" t="s">
        <v>134</v>
      </c>
      <c r="B15" s="538">
        <v>1398.3</v>
      </c>
      <c r="C15" s="575">
        <f t="shared" si="0"/>
        <v>2.1315412611068455E-6</v>
      </c>
      <c r="D15" s="540">
        <v>32147.040000000001</v>
      </c>
      <c r="E15" s="575">
        <f t="shared" si="1"/>
        <v>1.0826826063482981E-3</v>
      </c>
      <c r="F15" s="542">
        <f t="shared" si="2"/>
        <v>33545.340000000004</v>
      </c>
      <c r="G15" s="576">
        <f t="shared" si="3"/>
        <v>4.8921576619419741E-5</v>
      </c>
    </row>
    <row r="16" spans="1:10" x14ac:dyDescent="0.25">
      <c r="A16" s="537" t="s">
        <v>135</v>
      </c>
      <c r="B16" s="538">
        <v>741462.93</v>
      </c>
      <c r="C16" s="575">
        <f t="shared" si="0"/>
        <v>1.1302716361840639E-3</v>
      </c>
      <c r="D16" s="540">
        <v>244672.43</v>
      </c>
      <c r="E16" s="575">
        <f t="shared" si="1"/>
        <v>8.2403413880087102E-3</v>
      </c>
      <c r="F16" s="542">
        <f t="shared" si="2"/>
        <v>986135.3600000001</v>
      </c>
      <c r="G16" s="576">
        <f t="shared" si="3"/>
        <v>1.4381519630255371E-3</v>
      </c>
    </row>
    <row r="17" spans="1:7" x14ac:dyDescent="0.25">
      <c r="A17" s="537" t="s">
        <v>136</v>
      </c>
      <c r="B17" s="538">
        <v>716778.9</v>
      </c>
      <c r="C17" s="575">
        <f t="shared" si="0"/>
        <v>1.0926437820501878E-3</v>
      </c>
      <c r="D17" s="540">
        <v>96023.64</v>
      </c>
      <c r="E17" s="575">
        <f t="shared" si="1"/>
        <v>3.2339874783572824E-3</v>
      </c>
      <c r="F17" s="542">
        <f t="shared" si="2"/>
        <v>812802.54</v>
      </c>
      <c r="G17" s="576">
        <f t="shared" si="3"/>
        <v>1.1853682728232588E-3</v>
      </c>
    </row>
    <row r="18" spans="1:7" x14ac:dyDescent="0.25">
      <c r="A18" s="537" t="s">
        <v>137</v>
      </c>
      <c r="B18" s="538">
        <v>9986.14</v>
      </c>
      <c r="C18" s="575">
        <f t="shared" si="0"/>
        <v>1.5222677143094837E-5</v>
      </c>
      <c r="D18" s="540">
        <v>4939</v>
      </c>
      <c r="E18" s="575">
        <f t="shared" si="1"/>
        <v>1.6634095682695031E-4</v>
      </c>
      <c r="F18" s="542">
        <f t="shared" si="2"/>
        <v>14925.14</v>
      </c>
      <c r="G18" s="576">
        <f t="shared" si="3"/>
        <v>2.1766402727340555E-5</v>
      </c>
    </row>
    <row r="19" spans="1:7" x14ac:dyDescent="0.25">
      <c r="A19" s="537" t="s">
        <v>138</v>
      </c>
      <c r="B19" s="538">
        <v>32494.58</v>
      </c>
      <c r="C19" s="575">
        <f t="shared" si="0"/>
        <v>4.953410429259621E-5</v>
      </c>
      <c r="D19" s="540">
        <v>27209.53</v>
      </c>
      <c r="E19" s="575">
        <f t="shared" si="1"/>
        <v>9.1639183134472745E-4</v>
      </c>
      <c r="F19" s="542">
        <f t="shared" si="2"/>
        <v>59704.11</v>
      </c>
      <c r="G19" s="576">
        <f t="shared" si="3"/>
        <v>8.7070788129119101E-5</v>
      </c>
    </row>
    <row r="20" spans="1:7" x14ac:dyDescent="0.25">
      <c r="A20" s="537" t="s">
        <v>139</v>
      </c>
      <c r="B20" s="538">
        <v>42172.53</v>
      </c>
      <c r="C20" s="575">
        <f t="shared" si="0"/>
        <v>6.4286982607642321E-5</v>
      </c>
      <c r="D20" s="540">
        <v>186740.63</v>
      </c>
      <c r="E20" s="575">
        <f t="shared" si="1"/>
        <v>6.2892518875617542E-3</v>
      </c>
      <c r="F20" s="542">
        <f t="shared" si="2"/>
        <v>228913.16</v>
      </c>
      <c r="G20" s="576">
        <f t="shared" si="3"/>
        <v>3.3384048860835778E-4</v>
      </c>
    </row>
    <row r="21" spans="1:7" x14ac:dyDescent="0.25">
      <c r="A21" s="537" t="s">
        <v>140</v>
      </c>
      <c r="B21" s="538">
        <v>25638.87</v>
      </c>
      <c r="C21" s="575">
        <f t="shared" si="0"/>
        <v>3.9083393615929671E-5</v>
      </c>
      <c r="D21" s="540">
        <v>5</v>
      </c>
      <c r="E21" s="575">
        <f t="shared" si="1"/>
        <v>1.6839538046866806E-7</v>
      </c>
      <c r="F21" s="542">
        <f t="shared" si="2"/>
        <v>25643.87</v>
      </c>
      <c r="G21" s="576">
        <f t="shared" si="3"/>
        <v>3.7398295889188758E-5</v>
      </c>
    </row>
    <row r="22" spans="1:7" x14ac:dyDescent="0.25">
      <c r="A22" s="537" t="s">
        <v>141</v>
      </c>
      <c r="B22" s="538">
        <v>121994.05</v>
      </c>
      <c r="C22" s="575">
        <f t="shared" si="0"/>
        <v>1.8596535163021638E-4</v>
      </c>
      <c r="D22" s="540">
        <v>14744.42</v>
      </c>
      <c r="E22" s="575">
        <f t="shared" si="1"/>
        <v>4.9657844313796774E-4</v>
      </c>
      <c r="F22" s="542">
        <f t="shared" si="2"/>
        <v>136738.47</v>
      </c>
      <c r="G22" s="576">
        <f t="shared" si="3"/>
        <v>1.9941552349528213E-4</v>
      </c>
    </row>
    <row r="23" spans="1:7" x14ac:dyDescent="0.25">
      <c r="A23" s="537" t="s">
        <v>142</v>
      </c>
      <c r="B23" s="538">
        <v>20402.72</v>
      </c>
      <c r="C23" s="575">
        <f t="shared" si="0"/>
        <v>3.1101508631059043E-5</v>
      </c>
      <c r="D23" s="540">
        <v>488</v>
      </c>
      <c r="E23" s="575">
        <f t="shared" si="1"/>
        <v>1.6435389133742001E-5</v>
      </c>
      <c r="F23" s="542">
        <f t="shared" si="2"/>
        <v>20890.72</v>
      </c>
      <c r="G23" s="576">
        <f t="shared" si="3"/>
        <v>3.0466436146267837E-5</v>
      </c>
    </row>
    <row r="24" spans="1:7" x14ac:dyDescent="0.25">
      <c r="A24" s="537" t="s">
        <v>143</v>
      </c>
      <c r="B24" s="538">
        <v>467591.06</v>
      </c>
      <c r="C24" s="575">
        <f t="shared" si="0"/>
        <v>7.1278669649909644E-4</v>
      </c>
      <c r="D24" s="540">
        <v>7351</v>
      </c>
      <c r="E24" s="575">
        <f t="shared" si="1"/>
        <v>2.475748883650358E-4</v>
      </c>
      <c r="F24" s="542">
        <f t="shared" si="2"/>
        <v>474942.06</v>
      </c>
      <c r="G24" s="576">
        <f t="shared" si="3"/>
        <v>6.9264208912698589E-4</v>
      </c>
    </row>
    <row r="25" spans="1:7" x14ac:dyDescent="0.25">
      <c r="A25" s="537" t="s">
        <v>144</v>
      </c>
      <c r="B25" s="538">
        <v>78566.95</v>
      </c>
      <c r="C25" s="575">
        <f t="shared" si="0"/>
        <v>1.1976592697155006E-4</v>
      </c>
      <c r="D25" s="540">
        <v>18145.77</v>
      </c>
      <c r="E25" s="575">
        <f t="shared" si="1"/>
        <v>6.1113276860938861E-4</v>
      </c>
      <c r="F25" s="542">
        <f t="shared" si="2"/>
        <v>96712.72</v>
      </c>
      <c r="G25" s="576">
        <f t="shared" si="3"/>
        <v>1.4104309992244788E-4</v>
      </c>
    </row>
    <row r="26" spans="1:7" x14ac:dyDescent="0.25">
      <c r="A26" s="537" t="s">
        <v>145</v>
      </c>
      <c r="B26" s="538">
        <v>48020658.079999998</v>
      </c>
      <c r="C26" s="575">
        <f t="shared" si="0"/>
        <v>7.3201755047574785E-2</v>
      </c>
      <c r="D26" s="540">
        <v>992307.47</v>
      </c>
      <c r="E26" s="575">
        <f t="shared" si="1"/>
        <v>3.3419998790510282E-2</v>
      </c>
      <c r="F26" s="542">
        <f t="shared" si="2"/>
        <v>49012965.549999997</v>
      </c>
      <c r="G26" s="576">
        <f t="shared" si="3"/>
        <v>7.147912495444389E-2</v>
      </c>
    </row>
    <row r="27" spans="1:7" x14ac:dyDescent="0.25">
      <c r="A27" s="537" t="s">
        <v>300</v>
      </c>
      <c r="B27" s="538">
        <v>73789572.219999999</v>
      </c>
      <c r="C27" s="575">
        <f t="shared" si="0"/>
        <v>0.11248338541539973</v>
      </c>
      <c r="D27" s="540">
        <v>689875.25</v>
      </c>
      <c r="E27" s="575">
        <f t="shared" si="1"/>
        <v>2.3234361039933499E-2</v>
      </c>
      <c r="F27" s="542">
        <f t="shared" si="2"/>
        <v>74479447.469999999</v>
      </c>
      <c r="G27" s="576">
        <f t="shared" si="3"/>
        <v>0.10861872307675678</v>
      </c>
    </row>
    <row r="28" spans="1:7" ht="17.25" customHeight="1" x14ac:dyDescent="0.25">
      <c r="A28" s="537" t="s">
        <v>301</v>
      </c>
      <c r="B28" s="538">
        <v>2863760.23</v>
      </c>
      <c r="C28" s="575">
        <f t="shared" si="0"/>
        <v>4.365460267583372E-3</v>
      </c>
      <c r="D28" s="540">
        <v>11067.16</v>
      </c>
      <c r="E28" s="575">
        <f t="shared" si="1"/>
        <v>3.727317237815249E-4</v>
      </c>
      <c r="F28" s="542">
        <f t="shared" si="2"/>
        <v>2874827.39</v>
      </c>
      <c r="G28" s="576">
        <f t="shared" si="3"/>
        <v>4.1925670876339742E-3</v>
      </c>
    </row>
    <row r="29" spans="1:7" x14ac:dyDescent="0.25">
      <c r="A29" s="537" t="s">
        <v>302</v>
      </c>
      <c r="B29" s="538">
        <v>0</v>
      </c>
      <c r="C29" s="575">
        <f t="shared" si="0"/>
        <v>0</v>
      </c>
      <c r="D29" s="540">
        <v>0</v>
      </c>
      <c r="E29" s="575">
        <f t="shared" si="1"/>
        <v>0</v>
      </c>
      <c r="F29" s="542">
        <f t="shared" si="2"/>
        <v>0</v>
      </c>
      <c r="G29" s="576">
        <f t="shared" si="3"/>
        <v>0</v>
      </c>
    </row>
    <row r="30" spans="1:7" x14ac:dyDescent="0.25">
      <c r="A30" s="537" t="s">
        <v>146</v>
      </c>
      <c r="B30" s="538">
        <v>71.67</v>
      </c>
      <c r="C30" s="575">
        <f t="shared" si="0"/>
        <v>1.0925235084282887E-7</v>
      </c>
      <c r="D30" s="540">
        <v>0</v>
      </c>
      <c r="E30" s="575">
        <f t="shared" si="1"/>
        <v>0</v>
      </c>
      <c r="F30" s="542">
        <f t="shared" si="2"/>
        <v>71.67</v>
      </c>
      <c r="G30" s="576">
        <f t="shared" si="3"/>
        <v>1.0452150421828524E-7</v>
      </c>
    </row>
    <row r="31" spans="1:7" x14ac:dyDescent="0.25">
      <c r="A31" s="537" t="s">
        <v>303</v>
      </c>
      <c r="B31" s="538">
        <v>0</v>
      </c>
      <c r="C31" s="575">
        <f t="shared" si="0"/>
        <v>0</v>
      </c>
      <c r="D31" s="540">
        <v>0</v>
      </c>
      <c r="E31" s="575">
        <f t="shared" si="1"/>
        <v>0</v>
      </c>
      <c r="F31" s="542">
        <f t="shared" si="2"/>
        <v>0</v>
      </c>
      <c r="G31" s="576">
        <f t="shared" si="3"/>
        <v>0</v>
      </c>
    </row>
    <row r="32" spans="1:7" x14ac:dyDescent="0.25">
      <c r="A32" s="537" t="s">
        <v>147</v>
      </c>
      <c r="B32" s="538">
        <v>33964470.960000001</v>
      </c>
      <c r="C32" s="575">
        <f t="shared" si="0"/>
        <v>5.1774777417510714E-2</v>
      </c>
      <c r="D32" s="540">
        <v>80421.06</v>
      </c>
      <c r="E32" s="575">
        <f t="shared" si="1"/>
        <v>2.7085069992787165E-3</v>
      </c>
      <c r="F32" s="542">
        <f t="shared" si="2"/>
        <v>34044892.020000003</v>
      </c>
      <c r="G32" s="576">
        <f t="shared" si="3"/>
        <v>4.9650109179286951E-2</v>
      </c>
    </row>
    <row r="33" spans="1:7" x14ac:dyDescent="0.25">
      <c r="A33" s="537" t="s">
        <v>304</v>
      </c>
      <c r="B33" s="538">
        <v>0</v>
      </c>
      <c r="C33" s="575">
        <f t="shared" si="0"/>
        <v>0</v>
      </c>
      <c r="D33" s="540">
        <v>0</v>
      </c>
      <c r="E33" s="575">
        <f t="shared" si="1"/>
        <v>0</v>
      </c>
      <c r="F33" s="542">
        <f t="shared" si="2"/>
        <v>0</v>
      </c>
      <c r="G33" s="576">
        <f t="shared" si="3"/>
        <v>0</v>
      </c>
    </row>
    <row r="34" spans="1:7" x14ac:dyDescent="0.25">
      <c r="A34" s="537" t="s">
        <v>305</v>
      </c>
      <c r="B34" s="538">
        <v>63045.82</v>
      </c>
      <c r="C34" s="575">
        <f t="shared" si="0"/>
        <v>9.6105818973264085E-5</v>
      </c>
      <c r="D34" s="540">
        <v>119400.38</v>
      </c>
      <c r="E34" s="575">
        <f t="shared" si="1"/>
        <v>4.021294483640709E-3</v>
      </c>
      <c r="F34" s="542">
        <f t="shared" si="2"/>
        <v>182446.2</v>
      </c>
      <c r="G34" s="576">
        <f t="shared" si="3"/>
        <v>2.6607438625519904E-4</v>
      </c>
    </row>
    <row r="35" spans="1:7" x14ac:dyDescent="0.25">
      <c r="A35" s="537" t="s">
        <v>306</v>
      </c>
      <c r="B35" s="538">
        <v>0</v>
      </c>
      <c r="C35" s="575">
        <f>B36/$B$40</f>
        <v>2.5410724253834669E-3</v>
      </c>
      <c r="D35" s="540">
        <v>0</v>
      </c>
      <c r="E35" s="575">
        <f t="shared" si="1"/>
        <v>0</v>
      </c>
      <c r="F35" s="542">
        <f t="shared" si="2"/>
        <v>0</v>
      </c>
      <c r="G35" s="576">
        <f t="shared" si="3"/>
        <v>0</v>
      </c>
    </row>
    <row r="36" spans="1:7" x14ac:dyDescent="0.25">
      <c r="A36" s="537" t="s">
        <v>149</v>
      </c>
      <c r="B36" s="538">
        <v>1666954.16</v>
      </c>
      <c r="C36" s="575">
        <f>B37/$B$40</f>
        <v>0</v>
      </c>
      <c r="D36" s="540">
        <v>2720</v>
      </c>
      <c r="E36" s="575">
        <f t="shared" si="1"/>
        <v>9.1607086974955428E-5</v>
      </c>
      <c r="F36" s="542">
        <f t="shared" si="2"/>
        <v>1669674.16</v>
      </c>
      <c r="G36" s="576">
        <f t="shared" si="3"/>
        <v>2.4350056475178159E-3</v>
      </c>
    </row>
    <row r="37" spans="1:7" x14ac:dyDescent="0.25">
      <c r="A37" s="537" t="s">
        <v>150</v>
      </c>
      <c r="B37" s="538">
        <v>0</v>
      </c>
      <c r="C37" s="575">
        <f>B38/$B$40</f>
        <v>0</v>
      </c>
      <c r="D37" s="540">
        <v>0</v>
      </c>
      <c r="E37" s="575">
        <f t="shared" si="1"/>
        <v>0</v>
      </c>
      <c r="F37" s="542">
        <f t="shared" si="2"/>
        <v>0</v>
      </c>
      <c r="G37" s="576">
        <f t="shared" si="3"/>
        <v>0</v>
      </c>
    </row>
    <row r="38" spans="1:7" x14ac:dyDescent="0.25">
      <c r="A38" s="544" t="s">
        <v>307</v>
      </c>
      <c r="B38" s="538">
        <v>0</v>
      </c>
      <c r="C38" s="575">
        <f>B38/$B$40</f>
        <v>0</v>
      </c>
      <c r="D38" s="547">
        <v>0</v>
      </c>
      <c r="E38" s="577"/>
      <c r="F38" s="542">
        <f t="shared" si="2"/>
        <v>0</v>
      </c>
      <c r="G38" s="576">
        <f t="shared" si="3"/>
        <v>0</v>
      </c>
    </row>
    <row r="39" spans="1:7" ht="16.5" thickBot="1" x14ac:dyDescent="0.3">
      <c r="A39" s="836" t="s">
        <v>308</v>
      </c>
      <c r="B39" s="545">
        <v>0</v>
      </c>
      <c r="C39" s="577">
        <f>B39/$B$40</f>
        <v>0</v>
      </c>
      <c r="D39" s="547">
        <v>0</v>
      </c>
      <c r="E39" s="577">
        <f>D39/$D$40</f>
        <v>0</v>
      </c>
      <c r="F39" s="542">
        <f t="shared" si="2"/>
        <v>0</v>
      </c>
      <c r="G39" s="578">
        <f t="shared" si="3"/>
        <v>0</v>
      </c>
    </row>
    <row r="40" spans="1:7" ht="16.5" thickBot="1" x14ac:dyDescent="0.3">
      <c r="A40" s="596" t="s">
        <v>17</v>
      </c>
      <c r="B40" s="587">
        <f>SUM(B3:B39)</f>
        <v>656004190.73000014</v>
      </c>
      <c r="C40" s="597">
        <f>B40/$B$40</f>
        <v>1</v>
      </c>
      <c r="D40" s="589">
        <f>SUM(D3:D39)</f>
        <v>29692025.91</v>
      </c>
      <c r="E40" s="597">
        <f>D40/$D$40</f>
        <v>1</v>
      </c>
      <c r="F40" s="589">
        <f>SUM(F3:F39)</f>
        <v>685696216.6400001</v>
      </c>
      <c r="G40" s="598">
        <f t="shared" si="3"/>
        <v>1</v>
      </c>
    </row>
    <row r="41" spans="1:7" x14ac:dyDescent="0.25">
      <c r="A41" s="568" t="s">
        <v>309</v>
      </c>
      <c r="B41" s="592">
        <v>10231393.529999999</v>
      </c>
      <c r="C41" s="593"/>
      <c r="D41" s="573">
        <v>3107314.31</v>
      </c>
      <c r="E41" s="594"/>
      <c r="F41" s="573">
        <f t="shared" si="2"/>
        <v>13338707.84</v>
      </c>
      <c r="G41" s="595"/>
    </row>
    <row r="42" spans="1:7" x14ac:dyDescent="0.25">
      <c r="A42" s="537" t="s">
        <v>294</v>
      </c>
      <c r="B42" s="582">
        <v>168349.3</v>
      </c>
      <c r="C42" s="580"/>
      <c r="D42" s="542">
        <v>669054.31000000006</v>
      </c>
      <c r="E42" s="581"/>
      <c r="F42" s="542">
        <f t="shared" si="2"/>
        <v>837403.6100000001</v>
      </c>
      <c r="G42" s="579"/>
    </row>
    <row r="43" spans="1:7" ht="16.5" thickBot="1" x14ac:dyDescent="0.3">
      <c r="A43" s="544" t="s">
        <v>295</v>
      </c>
      <c r="B43" s="583">
        <v>0</v>
      </c>
      <c r="C43" s="584"/>
      <c r="D43" s="548">
        <v>0</v>
      </c>
      <c r="E43" s="585"/>
      <c r="F43" s="548">
        <f t="shared" si="2"/>
        <v>0</v>
      </c>
      <c r="G43" s="586"/>
    </row>
    <row r="44" spans="1:7" ht="16.5" thickBot="1" x14ac:dyDescent="0.3">
      <c r="A44" s="569" t="s">
        <v>296</v>
      </c>
      <c r="B44" s="587">
        <f>B41-(B42+B43)</f>
        <v>10063044.229999999</v>
      </c>
      <c r="C44" s="588"/>
      <c r="D44" s="589">
        <f>D41-(D42+D43)</f>
        <v>2438260</v>
      </c>
      <c r="E44" s="590"/>
      <c r="F44" s="565">
        <f t="shared" si="2"/>
        <v>12501304.229999999</v>
      </c>
      <c r="G44" s="591"/>
    </row>
    <row r="45" spans="1:7" x14ac:dyDescent="0.25">
      <c r="A45" s="306"/>
      <c r="B45" s="307"/>
      <c r="C45" s="308"/>
      <c r="D45" s="306"/>
      <c r="E45" s="306"/>
      <c r="F45" s="306"/>
      <c r="G45" s="279" t="s">
        <v>378</v>
      </c>
    </row>
    <row r="47" spans="1:7" x14ac:dyDescent="0.25">
      <c r="B47" s="46"/>
    </row>
  </sheetData>
  <mergeCells count="1">
    <mergeCell ref="A1:G1"/>
  </mergeCells>
  <phoneticPr fontId="47" type="noConversion"/>
  <pageMargins left="0.31496062992125984" right="0.11811023622047245" top="0.15748031496062992" bottom="0.15748031496062992" header="0" footer="0"/>
  <pageSetup paperSize="9" scale="80" orientation="landscape" r:id="rId1"/>
  <headerFoot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6"/>
  <sheetViews>
    <sheetView tabSelected="1" zoomScale="90" zoomScaleNormal="90" workbookViewId="0">
      <selection activeCell="A35" sqref="A35"/>
    </sheetView>
  </sheetViews>
  <sheetFormatPr defaultRowHeight="15.75" x14ac:dyDescent="0.25"/>
  <cols>
    <col min="1" max="1" width="51.140625" style="301" customWidth="1"/>
    <col min="2" max="2" width="15" style="301" customWidth="1"/>
    <col min="3" max="3" width="16.7109375" style="301" customWidth="1"/>
    <col min="4" max="4" width="13.85546875" style="301" customWidth="1"/>
    <col min="5" max="5" width="15.85546875" style="301" bestFit="1" customWidth="1"/>
    <col min="6" max="6" width="15.7109375" style="301" bestFit="1" customWidth="1"/>
    <col min="7" max="7" width="14.85546875" style="301" bestFit="1" customWidth="1"/>
    <col min="8" max="8" width="14.28515625" style="301" customWidth="1"/>
    <col min="9" max="9" width="14.5703125" style="301" customWidth="1"/>
    <col min="10" max="10" width="13.42578125" style="301" customWidth="1"/>
    <col min="11" max="12" width="14.85546875" style="301" customWidth="1"/>
    <col min="13" max="16384" width="9.140625" style="301"/>
  </cols>
  <sheetData>
    <row r="1" spans="1:11" ht="21.75" thickBot="1" x14ac:dyDescent="0.3">
      <c r="A1" s="1172" t="s">
        <v>615</v>
      </c>
      <c r="B1" s="1173"/>
      <c r="C1" s="1173"/>
      <c r="D1" s="1173"/>
      <c r="E1" s="1173"/>
      <c r="F1" s="1173"/>
      <c r="G1" s="1173"/>
      <c r="H1" s="1173"/>
      <c r="I1" s="1173"/>
      <c r="J1" s="1173"/>
      <c r="K1" s="311"/>
    </row>
    <row r="2" spans="1:11" ht="21" thickBot="1" x14ac:dyDescent="0.3">
      <c r="A2" s="1176" t="s">
        <v>124</v>
      </c>
      <c r="B2" s="1168" t="s">
        <v>438</v>
      </c>
      <c r="C2" s="1166"/>
      <c r="D2" s="1167"/>
      <c r="E2" s="1169" t="s">
        <v>491</v>
      </c>
      <c r="F2" s="1170"/>
      <c r="G2" s="1171"/>
      <c r="H2" s="1169" t="s">
        <v>492</v>
      </c>
      <c r="I2" s="1170"/>
      <c r="J2" s="1171"/>
      <c r="K2" s="311"/>
    </row>
    <row r="3" spans="1:11" s="302" customFormat="1" ht="45.75" thickBot="1" x14ac:dyDescent="0.3">
      <c r="A3" s="1177"/>
      <c r="B3" s="557" t="s">
        <v>125</v>
      </c>
      <c r="C3" s="558" t="s">
        <v>298</v>
      </c>
      <c r="D3" s="559" t="s">
        <v>299</v>
      </c>
      <c r="E3" s="557" t="s">
        <v>125</v>
      </c>
      <c r="F3" s="558" t="s">
        <v>298</v>
      </c>
      <c r="G3" s="559" t="s">
        <v>299</v>
      </c>
      <c r="H3" s="557" t="s">
        <v>125</v>
      </c>
      <c r="I3" s="558" t="s">
        <v>298</v>
      </c>
      <c r="J3" s="559" t="s">
        <v>299</v>
      </c>
    </row>
    <row r="4" spans="1:11" x14ac:dyDescent="0.25">
      <c r="A4" s="531" t="s">
        <v>126</v>
      </c>
      <c r="B4" s="532">
        <v>32603440.34</v>
      </c>
      <c r="C4" s="534">
        <v>3297548.39</v>
      </c>
      <c r="D4" s="560">
        <v>35900988.729999997</v>
      </c>
      <c r="E4" s="561">
        <v>35571112.159999996</v>
      </c>
      <c r="F4" s="534">
        <v>3795109.84</v>
      </c>
      <c r="G4" s="560">
        <f>E4+F4</f>
        <v>39366222</v>
      </c>
      <c r="H4" s="561">
        <f>E4-B4</f>
        <v>2967671.8199999966</v>
      </c>
      <c r="I4" s="534">
        <f>F4-C4</f>
        <v>497561.44999999972</v>
      </c>
      <c r="J4" s="560">
        <f>G4-D4</f>
        <v>3465233.2700000033</v>
      </c>
    </row>
    <row r="5" spans="1:11" x14ac:dyDescent="0.25">
      <c r="A5" s="537" t="s">
        <v>127</v>
      </c>
      <c r="B5" s="532">
        <v>34616586.75</v>
      </c>
      <c r="C5" s="540">
        <v>2324465.25</v>
      </c>
      <c r="D5" s="562">
        <v>36941052</v>
      </c>
      <c r="E5" s="561">
        <v>33232998.260000002</v>
      </c>
      <c r="F5" s="540">
        <v>2600521.11</v>
      </c>
      <c r="G5" s="560">
        <f t="shared" ref="G5:G40" si="0">E5+F5</f>
        <v>35833519.370000005</v>
      </c>
      <c r="H5" s="561">
        <f t="shared" ref="H5:J39" si="1">E5-B5</f>
        <v>-1383588.4899999984</v>
      </c>
      <c r="I5" s="534">
        <f t="shared" si="1"/>
        <v>276055.85999999987</v>
      </c>
      <c r="J5" s="560">
        <f t="shared" si="1"/>
        <v>-1107532.6299999952</v>
      </c>
    </row>
    <row r="6" spans="1:11" x14ac:dyDescent="0.25">
      <c r="A6" s="537" t="s">
        <v>429</v>
      </c>
      <c r="B6" s="532">
        <v>3444593.97</v>
      </c>
      <c r="C6" s="540">
        <v>868515.79</v>
      </c>
      <c r="D6" s="562">
        <v>4313109.76</v>
      </c>
      <c r="E6" s="561">
        <v>402107.91</v>
      </c>
      <c r="F6" s="540">
        <v>3612801.91</v>
      </c>
      <c r="G6" s="560">
        <f t="shared" si="0"/>
        <v>4014909.8200000003</v>
      </c>
      <c r="H6" s="561">
        <f t="shared" si="1"/>
        <v>-3042486.06</v>
      </c>
      <c r="I6" s="534">
        <f t="shared" si="1"/>
        <v>2744286.12</v>
      </c>
      <c r="J6" s="560">
        <f t="shared" si="1"/>
        <v>-298199.93999999948</v>
      </c>
    </row>
    <row r="7" spans="1:11" x14ac:dyDescent="0.25">
      <c r="A7" s="537" t="s">
        <v>128</v>
      </c>
      <c r="B7" s="532">
        <v>14513925</v>
      </c>
      <c r="C7" s="540">
        <v>1310640.1000000001</v>
      </c>
      <c r="D7" s="562">
        <v>15824565.1</v>
      </c>
      <c r="E7" s="561">
        <v>12279618.84</v>
      </c>
      <c r="F7" s="540">
        <v>1120032.05</v>
      </c>
      <c r="G7" s="560">
        <f t="shared" si="0"/>
        <v>13399650.890000001</v>
      </c>
      <c r="H7" s="561">
        <f t="shared" si="1"/>
        <v>-2234306.16</v>
      </c>
      <c r="I7" s="534">
        <f t="shared" si="1"/>
        <v>-190608.05000000005</v>
      </c>
      <c r="J7" s="560">
        <f t="shared" si="1"/>
        <v>-2424914.209999999</v>
      </c>
    </row>
    <row r="8" spans="1:11" x14ac:dyDescent="0.25">
      <c r="A8" s="537" t="s">
        <v>129</v>
      </c>
      <c r="B8" s="532">
        <v>8230894.2300000004</v>
      </c>
      <c r="C8" s="540">
        <v>297002.17</v>
      </c>
      <c r="D8" s="562">
        <v>8527896.4000000004</v>
      </c>
      <c r="E8" s="561">
        <v>9014154.1099999994</v>
      </c>
      <c r="F8" s="540">
        <v>254247.16</v>
      </c>
      <c r="G8" s="560">
        <f t="shared" si="0"/>
        <v>9268401.2699999996</v>
      </c>
      <c r="H8" s="561">
        <f t="shared" si="1"/>
        <v>783259.87999999896</v>
      </c>
      <c r="I8" s="534">
        <f t="shared" si="1"/>
        <v>-42755.00999999998</v>
      </c>
      <c r="J8" s="560">
        <f t="shared" si="1"/>
        <v>740504.86999999918</v>
      </c>
    </row>
    <row r="9" spans="1:11" x14ac:dyDescent="0.25">
      <c r="A9" s="537" t="s">
        <v>430</v>
      </c>
      <c r="B9" s="532">
        <v>689388.4</v>
      </c>
      <c r="C9" s="540">
        <v>130272.28</v>
      </c>
      <c r="D9" s="562">
        <v>819660.68</v>
      </c>
      <c r="E9" s="561">
        <v>581494.31000000006</v>
      </c>
      <c r="F9" s="540">
        <v>142617.14000000001</v>
      </c>
      <c r="G9" s="560">
        <f t="shared" si="0"/>
        <v>724111.45000000007</v>
      </c>
      <c r="H9" s="561">
        <f t="shared" si="1"/>
        <v>-107894.08999999997</v>
      </c>
      <c r="I9" s="534">
        <f t="shared" si="1"/>
        <v>12344.860000000015</v>
      </c>
      <c r="J9" s="560">
        <f t="shared" si="1"/>
        <v>-95549.229999999981</v>
      </c>
    </row>
    <row r="10" spans="1:11" x14ac:dyDescent="0.25">
      <c r="A10" s="537" t="s">
        <v>130</v>
      </c>
      <c r="B10" s="532">
        <v>40504954.219999999</v>
      </c>
      <c r="C10" s="540">
        <v>3274717.12</v>
      </c>
      <c r="D10" s="562">
        <v>43779671.339999996</v>
      </c>
      <c r="E10" s="561">
        <v>44427062.130000003</v>
      </c>
      <c r="F10" s="540">
        <v>4114037.64</v>
      </c>
      <c r="G10" s="560">
        <f t="shared" si="0"/>
        <v>48541099.770000003</v>
      </c>
      <c r="H10" s="561">
        <f t="shared" si="1"/>
        <v>3922107.9100000039</v>
      </c>
      <c r="I10" s="534">
        <f t="shared" si="1"/>
        <v>839320.52</v>
      </c>
      <c r="J10" s="560">
        <f t="shared" si="1"/>
        <v>4761428.4300000072</v>
      </c>
    </row>
    <row r="11" spans="1:11" x14ac:dyDescent="0.25">
      <c r="A11" s="537" t="s">
        <v>131</v>
      </c>
      <c r="B11" s="532">
        <v>255021284.44999999</v>
      </c>
      <c r="C11" s="540">
        <v>8882752.3399999999</v>
      </c>
      <c r="D11" s="562">
        <v>263904036.78999999</v>
      </c>
      <c r="E11" s="561">
        <v>258285588</v>
      </c>
      <c r="F11" s="540">
        <v>8584665.5600000005</v>
      </c>
      <c r="G11" s="560">
        <f t="shared" si="0"/>
        <v>266870253.56</v>
      </c>
      <c r="H11" s="561">
        <f t="shared" si="1"/>
        <v>3264303.5500000119</v>
      </c>
      <c r="I11" s="534">
        <f t="shared" si="1"/>
        <v>-298086.77999999933</v>
      </c>
      <c r="J11" s="560">
        <f t="shared" si="1"/>
        <v>2966216.7700000107</v>
      </c>
    </row>
    <row r="12" spans="1:11" ht="30" x14ac:dyDescent="0.25">
      <c r="A12" s="537" t="s">
        <v>550</v>
      </c>
      <c r="B12" s="532">
        <v>80322845.340000004</v>
      </c>
      <c r="C12" s="540">
        <v>1363218.22</v>
      </c>
      <c r="D12" s="562">
        <v>81686063.560000002</v>
      </c>
      <c r="E12" s="561">
        <v>87794445.420000002</v>
      </c>
      <c r="F12" s="540">
        <v>2692482.33</v>
      </c>
      <c r="G12" s="560">
        <f t="shared" si="0"/>
        <v>90486927.75</v>
      </c>
      <c r="H12" s="561">
        <f t="shared" si="1"/>
        <v>7471600.0799999982</v>
      </c>
      <c r="I12" s="534">
        <f t="shared" si="1"/>
        <v>1329264.1100000001</v>
      </c>
      <c r="J12" s="560">
        <f t="shared" si="1"/>
        <v>8800864.1899999976</v>
      </c>
    </row>
    <row r="13" spans="1:11" x14ac:dyDescent="0.25">
      <c r="A13" s="537" t="s">
        <v>132</v>
      </c>
      <c r="B13" s="532">
        <v>1359983.57</v>
      </c>
      <c r="C13" s="540">
        <v>28965.05</v>
      </c>
      <c r="D13" s="562">
        <v>1388948.62</v>
      </c>
      <c r="E13" s="561">
        <v>1460400.2</v>
      </c>
      <c r="F13" s="540">
        <v>42518.14</v>
      </c>
      <c r="G13" s="560">
        <f t="shared" si="0"/>
        <v>1502918.3399999999</v>
      </c>
      <c r="H13" s="561">
        <f t="shared" si="1"/>
        <v>100416.62999999989</v>
      </c>
      <c r="I13" s="534">
        <f t="shared" si="1"/>
        <v>13553.09</v>
      </c>
      <c r="J13" s="560">
        <f t="shared" si="1"/>
        <v>113969.71999999974</v>
      </c>
    </row>
    <row r="14" spans="1:11" x14ac:dyDescent="0.25">
      <c r="A14" s="537" t="s">
        <v>551</v>
      </c>
      <c r="B14" s="532">
        <v>9250288.9700000007</v>
      </c>
      <c r="C14" s="540">
        <v>154142.31</v>
      </c>
      <c r="D14" s="562">
        <v>9404431.2800000012</v>
      </c>
      <c r="E14" s="561">
        <v>10321127.810000001</v>
      </c>
      <c r="F14" s="540">
        <v>196877.1</v>
      </c>
      <c r="G14" s="560">
        <f t="shared" si="0"/>
        <v>10518004.91</v>
      </c>
      <c r="H14" s="561">
        <f t="shared" si="1"/>
        <v>1070838.8399999999</v>
      </c>
      <c r="I14" s="534">
        <f t="shared" si="1"/>
        <v>42734.790000000008</v>
      </c>
      <c r="J14" s="560">
        <f t="shared" si="1"/>
        <v>1113573.629999999</v>
      </c>
    </row>
    <row r="15" spans="1:11" x14ac:dyDescent="0.25">
      <c r="A15" s="537" t="s">
        <v>133</v>
      </c>
      <c r="B15" s="532">
        <v>13423.35</v>
      </c>
      <c r="C15" s="540">
        <v>7937.45</v>
      </c>
      <c r="D15" s="562">
        <v>21360.799999999999</v>
      </c>
      <c r="E15" s="561">
        <v>7061.41</v>
      </c>
      <c r="F15" s="540">
        <v>7858.15</v>
      </c>
      <c r="G15" s="560">
        <f t="shared" si="0"/>
        <v>14919.56</v>
      </c>
      <c r="H15" s="561">
        <f t="shared" si="1"/>
        <v>-6361.9400000000005</v>
      </c>
      <c r="I15" s="534">
        <f t="shared" si="1"/>
        <v>-79.300000000000182</v>
      </c>
      <c r="J15" s="560">
        <f t="shared" si="1"/>
        <v>-6441.24</v>
      </c>
    </row>
    <row r="16" spans="1:11" x14ac:dyDescent="0.25">
      <c r="A16" s="537" t="s">
        <v>134</v>
      </c>
      <c r="B16" s="532">
        <v>368.61</v>
      </c>
      <c r="C16" s="540">
        <v>33393.410000000003</v>
      </c>
      <c r="D16" s="562">
        <v>33762.020000000004</v>
      </c>
      <c r="E16" s="561">
        <v>1398.3</v>
      </c>
      <c r="F16" s="540">
        <v>32147.040000000001</v>
      </c>
      <c r="G16" s="560">
        <f t="shared" si="0"/>
        <v>33545.340000000004</v>
      </c>
      <c r="H16" s="561">
        <f t="shared" si="1"/>
        <v>1029.69</v>
      </c>
      <c r="I16" s="534">
        <f t="shared" si="1"/>
        <v>-1246.3700000000026</v>
      </c>
      <c r="J16" s="560">
        <f t="shared" si="1"/>
        <v>-216.68000000000029</v>
      </c>
    </row>
    <row r="17" spans="1:10" x14ac:dyDescent="0.25">
      <c r="A17" s="537" t="s">
        <v>135</v>
      </c>
      <c r="B17" s="532">
        <v>778658.49</v>
      </c>
      <c r="C17" s="540">
        <v>155233.48000000001</v>
      </c>
      <c r="D17" s="562">
        <v>933891.97</v>
      </c>
      <c r="E17" s="561">
        <v>741462.93</v>
      </c>
      <c r="F17" s="540">
        <v>244672.43</v>
      </c>
      <c r="G17" s="560">
        <f t="shared" si="0"/>
        <v>986135.3600000001</v>
      </c>
      <c r="H17" s="561">
        <f t="shared" si="1"/>
        <v>-37195.559999999939</v>
      </c>
      <c r="I17" s="534">
        <f t="shared" si="1"/>
        <v>89438.949999999983</v>
      </c>
      <c r="J17" s="560">
        <f t="shared" si="1"/>
        <v>52243.39000000013</v>
      </c>
    </row>
    <row r="18" spans="1:10" x14ac:dyDescent="0.25">
      <c r="A18" s="537" t="s">
        <v>136</v>
      </c>
      <c r="B18" s="532">
        <v>672622.19</v>
      </c>
      <c r="C18" s="540">
        <v>92302.66</v>
      </c>
      <c r="D18" s="562">
        <v>764924.85</v>
      </c>
      <c r="E18" s="561">
        <v>716778.9</v>
      </c>
      <c r="F18" s="540">
        <v>96023.64</v>
      </c>
      <c r="G18" s="560">
        <f t="shared" si="0"/>
        <v>812802.54</v>
      </c>
      <c r="H18" s="561">
        <f t="shared" si="1"/>
        <v>44156.710000000079</v>
      </c>
      <c r="I18" s="534">
        <f t="shared" si="1"/>
        <v>3720.9799999999959</v>
      </c>
      <c r="J18" s="560">
        <f t="shared" si="1"/>
        <v>47877.690000000061</v>
      </c>
    </row>
    <row r="19" spans="1:10" x14ac:dyDescent="0.25">
      <c r="A19" s="537" t="s">
        <v>137</v>
      </c>
      <c r="B19" s="532">
        <v>20119.93</v>
      </c>
      <c r="C19" s="540">
        <v>36.9</v>
      </c>
      <c r="D19" s="562">
        <v>20156.830000000002</v>
      </c>
      <c r="E19" s="561">
        <v>9986.14</v>
      </c>
      <c r="F19" s="540">
        <v>4939</v>
      </c>
      <c r="G19" s="560">
        <f t="shared" si="0"/>
        <v>14925.14</v>
      </c>
      <c r="H19" s="561">
        <f t="shared" si="1"/>
        <v>-10133.790000000001</v>
      </c>
      <c r="I19" s="534">
        <f t="shared" si="1"/>
        <v>4902.1000000000004</v>
      </c>
      <c r="J19" s="560">
        <f t="shared" si="1"/>
        <v>-5231.6900000000023</v>
      </c>
    </row>
    <row r="20" spans="1:10" x14ac:dyDescent="0.25">
      <c r="A20" s="537" t="s">
        <v>138</v>
      </c>
      <c r="B20" s="532">
        <v>91278.59</v>
      </c>
      <c r="C20" s="540">
        <v>3359.32</v>
      </c>
      <c r="D20" s="562">
        <v>94637.91</v>
      </c>
      <c r="E20" s="561">
        <v>32494.58</v>
      </c>
      <c r="F20" s="540">
        <v>27209.53</v>
      </c>
      <c r="G20" s="560">
        <f t="shared" si="0"/>
        <v>59704.11</v>
      </c>
      <c r="H20" s="561">
        <f t="shared" si="1"/>
        <v>-58784.009999999995</v>
      </c>
      <c r="I20" s="534">
        <f t="shared" si="1"/>
        <v>23850.21</v>
      </c>
      <c r="J20" s="560">
        <f t="shared" si="1"/>
        <v>-34933.800000000003</v>
      </c>
    </row>
    <row r="21" spans="1:10" x14ac:dyDescent="0.25">
      <c r="A21" s="537" t="s">
        <v>139</v>
      </c>
      <c r="B21" s="532">
        <v>22350.93</v>
      </c>
      <c r="C21" s="540">
        <v>207865.04</v>
      </c>
      <c r="D21" s="562">
        <v>230215.97</v>
      </c>
      <c r="E21" s="561">
        <v>42172.53</v>
      </c>
      <c r="F21" s="540">
        <v>186740.63</v>
      </c>
      <c r="G21" s="560">
        <f t="shared" si="0"/>
        <v>228913.16</v>
      </c>
      <c r="H21" s="561">
        <f t="shared" si="1"/>
        <v>19821.599999999999</v>
      </c>
      <c r="I21" s="534">
        <f t="shared" si="1"/>
        <v>-21124.410000000003</v>
      </c>
      <c r="J21" s="560">
        <f t="shared" si="1"/>
        <v>-1302.8099999999977</v>
      </c>
    </row>
    <row r="22" spans="1:10" x14ac:dyDescent="0.25">
      <c r="A22" s="537" t="s">
        <v>140</v>
      </c>
      <c r="B22" s="532">
        <v>6311.49</v>
      </c>
      <c r="C22" s="540">
        <v>46.43</v>
      </c>
      <c r="D22" s="562">
        <v>6357.92</v>
      </c>
      <c r="E22" s="561">
        <v>25638.87</v>
      </c>
      <c r="F22" s="540">
        <v>5</v>
      </c>
      <c r="G22" s="560">
        <f t="shared" si="0"/>
        <v>25643.87</v>
      </c>
      <c r="H22" s="561">
        <f t="shared" si="1"/>
        <v>19327.379999999997</v>
      </c>
      <c r="I22" s="534">
        <f t="shared" si="1"/>
        <v>-41.43</v>
      </c>
      <c r="J22" s="560">
        <f t="shared" si="1"/>
        <v>19285.949999999997</v>
      </c>
    </row>
    <row r="23" spans="1:10" x14ac:dyDescent="0.25">
      <c r="A23" s="537" t="s">
        <v>141</v>
      </c>
      <c r="B23" s="532">
        <v>52667.839999999997</v>
      </c>
      <c r="C23" s="540">
        <v>7257.33</v>
      </c>
      <c r="D23" s="562">
        <v>59925.17</v>
      </c>
      <c r="E23" s="561">
        <v>121994.05</v>
      </c>
      <c r="F23" s="540">
        <v>14744.42</v>
      </c>
      <c r="G23" s="560">
        <f t="shared" si="0"/>
        <v>136738.47</v>
      </c>
      <c r="H23" s="561">
        <f t="shared" si="1"/>
        <v>69326.210000000006</v>
      </c>
      <c r="I23" s="534">
        <f t="shared" si="1"/>
        <v>7487.09</v>
      </c>
      <c r="J23" s="560">
        <f t="shared" si="1"/>
        <v>76813.3</v>
      </c>
    </row>
    <row r="24" spans="1:10" x14ac:dyDescent="0.25">
      <c r="A24" s="537" t="s">
        <v>142</v>
      </c>
      <c r="B24" s="532">
        <v>2202.2199999999998</v>
      </c>
      <c r="C24" s="540">
        <v>1350</v>
      </c>
      <c r="D24" s="562">
        <v>3552.22</v>
      </c>
      <c r="E24" s="561">
        <v>20402.72</v>
      </c>
      <c r="F24" s="540">
        <v>488</v>
      </c>
      <c r="G24" s="560">
        <f t="shared" si="0"/>
        <v>20890.72</v>
      </c>
      <c r="H24" s="561">
        <f t="shared" si="1"/>
        <v>18200.5</v>
      </c>
      <c r="I24" s="534">
        <f t="shared" si="1"/>
        <v>-862</v>
      </c>
      <c r="J24" s="560">
        <f t="shared" si="1"/>
        <v>17338.5</v>
      </c>
    </row>
    <row r="25" spans="1:10" x14ac:dyDescent="0.25">
      <c r="A25" s="537" t="s">
        <v>143</v>
      </c>
      <c r="B25" s="532">
        <v>369416.14</v>
      </c>
      <c r="C25" s="540">
        <v>1721.5</v>
      </c>
      <c r="D25" s="562">
        <v>371137.64</v>
      </c>
      <c r="E25" s="561">
        <v>467591.06</v>
      </c>
      <c r="F25" s="540">
        <v>7351</v>
      </c>
      <c r="G25" s="560">
        <f t="shared" si="0"/>
        <v>474942.06</v>
      </c>
      <c r="H25" s="561">
        <f t="shared" si="1"/>
        <v>98174.919999999984</v>
      </c>
      <c r="I25" s="534">
        <f t="shared" si="1"/>
        <v>5629.5</v>
      </c>
      <c r="J25" s="560">
        <f t="shared" si="1"/>
        <v>103804.41999999998</v>
      </c>
    </row>
    <row r="26" spans="1:10" x14ac:dyDescent="0.25">
      <c r="A26" s="537" t="s">
        <v>144</v>
      </c>
      <c r="B26" s="532">
        <v>380562.23</v>
      </c>
      <c r="C26" s="540">
        <v>934.45</v>
      </c>
      <c r="D26" s="562">
        <v>381496.68</v>
      </c>
      <c r="E26" s="561">
        <v>78566.95</v>
      </c>
      <c r="F26" s="540">
        <v>18145.77</v>
      </c>
      <c r="G26" s="560">
        <f t="shared" si="0"/>
        <v>96712.72</v>
      </c>
      <c r="H26" s="561">
        <f t="shared" si="1"/>
        <v>-301995.27999999997</v>
      </c>
      <c r="I26" s="534">
        <f t="shared" si="1"/>
        <v>17211.32</v>
      </c>
      <c r="J26" s="560">
        <f t="shared" si="1"/>
        <v>-284783.95999999996</v>
      </c>
    </row>
    <row r="27" spans="1:10" x14ac:dyDescent="0.25">
      <c r="A27" s="537" t="s">
        <v>145</v>
      </c>
      <c r="B27" s="532">
        <v>47984877</v>
      </c>
      <c r="C27" s="540">
        <v>629713.66</v>
      </c>
      <c r="D27" s="562">
        <v>48614590.659999996</v>
      </c>
      <c r="E27" s="561">
        <v>48020658.079999998</v>
      </c>
      <c r="F27" s="540">
        <v>992307.47</v>
      </c>
      <c r="G27" s="560">
        <f t="shared" si="0"/>
        <v>49012965.549999997</v>
      </c>
      <c r="H27" s="561">
        <f t="shared" si="1"/>
        <v>35781.079999998212</v>
      </c>
      <c r="I27" s="534">
        <f t="shared" si="1"/>
        <v>362593.80999999994</v>
      </c>
      <c r="J27" s="560">
        <f t="shared" si="1"/>
        <v>398374.8900000006</v>
      </c>
    </row>
    <row r="28" spans="1:10" ht="30" x14ac:dyDescent="0.25">
      <c r="A28" s="537" t="s">
        <v>300</v>
      </c>
      <c r="B28" s="532">
        <v>61657805.240000002</v>
      </c>
      <c r="C28" s="540">
        <v>664213.71</v>
      </c>
      <c r="D28" s="562">
        <v>62322018.950000003</v>
      </c>
      <c r="E28" s="561">
        <v>73789572.219999999</v>
      </c>
      <c r="F28" s="540">
        <v>689875.25</v>
      </c>
      <c r="G28" s="560">
        <f t="shared" si="0"/>
        <v>74479447.469999999</v>
      </c>
      <c r="H28" s="561">
        <f t="shared" si="1"/>
        <v>12131766.979999997</v>
      </c>
      <c r="I28" s="534">
        <f t="shared" si="1"/>
        <v>25661.540000000037</v>
      </c>
      <c r="J28" s="560">
        <f t="shared" si="1"/>
        <v>12157428.519999996</v>
      </c>
    </row>
    <row r="29" spans="1:10" ht="30" x14ac:dyDescent="0.25">
      <c r="A29" s="537" t="s">
        <v>301</v>
      </c>
      <c r="B29" s="532">
        <v>1048689.56</v>
      </c>
      <c r="C29" s="540">
        <v>0</v>
      </c>
      <c r="D29" s="562">
        <v>1048689.56</v>
      </c>
      <c r="E29" s="561">
        <v>2863760.23</v>
      </c>
      <c r="F29" s="540">
        <v>11067.16</v>
      </c>
      <c r="G29" s="560">
        <f t="shared" si="0"/>
        <v>2874827.39</v>
      </c>
      <c r="H29" s="561">
        <f t="shared" si="1"/>
        <v>1815070.67</v>
      </c>
      <c r="I29" s="534">
        <f t="shared" si="1"/>
        <v>11067.16</v>
      </c>
      <c r="J29" s="560">
        <f t="shared" si="1"/>
        <v>1826137.83</v>
      </c>
    </row>
    <row r="30" spans="1:10" x14ac:dyDescent="0.25">
      <c r="A30" s="537" t="s">
        <v>302</v>
      </c>
      <c r="B30" s="532">
        <v>0</v>
      </c>
      <c r="C30" s="540">
        <v>0</v>
      </c>
      <c r="D30" s="562">
        <v>0</v>
      </c>
      <c r="E30" s="561">
        <v>0</v>
      </c>
      <c r="F30" s="540">
        <v>0</v>
      </c>
      <c r="G30" s="560">
        <f t="shared" si="0"/>
        <v>0</v>
      </c>
      <c r="H30" s="561">
        <f t="shared" si="1"/>
        <v>0</v>
      </c>
      <c r="I30" s="534">
        <f t="shared" si="1"/>
        <v>0</v>
      </c>
      <c r="J30" s="560">
        <f t="shared" si="1"/>
        <v>0</v>
      </c>
    </row>
    <row r="31" spans="1:10" x14ac:dyDescent="0.25">
      <c r="A31" s="537" t="s">
        <v>146</v>
      </c>
      <c r="B31" s="532">
        <v>0</v>
      </c>
      <c r="C31" s="540">
        <v>12047.79</v>
      </c>
      <c r="D31" s="562">
        <v>12047.79</v>
      </c>
      <c r="E31" s="561">
        <v>71.67</v>
      </c>
      <c r="F31" s="540">
        <v>0</v>
      </c>
      <c r="G31" s="560">
        <f t="shared" si="0"/>
        <v>71.67</v>
      </c>
      <c r="H31" s="561">
        <f t="shared" si="1"/>
        <v>71.67</v>
      </c>
      <c r="I31" s="534">
        <f t="shared" si="1"/>
        <v>-12047.79</v>
      </c>
      <c r="J31" s="560">
        <f t="shared" si="1"/>
        <v>-11976.12</v>
      </c>
    </row>
    <row r="32" spans="1:10" x14ac:dyDescent="0.25">
      <c r="A32" s="537" t="s">
        <v>303</v>
      </c>
      <c r="B32" s="532">
        <v>0</v>
      </c>
      <c r="C32" s="540">
        <v>0</v>
      </c>
      <c r="D32" s="562">
        <v>0</v>
      </c>
      <c r="E32" s="561">
        <v>0</v>
      </c>
      <c r="F32" s="540">
        <v>0</v>
      </c>
      <c r="G32" s="560">
        <f t="shared" si="0"/>
        <v>0</v>
      </c>
      <c r="H32" s="561">
        <f t="shared" si="1"/>
        <v>0</v>
      </c>
      <c r="I32" s="534">
        <f t="shared" si="1"/>
        <v>0</v>
      </c>
      <c r="J32" s="560">
        <f t="shared" si="1"/>
        <v>0</v>
      </c>
    </row>
    <row r="33" spans="1:10" x14ac:dyDescent="0.25">
      <c r="A33" s="537" t="s">
        <v>147</v>
      </c>
      <c r="B33" s="532">
        <v>40168753.229999997</v>
      </c>
      <c r="C33" s="540">
        <v>0</v>
      </c>
      <c r="D33" s="562">
        <v>40168753.229999997</v>
      </c>
      <c r="E33" s="561">
        <v>33964470.960000001</v>
      </c>
      <c r="F33" s="540">
        <v>80421.06</v>
      </c>
      <c r="G33" s="560">
        <f t="shared" si="0"/>
        <v>34044892.020000003</v>
      </c>
      <c r="H33" s="561">
        <f t="shared" si="1"/>
        <v>-6204282.2699999958</v>
      </c>
      <c r="I33" s="534">
        <f t="shared" si="1"/>
        <v>80421.06</v>
      </c>
      <c r="J33" s="560">
        <f t="shared" si="1"/>
        <v>-6123861.2099999934</v>
      </c>
    </row>
    <row r="34" spans="1:10" x14ac:dyDescent="0.25">
      <c r="A34" s="537" t="s">
        <v>148</v>
      </c>
      <c r="B34" s="532">
        <v>0</v>
      </c>
      <c r="C34" s="540">
        <v>0</v>
      </c>
      <c r="D34" s="562">
        <v>0</v>
      </c>
      <c r="E34" s="561">
        <v>0</v>
      </c>
      <c r="F34" s="540">
        <v>0</v>
      </c>
      <c r="G34" s="560">
        <f t="shared" si="0"/>
        <v>0</v>
      </c>
      <c r="H34" s="561">
        <f t="shared" si="1"/>
        <v>0</v>
      </c>
      <c r="I34" s="534">
        <f t="shared" si="1"/>
        <v>0</v>
      </c>
      <c r="J34" s="560">
        <f t="shared" si="1"/>
        <v>0</v>
      </c>
    </row>
    <row r="35" spans="1:10" x14ac:dyDescent="0.25">
      <c r="A35" s="537" t="s">
        <v>305</v>
      </c>
      <c r="B35" s="532">
        <v>90395.520000000004</v>
      </c>
      <c r="C35" s="540">
        <v>69768.429999999993</v>
      </c>
      <c r="D35" s="562">
        <v>160163.95000000001</v>
      </c>
      <c r="E35" s="561">
        <v>63045.82</v>
      </c>
      <c r="F35" s="540">
        <v>119400.38</v>
      </c>
      <c r="G35" s="560">
        <f t="shared" si="0"/>
        <v>182446.2</v>
      </c>
      <c r="H35" s="561">
        <f t="shared" si="1"/>
        <v>-27349.700000000004</v>
      </c>
      <c r="I35" s="534">
        <f t="shared" si="1"/>
        <v>49631.950000000012</v>
      </c>
      <c r="J35" s="560">
        <f t="shared" si="1"/>
        <v>22282.25</v>
      </c>
    </row>
    <row r="36" spans="1:10" x14ac:dyDescent="0.25">
      <c r="A36" s="537" t="s">
        <v>306</v>
      </c>
      <c r="B36" s="532">
        <v>3500</v>
      </c>
      <c r="C36" s="540">
        <v>0</v>
      </c>
      <c r="D36" s="562">
        <v>3500</v>
      </c>
      <c r="E36" s="561">
        <v>0</v>
      </c>
      <c r="F36" s="540">
        <v>0</v>
      </c>
      <c r="G36" s="560">
        <f t="shared" si="0"/>
        <v>0</v>
      </c>
      <c r="H36" s="561">
        <f t="shared" si="1"/>
        <v>-3500</v>
      </c>
      <c r="I36" s="534">
        <f t="shared" si="1"/>
        <v>0</v>
      </c>
      <c r="J36" s="560">
        <f t="shared" si="1"/>
        <v>-3500</v>
      </c>
    </row>
    <row r="37" spans="1:10" x14ac:dyDescent="0.25">
      <c r="A37" s="537" t="s">
        <v>149</v>
      </c>
      <c r="B37" s="532">
        <v>1372561.4</v>
      </c>
      <c r="C37" s="540">
        <v>3049.56</v>
      </c>
      <c r="D37" s="562">
        <v>1375610.96</v>
      </c>
      <c r="E37" s="561">
        <v>1666954.16</v>
      </c>
      <c r="F37" s="540">
        <v>2720</v>
      </c>
      <c r="G37" s="560">
        <f t="shared" si="0"/>
        <v>1669674.16</v>
      </c>
      <c r="H37" s="561">
        <f t="shared" si="1"/>
        <v>294392.76</v>
      </c>
      <c r="I37" s="534">
        <f t="shared" si="1"/>
        <v>-329.55999999999995</v>
      </c>
      <c r="J37" s="560">
        <f t="shared" si="1"/>
        <v>294063.19999999995</v>
      </c>
    </row>
    <row r="38" spans="1:10" x14ac:dyDescent="0.25">
      <c r="A38" s="537" t="s">
        <v>150</v>
      </c>
      <c r="B38" s="532">
        <v>0</v>
      </c>
      <c r="C38" s="540">
        <v>0</v>
      </c>
      <c r="D38" s="562">
        <v>0</v>
      </c>
      <c r="E38" s="561">
        <v>0</v>
      </c>
      <c r="F38" s="540">
        <v>0</v>
      </c>
      <c r="G38" s="560">
        <f t="shared" si="0"/>
        <v>0</v>
      </c>
      <c r="H38" s="561">
        <f t="shared" si="1"/>
        <v>0</v>
      </c>
      <c r="I38" s="534">
        <f t="shared" si="1"/>
        <v>0</v>
      </c>
      <c r="J38" s="560">
        <f t="shared" si="1"/>
        <v>0</v>
      </c>
    </row>
    <row r="39" spans="1:10" x14ac:dyDescent="0.25">
      <c r="A39" s="537" t="s">
        <v>310</v>
      </c>
      <c r="B39" s="532">
        <v>0</v>
      </c>
      <c r="C39" s="547">
        <v>0</v>
      </c>
      <c r="D39" s="562">
        <v>0</v>
      </c>
      <c r="E39" s="561">
        <v>0</v>
      </c>
      <c r="F39" s="547">
        <v>0</v>
      </c>
      <c r="G39" s="560">
        <f t="shared" si="0"/>
        <v>0</v>
      </c>
      <c r="H39" s="561">
        <f t="shared" si="1"/>
        <v>0</v>
      </c>
      <c r="I39" s="534">
        <f t="shared" si="1"/>
        <v>0</v>
      </c>
      <c r="J39" s="560">
        <f t="shared" si="1"/>
        <v>0</v>
      </c>
    </row>
    <row r="40" spans="1:10" ht="16.5" thickBot="1" x14ac:dyDescent="0.3">
      <c r="A40" s="836" t="s">
        <v>308</v>
      </c>
      <c r="B40" s="837">
        <v>0</v>
      </c>
      <c r="C40" s="547">
        <v>0</v>
      </c>
      <c r="D40" s="615">
        <v>0</v>
      </c>
      <c r="E40" s="614">
        <v>0</v>
      </c>
      <c r="F40" s="547">
        <v>0</v>
      </c>
      <c r="G40" s="618">
        <f t="shared" si="0"/>
        <v>0</v>
      </c>
      <c r="H40" s="614">
        <f>E40-B40</f>
        <v>0</v>
      </c>
      <c r="I40" s="621">
        <f>F40-C40</f>
        <v>0</v>
      </c>
      <c r="J40" s="618">
        <f>G40-D40</f>
        <v>0</v>
      </c>
    </row>
    <row r="41" spans="1:10" ht="16.5" thickBot="1" x14ac:dyDescent="0.3">
      <c r="A41" s="563" t="s">
        <v>17</v>
      </c>
      <c r="B41" s="622">
        <f>SUM(B4:B40)</f>
        <v>635294749.20000005</v>
      </c>
      <c r="C41" s="551">
        <f>SUM(C4:C40)</f>
        <v>23822470.139999993</v>
      </c>
      <c r="D41" s="623">
        <f t="shared" ref="D41:J41" si="2">SUM(D4:D40)</f>
        <v>659117219.34000015</v>
      </c>
      <c r="E41" s="624">
        <v>656004190.73000014</v>
      </c>
      <c r="F41" s="625">
        <v>29692025.91</v>
      </c>
      <c r="G41" s="623">
        <f t="shared" si="2"/>
        <v>685696216.6400001</v>
      </c>
      <c r="H41" s="622">
        <f t="shared" si="2"/>
        <v>20709441.530000016</v>
      </c>
      <c r="I41" s="551">
        <f t="shared" si="2"/>
        <v>5869555.7700000014</v>
      </c>
      <c r="J41" s="623">
        <f t="shared" si="2"/>
        <v>26578997.300000027</v>
      </c>
    </row>
    <row r="42" spans="1:10" x14ac:dyDescent="0.25">
      <c r="A42" s="531" t="s">
        <v>309</v>
      </c>
      <c r="B42" s="561">
        <v>9429750.9700000007</v>
      </c>
      <c r="C42" s="534">
        <f>F42</f>
        <v>3107314.31</v>
      </c>
      <c r="D42" s="562">
        <f>B42+C42</f>
        <v>12537065.280000001</v>
      </c>
      <c r="E42" s="612">
        <v>10231393.529999999</v>
      </c>
      <c r="F42" s="542">
        <v>3107314.31</v>
      </c>
      <c r="G42" s="504">
        <f>C42+E42</f>
        <v>13338707.84</v>
      </c>
      <c r="H42" s="613">
        <f t="shared" ref="H42:I44" si="3">E42-B42</f>
        <v>801642.55999999866</v>
      </c>
      <c r="I42" s="613">
        <f t="shared" si="3"/>
        <v>0</v>
      </c>
      <c r="J42" s="560">
        <f>G42-D42</f>
        <v>801642.55999999866</v>
      </c>
    </row>
    <row r="43" spans="1:10" x14ac:dyDescent="0.25">
      <c r="A43" s="537" t="s">
        <v>294</v>
      </c>
      <c r="B43" s="561">
        <v>-119367.22</v>
      </c>
      <c r="C43" s="540">
        <f>F43</f>
        <v>669054.31000000006</v>
      </c>
      <c r="D43" s="562">
        <f>B43+C43</f>
        <v>549687.09000000008</v>
      </c>
      <c r="E43" s="612">
        <v>168349.3</v>
      </c>
      <c r="F43" s="542">
        <v>669054.31000000006</v>
      </c>
      <c r="G43" s="504">
        <f>C43+E43</f>
        <v>837403.6100000001</v>
      </c>
      <c r="H43" s="613">
        <f t="shared" si="3"/>
        <v>287716.52</v>
      </c>
      <c r="I43" s="613">
        <f t="shared" si="3"/>
        <v>0</v>
      </c>
      <c r="J43" s="560">
        <f>G43-D43</f>
        <v>287716.52</v>
      </c>
    </row>
    <row r="44" spans="1:10" ht="16.5" thickBot="1" x14ac:dyDescent="0.3">
      <c r="A44" s="544" t="s">
        <v>295</v>
      </c>
      <c r="B44" s="614">
        <v>0</v>
      </c>
      <c r="C44" s="547">
        <v>0</v>
      </c>
      <c r="D44" s="615">
        <f>B44+C44</f>
        <v>0</v>
      </c>
      <c r="E44" s="616">
        <v>0</v>
      </c>
      <c r="F44" s="548">
        <v>0</v>
      </c>
      <c r="G44" s="520">
        <f>C44+E44</f>
        <v>0</v>
      </c>
      <c r="H44" s="617">
        <f t="shared" si="3"/>
        <v>0</v>
      </c>
      <c r="I44" s="617">
        <f t="shared" si="3"/>
        <v>0</v>
      </c>
      <c r="J44" s="618">
        <f>G44-D44</f>
        <v>0</v>
      </c>
    </row>
    <row r="45" spans="1:10" ht="16.5" thickBot="1" x14ac:dyDescent="0.3">
      <c r="A45" s="569" t="s">
        <v>296</v>
      </c>
      <c r="B45" s="619">
        <f t="shared" ref="B45:J45" si="4">B42-B43-B44</f>
        <v>9549118.1900000013</v>
      </c>
      <c r="C45" s="619">
        <f t="shared" si="4"/>
        <v>2438260</v>
      </c>
      <c r="D45" s="619">
        <f t="shared" si="4"/>
        <v>11987378.190000001</v>
      </c>
      <c r="E45" s="620">
        <v>10063044.229999999</v>
      </c>
      <c r="F45" s="555">
        <v>2438260</v>
      </c>
      <c r="G45" s="566">
        <f t="shared" si="4"/>
        <v>12501304.23</v>
      </c>
      <c r="H45" s="564">
        <f t="shared" si="4"/>
        <v>513926.03999999864</v>
      </c>
      <c r="I45" s="565">
        <f t="shared" si="4"/>
        <v>0</v>
      </c>
      <c r="J45" s="566">
        <f t="shared" si="4"/>
        <v>513926.03999999864</v>
      </c>
    </row>
    <row r="46" spans="1:10" x14ac:dyDescent="0.25">
      <c r="A46" s="312"/>
      <c r="B46" s="312"/>
      <c r="C46" s="312"/>
      <c r="D46" s="312"/>
      <c r="E46" s="313"/>
      <c r="F46" s="312"/>
      <c r="G46" s="312"/>
      <c r="H46" s="314"/>
      <c r="I46" s="312"/>
      <c r="J46" s="279" t="s">
        <v>378</v>
      </c>
    </row>
  </sheetData>
  <mergeCells count="5">
    <mergeCell ref="A1:J1"/>
    <mergeCell ref="B2:D2"/>
    <mergeCell ref="E2:G2"/>
    <mergeCell ref="H2:J2"/>
    <mergeCell ref="A2:A3"/>
  </mergeCells>
  <phoneticPr fontId="47" type="noConversion"/>
  <pageMargins left="0.51181102362204722" right="0.19685039370078741" top="0.15748031496062992" bottom="0.15748031496062992" header="0" footer="0"/>
  <pageSetup paperSize="9" scale="7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tabSelected="1" workbookViewId="0">
      <selection activeCell="A35" sqref="A35"/>
    </sheetView>
  </sheetViews>
  <sheetFormatPr defaultRowHeight="15" x14ac:dyDescent="0.25"/>
  <cols>
    <col min="1" max="1" width="68.28515625" style="193" customWidth="1"/>
    <col min="2" max="2" width="24" style="193" customWidth="1"/>
  </cols>
  <sheetData>
    <row r="1" spans="1:2" ht="26.25" customHeight="1" x14ac:dyDescent="0.25">
      <c r="A1" s="198" t="s">
        <v>588</v>
      </c>
      <c r="B1" s="192"/>
    </row>
    <row r="2" spans="1:2" x14ac:dyDescent="0.25">
      <c r="B2" s="192"/>
    </row>
    <row r="3" spans="1:2" x14ac:dyDescent="0.25">
      <c r="A3" s="192" t="s">
        <v>413</v>
      </c>
      <c r="B3" s="192" t="s">
        <v>414</v>
      </c>
    </row>
    <row r="5" spans="1:2" ht="26.25" customHeight="1" x14ac:dyDescent="0.25">
      <c r="A5" s="198" t="s">
        <v>419</v>
      </c>
    </row>
    <row r="6" spans="1:2" x14ac:dyDescent="0.25">
      <c r="A6" s="194" t="s">
        <v>416</v>
      </c>
      <c r="B6" s="195" t="s">
        <v>160</v>
      </c>
    </row>
    <row r="7" spans="1:2" x14ac:dyDescent="0.25">
      <c r="A7" s="194" t="s">
        <v>384</v>
      </c>
      <c r="B7" s="195" t="s">
        <v>27</v>
      </c>
    </row>
    <row r="8" spans="1:2" x14ac:dyDescent="0.25">
      <c r="A8" s="194" t="s">
        <v>417</v>
      </c>
      <c r="B8" s="195" t="s">
        <v>121</v>
      </c>
    </row>
    <row r="9" spans="1:2" x14ac:dyDescent="0.25">
      <c r="A9" s="199" t="s">
        <v>418</v>
      </c>
      <c r="B9" s="195" t="s">
        <v>29</v>
      </c>
    </row>
    <row r="10" spans="1:2" x14ac:dyDescent="0.25">
      <c r="A10" s="194" t="s">
        <v>385</v>
      </c>
      <c r="B10" s="195" t="s">
        <v>30</v>
      </c>
    </row>
    <row r="11" spans="1:2" x14ac:dyDescent="0.25">
      <c r="A11" s="194" t="s">
        <v>386</v>
      </c>
      <c r="B11" s="195" t="s">
        <v>24</v>
      </c>
    </row>
    <row r="12" spans="1:2" x14ac:dyDescent="0.25">
      <c r="A12" s="194" t="s">
        <v>387</v>
      </c>
      <c r="B12" s="195" t="s">
        <v>25</v>
      </c>
    </row>
    <row r="13" spans="1:2" x14ac:dyDescent="0.25">
      <c r="A13" s="194" t="s">
        <v>388</v>
      </c>
      <c r="B13" s="195" t="s">
        <v>36</v>
      </c>
    </row>
    <row r="14" spans="1:2" x14ac:dyDescent="0.25">
      <c r="A14" s="194" t="s">
        <v>389</v>
      </c>
      <c r="B14" s="195" t="s">
        <v>348</v>
      </c>
    </row>
    <row r="15" spans="1:2" x14ac:dyDescent="0.25">
      <c r="A15" s="194" t="s">
        <v>390</v>
      </c>
      <c r="B15" s="195" t="s">
        <v>32</v>
      </c>
    </row>
    <row r="16" spans="1:2" x14ac:dyDescent="0.25">
      <c r="A16" s="194" t="s">
        <v>391</v>
      </c>
      <c r="B16" s="195" t="s">
        <v>39</v>
      </c>
    </row>
    <row r="17" spans="1:2" x14ac:dyDescent="0.25">
      <c r="A17" s="194" t="s">
        <v>392</v>
      </c>
      <c r="B17" s="195" t="s">
        <v>23</v>
      </c>
    </row>
    <row r="18" spans="1:2" x14ac:dyDescent="0.25">
      <c r="A18" s="765" t="s">
        <v>393</v>
      </c>
      <c r="B18" s="195" t="s">
        <v>28</v>
      </c>
    </row>
    <row r="19" spans="1:2" x14ac:dyDescent="0.25">
      <c r="A19" s="194" t="s">
        <v>394</v>
      </c>
      <c r="B19" s="779" t="s">
        <v>159</v>
      </c>
    </row>
    <row r="20" spans="1:2" x14ac:dyDescent="0.25">
      <c r="A20" s="194" t="s">
        <v>395</v>
      </c>
      <c r="B20" s="195" t="s">
        <v>31</v>
      </c>
    </row>
    <row r="21" spans="1:2" x14ac:dyDescent="0.25">
      <c r="A21" s="194" t="s">
        <v>396</v>
      </c>
      <c r="B21" s="195" t="s">
        <v>34</v>
      </c>
    </row>
    <row r="22" spans="1:2" x14ac:dyDescent="0.25">
      <c r="A22" s="194" t="s">
        <v>397</v>
      </c>
      <c r="B22" s="195" t="s">
        <v>102</v>
      </c>
    </row>
    <row r="23" spans="1:2" x14ac:dyDescent="0.25">
      <c r="A23" s="194" t="s">
        <v>398</v>
      </c>
      <c r="B23" s="195" t="s">
        <v>40</v>
      </c>
    </row>
    <row r="24" spans="1:2" x14ac:dyDescent="0.25">
      <c r="A24" s="194" t="s">
        <v>399</v>
      </c>
      <c r="B24" s="195" t="s">
        <v>41</v>
      </c>
    </row>
    <row r="25" spans="1:2" x14ac:dyDescent="0.25">
      <c r="A25" s="194" t="s">
        <v>400</v>
      </c>
      <c r="B25" s="195" t="s">
        <v>45</v>
      </c>
    </row>
    <row r="26" spans="1:2" ht="19.5" customHeight="1" x14ac:dyDescent="0.25">
      <c r="B26" s="25"/>
    </row>
    <row r="27" spans="1:2" ht="26.25" customHeight="1" x14ac:dyDescent="0.25">
      <c r="A27" s="197" t="s">
        <v>415</v>
      </c>
    </row>
    <row r="28" spans="1:2" ht="31.5" customHeight="1" x14ac:dyDescent="0.25">
      <c r="A28" s="196" t="s">
        <v>401</v>
      </c>
      <c r="B28" s="195" t="s">
        <v>354</v>
      </c>
    </row>
    <row r="29" spans="1:2" ht="15" customHeight="1" x14ac:dyDescent="0.25">
      <c r="A29" s="194" t="s">
        <v>402</v>
      </c>
      <c r="B29" s="195" t="s">
        <v>353</v>
      </c>
    </row>
    <row r="30" spans="1:2" x14ac:dyDescent="0.25">
      <c r="A30" s="194" t="s">
        <v>403</v>
      </c>
      <c r="B30" s="194" t="s">
        <v>359</v>
      </c>
    </row>
    <row r="31" spans="1:2" ht="27.75" customHeight="1" x14ac:dyDescent="0.25">
      <c r="A31" s="196" t="s">
        <v>404</v>
      </c>
      <c r="B31" s="194" t="s">
        <v>412</v>
      </c>
    </row>
    <row r="32" spans="1:2" x14ac:dyDescent="0.25">
      <c r="A32" s="194" t="s">
        <v>405</v>
      </c>
      <c r="B32" s="194" t="s">
        <v>100</v>
      </c>
    </row>
    <row r="33" spans="1:2" x14ac:dyDescent="0.25">
      <c r="A33" s="194" t="s">
        <v>406</v>
      </c>
      <c r="B33" s="194" t="s">
        <v>47</v>
      </c>
    </row>
    <row r="34" spans="1:2" x14ac:dyDescent="0.25">
      <c r="A34" s="194" t="s">
        <v>407</v>
      </c>
      <c r="B34" s="194" t="s">
        <v>37</v>
      </c>
    </row>
    <row r="35" spans="1:2" ht="15" customHeight="1" x14ac:dyDescent="0.25">
      <c r="A35" s="194" t="s">
        <v>408</v>
      </c>
      <c r="B35" s="194" t="s">
        <v>35</v>
      </c>
    </row>
    <row r="36" spans="1:2" ht="15" customHeight="1" x14ac:dyDescent="0.25">
      <c r="A36" s="199" t="s">
        <v>433</v>
      </c>
      <c r="B36" s="194" t="s">
        <v>432</v>
      </c>
    </row>
    <row r="37" spans="1:2" x14ac:dyDescent="0.25">
      <c r="A37" s="194" t="s">
        <v>409</v>
      </c>
      <c r="B37" s="194" t="s">
        <v>46</v>
      </c>
    </row>
    <row r="38" spans="1:2" x14ac:dyDescent="0.25">
      <c r="A38" s="194" t="s">
        <v>410</v>
      </c>
      <c r="B38" s="194" t="s">
        <v>383</v>
      </c>
    </row>
    <row r="39" spans="1:2" x14ac:dyDescent="0.25">
      <c r="A39" s="681" t="s">
        <v>589</v>
      </c>
      <c r="B39" s="194" t="s">
        <v>38</v>
      </c>
    </row>
    <row r="40" spans="1:2" x14ac:dyDescent="0.25">
      <c r="A40" s="194" t="s">
        <v>411</v>
      </c>
      <c r="B40" s="194" t="s">
        <v>26</v>
      </c>
    </row>
    <row r="42" spans="1:2" ht="21" customHeight="1" x14ac:dyDescent="0.25">
      <c r="A42" s="197" t="s">
        <v>607</v>
      </c>
    </row>
    <row r="43" spans="1:2" x14ac:dyDescent="0.25">
      <c r="A43" s="199" t="s">
        <v>610</v>
      </c>
      <c r="B43" s="199" t="s">
        <v>608</v>
      </c>
    </row>
    <row r="44" spans="1:2" x14ac:dyDescent="0.25">
      <c r="A44" s="199" t="s">
        <v>609</v>
      </c>
      <c r="B44" s="199" t="s">
        <v>605</v>
      </c>
    </row>
    <row r="45" spans="1:2" x14ac:dyDescent="0.25">
      <c r="A45" s="199" t="s">
        <v>611</v>
      </c>
      <c r="B45" s="194" t="s">
        <v>606</v>
      </c>
    </row>
  </sheetData>
  <phoneticPr fontId="47" type="noConversion"/>
  <pageMargins left="0.70866141732283472" right="0.31496062992125984" top="0.74803149606299213" bottom="0.74803149606299213" header="0.31496062992125984" footer="0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38"/>
  <sheetViews>
    <sheetView tabSelected="1" zoomScaleNormal="100" workbookViewId="0">
      <selection activeCell="A35" sqref="A35"/>
    </sheetView>
  </sheetViews>
  <sheetFormatPr defaultRowHeight="15.75" x14ac:dyDescent="0.25"/>
  <cols>
    <col min="1" max="1" width="19.42578125" style="318" customWidth="1"/>
    <col min="2" max="2" width="15.42578125" style="44" customWidth="1"/>
    <col min="3" max="3" width="13.140625" style="44" customWidth="1"/>
    <col min="4" max="4" width="13" style="44" customWidth="1"/>
    <col min="5" max="5" width="15.42578125" style="45" customWidth="1"/>
    <col min="6" max="6" width="15.42578125" style="46" customWidth="1"/>
    <col min="7" max="7" width="13.85546875" style="46" customWidth="1"/>
    <col min="8" max="8" width="14.7109375" style="46" customWidth="1"/>
    <col min="9" max="9" width="13.5703125" style="46" customWidth="1"/>
    <col min="10" max="10" width="13.28515625" style="46" customWidth="1"/>
    <col min="11" max="11" width="12.85546875" style="46" customWidth="1"/>
    <col min="12" max="12" width="13.28515625" style="46" customWidth="1"/>
    <col min="13" max="16384" width="9.140625" style="46"/>
  </cols>
  <sheetData>
    <row r="1" spans="1:12" ht="75.75" customHeight="1" thickBot="1" x14ac:dyDescent="0.3">
      <c r="A1" s="1125" t="s">
        <v>638</v>
      </c>
      <c r="B1" s="1126"/>
      <c r="C1" s="1126"/>
      <c r="D1" s="1126"/>
      <c r="E1" s="1126"/>
      <c r="F1" s="1126"/>
      <c r="G1" s="1126"/>
      <c r="H1" s="1126"/>
      <c r="I1" s="1126"/>
      <c r="J1" s="1178" t="s">
        <v>497</v>
      </c>
      <c r="K1" s="1179"/>
      <c r="L1" s="1180"/>
    </row>
    <row r="2" spans="1:12" s="315" customFormat="1" ht="96.75" customHeight="1" thickBot="1" x14ac:dyDescent="0.3">
      <c r="A2" s="464" t="s">
        <v>43</v>
      </c>
      <c r="B2" s="627" t="s">
        <v>311</v>
      </c>
      <c r="C2" s="466" t="s">
        <v>312</v>
      </c>
      <c r="D2" s="466" t="s">
        <v>313</v>
      </c>
      <c r="E2" s="466" t="s">
        <v>314</v>
      </c>
      <c r="F2" s="466" t="s">
        <v>315</v>
      </c>
      <c r="G2" s="466" t="s">
        <v>316</v>
      </c>
      <c r="H2" s="466" t="s">
        <v>317</v>
      </c>
      <c r="I2" s="626" t="s">
        <v>376</v>
      </c>
      <c r="J2" s="464" t="s">
        <v>493</v>
      </c>
      <c r="K2" s="627" t="s">
        <v>318</v>
      </c>
      <c r="L2" s="467" t="s">
        <v>494</v>
      </c>
    </row>
    <row r="3" spans="1:12" x14ac:dyDescent="0.25">
      <c r="A3" s="819" t="s">
        <v>23</v>
      </c>
      <c r="B3" s="630">
        <v>144521846.91999999</v>
      </c>
      <c r="C3" s="468">
        <f>141343080.16+1925.17</f>
        <v>141345005.32999998</v>
      </c>
      <c r="D3" s="468">
        <f>B3-C3</f>
        <v>3176841.5900000036</v>
      </c>
      <c r="E3" s="468">
        <v>7178694.8799999999</v>
      </c>
      <c r="F3" s="468">
        <f>6960359.35+23355.18</f>
        <v>6983714.5299999993</v>
      </c>
      <c r="G3" s="468">
        <f>E3-F3</f>
        <v>194980.35000000056</v>
      </c>
      <c r="H3" s="468">
        <f>B3+E3</f>
        <v>151700541.79999998</v>
      </c>
      <c r="I3" s="628">
        <f>C3+F3</f>
        <v>148328719.85999998</v>
      </c>
      <c r="J3" s="629">
        <f>D3+G3</f>
        <v>3371821.9400000041</v>
      </c>
      <c r="K3" s="630">
        <v>12206251.810000001</v>
      </c>
      <c r="L3" s="469">
        <f>J3+K3</f>
        <v>15578073.750000004</v>
      </c>
    </row>
    <row r="4" spans="1:12" x14ac:dyDescent="0.25">
      <c r="A4" s="727" t="s">
        <v>31</v>
      </c>
      <c r="B4" s="630">
        <v>47502908.18</v>
      </c>
      <c r="C4" s="468">
        <f>46810099.98+162293.33</f>
        <v>46972393.309999995</v>
      </c>
      <c r="D4" s="468">
        <f t="shared" ref="D4:D22" si="0">B4-C4</f>
        <v>530514.87000000477</v>
      </c>
      <c r="E4" s="468">
        <v>1404840.33</v>
      </c>
      <c r="F4" s="468">
        <f>1314419.02+33053.31</f>
        <v>1347472.33</v>
      </c>
      <c r="G4" s="468">
        <f t="shared" ref="G4:G22" si="1">E4-F4</f>
        <v>57368</v>
      </c>
      <c r="H4" s="468">
        <f t="shared" ref="H4:J22" si="2">B4+E4</f>
        <v>48907748.509999998</v>
      </c>
      <c r="I4" s="628">
        <f t="shared" si="2"/>
        <v>48319865.639999993</v>
      </c>
      <c r="J4" s="629">
        <f t="shared" si="2"/>
        <v>587882.87000000477</v>
      </c>
      <c r="K4" s="630">
        <v>0</v>
      </c>
      <c r="L4" s="469">
        <f t="shared" ref="L4:L22" si="3">J4+K4</f>
        <v>587882.87000000477</v>
      </c>
    </row>
    <row r="5" spans="1:12" x14ac:dyDescent="0.25">
      <c r="A5" s="727" t="s">
        <v>29</v>
      </c>
      <c r="B5" s="630">
        <v>31692764.66</v>
      </c>
      <c r="C5" s="468">
        <f>31692089.52+57.5</f>
        <v>31692147.02</v>
      </c>
      <c r="D5" s="468">
        <f t="shared" si="0"/>
        <v>617.64000000059605</v>
      </c>
      <c r="E5" s="468">
        <v>607439.51</v>
      </c>
      <c r="F5" s="468">
        <f>607345.22+57.26</f>
        <v>607402.48</v>
      </c>
      <c r="G5" s="468">
        <f t="shared" si="1"/>
        <v>37.03000000002794</v>
      </c>
      <c r="H5" s="468">
        <f t="shared" si="2"/>
        <v>32300204.170000002</v>
      </c>
      <c r="I5" s="628">
        <f t="shared" si="2"/>
        <v>32299549.5</v>
      </c>
      <c r="J5" s="629">
        <f t="shared" si="2"/>
        <v>654.67000000062399</v>
      </c>
      <c r="K5" s="630">
        <v>0</v>
      </c>
      <c r="L5" s="469">
        <f t="shared" si="3"/>
        <v>654.67000000062399</v>
      </c>
    </row>
    <row r="6" spans="1:12" x14ac:dyDescent="0.25">
      <c r="A6" s="727" t="s">
        <v>34</v>
      </c>
      <c r="B6" s="630">
        <v>13237003.970000001</v>
      </c>
      <c r="C6" s="468">
        <f>13234659.06+1.86</f>
        <v>13234660.92</v>
      </c>
      <c r="D6" s="468">
        <f t="shared" si="0"/>
        <v>2343.0500000007451</v>
      </c>
      <c r="E6" s="468">
        <v>99091.08</v>
      </c>
      <c r="F6" s="468">
        <f>86737.59+3014.72</f>
        <v>89752.31</v>
      </c>
      <c r="G6" s="468">
        <f t="shared" si="1"/>
        <v>9338.7700000000041</v>
      </c>
      <c r="H6" s="468">
        <f t="shared" si="2"/>
        <v>13336095.050000001</v>
      </c>
      <c r="I6" s="628">
        <f t="shared" si="2"/>
        <v>13324413.23</v>
      </c>
      <c r="J6" s="629">
        <f t="shared" si="2"/>
        <v>11681.820000000749</v>
      </c>
      <c r="K6" s="630">
        <v>1237979.45</v>
      </c>
      <c r="L6" s="469">
        <f t="shared" si="3"/>
        <v>1249661.2700000007</v>
      </c>
    </row>
    <row r="7" spans="1:12" x14ac:dyDescent="0.25">
      <c r="A7" s="727" t="s">
        <v>102</v>
      </c>
      <c r="B7" s="630">
        <v>16182444.789999999</v>
      </c>
      <c r="C7" s="468">
        <f>16145569.32+0</f>
        <v>16145569.32</v>
      </c>
      <c r="D7" s="468">
        <f t="shared" si="0"/>
        <v>36875.469999998808</v>
      </c>
      <c r="E7" s="468">
        <v>730088.79</v>
      </c>
      <c r="F7" s="468">
        <f>634499.62</f>
        <v>634499.62</v>
      </c>
      <c r="G7" s="468">
        <f t="shared" si="1"/>
        <v>95589.170000000042</v>
      </c>
      <c r="H7" s="468">
        <f t="shared" si="2"/>
        <v>16912533.579999998</v>
      </c>
      <c r="I7" s="628">
        <f t="shared" si="2"/>
        <v>16780068.940000001</v>
      </c>
      <c r="J7" s="629">
        <f t="shared" si="2"/>
        <v>132464.63999999885</v>
      </c>
      <c r="K7" s="630">
        <v>-1522498.7</v>
      </c>
      <c r="L7" s="469">
        <f t="shared" si="3"/>
        <v>-1390034.060000001</v>
      </c>
    </row>
    <row r="8" spans="1:12" x14ac:dyDescent="0.25">
      <c r="A8" s="727" t="s">
        <v>28</v>
      </c>
      <c r="B8" s="630">
        <v>28619137.07</v>
      </c>
      <c r="C8" s="468">
        <f>27923575.67+0</f>
        <v>27923575.670000002</v>
      </c>
      <c r="D8" s="468">
        <f t="shared" si="0"/>
        <v>695561.39999999851</v>
      </c>
      <c r="E8" s="468">
        <v>596872.52</v>
      </c>
      <c r="F8" s="468">
        <f>501006.35+20623.17</f>
        <v>521629.51999999996</v>
      </c>
      <c r="G8" s="468">
        <f t="shared" si="1"/>
        <v>75243.000000000058</v>
      </c>
      <c r="H8" s="468">
        <f t="shared" si="2"/>
        <v>29216009.59</v>
      </c>
      <c r="I8" s="628">
        <f t="shared" si="2"/>
        <v>28445205.190000001</v>
      </c>
      <c r="J8" s="629">
        <f t="shared" si="2"/>
        <v>770804.39999999851</v>
      </c>
      <c r="K8" s="630">
        <v>0</v>
      </c>
      <c r="L8" s="469">
        <f t="shared" si="3"/>
        <v>770804.39999999851</v>
      </c>
    </row>
    <row r="9" spans="1:12" ht="19.5" customHeight="1" x14ac:dyDescent="0.25">
      <c r="A9" s="727" t="s">
        <v>495</v>
      </c>
      <c r="B9" s="630">
        <v>30362322.190000001</v>
      </c>
      <c r="C9" s="468">
        <f>29788719.94+119.68</f>
        <v>29788839.620000001</v>
      </c>
      <c r="D9" s="468">
        <f t="shared" si="0"/>
        <v>573482.5700000003</v>
      </c>
      <c r="E9" s="468">
        <v>563383.62</v>
      </c>
      <c r="F9" s="468">
        <f>496300.99+15532.42</f>
        <v>511833.41</v>
      </c>
      <c r="G9" s="468">
        <f t="shared" si="1"/>
        <v>51550.210000000021</v>
      </c>
      <c r="H9" s="468">
        <f t="shared" si="2"/>
        <v>30925705.810000002</v>
      </c>
      <c r="I9" s="628">
        <f t="shared" si="2"/>
        <v>30300673.030000001</v>
      </c>
      <c r="J9" s="629">
        <f t="shared" si="2"/>
        <v>625032.78000000026</v>
      </c>
      <c r="K9" s="630">
        <v>615692.91</v>
      </c>
      <c r="L9" s="469">
        <f t="shared" si="3"/>
        <v>1240725.6900000004</v>
      </c>
    </row>
    <row r="10" spans="1:12" x14ac:dyDescent="0.25">
      <c r="A10" s="727" t="s">
        <v>32</v>
      </c>
      <c r="B10" s="630">
        <v>16325037.52</v>
      </c>
      <c r="C10" s="468">
        <f>16143651.83+1.14</f>
        <v>16143652.970000001</v>
      </c>
      <c r="D10" s="468">
        <f t="shared" si="0"/>
        <v>181384.54999999888</v>
      </c>
      <c r="E10" s="468">
        <v>159118.51</v>
      </c>
      <c r="F10" s="468">
        <f>112871.08+10631.69</f>
        <v>123502.77</v>
      </c>
      <c r="G10" s="468">
        <f t="shared" si="1"/>
        <v>35615.740000000005</v>
      </c>
      <c r="H10" s="468">
        <f t="shared" si="2"/>
        <v>16484156.029999999</v>
      </c>
      <c r="I10" s="628">
        <f t="shared" si="2"/>
        <v>16267155.74</v>
      </c>
      <c r="J10" s="629">
        <f t="shared" si="2"/>
        <v>217000.28999999887</v>
      </c>
      <c r="K10" s="630">
        <v>1977858.42</v>
      </c>
      <c r="L10" s="469">
        <f t="shared" si="3"/>
        <v>2194858.709999999</v>
      </c>
    </row>
    <row r="11" spans="1:12" x14ac:dyDescent="0.25">
      <c r="A11" s="727" t="s">
        <v>24</v>
      </c>
      <c r="B11" s="630">
        <v>90521888.189999998</v>
      </c>
      <c r="C11" s="468">
        <f>91105635.36</f>
        <v>91105635.359999999</v>
      </c>
      <c r="D11" s="468">
        <f t="shared" si="0"/>
        <v>-583747.17000000179</v>
      </c>
      <c r="E11" s="468">
        <v>7861844.9199999999</v>
      </c>
      <c r="F11" s="468">
        <f>6693951.77+223281.47</f>
        <v>6917233.2399999993</v>
      </c>
      <c r="G11" s="468">
        <f t="shared" si="1"/>
        <v>944611.68000000063</v>
      </c>
      <c r="H11" s="468">
        <f t="shared" si="2"/>
        <v>98383733.109999999</v>
      </c>
      <c r="I11" s="628">
        <f t="shared" si="2"/>
        <v>98022868.599999994</v>
      </c>
      <c r="J11" s="629">
        <f t="shared" si="2"/>
        <v>360864.50999999885</v>
      </c>
      <c r="K11" s="630">
        <v>0</v>
      </c>
      <c r="L11" s="469">
        <f t="shared" si="3"/>
        <v>360864.50999999885</v>
      </c>
    </row>
    <row r="12" spans="1:12" x14ac:dyDescent="0.25">
      <c r="A12" s="727" t="s">
        <v>25</v>
      </c>
      <c r="B12" s="630">
        <v>63216477.57</v>
      </c>
      <c r="C12" s="468">
        <f>62522346.99+230.96</f>
        <v>62522577.950000003</v>
      </c>
      <c r="D12" s="468">
        <f t="shared" si="0"/>
        <v>693899.61999999732</v>
      </c>
      <c r="E12" s="468">
        <v>3971567.61</v>
      </c>
      <c r="F12" s="468">
        <f>3683147.11+80286.19</f>
        <v>3763433.3</v>
      </c>
      <c r="G12" s="468">
        <f t="shared" si="1"/>
        <v>208134.31000000006</v>
      </c>
      <c r="H12" s="468">
        <f t="shared" si="2"/>
        <v>67188045.180000007</v>
      </c>
      <c r="I12" s="628">
        <f t="shared" si="2"/>
        <v>66286011.25</v>
      </c>
      <c r="J12" s="629">
        <f t="shared" si="2"/>
        <v>902033.92999999737</v>
      </c>
      <c r="K12" s="630">
        <v>0.05</v>
      </c>
      <c r="L12" s="469">
        <f>J12+K12</f>
        <v>902033.97999999742</v>
      </c>
    </row>
    <row r="13" spans="1:12" x14ac:dyDescent="0.25">
      <c r="A13" s="727" t="s">
        <v>45</v>
      </c>
      <c r="B13" s="630">
        <v>51182462.039999999</v>
      </c>
      <c r="C13" s="468">
        <f>48804151.7</f>
        <v>48804151.700000003</v>
      </c>
      <c r="D13" s="468">
        <f t="shared" si="0"/>
        <v>2378310.3399999961</v>
      </c>
      <c r="E13" s="468">
        <v>3562870.56</v>
      </c>
      <c r="F13" s="468">
        <f>3556118.03</f>
        <v>3556118.03</v>
      </c>
      <c r="G13" s="468">
        <f t="shared" si="1"/>
        <v>6752.5300000002608</v>
      </c>
      <c r="H13" s="468">
        <f t="shared" si="2"/>
        <v>54745332.600000001</v>
      </c>
      <c r="I13" s="628">
        <f t="shared" si="2"/>
        <v>52360269.730000004</v>
      </c>
      <c r="J13" s="629">
        <f t="shared" si="2"/>
        <v>2385062.8699999964</v>
      </c>
      <c r="K13" s="630">
        <v>9684355.1500000004</v>
      </c>
      <c r="L13" s="469">
        <f t="shared" si="3"/>
        <v>12069418.019999996</v>
      </c>
    </row>
    <row r="14" spans="1:12" x14ac:dyDescent="0.25">
      <c r="A14" s="727" t="s">
        <v>348</v>
      </c>
      <c r="B14" s="630">
        <v>10915047.67</v>
      </c>
      <c r="C14" s="468">
        <f>10940936.72+16.64</f>
        <v>10940953.360000001</v>
      </c>
      <c r="D14" s="468">
        <f t="shared" si="0"/>
        <v>-25905.690000001341</v>
      </c>
      <c r="E14" s="468">
        <v>153161.57</v>
      </c>
      <c r="F14" s="468">
        <f>117797.11+5043.07</f>
        <v>122840.18</v>
      </c>
      <c r="G14" s="468">
        <f t="shared" si="1"/>
        <v>30321.390000000014</v>
      </c>
      <c r="H14" s="468">
        <f t="shared" si="2"/>
        <v>11068209.24</v>
      </c>
      <c r="I14" s="628">
        <f t="shared" si="2"/>
        <v>11063793.540000001</v>
      </c>
      <c r="J14" s="629">
        <f t="shared" si="2"/>
        <v>4415.6999999986729</v>
      </c>
      <c r="K14" s="630">
        <v>136758.88</v>
      </c>
      <c r="L14" s="469">
        <f t="shared" si="3"/>
        <v>141174.57999999868</v>
      </c>
    </row>
    <row r="15" spans="1:12" x14ac:dyDescent="0.25">
      <c r="A15" s="820" t="s">
        <v>27</v>
      </c>
      <c r="B15" s="630">
        <v>28639621.170000002</v>
      </c>
      <c r="C15" s="468">
        <f>28624869.69+25.94</f>
        <v>28624895.630000003</v>
      </c>
      <c r="D15" s="468">
        <f t="shared" si="0"/>
        <v>14725.539999999106</v>
      </c>
      <c r="E15" s="468">
        <v>1296817.74</v>
      </c>
      <c r="F15" s="468">
        <f>1254645.36+9931.45</f>
        <v>1264576.81</v>
      </c>
      <c r="G15" s="468">
        <f t="shared" si="1"/>
        <v>32240.929999999935</v>
      </c>
      <c r="H15" s="468">
        <f t="shared" si="2"/>
        <v>29936438.91</v>
      </c>
      <c r="I15" s="628">
        <f t="shared" si="2"/>
        <v>29889472.440000001</v>
      </c>
      <c r="J15" s="629">
        <f t="shared" si="2"/>
        <v>46966.469999999041</v>
      </c>
      <c r="K15" s="630">
        <v>-1217759.1100000001</v>
      </c>
      <c r="L15" s="469">
        <f t="shared" si="3"/>
        <v>-1170792.6400000011</v>
      </c>
    </row>
    <row r="16" spans="1:12" x14ac:dyDescent="0.25">
      <c r="A16" s="820" t="s">
        <v>30</v>
      </c>
      <c r="B16" s="630">
        <v>30613810.09</v>
      </c>
      <c r="C16" s="468">
        <f>30517409.41+3455.92</f>
        <v>30520865.330000002</v>
      </c>
      <c r="D16" s="468">
        <f t="shared" si="0"/>
        <v>92944.759999997914</v>
      </c>
      <c r="E16" s="468">
        <v>589443.64</v>
      </c>
      <c r="F16" s="468">
        <f>493585.32+20113.12</f>
        <v>513698.44</v>
      </c>
      <c r="G16" s="468">
        <f t="shared" si="1"/>
        <v>75745.200000000012</v>
      </c>
      <c r="H16" s="468">
        <f t="shared" si="2"/>
        <v>31203253.73</v>
      </c>
      <c r="I16" s="628">
        <f t="shared" si="2"/>
        <v>31034563.770000003</v>
      </c>
      <c r="J16" s="629">
        <f t="shared" si="2"/>
        <v>168689.95999999793</v>
      </c>
      <c r="K16" s="630">
        <v>-866139.43</v>
      </c>
      <c r="L16" s="469">
        <f t="shared" si="3"/>
        <v>-697449.47000000207</v>
      </c>
    </row>
    <row r="17" spans="1:12" x14ac:dyDescent="0.25">
      <c r="A17" s="820" t="s">
        <v>36</v>
      </c>
      <c r="B17" s="630">
        <v>19568392.82</v>
      </c>
      <c r="C17" s="468">
        <f>19074759.19+79.05</f>
        <v>19074838.240000002</v>
      </c>
      <c r="D17" s="468">
        <f t="shared" si="0"/>
        <v>493554.57999999821</v>
      </c>
      <c r="E17" s="468">
        <v>3591143.21</v>
      </c>
      <c r="F17" s="468">
        <f>2903688.4+172869.71</f>
        <v>3076558.11</v>
      </c>
      <c r="G17" s="468">
        <f t="shared" si="1"/>
        <v>514585.10000000009</v>
      </c>
      <c r="H17" s="468">
        <f t="shared" si="2"/>
        <v>23159536.030000001</v>
      </c>
      <c r="I17" s="628">
        <f t="shared" si="2"/>
        <v>22151396.350000001</v>
      </c>
      <c r="J17" s="629">
        <f t="shared" si="2"/>
        <v>1008139.6799999983</v>
      </c>
      <c r="K17" s="630">
        <v>0</v>
      </c>
      <c r="L17" s="469">
        <f t="shared" si="3"/>
        <v>1008139.6799999983</v>
      </c>
    </row>
    <row r="18" spans="1:12" x14ac:dyDescent="0.25">
      <c r="A18" s="820" t="s">
        <v>40</v>
      </c>
      <c r="B18" s="630">
        <v>6762967.0700000003</v>
      </c>
      <c r="C18" s="468">
        <f>6615558.49+45.72</f>
        <v>6615604.21</v>
      </c>
      <c r="D18" s="468">
        <f t="shared" si="0"/>
        <v>147362.86000000034</v>
      </c>
      <c r="E18" s="468">
        <v>100087.93</v>
      </c>
      <c r="F18" s="468">
        <f>45945.75+12677.42</f>
        <v>58623.17</v>
      </c>
      <c r="G18" s="468">
        <f t="shared" si="1"/>
        <v>41464.759999999995</v>
      </c>
      <c r="H18" s="468">
        <f t="shared" si="2"/>
        <v>6863055</v>
      </c>
      <c r="I18" s="628">
        <f t="shared" si="2"/>
        <v>6674227.3799999999</v>
      </c>
      <c r="J18" s="629">
        <f t="shared" si="2"/>
        <v>188827.62000000034</v>
      </c>
      <c r="K18" s="630">
        <v>0</v>
      </c>
      <c r="L18" s="469">
        <f t="shared" si="3"/>
        <v>188827.62000000034</v>
      </c>
    </row>
    <row r="19" spans="1:12" x14ac:dyDescent="0.25">
      <c r="A19" s="820" t="s">
        <v>41</v>
      </c>
      <c r="B19" s="630">
        <v>5054854.92</v>
      </c>
      <c r="C19" s="468">
        <f>5053720.2+0</f>
        <v>5053720.2</v>
      </c>
      <c r="D19" s="468">
        <f t="shared" si="0"/>
        <v>1134.7199999997392</v>
      </c>
      <c r="E19" s="468">
        <v>112835.25</v>
      </c>
      <c r="F19" s="468">
        <f>35450.83+17796.49</f>
        <v>53247.320000000007</v>
      </c>
      <c r="G19" s="468">
        <f t="shared" si="1"/>
        <v>59587.929999999993</v>
      </c>
      <c r="H19" s="468">
        <f t="shared" si="2"/>
        <v>5167690.17</v>
      </c>
      <c r="I19" s="628">
        <f t="shared" si="2"/>
        <v>5106967.5200000005</v>
      </c>
      <c r="J19" s="629">
        <f t="shared" si="2"/>
        <v>60722.649999999732</v>
      </c>
      <c r="K19" s="630">
        <v>0</v>
      </c>
      <c r="L19" s="469">
        <f t="shared" si="3"/>
        <v>60722.649999999732</v>
      </c>
    </row>
    <row r="20" spans="1:12" x14ac:dyDescent="0.25">
      <c r="A20" s="820" t="s">
        <v>496</v>
      </c>
      <c r="B20" s="630">
        <v>4619099.8099999996</v>
      </c>
      <c r="C20" s="468">
        <f>4613015.86+1.33</f>
        <v>4613017.1900000004</v>
      </c>
      <c r="D20" s="468">
        <f t="shared" si="0"/>
        <v>6082.6199999991804</v>
      </c>
      <c r="E20" s="468">
        <v>55350.28</v>
      </c>
      <c r="F20" s="468">
        <f>53071.49+1574.26</f>
        <v>54645.75</v>
      </c>
      <c r="G20" s="468">
        <f t="shared" si="1"/>
        <v>704.52999999999884</v>
      </c>
      <c r="H20" s="468">
        <f t="shared" si="2"/>
        <v>4674450.09</v>
      </c>
      <c r="I20" s="628">
        <f t="shared" si="2"/>
        <v>4667662.9400000004</v>
      </c>
      <c r="J20" s="629">
        <f t="shared" si="2"/>
        <v>6787.1499999991793</v>
      </c>
      <c r="K20" s="630">
        <v>-944217.4</v>
      </c>
      <c r="L20" s="469">
        <f t="shared" si="3"/>
        <v>-937430.25000000081</v>
      </c>
    </row>
    <row r="21" spans="1:12" x14ac:dyDescent="0.25">
      <c r="A21" s="727" t="s">
        <v>33</v>
      </c>
      <c r="B21" s="630">
        <v>21004270.98</v>
      </c>
      <c r="C21" s="468">
        <f>19891073.4+81.95</f>
        <v>19891155.349999998</v>
      </c>
      <c r="D21" s="468">
        <f t="shared" si="0"/>
        <v>1113115.6300000027</v>
      </c>
      <c r="E21" s="468">
        <v>86939.14</v>
      </c>
      <c r="F21" s="468">
        <f>74084.07+16736.93</f>
        <v>90821</v>
      </c>
      <c r="G21" s="468">
        <f t="shared" si="1"/>
        <v>-3881.8600000000006</v>
      </c>
      <c r="H21" s="468">
        <f t="shared" si="2"/>
        <v>21091210.120000001</v>
      </c>
      <c r="I21" s="628">
        <f t="shared" si="2"/>
        <v>19981976.349999998</v>
      </c>
      <c r="J21" s="629">
        <f t="shared" si="2"/>
        <v>1109233.7700000026</v>
      </c>
      <c r="K21" s="630">
        <v>455030.68</v>
      </c>
      <c r="L21" s="469">
        <f t="shared" si="3"/>
        <v>1564264.4500000025</v>
      </c>
    </row>
    <row r="22" spans="1:12" ht="16.5" thickBot="1" x14ac:dyDescent="0.3">
      <c r="A22" s="840" t="s">
        <v>39</v>
      </c>
      <c r="B22" s="723">
        <v>5693226.6299999999</v>
      </c>
      <c r="C22" s="720">
        <f>5159268.24+13.11</f>
        <v>5159281.3500000006</v>
      </c>
      <c r="D22" s="720">
        <f t="shared" si="0"/>
        <v>533945.27999999933</v>
      </c>
      <c r="E22" s="720">
        <v>77749.320000000007</v>
      </c>
      <c r="F22" s="720">
        <f>67001.64+2476.45</f>
        <v>69478.09</v>
      </c>
      <c r="G22" s="720">
        <f t="shared" si="1"/>
        <v>8271.2300000000105</v>
      </c>
      <c r="H22" s="720">
        <f t="shared" si="2"/>
        <v>5770975.9500000002</v>
      </c>
      <c r="I22" s="721">
        <f t="shared" si="2"/>
        <v>5228759.4400000004</v>
      </c>
      <c r="J22" s="722">
        <f t="shared" si="2"/>
        <v>542216.50999999931</v>
      </c>
      <c r="K22" s="723">
        <v>610288.96</v>
      </c>
      <c r="L22" s="724">
        <f t="shared" si="3"/>
        <v>1152505.4699999993</v>
      </c>
    </row>
    <row r="23" spans="1:12" s="316" customFormat="1" ht="16.5" thickBot="1" x14ac:dyDescent="0.3">
      <c r="A23" s="472" t="s">
        <v>17</v>
      </c>
      <c r="B23" s="587">
        <f>SUM(B3:B22)</f>
        <v>666235584.25999999</v>
      </c>
      <c r="C23" s="589">
        <f t="shared" ref="C23:J23" si="4">SUM(C3:C22)</f>
        <v>656172540.03000033</v>
      </c>
      <c r="D23" s="589">
        <f t="shared" si="4"/>
        <v>10063044.229999993</v>
      </c>
      <c r="E23" s="589">
        <f t="shared" si="4"/>
        <v>32799340.409999996</v>
      </c>
      <c r="F23" s="589">
        <f t="shared" si="4"/>
        <v>30361080.41</v>
      </c>
      <c r="G23" s="631">
        <f t="shared" si="4"/>
        <v>2438260.0000000014</v>
      </c>
      <c r="H23" s="631">
        <f t="shared" si="4"/>
        <v>699034924.66999996</v>
      </c>
      <c r="I23" s="632">
        <f t="shared" si="4"/>
        <v>686533620.44000018</v>
      </c>
      <c r="J23" s="726">
        <f t="shared" si="4"/>
        <v>12501304.229999995</v>
      </c>
      <c r="K23" s="589">
        <f>SUM(K3:K22)</f>
        <v>22373601.670000006</v>
      </c>
      <c r="L23" s="725">
        <f>SUM(L3:L22)</f>
        <v>34874905.899999991</v>
      </c>
    </row>
    <row r="24" spans="1:12" x14ac:dyDescent="0.25">
      <c r="A24" s="317"/>
      <c r="B24" s="280"/>
      <c r="C24" s="280"/>
      <c r="D24" s="280"/>
      <c r="E24" s="281"/>
      <c r="F24" s="280"/>
      <c r="G24" s="282"/>
      <c r="H24" s="282"/>
      <c r="I24" s="282"/>
      <c r="J24" s="282"/>
      <c r="K24" s="282"/>
      <c r="L24" s="171" t="s">
        <v>378</v>
      </c>
    </row>
    <row r="25" spans="1:12" x14ac:dyDescent="0.25">
      <c r="F25" s="44"/>
    </row>
    <row r="26" spans="1:12" x14ac:dyDescent="0.25">
      <c r="F26" s="44"/>
    </row>
    <row r="27" spans="1:12" x14ac:dyDescent="0.25">
      <c r="E27" s="44"/>
      <c r="F27" s="44"/>
      <c r="G27" s="44"/>
      <c r="H27" s="44"/>
      <c r="I27" s="44"/>
      <c r="J27" s="44"/>
      <c r="K27" s="44"/>
    </row>
    <row r="28" spans="1:12" x14ac:dyDescent="0.25">
      <c r="E28" s="44"/>
      <c r="F28" s="44"/>
      <c r="G28" s="44"/>
      <c r="H28" s="44"/>
      <c r="I28" s="44"/>
      <c r="J28" s="44"/>
      <c r="K28" s="44"/>
    </row>
    <row r="29" spans="1:12" x14ac:dyDescent="0.25">
      <c r="E29" s="44"/>
      <c r="F29" s="44"/>
      <c r="G29" s="44"/>
      <c r="H29" s="44"/>
      <c r="I29" s="44"/>
      <c r="J29" s="44"/>
      <c r="K29" s="44"/>
    </row>
    <row r="30" spans="1:12" x14ac:dyDescent="0.25">
      <c r="E30" s="44"/>
      <c r="F30" s="44"/>
      <c r="G30" s="44"/>
      <c r="H30" s="44"/>
      <c r="I30" s="44"/>
      <c r="J30" s="44"/>
      <c r="K30" s="44"/>
    </row>
    <row r="31" spans="1:12" x14ac:dyDescent="0.25">
      <c r="E31" s="44"/>
      <c r="F31" s="44"/>
      <c r="G31" s="44"/>
      <c r="H31" s="44"/>
      <c r="I31" s="44"/>
      <c r="J31" s="44"/>
      <c r="K31" s="44"/>
    </row>
    <row r="32" spans="1:12" x14ac:dyDescent="0.25">
      <c r="E32" s="44"/>
      <c r="F32" s="44"/>
      <c r="G32" s="44"/>
      <c r="H32" s="44"/>
      <c r="I32" s="44"/>
      <c r="J32" s="44"/>
      <c r="K32" s="44"/>
    </row>
    <row r="33" spans="5:11" x14ac:dyDescent="0.25">
      <c r="E33" s="44"/>
      <c r="F33" s="44"/>
      <c r="G33" s="44"/>
      <c r="H33" s="44"/>
      <c r="I33" s="44"/>
      <c r="J33" s="44"/>
      <c r="K33" s="44"/>
    </row>
    <row r="34" spans="5:11" x14ac:dyDescent="0.25">
      <c r="E34" s="44"/>
      <c r="F34" s="44"/>
      <c r="G34" s="44"/>
      <c r="H34" s="44"/>
      <c r="I34" s="44"/>
      <c r="J34" s="44"/>
      <c r="K34" s="44"/>
    </row>
    <row r="35" spans="5:11" x14ac:dyDescent="0.25">
      <c r="E35" s="44"/>
      <c r="F35" s="44"/>
      <c r="G35" s="44"/>
      <c r="H35" s="44"/>
      <c r="I35" s="44"/>
      <c r="J35" s="44"/>
      <c r="K35" s="44"/>
    </row>
    <row r="36" spans="5:11" x14ac:dyDescent="0.25">
      <c r="E36" s="44"/>
      <c r="F36" s="44"/>
      <c r="G36" s="44"/>
      <c r="H36" s="44"/>
      <c r="I36" s="44"/>
      <c r="J36" s="44"/>
      <c r="K36" s="44"/>
    </row>
    <row r="37" spans="5:11" x14ac:dyDescent="0.25">
      <c r="E37" s="44"/>
      <c r="F37" s="44"/>
      <c r="G37" s="44"/>
      <c r="H37" s="44"/>
      <c r="I37" s="44"/>
      <c r="J37" s="44"/>
      <c r="K37" s="44"/>
    </row>
    <row r="38" spans="5:11" x14ac:dyDescent="0.25">
      <c r="E38" s="44"/>
      <c r="F38" s="44"/>
      <c r="G38" s="44"/>
      <c r="H38" s="44"/>
      <c r="I38" s="44"/>
      <c r="J38" s="44"/>
      <c r="K38" s="44"/>
    </row>
  </sheetData>
  <mergeCells count="2">
    <mergeCell ref="A1:I1"/>
    <mergeCell ref="J1:L1"/>
  </mergeCells>
  <phoneticPr fontId="47" type="noConversion"/>
  <conditionalFormatting sqref="J3:J22 D3:D22 G3:G22">
    <cfRule type="cellIs" dxfId="1" priority="1" stopIfTrue="1" operator="greaterThanOrEqual">
      <formula>0</formula>
    </cfRule>
    <cfRule type="cellIs" dxfId="0" priority="2" stopIfTrue="1" operator="lessThan">
      <formula>0</formula>
    </cfRule>
  </conditionalFormatting>
  <pageMargins left="0.31496062992125984" right="0.11811023622047245" top="0.35433070866141736" bottom="0.15748031496062992" header="0" footer="0"/>
  <pageSetup paperSize="9" scale="80" orientation="landscape" r:id="rId1"/>
  <headerFoot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C41"/>
  <sheetViews>
    <sheetView tabSelected="1" zoomScaleNormal="100" zoomScaleSheetLayoutView="100" workbookViewId="0">
      <selection activeCell="A35" sqref="A35"/>
    </sheetView>
  </sheetViews>
  <sheetFormatPr defaultRowHeight="15" x14ac:dyDescent="0.25"/>
  <cols>
    <col min="1" max="1" width="47" style="269" customWidth="1"/>
    <col min="2" max="2" width="37.140625" style="269" customWidth="1"/>
    <col min="3" max="3" width="2.28515625" style="269" customWidth="1"/>
    <col min="4" max="16384" width="9.140625" style="269"/>
  </cols>
  <sheetData>
    <row r="1" spans="1:3" ht="60" customHeight="1" thickBot="1" x14ac:dyDescent="0.3">
      <c r="A1" s="1181" t="s">
        <v>616</v>
      </c>
      <c r="B1" s="1181"/>
      <c r="C1" s="319"/>
    </row>
    <row r="2" spans="1:3" ht="30.75" thickBot="1" x14ac:dyDescent="0.3">
      <c r="A2" s="633" t="s">
        <v>124</v>
      </c>
      <c r="B2" s="634" t="s">
        <v>125</v>
      </c>
      <c r="C2" s="320"/>
    </row>
    <row r="3" spans="1:3" x14ac:dyDescent="0.25">
      <c r="A3" s="759" t="s">
        <v>498</v>
      </c>
      <c r="B3" s="638">
        <v>4929166.379999999</v>
      </c>
      <c r="C3" s="287"/>
    </row>
    <row r="4" spans="1:3" x14ac:dyDescent="0.25">
      <c r="A4" s="760" t="s">
        <v>499</v>
      </c>
      <c r="B4" s="638">
        <v>11929683.189999996</v>
      </c>
      <c r="C4" s="287"/>
    </row>
    <row r="5" spans="1:3" x14ac:dyDescent="0.25">
      <c r="A5" s="760" t="s">
        <v>500</v>
      </c>
      <c r="B5" s="638">
        <v>367631.02</v>
      </c>
      <c r="C5" s="287"/>
    </row>
    <row r="6" spans="1:3" x14ac:dyDescent="0.25">
      <c r="A6" s="760" t="s">
        <v>501</v>
      </c>
      <c r="B6" s="638">
        <v>3151058.2399999998</v>
      </c>
      <c r="C6" s="287"/>
    </row>
    <row r="7" spans="1:3" x14ac:dyDescent="0.25">
      <c r="A7" s="760" t="s">
        <v>502</v>
      </c>
      <c r="B7" s="638">
        <v>17184.289999999997</v>
      </c>
      <c r="C7" s="287"/>
    </row>
    <row r="8" spans="1:3" x14ac:dyDescent="0.25">
      <c r="A8" s="760" t="s">
        <v>503</v>
      </c>
      <c r="B8" s="638">
        <v>7208.73</v>
      </c>
      <c r="C8" s="287"/>
    </row>
    <row r="9" spans="1:3" x14ac:dyDescent="0.25">
      <c r="A9" s="760" t="s">
        <v>504</v>
      </c>
      <c r="B9" s="638">
        <v>7410685.2599999979</v>
      </c>
      <c r="C9" s="287"/>
    </row>
    <row r="10" spans="1:3" x14ac:dyDescent="0.25">
      <c r="A10" s="760" t="s">
        <v>505</v>
      </c>
      <c r="B10" s="638">
        <v>10286378.41</v>
      </c>
      <c r="C10" s="287"/>
    </row>
    <row r="11" spans="1:3" x14ac:dyDescent="0.25">
      <c r="A11" s="760" t="s">
        <v>506</v>
      </c>
      <c r="B11" s="638">
        <v>3607633.6200000006</v>
      </c>
      <c r="C11" s="287"/>
    </row>
    <row r="12" spans="1:3" x14ac:dyDescent="0.25">
      <c r="A12" s="760" t="s">
        <v>507</v>
      </c>
      <c r="B12" s="638">
        <v>105447.51</v>
      </c>
      <c r="C12" s="287"/>
    </row>
    <row r="13" spans="1:3" x14ac:dyDescent="0.25">
      <c r="A13" s="760" t="s">
        <v>508</v>
      </c>
      <c r="B13" s="638">
        <v>2022719.7700000005</v>
      </c>
      <c r="C13" s="287"/>
    </row>
    <row r="14" spans="1:3" x14ac:dyDescent="0.25">
      <c r="A14" s="760" t="s">
        <v>509</v>
      </c>
      <c r="B14" s="638">
        <v>0</v>
      </c>
      <c r="C14" s="287"/>
    </row>
    <row r="15" spans="1:3" x14ac:dyDescent="0.25">
      <c r="A15" s="760" t="s">
        <v>510</v>
      </c>
      <c r="B15" s="638">
        <v>134.37</v>
      </c>
      <c r="C15" s="287"/>
    </row>
    <row r="16" spans="1:3" x14ac:dyDescent="0.25">
      <c r="A16" s="760" t="s">
        <v>552</v>
      </c>
      <c r="B16" s="638">
        <v>270068.62</v>
      </c>
      <c r="C16" s="287"/>
    </row>
    <row r="17" spans="1:3" x14ac:dyDescent="0.25">
      <c r="A17" s="760" t="s">
        <v>511</v>
      </c>
      <c r="B17" s="638">
        <v>152223.85</v>
      </c>
      <c r="C17" s="287"/>
    </row>
    <row r="18" spans="1:3" x14ac:dyDescent="0.25">
      <c r="A18" s="760" t="s">
        <v>512</v>
      </c>
      <c r="B18" s="638">
        <v>0</v>
      </c>
      <c r="C18" s="287"/>
    </row>
    <row r="19" spans="1:3" x14ac:dyDescent="0.25">
      <c r="A19" s="760" t="s">
        <v>513</v>
      </c>
      <c r="B19" s="638">
        <v>173.5</v>
      </c>
      <c r="C19" s="287"/>
    </row>
    <row r="20" spans="1:3" x14ac:dyDescent="0.25">
      <c r="A20" s="760" t="s">
        <v>553</v>
      </c>
      <c r="B20" s="638">
        <v>423.24</v>
      </c>
      <c r="C20" s="287"/>
    </row>
    <row r="21" spans="1:3" x14ac:dyDescent="0.25">
      <c r="A21" s="760" t="s">
        <v>514</v>
      </c>
      <c r="B21" s="638">
        <v>44.489999999999995</v>
      </c>
      <c r="C21" s="287"/>
    </row>
    <row r="22" spans="1:3" x14ac:dyDescent="0.25">
      <c r="A22" s="760" t="s">
        <v>515</v>
      </c>
      <c r="B22" s="638">
        <v>19.209999999999997</v>
      </c>
      <c r="C22" s="287"/>
    </row>
    <row r="23" spans="1:3" x14ac:dyDescent="0.25">
      <c r="A23" s="760" t="s">
        <v>516</v>
      </c>
      <c r="B23" s="638">
        <v>0</v>
      </c>
      <c r="C23" s="287"/>
    </row>
    <row r="24" spans="1:3" x14ac:dyDescent="0.25">
      <c r="A24" s="760" t="s">
        <v>517</v>
      </c>
      <c r="B24" s="638">
        <v>0</v>
      </c>
      <c r="C24" s="287"/>
    </row>
    <row r="25" spans="1:3" x14ac:dyDescent="0.25">
      <c r="A25" s="760" t="s">
        <v>518</v>
      </c>
      <c r="B25" s="638">
        <v>9080.41</v>
      </c>
      <c r="C25" s="287"/>
    </row>
    <row r="26" spans="1:3" x14ac:dyDescent="0.25">
      <c r="A26" s="760" t="s">
        <v>519</v>
      </c>
      <c r="B26" s="638">
        <v>2188506.62</v>
      </c>
      <c r="C26" s="287"/>
    </row>
    <row r="27" spans="1:3" x14ac:dyDescent="0.25">
      <c r="A27" s="760" t="s">
        <v>520</v>
      </c>
      <c r="B27" s="638">
        <v>1449900.4100000001</v>
      </c>
      <c r="C27" s="287"/>
    </row>
    <row r="28" spans="1:3" ht="30" x14ac:dyDescent="0.25">
      <c r="A28" s="761" t="s">
        <v>554</v>
      </c>
      <c r="B28" s="638">
        <v>0</v>
      </c>
      <c r="C28" s="287"/>
    </row>
    <row r="29" spans="1:3" x14ac:dyDescent="0.25">
      <c r="A29" s="760" t="s">
        <v>521</v>
      </c>
      <c r="B29" s="638">
        <v>0</v>
      </c>
      <c r="C29" s="287"/>
    </row>
    <row r="30" spans="1:3" x14ac:dyDescent="0.25">
      <c r="A30" s="760" t="s">
        <v>522</v>
      </c>
      <c r="B30" s="638">
        <v>0</v>
      </c>
      <c r="C30" s="287"/>
    </row>
    <row r="31" spans="1:3" x14ac:dyDescent="0.25">
      <c r="A31" s="760" t="s">
        <v>523</v>
      </c>
      <c r="B31" s="638">
        <v>0</v>
      </c>
      <c r="C31" s="287"/>
    </row>
    <row r="32" spans="1:3" x14ac:dyDescent="0.25">
      <c r="A32" s="760" t="s">
        <v>524</v>
      </c>
      <c r="B32" s="638">
        <v>1110531.73</v>
      </c>
      <c r="C32" s="287"/>
    </row>
    <row r="33" spans="1:3" x14ac:dyDescent="0.25">
      <c r="A33" s="760" t="s">
        <v>525</v>
      </c>
      <c r="B33" s="638">
        <v>0</v>
      </c>
      <c r="C33" s="287"/>
    </row>
    <row r="34" spans="1:3" x14ac:dyDescent="0.25">
      <c r="A34" s="760" t="s">
        <v>305</v>
      </c>
      <c r="B34" s="638">
        <v>13202.47</v>
      </c>
      <c r="C34" s="287"/>
    </row>
    <row r="35" spans="1:3" x14ac:dyDescent="0.25">
      <c r="A35" s="760" t="s">
        <v>526</v>
      </c>
      <c r="B35" s="638">
        <v>0</v>
      </c>
      <c r="C35" s="287"/>
    </row>
    <row r="36" spans="1:3" x14ac:dyDescent="0.25">
      <c r="A36" s="760" t="s">
        <v>527</v>
      </c>
      <c r="B36" s="638">
        <v>411253.51</v>
      </c>
      <c r="C36" s="287"/>
    </row>
    <row r="37" spans="1:3" x14ac:dyDescent="0.25">
      <c r="A37" s="760" t="s">
        <v>528</v>
      </c>
      <c r="B37" s="638">
        <v>11947</v>
      </c>
      <c r="C37" s="287"/>
    </row>
    <row r="38" spans="1:3" ht="30" x14ac:dyDescent="0.25">
      <c r="A38" s="537" t="s">
        <v>307</v>
      </c>
      <c r="B38" s="638">
        <v>0</v>
      </c>
      <c r="C38" s="287"/>
    </row>
    <row r="39" spans="1:3" ht="15.75" thickBot="1" x14ac:dyDescent="0.3">
      <c r="A39" s="762" t="s">
        <v>529</v>
      </c>
      <c r="B39" s="638">
        <v>0</v>
      </c>
      <c r="C39" s="287"/>
    </row>
    <row r="40" spans="1:3" ht="15.75" thickBot="1" x14ac:dyDescent="0.3">
      <c r="A40" s="635" t="s">
        <v>17</v>
      </c>
      <c r="B40" s="636">
        <v>49452305.850000001</v>
      </c>
      <c r="C40" s="287"/>
    </row>
    <row r="41" spans="1:3" x14ac:dyDescent="0.25">
      <c r="B41" s="171" t="s">
        <v>378</v>
      </c>
    </row>
  </sheetData>
  <mergeCells count="1">
    <mergeCell ref="A1:B1"/>
  </mergeCells>
  <phoneticPr fontId="47" type="noConversion"/>
  <pageMargins left="0.70866141732283472" right="0.59055118110236227" top="0.15748031496062992" bottom="0.19685039370078741" header="0" footer="0"/>
  <pageSetup paperSize="9" orientation="portrait" r:id="rId1"/>
  <headerFoot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40"/>
  <sheetViews>
    <sheetView tabSelected="1" zoomScaleNormal="100" workbookViewId="0">
      <selection activeCell="A35" sqref="A35"/>
    </sheetView>
  </sheetViews>
  <sheetFormatPr defaultRowHeight="15.75" x14ac:dyDescent="0.25"/>
  <cols>
    <col min="1" max="1" width="64.140625" style="322" bestFit="1" customWidth="1"/>
    <col min="2" max="2" width="15.5703125" style="322" bestFit="1" customWidth="1"/>
    <col min="3" max="3" width="2.5703125" style="322" customWidth="1"/>
    <col min="4" max="16384" width="9.140625" style="322"/>
  </cols>
  <sheetData>
    <row r="1" spans="1:3" ht="42.75" customHeight="1" thickBot="1" x14ac:dyDescent="0.3">
      <c r="A1" s="1181" t="s">
        <v>617</v>
      </c>
      <c r="B1" s="1181"/>
      <c r="C1" s="321"/>
    </row>
    <row r="2" spans="1:3" s="323" customFormat="1" ht="30.75" thickBot="1" x14ac:dyDescent="0.3">
      <c r="A2" s="640" t="s">
        <v>124</v>
      </c>
      <c r="B2" s="637" t="s">
        <v>257</v>
      </c>
      <c r="C2" s="320"/>
    </row>
    <row r="3" spans="1:3" x14ac:dyDescent="0.25">
      <c r="A3" s="641" t="s">
        <v>260</v>
      </c>
      <c r="B3" s="638">
        <v>1098183.9099999999</v>
      </c>
      <c r="C3" s="324"/>
    </row>
    <row r="4" spans="1:3" x14ac:dyDescent="0.25">
      <c r="A4" s="641" t="s">
        <v>261</v>
      </c>
      <c r="B4" s="638">
        <v>27354115.939999994</v>
      </c>
      <c r="C4" s="324"/>
    </row>
    <row r="5" spans="1:3" x14ac:dyDescent="0.25">
      <c r="A5" s="641" t="s">
        <v>427</v>
      </c>
      <c r="B5" s="638">
        <v>172776.86</v>
      </c>
      <c r="C5" s="324"/>
    </row>
    <row r="6" spans="1:3" x14ac:dyDescent="0.25">
      <c r="A6" s="641" t="s">
        <v>555</v>
      </c>
      <c r="B6" s="638">
        <v>0</v>
      </c>
      <c r="C6" s="324"/>
    </row>
    <row r="7" spans="1:3" x14ac:dyDescent="0.25">
      <c r="A7" s="641" t="s">
        <v>263</v>
      </c>
      <c r="B7" s="638">
        <v>0</v>
      </c>
      <c r="C7" s="324"/>
    </row>
    <row r="8" spans="1:3" x14ac:dyDescent="0.25">
      <c r="A8" s="641" t="s">
        <v>428</v>
      </c>
      <c r="B8" s="638">
        <v>0</v>
      </c>
      <c r="C8" s="324"/>
    </row>
    <row r="9" spans="1:3" x14ac:dyDescent="0.25">
      <c r="A9" s="641" t="s">
        <v>264</v>
      </c>
      <c r="B9" s="638">
        <v>0</v>
      </c>
      <c r="C9" s="324"/>
    </row>
    <row r="10" spans="1:3" x14ac:dyDescent="0.25">
      <c r="A10" s="641" t="s">
        <v>265</v>
      </c>
      <c r="B10" s="638">
        <v>0</v>
      </c>
      <c r="C10" s="324"/>
    </row>
    <row r="11" spans="1:3" x14ac:dyDescent="0.25">
      <c r="A11" s="641" t="s">
        <v>266</v>
      </c>
      <c r="B11" s="638">
        <v>638465.80000000005</v>
      </c>
      <c r="C11" s="324"/>
    </row>
    <row r="12" spans="1:3" x14ac:dyDescent="0.25">
      <c r="A12" s="641" t="s">
        <v>267</v>
      </c>
      <c r="B12" s="638">
        <v>0</v>
      </c>
      <c r="C12" s="324"/>
    </row>
    <row r="13" spans="1:3" x14ac:dyDescent="0.25">
      <c r="A13" s="641" t="s">
        <v>268</v>
      </c>
      <c r="B13" s="638">
        <v>0</v>
      </c>
      <c r="C13" s="324"/>
    </row>
    <row r="14" spans="1:3" x14ac:dyDescent="0.25">
      <c r="A14" s="641" t="s">
        <v>269</v>
      </c>
      <c r="B14" s="638">
        <v>12400.97</v>
      </c>
      <c r="C14" s="324"/>
    </row>
    <row r="15" spans="1:3" x14ac:dyDescent="0.25">
      <c r="A15" s="641" t="s">
        <v>270</v>
      </c>
      <c r="B15" s="638">
        <v>49486.770000000004</v>
      </c>
      <c r="C15" s="324"/>
    </row>
    <row r="16" spans="1:3" x14ac:dyDescent="0.25">
      <c r="A16" s="641" t="s">
        <v>271</v>
      </c>
      <c r="B16" s="638">
        <v>0</v>
      </c>
      <c r="C16" s="324"/>
    </row>
    <row r="17" spans="1:3" x14ac:dyDescent="0.25">
      <c r="A17" s="641" t="s">
        <v>272</v>
      </c>
      <c r="B17" s="638">
        <v>274.84999999999997</v>
      </c>
      <c r="C17" s="324"/>
    </row>
    <row r="18" spans="1:3" x14ac:dyDescent="0.25">
      <c r="A18" s="641" t="s">
        <v>273</v>
      </c>
      <c r="B18" s="638">
        <v>0.02</v>
      </c>
      <c r="C18" s="324"/>
    </row>
    <row r="19" spans="1:3" x14ac:dyDescent="0.25">
      <c r="A19" s="641" t="s">
        <v>319</v>
      </c>
      <c r="B19" s="638">
        <v>1069.82</v>
      </c>
      <c r="C19" s="324"/>
    </row>
    <row r="20" spans="1:3" x14ac:dyDescent="0.25">
      <c r="A20" s="641" t="s">
        <v>320</v>
      </c>
      <c r="B20" s="638">
        <v>0</v>
      </c>
      <c r="C20" s="324"/>
    </row>
    <row r="21" spans="1:3" x14ac:dyDescent="0.25">
      <c r="A21" s="641" t="s">
        <v>321</v>
      </c>
      <c r="B21" s="638">
        <v>0</v>
      </c>
      <c r="C21" s="324"/>
    </row>
    <row r="22" spans="1:3" x14ac:dyDescent="0.25">
      <c r="A22" s="641" t="s">
        <v>277</v>
      </c>
      <c r="B22" s="638">
        <v>405692.36</v>
      </c>
      <c r="C22" s="324"/>
    </row>
    <row r="23" spans="1:3" x14ac:dyDescent="0.25">
      <c r="A23" s="641" t="s">
        <v>530</v>
      </c>
      <c r="B23" s="638">
        <v>4581.6100000000006</v>
      </c>
      <c r="C23" s="324"/>
    </row>
    <row r="24" spans="1:3" x14ac:dyDescent="0.25">
      <c r="A24" s="641" t="s">
        <v>377</v>
      </c>
      <c r="B24" s="638">
        <v>0</v>
      </c>
      <c r="C24" s="324"/>
    </row>
    <row r="25" spans="1:3" x14ac:dyDescent="0.25">
      <c r="A25" s="641" t="s">
        <v>531</v>
      </c>
      <c r="B25" s="638">
        <v>0</v>
      </c>
      <c r="C25" s="324"/>
    </row>
    <row r="26" spans="1:3" x14ac:dyDescent="0.25">
      <c r="A26" s="641" t="s">
        <v>281</v>
      </c>
      <c r="B26" s="638">
        <v>0</v>
      </c>
      <c r="C26" s="324"/>
    </row>
    <row r="27" spans="1:3" x14ac:dyDescent="0.25">
      <c r="A27" s="641" t="s">
        <v>282</v>
      </c>
      <c r="B27" s="638">
        <v>0</v>
      </c>
      <c r="C27" s="324"/>
    </row>
    <row r="28" spans="1:3" x14ac:dyDescent="0.25">
      <c r="A28" s="641" t="s">
        <v>283</v>
      </c>
      <c r="B28" s="638">
        <v>1078810.96</v>
      </c>
      <c r="C28" s="324"/>
    </row>
    <row r="29" spans="1:3" x14ac:dyDescent="0.25">
      <c r="A29" s="641" t="s">
        <v>284</v>
      </c>
      <c r="B29" s="638">
        <v>0</v>
      </c>
      <c r="C29" s="324"/>
    </row>
    <row r="30" spans="1:3" x14ac:dyDescent="0.25">
      <c r="A30" s="641" t="s">
        <v>556</v>
      </c>
      <c r="B30" s="638">
        <v>1883.5</v>
      </c>
      <c r="C30" s="324"/>
    </row>
    <row r="31" spans="1:3" x14ac:dyDescent="0.25">
      <c r="A31" s="641" t="s">
        <v>557</v>
      </c>
      <c r="B31" s="638">
        <v>0</v>
      </c>
      <c r="C31" s="324"/>
    </row>
    <row r="32" spans="1:3" x14ac:dyDescent="0.25">
      <c r="A32" s="641" t="s">
        <v>287</v>
      </c>
      <c r="B32" s="638">
        <v>0</v>
      </c>
      <c r="C32" s="324"/>
    </row>
    <row r="33" spans="1:4" x14ac:dyDescent="0.25">
      <c r="A33" s="641" t="s">
        <v>288</v>
      </c>
      <c r="B33" s="638">
        <v>0</v>
      </c>
      <c r="C33" s="324"/>
    </row>
    <row r="34" spans="1:4" x14ac:dyDescent="0.25">
      <c r="A34" s="641" t="s">
        <v>289</v>
      </c>
      <c r="B34" s="638">
        <v>0</v>
      </c>
      <c r="C34" s="324"/>
    </row>
    <row r="35" spans="1:4" x14ac:dyDescent="0.25">
      <c r="A35" s="641" t="s">
        <v>290</v>
      </c>
      <c r="B35" s="638">
        <v>0</v>
      </c>
      <c r="C35" s="324"/>
    </row>
    <row r="36" spans="1:4" x14ac:dyDescent="0.25">
      <c r="A36" s="641" t="s">
        <v>322</v>
      </c>
      <c r="B36" s="638">
        <v>0</v>
      </c>
      <c r="C36" s="324"/>
    </row>
    <row r="37" spans="1:4" ht="16.5" thickBot="1" x14ac:dyDescent="0.3">
      <c r="A37" s="641" t="s">
        <v>532</v>
      </c>
      <c r="B37" s="638">
        <v>21874718.93</v>
      </c>
      <c r="C37" s="324"/>
    </row>
    <row r="38" spans="1:4" ht="16.5" thickBot="1" x14ac:dyDescent="0.3">
      <c r="A38" s="642" t="s">
        <v>259</v>
      </c>
      <c r="B38" s="639">
        <f>SUM(B3:B37)</f>
        <v>52692462.299999997</v>
      </c>
      <c r="C38" s="270"/>
      <c r="D38" s="325"/>
    </row>
    <row r="39" spans="1:4" x14ac:dyDescent="0.25">
      <c r="B39" s="171" t="s">
        <v>378</v>
      </c>
    </row>
    <row r="40" spans="1:4" x14ac:dyDescent="0.25">
      <c r="B40" s="325"/>
    </row>
  </sheetData>
  <mergeCells count="1">
    <mergeCell ref="A1:B1"/>
  </mergeCells>
  <phoneticPr fontId="47" type="noConversion"/>
  <pageMargins left="0.70866141732283472" right="0.51181102362204722" top="0.15748031496062992" bottom="0.15748031496062992" header="0" footer="0"/>
  <pageSetup paperSize="9" orientation="portrait" r:id="rId1"/>
  <headerFoot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52"/>
  <sheetViews>
    <sheetView tabSelected="1" workbookViewId="0">
      <selection activeCell="A35" sqref="A35"/>
    </sheetView>
  </sheetViews>
  <sheetFormatPr defaultRowHeight="15" x14ac:dyDescent="0.25"/>
  <cols>
    <col min="1" max="1" width="20.85546875" style="47" customWidth="1"/>
    <col min="2" max="2" width="19.85546875" style="47" customWidth="1"/>
    <col min="3" max="3" width="20.140625" style="47" customWidth="1"/>
    <col min="4" max="4" width="26.42578125" style="47" customWidth="1"/>
    <col min="5" max="5" width="13" style="47" customWidth="1"/>
    <col min="6" max="16384" width="9.140625" style="47"/>
  </cols>
  <sheetData>
    <row r="1" spans="1:4" ht="74.25" customHeight="1" thickBot="1" x14ac:dyDescent="0.3">
      <c r="A1" s="1182" t="s">
        <v>618</v>
      </c>
      <c r="B1" s="1183"/>
      <c r="C1" s="1183"/>
      <c r="D1" s="1183"/>
    </row>
    <row r="2" spans="1:4" ht="47.25" customHeight="1" thickBot="1" x14ac:dyDescent="0.3">
      <c r="A2" s="634" t="s">
        <v>43</v>
      </c>
      <c r="B2" s="838" t="s">
        <v>323</v>
      </c>
      <c r="C2" s="839" t="s">
        <v>324</v>
      </c>
      <c r="D2" s="634" t="s">
        <v>313</v>
      </c>
    </row>
    <row r="3" spans="1:4" x14ac:dyDescent="0.25">
      <c r="A3" s="655" t="s">
        <v>23</v>
      </c>
      <c r="B3" s="643">
        <v>14729756.83</v>
      </c>
      <c r="C3" s="644">
        <v>13585088.419999998</v>
      </c>
      <c r="D3" s="645">
        <f t="shared" ref="D3:D22" si="0">B3-C3</f>
        <v>1144668.410000002</v>
      </c>
    </row>
    <row r="4" spans="1:4" x14ac:dyDescent="0.25">
      <c r="A4" s="656" t="s">
        <v>31</v>
      </c>
      <c r="B4" s="646">
        <v>1843641.96</v>
      </c>
      <c r="C4" s="647">
        <v>1709267.7000000002</v>
      </c>
      <c r="D4" s="648">
        <f t="shared" si="0"/>
        <v>134374.25999999978</v>
      </c>
    </row>
    <row r="5" spans="1:4" x14ac:dyDescent="0.25">
      <c r="A5" s="656" t="s">
        <v>29</v>
      </c>
      <c r="B5" s="646">
        <v>2183811.37</v>
      </c>
      <c r="C5" s="647">
        <v>2185179.7599999998</v>
      </c>
      <c r="D5" s="648">
        <f t="shared" si="0"/>
        <v>-1368.3899999996647</v>
      </c>
    </row>
    <row r="6" spans="1:4" ht="19.5" customHeight="1" x14ac:dyDescent="0.25">
      <c r="A6" s="656" t="s">
        <v>34</v>
      </c>
      <c r="B6" s="646">
        <v>405626.7</v>
      </c>
      <c r="C6" s="647">
        <v>287712.51</v>
      </c>
      <c r="D6" s="648">
        <f t="shared" si="0"/>
        <v>117914.19</v>
      </c>
    </row>
    <row r="7" spans="1:4" ht="21" customHeight="1" x14ac:dyDescent="0.25">
      <c r="A7" s="656" t="s">
        <v>102</v>
      </c>
      <c r="B7" s="646">
        <v>849855.89</v>
      </c>
      <c r="C7" s="647">
        <v>832328.92000000016</v>
      </c>
      <c r="D7" s="648">
        <f t="shared" si="0"/>
        <v>17526.969999999856</v>
      </c>
    </row>
    <row r="8" spans="1:4" x14ac:dyDescent="0.25">
      <c r="A8" s="656" t="s">
        <v>28</v>
      </c>
      <c r="B8" s="646">
        <v>1917608.47</v>
      </c>
      <c r="C8" s="647">
        <v>1598221.4999999998</v>
      </c>
      <c r="D8" s="648">
        <f t="shared" si="0"/>
        <v>319386.9700000002</v>
      </c>
    </row>
    <row r="9" spans="1:4" x14ac:dyDescent="0.25">
      <c r="A9" s="656" t="s">
        <v>159</v>
      </c>
      <c r="B9" s="646">
        <v>1150408.18</v>
      </c>
      <c r="C9" s="647">
        <v>1083707.8400000001</v>
      </c>
      <c r="D9" s="648">
        <f t="shared" si="0"/>
        <v>66700.339999999851</v>
      </c>
    </row>
    <row r="10" spans="1:4" x14ac:dyDescent="0.25">
      <c r="A10" s="656" t="s">
        <v>32</v>
      </c>
      <c r="B10" s="646">
        <v>169845.52000000002</v>
      </c>
      <c r="C10" s="647">
        <v>169845.52</v>
      </c>
      <c r="D10" s="648">
        <f t="shared" si="0"/>
        <v>0</v>
      </c>
    </row>
    <row r="11" spans="1:4" x14ac:dyDescent="0.25">
      <c r="A11" s="656" t="s">
        <v>24</v>
      </c>
      <c r="B11" s="646">
        <v>8032003.5099999998</v>
      </c>
      <c r="C11" s="647">
        <v>7747421.4200000009</v>
      </c>
      <c r="D11" s="648">
        <f t="shared" si="0"/>
        <v>284582.08999999892</v>
      </c>
    </row>
    <row r="12" spans="1:4" x14ac:dyDescent="0.25">
      <c r="A12" s="656" t="s">
        <v>25</v>
      </c>
      <c r="B12" s="646">
        <v>7235028.4299999997</v>
      </c>
      <c r="C12" s="647">
        <v>7227571.5000000009</v>
      </c>
      <c r="D12" s="648">
        <f t="shared" si="0"/>
        <v>7456.9299999987707</v>
      </c>
    </row>
    <row r="13" spans="1:4" x14ac:dyDescent="0.25">
      <c r="A13" s="656" t="s">
        <v>45</v>
      </c>
      <c r="B13" s="646">
        <v>5191906.3099999996</v>
      </c>
      <c r="C13" s="647">
        <v>4730286.49</v>
      </c>
      <c r="D13" s="648">
        <f t="shared" si="0"/>
        <v>461619.81999999937</v>
      </c>
    </row>
    <row r="14" spans="1:4" x14ac:dyDescent="0.25">
      <c r="A14" s="656" t="s">
        <v>348</v>
      </c>
      <c r="B14" s="646">
        <v>166744.75</v>
      </c>
      <c r="C14" s="647">
        <v>108924.17</v>
      </c>
      <c r="D14" s="648">
        <f t="shared" si="0"/>
        <v>57820.58</v>
      </c>
    </row>
    <row r="15" spans="1:4" x14ac:dyDescent="0.25">
      <c r="A15" s="656" t="s">
        <v>27</v>
      </c>
      <c r="B15" s="646">
        <v>3309570.4400000004</v>
      </c>
      <c r="C15" s="647">
        <v>3304241.8200000003</v>
      </c>
      <c r="D15" s="648">
        <f t="shared" si="0"/>
        <v>5328.6200000001118</v>
      </c>
    </row>
    <row r="16" spans="1:4" x14ac:dyDescent="0.25">
      <c r="A16" s="656" t="s">
        <v>30</v>
      </c>
      <c r="B16" s="646">
        <v>2423008.61</v>
      </c>
      <c r="C16" s="647">
        <v>1630377.86</v>
      </c>
      <c r="D16" s="648">
        <f t="shared" si="0"/>
        <v>792630.74999999977</v>
      </c>
    </row>
    <row r="17" spans="1:4" x14ac:dyDescent="0.25">
      <c r="A17" s="656" t="s">
        <v>36</v>
      </c>
      <c r="B17" s="646">
        <v>1605819.6</v>
      </c>
      <c r="C17" s="647">
        <v>2043793.2300000002</v>
      </c>
      <c r="D17" s="648">
        <f t="shared" si="0"/>
        <v>-437973.63000000012</v>
      </c>
    </row>
    <row r="18" spans="1:4" x14ac:dyDescent="0.25">
      <c r="A18" s="656" t="s">
        <v>40</v>
      </c>
      <c r="B18" s="646">
        <v>17714.599999999999</v>
      </c>
      <c r="C18" s="647">
        <v>17714.599999999999</v>
      </c>
      <c r="D18" s="648">
        <f t="shared" si="0"/>
        <v>0</v>
      </c>
    </row>
    <row r="19" spans="1:4" x14ac:dyDescent="0.25">
      <c r="A19" s="656" t="s">
        <v>41</v>
      </c>
      <c r="B19" s="646">
        <v>14495</v>
      </c>
      <c r="C19" s="647">
        <v>13167</v>
      </c>
      <c r="D19" s="648">
        <f t="shared" si="0"/>
        <v>1328</v>
      </c>
    </row>
    <row r="20" spans="1:4" x14ac:dyDescent="0.25">
      <c r="A20" s="656" t="s">
        <v>160</v>
      </c>
      <c r="B20" s="646">
        <v>97688.3</v>
      </c>
      <c r="C20" s="647">
        <v>71940.66</v>
      </c>
      <c r="D20" s="648">
        <f t="shared" si="0"/>
        <v>25747.64</v>
      </c>
    </row>
    <row r="21" spans="1:4" x14ac:dyDescent="0.25">
      <c r="A21" s="656" t="s">
        <v>33</v>
      </c>
      <c r="B21" s="646">
        <v>801708.11</v>
      </c>
      <c r="C21" s="647">
        <v>780921.13</v>
      </c>
      <c r="D21" s="648">
        <f t="shared" si="0"/>
        <v>20786.979999999981</v>
      </c>
    </row>
    <row r="22" spans="1:4" ht="15.75" thickBot="1" x14ac:dyDescent="0.3">
      <c r="A22" s="657" t="s">
        <v>39</v>
      </c>
      <c r="B22" s="649">
        <v>546219.72</v>
      </c>
      <c r="C22" s="650">
        <v>324593.79999999993</v>
      </c>
      <c r="D22" s="651">
        <f t="shared" si="0"/>
        <v>221625.92000000004</v>
      </c>
    </row>
    <row r="23" spans="1:4" ht="30.75" customHeight="1" thickBot="1" x14ac:dyDescent="0.3">
      <c r="A23" s="652" t="s">
        <v>17</v>
      </c>
      <c r="B23" s="653">
        <f>SUM(B3:B22)</f>
        <v>52692462.299999997</v>
      </c>
      <c r="C23" s="477">
        <f>SUM(C3:C22)</f>
        <v>49452305.850000001</v>
      </c>
      <c r="D23" s="654">
        <f>SUM(D3:D22)</f>
        <v>3240156.4499999993</v>
      </c>
    </row>
    <row r="24" spans="1:4" x14ac:dyDescent="0.25">
      <c r="D24" s="171" t="s">
        <v>378</v>
      </c>
    </row>
    <row r="25" spans="1:4" ht="30.75" customHeight="1" x14ac:dyDescent="0.25"/>
    <row r="52" ht="13.5" customHeight="1" x14ac:dyDescent="0.25"/>
  </sheetData>
  <mergeCells count="1">
    <mergeCell ref="A1:D1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52"/>
  <sheetViews>
    <sheetView tabSelected="1" topLeftCell="A13" zoomScale="90" zoomScaleNormal="90" workbookViewId="0">
      <selection activeCell="A35" sqref="A35"/>
    </sheetView>
  </sheetViews>
  <sheetFormatPr defaultRowHeight="15.75" x14ac:dyDescent="0.25"/>
  <cols>
    <col min="1" max="1" width="16.42578125" style="328" customWidth="1"/>
    <col min="2" max="2" width="14.42578125" style="326" customWidth="1"/>
    <col min="3" max="3" width="15.5703125" style="326" customWidth="1"/>
    <col min="4" max="4" width="11.85546875" style="326" customWidth="1"/>
    <col min="5" max="5" width="12.5703125" style="326" customWidth="1"/>
    <col min="6" max="6" width="14.140625" style="326" customWidth="1"/>
    <col min="7" max="7" width="13.5703125" style="326" customWidth="1"/>
    <col min="8" max="8" width="14.140625" style="326" customWidth="1"/>
    <col min="9" max="9" width="15" style="326" customWidth="1"/>
    <col min="10" max="10" width="12.28515625" style="326" customWidth="1"/>
    <col min="11" max="11" width="12.85546875" style="326" customWidth="1"/>
    <col min="12" max="12" width="13.85546875" style="326" bestFit="1" customWidth="1"/>
    <col min="13" max="13" width="13.7109375" style="326" customWidth="1"/>
    <col min="14" max="14" width="9.140625" style="326"/>
    <col min="15" max="15" width="11.85546875" style="326" bestFit="1" customWidth="1"/>
    <col min="16" max="16384" width="9.140625" style="326"/>
  </cols>
  <sheetData>
    <row r="1" spans="1:15" ht="21.75" customHeight="1" thickBot="1" x14ac:dyDescent="0.3">
      <c r="A1" s="1184" t="s">
        <v>619</v>
      </c>
      <c r="B1" s="1185"/>
      <c r="C1" s="1185"/>
      <c r="D1" s="1185"/>
      <c r="E1" s="1185"/>
      <c r="F1" s="1185"/>
      <c r="G1" s="1185"/>
      <c r="H1" s="1185"/>
      <c r="I1" s="1185"/>
      <c r="J1" s="1185"/>
      <c r="K1" s="1185"/>
      <c r="L1" s="1185"/>
      <c r="M1" s="1185"/>
    </row>
    <row r="2" spans="1:15" ht="47.25" customHeight="1" thickBot="1" x14ac:dyDescent="0.3">
      <c r="A2" s="1192" t="s">
        <v>43</v>
      </c>
      <c r="B2" s="1186" t="s">
        <v>533</v>
      </c>
      <c r="C2" s="1187"/>
      <c r="D2" s="1187"/>
      <c r="E2" s="1187"/>
      <c r="F2" s="1187"/>
      <c r="G2" s="1188"/>
      <c r="H2" s="1186" t="s">
        <v>534</v>
      </c>
      <c r="I2" s="1187"/>
      <c r="J2" s="1187"/>
      <c r="K2" s="1187"/>
      <c r="L2" s="1187"/>
      <c r="M2" s="1188"/>
    </row>
    <row r="3" spans="1:15" ht="188.25" customHeight="1" thickBot="1" x14ac:dyDescent="0.3">
      <c r="A3" s="1193"/>
      <c r="B3" s="658" t="s">
        <v>325</v>
      </c>
      <c r="C3" s="659" t="s">
        <v>558</v>
      </c>
      <c r="D3" s="659" t="s">
        <v>326</v>
      </c>
      <c r="E3" s="659" t="s">
        <v>327</v>
      </c>
      <c r="F3" s="660" t="s">
        <v>328</v>
      </c>
      <c r="G3" s="661" t="s">
        <v>17</v>
      </c>
      <c r="H3" s="658" t="s">
        <v>325</v>
      </c>
      <c r="I3" s="659" t="s">
        <v>558</v>
      </c>
      <c r="J3" s="659" t="s">
        <v>326</v>
      </c>
      <c r="K3" s="659" t="s">
        <v>327</v>
      </c>
      <c r="L3" s="660" t="s">
        <v>328</v>
      </c>
      <c r="M3" s="661" t="s">
        <v>17</v>
      </c>
    </row>
    <row r="4" spans="1:15" x14ac:dyDescent="0.25">
      <c r="A4" s="728" t="s">
        <v>23</v>
      </c>
      <c r="B4" s="662">
        <v>28793466.98</v>
      </c>
      <c r="C4" s="663">
        <v>23950914.050000001</v>
      </c>
      <c r="D4" s="663">
        <v>8416189.9199999999</v>
      </c>
      <c r="E4" s="663">
        <v>740349.72</v>
      </c>
      <c r="F4" s="664">
        <v>13673536.65</v>
      </c>
      <c r="G4" s="665">
        <v>75574457.320000008</v>
      </c>
      <c r="H4" s="662">
        <v>27673951.699999999</v>
      </c>
      <c r="I4" s="663">
        <v>30287282.809999999</v>
      </c>
      <c r="J4" s="663">
        <v>10304743.24</v>
      </c>
      <c r="K4" s="663">
        <v>338440.12</v>
      </c>
      <c r="L4" s="664">
        <v>13977990.449999999</v>
      </c>
      <c r="M4" s="665">
        <v>82582408.320000008</v>
      </c>
      <c r="O4" s="327"/>
    </row>
    <row r="5" spans="1:15" x14ac:dyDescent="0.25">
      <c r="A5" s="729" t="s">
        <v>31</v>
      </c>
      <c r="B5" s="666">
        <v>12610398.75</v>
      </c>
      <c r="C5" s="667">
        <v>17826790.960000001</v>
      </c>
      <c r="D5" s="667">
        <v>1350699.45</v>
      </c>
      <c r="E5" s="667">
        <v>352463.57</v>
      </c>
      <c r="F5" s="668">
        <v>3199256.1399999969</v>
      </c>
      <c r="G5" s="669">
        <v>35339608.869999997</v>
      </c>
      <c r="H5" s="666">
        <v>15471186.27</v>
      </c>
      <c r="I5" s="667">
        <v>19842634.059999999</v>
      </c>
      <c r="J5" s="667">
        <v>2032149.84</v>
      </c>
      <c r="K5" s="667">
        <v>1909350.51</v>
      </c>
      <c r="L5" s="668">
        <v>2518084.46</v>
      </c>
      <c r="M5" s="669">
        <v>41773405.140000001</v>
      </c>
      <c r="O5" s="327"/>
    </row>
    <row r="6" spans="1:15" ht="23.25" customHeight="1" x14ac:dyDescent="0.25">
      <c r="A6" s="729" t="s">
        <v>29</v>
      </c>
      <c r="B6" s="666">
        <v>10183382.51</v>
      </c>
      <c r="C6" s="667">
        <v>8893503.8800000008</v>
      </c>
      <c r="D6" s="667">
        <v>213703</v>
      </c>
      <c r="E6" s="667">
        <v>53792.9</v>
      </c>
      <c r="F6" s="668">
        <v>0</v>
      </c>
      <c r="G6" s="669">
        <v>19344382.289999999</v>
      </c>
      <c r="H6" s="666">
        <v>9930180.0099999998</v>
      </c>
      <c r="I6" s="667">
        <v>12376775.98</v>
      </c>
      <c r="J6" s="667">
        <v>507319.71</v>
      </c>
      <c r="K6" s="667">
        <v>197290.35</v>
      </c>
      <c r="L6" s="668">
        <v>17933.71</v>
      </c>
      <c r="M6" s="669">
        <v>23029499.760000005</v>
      </c>
      <c r="O6" s="327"/>
    </row>
    <row r="7" spans="1:15" ht="23.25" customHeight="1" x14ac:dyDescent="0.25">
      <c r="A7" s="729" t="s">
        <v>34</v>
      </c>
      <c r="B7" s="670">
        <v>3502052.32</v>
      </c>
      <c r="C7" s="671">
        <v>6438701.6600000001</v>
      </c>
      <c r="D7" s="671">
        <v>17378.46</v>
      </c>
      <c r="E7" s="671">
        <v>44082.06</v>
      </c>
      <c r="F7" s="672">
        <v>91.67</v>
      </c>
      <c r="G7" s="669">
        <v>10002306.170000002</v>
      </c>
      <c r="H7" s="670">
        <v>3592447.78</v>
      </c>
      <c r="I7" s="671">
        <v>5697457.7599999998</v>
      </c>
      <c r="J7" s="671">
        <v>0</v>
      </c>
      <c r="K7" s="671">
        <v>58032.19</v>
      </c>
      <c r="L7" s="672">
        <v>0</v>
      </c>
      <c r="M7" s="669">
        <v>9347937.7299999986</v>
      </c>
      <c r="O7" s="327"/>
    </row>
    <row r="8" spans="1:15" x14ac:dyDescent="0.25">
      <c r="A8" s="729" t="s">
        <v>102</v>
      </c>
      <c r="B8" s="666">
        <v>6031548.2000000002</v>
      </c>
      <c r="C8" s="667">
        <v>5401881.2400000002</v>
      </c>
      <c r="D8" s="667">
        <v>8453.5400000000009</v>
      </c>
      <c r="E8" s="667">
        <v>40916.85</v>
      </c>
      <c r="F8" s="668">
        <v>712716.77</v>
      </c>
      <c r="G8" s="669">
        <v>12195516.6</v>
      </c>
      <c r="H8" s="666">
        <v>6893482.7699999996</v>
      </c>
      <c r="I8" s="667">
        <v>8408105.2400000002</v>
      </c>
      <c r="J8" s="667">
        <v>73766.3</v>
      </c>
      <c r="K8" s="667">
        <v>9081.16</v>
      </c>
      <c r="L8" s="668">
        <v>691996.16000000003</v>
      </c>
      <c r="M8" s="669">
        <v>16076431.630000001</v>
      </c>
      <c r="O8" s="327"/>
    </row>
    <row r="9" spans="1:15" x14ac:dyDescent="0.25">
      <c r="A9" s="729" t="s">
        <v>28</v>
      </c>
      <c r="B9" s="666">
        <v>17525286.93</v>
      </c>
      <c r="C9" s="667">
        <v>3855285.51</v>
      </c>
      <c r="D9" s="667">
        <v>2936811.11</v>
      </c>
      <c r="E9" s="667">
        <v>143910.48000000001</v>
      </c>
      <c r="F9" s="668">
        <v>4814816.43</v>
      </c>
      <c r="G9" s="673">
        <v>29276110.459999997</v>
      </c>
      <c r="H9" s="666">
        <v>18125998.329999998</v>
      </c>
      <c r="I9" s="667">
        <v>5083848.59</v>
      </c>
      <c r="J9" s="667">
        <v>3282975.18</v>
      </c>
      <c r="K9" s="667">
        <v>89231.59</v>
      </c>
      <c r="L9" s="668">
        <v>4680583.43</v>
      </c>
      <c r="M9" s="673">
        <v>31262637.119999997</v>
      </c>
      <c r="O9" s="327"/>
    </row>
    <row r="10" spans="1:15" ht="24.75" customHeight="1" x14ac:dyDescent="0.25">
      <c r="A10" s="729" t="s">
        <v>495</v>
      </c>
      <c r="B10" s="666">
        <v>8605577.6400000006</v>
      </c>
      <c r="C10" s="667">
        <v>5276195.1100000003</v>
      </c>
      <c r="D10" s="667">
        <v>686339.65</v>
      </c>
      <c r="E10" s="667">
        <v>436159.99</v>
      </c>
      <c r="F10" s="668">
        <v>267559.34000000003</v>
      </c>
      <c r="G10" s="669">
        <v>15271831.73</v>
      </c>
      <c r="H10" s="666">
        <v>8749812.4900000002</v>
      </c>
      <c r="I10" s="667">
        <v>7681090.9800000004</v>
      </c>
      <c r="J10" s="667">
        <v>1237519.54</v>
      </c>
      <c r="K10" s="667">
        <v>424196.1</v>
      </c>
      <c r="L10" s="668">
        <v>209021.49</v>
      </c>
      <c r="M10" s="669">
        <v>18301640.600000001</v>
      </c>
      <c r="O10" s="327"/>
    </row>
    <row r="11" spans="1:15" x14ac:dyDescent="0.25">
      <c r="A11" s="729" t="s">
        <v>32</v>
      </c>
      <c r="B11" s="666">
        <v>9918818.4600000009</v>
      </c>
      <c r="C11" s="667">
        <v>7813674</v>
      </c>
      <c r="D11" s="667">
        <v>578095.86</v>
      </c>
      <c r="E11" s="667">
        <v>163347.97</v>
      </c>
      <c r="F11" s="668">
        <v>488366</v>
      </c>
      <c r="G11" s="669">
        <v>18962302.289999999</v>
      </c>
      <c r="H11" s="666">
        <v>9816022.4800000004</v>
      </c>
      <c r="I11" s="667">
        <v>7900836.6200000001</v>
      </c>
      <c r="J11" s="667">
        <v>882887.97</v>
      </c>
      <c r="K11" s="667">
        <v>147181.53</v>
      </c>
      <c r="L11" s="668">
        <v>628713.53</v>
      </c>
      <c r="M11" s="669">
        <v>19375642.130000003</v>
      </c>
      <c r="O11" s="327"/>
    </row>
    <row r="12" spans="1:15" x14ac:dyDescent="0.25">
      <c r="A12" s="729" t="s">
        <v>24</v>
      </c>
      <c r="B12" s="666">
        <v>36862538.009999998</v>
      </c>
      <c r="C12" s="667">
        <v>22162988.66</v>
      </c>
      <c r="D12" s="667">
        <v>5505471.9299999997</v>
      </c>
      <c r="E12" s="667">
        <v>3013137.39</v>
      </c>
      <c r="F12" s="668">
        <v>3425657.43</v>
      </c>
      <c r="G12" s="673">
        <v>70969793.420000002</v>
      </c>
      <c r="H12" s="666">
        <v>34545761.520000003</v>
      </c>
      <c r="I12" s="667">
        <v>29170639.390000001</v>
      </c>
      <c r="J12" s="667">
        <v>5618670.2199999997</v>
      </c>
      <c r="K12" s="667">
        <v>3664295.28</v>
      </c>
      <c r="L12" s="668">
        <v>1771948.12</v>
      </c>
      <c r="M12" s="673">
        <v>74771314.530000016</v>
      </c>
      <c r="O12" s="327"/>
    </row>
    <row r="13" spans="1:15" x14ac:dyDescent="0.25">
      <c r="A13" s="729" t="s">
        <v>25</v>
      </c>
      <c r="B13" s="666">
        <v>16113930.119999999</v>
      </c>
      <c r="C13" s="667">
        <v>17522251.899999999</v>
      </c>
      <c r="D13" s="667">
        <v>3661201.62</v>
      </c>
      <c r="E13" s="667">
        <v>1221374.6299999999</v>
      </c>
      <c r="F13" s="668">
        <v>1393653.5</v>
      </c>
      <c r="G13" s="669">
        <v>39912411.769999996</v>
      </c>
      <c r="H13" s="666">
        <v>15908184.33</v>
      </c>
      <c r="I13" s="667">
        <v>17180629.149999999</v>
      </c>
      <c r="J13" s="667">
        <v>4395896.3099999996</v>
      </c>
      <c r="K13" s="667">
        <v>1263383.94</v>
      </c>
      <c r="L13" s="668">
        <v>972147.5</v>
      </c>
      <c r="M13" s="669">
        <v>39720241.229999997</v>
      </c>
      <c r="O13" s="327"/>
    </row>
    <row r="14" spans="1:15" x14ac:dyDescent="0.25">
      <c r="A14" s="729" t="s">
        <v>45</v>
      </c>
      <c r="B14" s="666">
        <v>25555697.600000001</v>
      </c>
      <c r="C14" s="667">
        <v>21997216.57</v>
      </c>
      <c r="D14" s="667">
        <v>1243702.95</v>
      </c>
      <c r="E14" s="667">
        <v>1010681.68</v>
      </c>
      <c r="F14" s="668">
        <v>42756999.280000001</v>
      </c>
      <c r="G14" s="669">
        <v>92564298.080000013</v>
      </c>
      <c r="H14" s="666">
        <v>24462429.84</v>
      </c>
      <c r="I14" s="667">
        <v>29277886.199999999</v>
      </c>
      <c r="J14" s="667">
        <v>490403.23</v>
      </c>
      <c r="K14" s="667">
        <v>721949.21</v>
      </c>
      <c r="L14" s="668">
        <v>93691156.219999999</v>
      </c>
      <c r="M14" s="669">
        <v>148643824.69999999</v>
      </c>
      <c r="O14" s="327"/>
    </row>
    <row r="15" spans="1:15" x14ac:dyDescent="0.25">
      <c r="A15" s="729" t="s">
        <v>348</v>
      </c>
      <c r="B15" s="666">
        <v>5668841.6100000003</v>
      </c>
      <c r="C15" s="667">
        <v>2305842.35</v>
      </c>
      <c r="D15" s="667">
        <v>3925040.82</v>
      </c>
      <c r="E15" s="667"/>
      <c r="F15" s="668">
        <v>66.010000000000005</v>
      </c>
      <c r="G15" s="669">
        <v>11899790.790000001</v>
      </c>
      <c r="H15" s="666">
        <v>5502182.0899999999</v>
      </c>
      <c r="I15" s="667">
        <v>2775248.63</v>
      </c>
      <c r="J15" s="667">
        <v>442610.24</v>
      </c>
      <c r="K15" s="667">
        <v>175843.38</v>
      </c>
      <c r="L15" s="668">
        <v>135672.81</v>
      </c>
      <c r="M15" s="669">
        <v>9031557.1500000004</v>
      </c>
      <c r="O15" s="327"/>
    </row>
    <row r="16" spans="1:15" x14ac:dyDescent="0.25">
      <c r="A16" s="729" t="s">
        <v>27</v>
      </c>
      <c r="B16" s="666">
        <v>13803441.77</v>
      </c>
      <c r="C16" s="667">
        <v>7833223.6100000003</v>
      </c>
      <c r="D16" s="667">
        <v>973937.09</v>
      </c>
      <c r="E16" s="667">
        <v>144840.4</v>
      </c>
      <c r="F16" s="668">
        <v>10398051.460000001</v>
      </c>
      <c r="G16" s="669">
        <v>33153494.329999998</v>
      </c>
      <c r="H16" s="666">
        <v>14119230.800000001</v>
      </c>
      <c r="I16" s="667">
        <v>9630738.7200000007</v>
      </c>
      <c r="J16" s="667">
        <v>702822.03</v>
      </c>
      <c r="K16" s="667">
        <v>96101</v>
      </c>
      <c r="L16" s="668">
        <v>6796347.5899999999</v>
      </c>
      <c r="M16" s="669">
        <v>31345240.140000004</v>
      </c>
      <c r="O16" s="327"/>
    </row>
    <row r="17" spans="1:15" x14ac:dyDescent="0.25">
      <c r="A17" s="729" t="s">
        <v>30</v>
      </c>
      <c r="B17" s="666">
        <v>12199555.439999999</v>
      </c>
      <c r="C17" s="667">
        <v>8930454.7300000004</v>
      </c>
      <c r="D17" s="667">
        <v>88798.5</v>
      </c>
      <c r="E17" s="667">
        <v>1131655.8700000001</v>
      </c>
      <c r="F17" s="668">
        <v>98184.09</v>
      </c>
      <c r="G17" s="669">
        <v>22448648.630000003</v>
      </c>
      <c r="H17" s="666">
        <v>12550731.42</v>
      </c>
      <c r="I17" s="667">
        <v>7986793.5700000003</v>
      </c>
      <c r="J17" s="667">
        <v>359308.95</v>
      </c>
      <c r="K17" s="667">
        <v>924768.31</v>
      </c>
      <c r="L17" s="668">
        <v>2728584.43</v>
      </c>
      <c r="M17" s="669">
        <v>24550186.68</v>
      </c>
      <c r="O17" s="327"/>
    </row>
    <row r="18" spans="1:15" x14ac:dyDescent="0.25">
      <c r="A18" s="729" t="s">
        <v>36</v>
      </c>
      <c r="B18" s="666">
        <v>7121728.1699999999</v>
      </c>
      <c r="C18" s="667">
        <v>9975561.0399999991</v>
      </c>
      <c r="D18" s="667">
        <v>1158997.05</v>
      </c>
      <c r="E18" s="667">
        <v>39481.919999999998</v>
      </c>
      <c r="F18" s="668">
        <v>751791.93</v>
      </c>
      <c r="G18" s="669">
        <v>19047560.110000003</v>
      </c>
      <c r="H18" s="666">
        <v>9205654.2400000002</v>
      </c>
      <c r="I18" s="667">
        <v>7620338.6100000003</v>
      </c>
      <c r="J18" s="667">
        <v>1565535.67</v>
      </c>
      <c r="K18" s="667">
        <v>29068.560000000001</v>
      </c>
      <c r="L18" s="668">
        <v>508532.58</v>
      </c>
      <c r="M18" s="669">
        <v>18929129.66</v>
      </c>
      <c r="O18" s="327"/>
    </row>
    <row r="19" spans="1:15" ht="30" x14ac:dyDescent="0.25">
      <c r="A19" s="729" t="s">
        <v>40</v>
      </c>
      <c r="B19" s="666">
        <v>7725205.9299999997</v>
      </c>
      <c r="C19" s="667"/>
      <c r="D19" s="667">
        <v>93851.45</v>
      </c>
      <c r="E19" s="667">
        <v>27182.799999999999</v>
      </c>
      <c r="F19" s="668">
        <v>69456.61</v>
      </c>
      <c r="G19" s="669">
        <v>7915696.79</v>
      </c>
      <c r="H19" s="666">
        <v>7435136.2199999997</v>
      </c>
      <c r="I19" s="667"/>
      <c r="J19" s="667">
        <v>124641.15</v>
      </c>
      <c r="K19" s="667">
        <v>33805.65</v>
      </c>
      <c r="L19" s="668">
        <v>70275.63</v>
      </c>
      <c r="M19" s="669">
        <v>7663858.6500000004</v>
      </c>
      <c r="O19" s="327"/>
    </row>
    <row r="20" spans="1:15" x14ac:dyDescent="0.25">
      <c r="A20" s="729" t="s">
        <v>41</v>
      </c>
      <c r="B20" s="666">
        <v>2484602.02</v>
      </c>
      <c r="C20" s="667">
        <v>4585618.92</v>
      </c>
      <c r="D20" s="667">
        <v>768631.64</v>
      </c>
      <c r="E20" s="667">
        <v>45901.99</v>
      </c>
      <c r="F20" s="668">
        <v>8866.7000000000007</v>
      </c>
      <c r="G20" s="669">
        <v>7893621.2699999996</v>
      </c>
      <c r="H20" s="666">
        <v>2432066.09</v>
      </c>
      <c r="I20" s="667">
        <v>4515602.3899999997</v>
      </c>
      <c r="J20" s="667">
        <v>540572.89</v>
      </c>
      <c r="K20" s="667">
        <v>70712.09</v>
      </c>
      <c r="L20" s="668">
        <v>7061.7</v>
      </c>
      <c r="M20" s="669">
        <v>7566015.1599999992</v>
      </c>
      <c r="O20" s="327"/>
    </row>
    <row r="21" spans="1:15" ht="30" x14ac:dyDescent="0.25">
      <c r="A21" s="729" t="s">
        <v>160</v>
      </c>
      <c r="B21" s="666">
        <v>4009833.06</v>
      </c>
      <c r="C21" s="667">
        <v>3538956.62</v>
      </c>
      <c r="D21" s="667">
        <v>7322.65</v>
      </c>
      <c r="E21" s="667">
        <v>48695.26</v>
      </c>
      <c r="F21" s="668">
        <v>48762.5</v>
      </c>
      <c r="G21" s="669">
        <v>7653570.0899999999</v>
      </c>
      <c r="H21" s="666">
        <v>3993022.65</v>
      </c>
      <c r="I21" s="667">
        <v>2936753.67</v>
      </c>
      <c r="J21" s="667">
        <v>4648.83</v>
      </c>
      <c r="K21" s="667">
        <v>51151.5</v>
      </c>
      <c r="L21" s="668">
        <v>35750</v>
      </c>
      <c r="M21" s="669">
        <v>7021326.6500000004</v>
      </c>
      <c r="O21" s="327"/>
    </row>
    <row r="22" spans="1:15" ht="30" x14ac:dyDescent="0.25">
      <c r="A22" s="729" t="s">
        <v>33</v>
      </c>
      <c r="B22" s="666">
        <v>11118107.18</v>
      </c>
      <c r="C22" s="667">
        <v>3182336.37</v>
      </c>
      <c r="D22" s="667"/>
      <c r="E22" s="667">
        <v>331988.96999999997</v>
      </c>
      <c r="F22" s="668">
        <v>62231.97</v>
      </c>
      <c r="G22" s="669">
        <v>14694664.490000002</v>
      </c>
      <c r="H22" s="666">
        <v>10833936.35</v>
      </c>
      <c r="I22" s="667">
        <v>4680720.43</v>
      </c>
      <c r="J22" s="667"/>
      <c r="K22" s="667">
        <v>366165.85</v>
      </c>
      <c r="L22" s="668">
        <v>2335787.42</v>
      </c>
      <c r="M22" s="669">
        <v>18216610.049999997</v>
      </c>
      <c r="O22" s="327"/>
    </row>
    <row r="23" spans="1:15" ht="16.5" thickBot="1" x14ac:dyDescent="0.3">
      <c r="A23" s="730" t="s">
        <v>39</v>
      </c>
      <c r="B23" s="666">
        <v>5010768.42</v>
      </c>
      <c r="C23" s="667">
        <v>2432389.64</v>
      </c>
      <c r="D23" s="667">
        <v>11639.52</v>
      </c>
      <c r="E23" s="667">
        <v>73105.399999999994</v>
      </c>
      <c r="F23" s="668">
        <v>60271.49</v>
      </c>
      <c r="G23" s="669">
        <v>7588174.4700000007</v>
      </c>
      <c r="H23" s="666">
        <v>4831953.45</v>
      </c>
      <c r="I23" s="667">
        <v>2432389.64</v>
      </c>
      <c r="J23" s="667">
        <v>5310.35</v>
      </c>
      <c r="K23" s="667">
        <v>88238.25</v>
      </c>
      <c r="L23" s="668">
        <v>1389.73</v>
      </c>
      <c r="M23" s="669">
        <v>7359281.4199999999</v>
      </c>
      <c r="O23" s="327"/>
    </row>
    <row r="24" spans="1:15" s="327" customFormat="1" ht="16.5" thickBot="1" x14ac:dyDescent="0.3">
      <c r="A24" s="674" t="s">
        <v>22</v>
      </c>
      <c r="B24" s="675">
        <v>244844781.12</v>
      </c>
      <c r="C24" s="676">
        <v>183923786.81999996</v>
      </c>
      <c r="D24" s="676">
        <v>31646266.209999997</v>
      </c>
      <c r="E24" s="676">
        <v>9063069.8500000015</v>
      </c>
      <c r="F24" s="677">
        <v>82230335.970000014</v>
      </c>
      <c r="G24" s="678">
        <v>551708239.97000003</v>
      </c>
      <c r="H24" s="675">
        <v>246073370.83000001</v>
      </c>
      <c r="I24" s="676">
        <v>215485772.43999997</v>
      </c>
      <c r="J24" s="676">
        <v>32571781.649999999</v>
      </c>
      <c r="K24" s="676">
        <v>10658286.570000002</v>
      </c>
      <c r="L24" s="677">
        <v>131778976.96000001</v>
      </c>
      <c r="M24" s="678">
        <v>636568188.44999981</v>
      </c>
    </row>
    <row r="25" spans="1:15" ht="14.25" customHeight="1" x14ac:dyDescent="0.25">
      <c r="M25" s="171" t="s">
        <v>378</v>
      </c>
    </row>
    <row r="52" ht="13.5" customHeight="1" x14ac:dyDescent="0.25"/>
  </sheetData>
  <mergeCells count="4">
    <mergeCell ref="A1:M1"/>
    <mergeCell ref="B2:G2"/>
    <mergeCell ref="H2:M2"/>
    <mergeCell ref="A2:A3"/>
  </mergeCells>
  <phoneticPr fontId="47" type="noConversion"/>
  <pageMargins left="0.31496062992125984" right="0.19685039370078741" top="0.15748031496062992" bottom="0.15748031496062992" header="0" footer="0"/>
  <pageSetup paperSize="9" scale="7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34"/>
  <sheetViews>
    <sheetView tabSelected="1" topLeftCell="A7" zoomScaleNormal="100" workbookViewId="0">
      <selection activeCell="A35" sqref="A35"/>
    </sheetView>
  </sheetViews>
  <sheetFormatPr defaultRowHeight="15" x14ac:dyDescent="0.25"/>
  <cols>
    <col min="1" max="1" width="12.7109375" customWidth="1"/>
    <col min="2" max="2" width="10.7109375" customWidth="1"/>
    <col min="3" max="3" width="10.5703125" customWidth="1"/>
    <col min="4" max="4" width="10.28515625" customWidth="1"/>
    <col min="5" max="5" width="10.42578125" customWidth="1"/>
    <col min="6" max="6" width="8.28515625" style="213" bestFit="1" customWidth="1"/>
    <col min="7" max="7" width="10.42578125" style="213" customWidth="1"/>
    <col min="8" max="8" width="4.85546875" customWidth="1"/>
    <col min="9" max="9" width="10.5703125" customWidth="1"/>
    <col min="10" max="10" width="11" customWidth="1"/>
    <col min="15" max="15" width="13.28515625" bestFit="1" customWidth="1"/>
  </cols>
  <sheetData>
    <row r="1" spans="1:17" ht="43.5" customHeight="1" thickBot="1" x14ac:dyDescent="0.3">
      <c r="A1" s="1007" t="s">
        <v>4</v>
      </c>
      <c r="B1" s="1007"/>
      <c r="C1" s="1007"/>
      <c r="D1" s="1007"/>
      <c r="E1" s="1007"/>
      <c r="F1" s="1007"/>
      <c r="G1" s="1007"/>
      <c r="H1" s="1007"/>
      <c r="I1" s="1007"/>
      <c r="J1" s="1007"/>
    </row>
    <row r="2" spans="1:17" ht="21" thickBot="1" x14ac:dyDescent="0.3">
      <c r="B2" s="3"/>
      <c r="C2" s="3"/>
      <c r="D2" s="3"/>
      <c r="E2" s="3"/>
      <c r="F2" s="358"/>
      <c r="G2" s="358"/>
      <c r="H2" s="4"/>
      <c r="I2" s="1008" t="s">
        <v>101</v>
      </c>
      <c r="J2" s="1009"/>
      <c r="K2" s="1009"/>
      <c r="L2" s="1010"/>
    </row>
    <row r="3" spans="1:17" ht="15.75" thickBot="1" x14ac:dyDescent="0.3">
      <c r="A3" s="201"/>
      <c r="B3" s="1011" t="s">
        <v>351</v>
      </c>
      <c r="C3" s="1012"/>
      <c r="D3" s="1011" t="s">
        <v>431</v>
      </c>
      <c r="E3" s="1013"/>
      <c r="F3" s="1014" t="s">
        <v>472</v>
      </c>
      <c r="G3" s="1015"/>
      <c r="H3" s="5"/>
      <c r="I3" s="1011" t="s">
        <v>431</v>
      </c>
      <c r="J3" s="1013"/>
      <c r="K3" s="1016" t="s">
        <v>472</v>
      </c>
      <c r="L3" s="1017"/>
    </row>
    <row r="4" spans="1:17" ht="15.75" thickBot="1" x14ac:dyDescent="0.3">
      <c r="A4" s="384" t="s">
        <v>74</v>
      </c>
      <c r="B4" s="385">
        <f>SUM(B5:B14)</f>
        <v>172993</v>
      </c>
      <c r="C4" s="386">
        <f>B4/B28</f>
        <v>0.81606630689108617</v>
      </c>
      <c r="D4" s="385">
        <f>SUM(D6:D9,D11:D14)</f>
        <v>164938</v>
      </c>
      <c r="E4" s="387">
        <f>D4/D28</f>
        <v>0.82163761625561038</v>
      </c>
      <c r="F4" s="410">
        <f>SUM(F6:F9,F11:F14)</f>
        <v>156718</v>
      </c>
      <c r="G4" s="367">
        <f>F4/F28</f>
        <v>0.82970061148317764</v>
      </c>
      <c r="H4" s="5"/>
      <c r="I4" s="385">
        <f>SUM(I6:I14)</f>
        <v>5277</v>
      </c>
      <c r="J4" s="400">
        <f>+I4/D28</f>
        <v>2.6287342522528807E-2</v>
      </c>
      <c r="K4" s="462">
        <f>SUM(K6:K14)</f>
        <v>5578</v>
      </c>
      <c r="L4" s="879">
        <f>+K4/F28</f>
        <v>2.9531196230510627E-2</v>
      </c>
      <c r="M4" s="29"/>
      <c r="N4" s="213"/>
      <c r="O4" s="213"/>
    </row>
    <row r="5" spans="1:17" ht="15.75" thickBot="1" x14ac:dyDescent="0.3">
      <c r="A5" s="388"/>
      <c r="B5" s="1020" t="s">
        <v>6</v>
      </c>
      <c r="C5" s="1020"/>
      <c r="D5" s="1020"/>
      <c r="E5" s="1020"/>
      <c r="F5" s="1020"/>
      <c r="G5" s="1021"/>
      <c r="H5" s="5"/>
      <c r="I5" s="1024" t="s">
        <v>6</v>
      </c>
      <c r="J5" s="1025"/>
      <c r="K5" s="1025"/>
      <c r="L5" s="1026"/>
      <c r="N5" s="213"/>
    </row>
    <row r="6" spans="1:17" x14ac:dyDescent="0.25">
      <c r="A6" s="377" t="s">
        <v>0</v>
      </c>
      <c r="B6" s="378">
        <v>78556</v>
      </c>
      <c r="C6" s="379">
        <f>B6/B28</f>
        <v>0.37057513774624501</v>
      </c>
      <c r="D6" s="378">
        <v>77964</v>
      </c>
      <c r="E6" s="380">
        <f>D6/D28</f>
        <v>0.38837717878082922</v>
      </c>
      <c r="F6" s="394">
        <v>76298</v>
      </c>
      <c r="G6" s="167">
        <v>0.38837717878082922</v>
      </c>
      <c r="H6" s="5"/>
      <c r="I6" s="402">
        <v>931</v>
      </c>
      <c r="J6" s="380">
        <f>+I6/D28</f>
        <v>4.6377706819166796E-3</v>
      </c>
      <c r="K6" s="403">
        <v>1009</v>
      </c>
      <c r="L6" s="880">
        <f>+K6/F28</f>
        <v>5.3418746856552929E-3</v>
      </c>
      <c r="M6" s="29"/>
      <c r="N6" s="213"/>
    </row>
    <row r="7" spans="1:17" x14ac:dyDescent="0.25">
      <c r="A7" s="1" t="s">
        <v>1</v>
      </c>
      <c r="B7" s="151">
        <v>9789</v>
      </c>
      <c r="C7" s="70">
        <f>B7/B28</f>
        <v>4.6178013434976226E-2</v>
      </c>
      <c r="D7" s="151">
        <v>9992</v>
      </c>
      <c r="E7" s="157">
        <f>D7/D28</f>
        <v>4.9775085557155166E-2</v>
      </c>
      <c r="F7" s="395">
        <v>10063</v>
      </c>
      <c r="G7" s="70">
        <v>4.9775085557155166E-2</v>
      </c>
      <c r="H7" s="5"/>
      <c r="I7" s="17">
        <v>2495</v>
      </c>
      <c r="J7" s="157">
        <f>+I7/D28</f>
        <v>1.2428826908036645E-2</v>
      </c>
      <c r="K7" s="399">
        <v>2766</v>
      </c>
      <c r="L7" s="881">
        <f>+K7/F28</f>
        <v>1.4643830902400932E-2</v>
      </c>
      <c r="N7" s="213"/>
    </row>
    <row r="8" spans="1:17" x14ac:dyDescent="0.25">
      <c r="A8" s="1" t="s">
        <v>2</v>
      </c>
      <c r="B8" s="151">
        <v>38590</v>
      </c>
      <c r="C8" s="168">
        <f>B8/B28</f>
        <v>0.18204204090874784</v>
      </c>
      <c r="D8" s="151">
        <v>37082</v>
      </c>
      <c r="E8" s="360">
        <f>D8/D28</f>
        <v>0.18472375126405405</v>
      </c>
      <c r="F8" s="396">
        <v>35847</v>
      </c>
      <c r="G8" s="168">
        <v>0.18472375126405405</v>
      </c>
      <c r="H8" s="5"/>
      <c r="I8" s="2">
        <v>588</v>
      </c>
      <c r="J8" s="157">
        <f>+I8/D28</f>
        <v>2.9291183254210608E-3</v>
      </c>
      <c r="K8" s="399">
        <v>613</v>
      </c>
      <c r="L8" s="881">
        <f>+K8/F28</f>
        <v>3.2453609339015803E-3</v>
      </c>
      <c r="M8" s="29"/>
      <c r="N8" s="213"/>
    </row>
    <row r="9" spans="1:17" ht="15.75" thickBot="1" x14ac:dyDescent="0.3">
      <c r="A9" s="361" t="s">
        <v>3</v>
      </c>
      <c r="B9" s="207">
        <v>6296</v>
      </c>
      <c r="C9" s="362">
        <f>B9/B28</f>
        <v>2.9700354743754244E-2</v>
      </c>
      <c r="D9" s="207">
        <v>5859</v>
      </c>
      <c r="E9" s="364">
        <f>D9/D28</f>
        <v>2.9186571885445569E-2</v>
      </c>
      <c r="F9" s="397">
        <v>5438</v>
      </c>
      <c r="G9" s="169">
        <v>2.9186571885445569E-2</v>
      </c>
      <c r="H9" s="155"/>
      <c r="I9" s="404">
        <v>169</v>
      </c>
      <c r="J9" s="376">
        <f>+I9/D28</f>
        <v>8.4187244387101917E-4</v>
      </c>
      <c r="K9" s="401">
        <v>174</v>
      </c>
      <c r="L9" s="882">
        <f>+K9/F28</f>
        <v>9.2119543637663131E-4</v>
      </c>
      <c r="M9" s="29"/>
      <c r="N9" s="213"/>
    </row>
    <row r="10" spans="1:17" ht="15.75" thickBot="1" x14ac:dyDescent="0.3">
      <c r="A10" s="381"/>
      <c r="B10" s="1018" t="s">
        <v>7</v>
      </c>
      <c r="C10" s="1018"/>
      <c r="D10" s="1018"/>
      <c r="E10" s="1018"/>
      <c r="F10" s="1018"/>
      <c r="G10" s="1019"/>
      <c r="H10" s="5"/>
      <c r="I10" s="1024" t="s">
        <v>7</v>
      </c>
      <c r="J10" s="1025"/>
      <c r="K10" s="1025"/>
      <c r="L10" s="1026"/>
      <c r="N10" s="213"/>
    </row>
    <row r="11" spans="1:17" x14ac:dyDescent="0.25">
      <c r="A11" s="377" t="s">
        <v>0</v>
      </c>
      <c r="B11" s="378">
        <v>20757</v>
      </c>
      <c r="C11" s="379">
        <f>B11/B28</f>
        <v>9.7917767378670084E-2</v>
      </c>
      <c r="D11" s="378">
        <v>17519</v>
      </c>
      <c r="E11" s="380">
        <f>D11/D28</f>
        <v>8.7270789018795175E-2</v>
      </c>
      <c r="F11" s="394">
        <v>14365</v>
      </c>
      <c r="G11" s="167">
        <f>F11/F28</f>
        <v>7.6051565767530513E-2</v>
      </c>
      <c r="H11" s="5"/>
      <c r="I11" s="405">
        <v>284</v>
      </c>
      <c r="J11" s="380">
        <f>+I11/D28</f>
        <v>1.4147442252033695E-3</v>
      </c>
      <c r="K11" s="403">
        <v>224</v>
      </c>
      <c r="L11" s="880">
        <f>+K11/F28</f>
        <v>1.1859067686687667E-3</v>
      </c>
      <c r="M11" s="29"/>
      <c r="N11" s="213"/>
      <c r="O11" s="213"/>
    </row>
    <row r="12" spans="1:17" x14ac:dyDescent="0.25">
      <c r="A12" s="1" t="s">
        <v>1</v>
      </c>
      <c r="B12" s="151">
        <v>227</v>
      </c>
      <c r="C12" s="70">
        <f>B12/B28</f>
        <v>1.0708355347573402E-3</v>
      </c>
      <c r="D12" s="151">
        <v>200</v>
      </c>
      <c r="E12" s="157">
        <f>D12/D28</f>
        <v>9.96298750143218E-4</v>
      </c>
      <c r="F12" s="395">
        <v>179</v>
      </c>
      <c r="G12" s="70">
        <f>F12/F28</f>
        <v>9.4766656960584481E-4</v>
      </c>
      <c r="H12" s="5"/>
      <c r="I12" s="2">
        <v>20</v>
      </c>
      <c r="J12" s="376">
        <f>+I12/D28</f>
        <v>9.96298750143218E-5</v>
      </c>
      <c r="K12" s="399">
        <v>17</v>
      </c>
      <c r="L12" s="881">
        <f>+K12/F28</f>
        <v>9.0001852979326041E-5</v>
      </c>
      <c r="N12" s="213"/>
    </row>
    <row r="13" spans="1:17" x14ac:dyDescent="0.25">
      <c r="A13" s="1" t="s">
        <v>2</v>
      </c>
      <c r="B13" s="151">
        <v>14199</v>
      </c>
      <c r="C13" s="70">
        <f>B13/B28</f>
        <v>6.6981470299645254E-2</v>
      </c>
      <c r="D13" s="151">
        <v>12253</v>
      </c>
      <c r="E13" s="157">
        <f>D13/D28</f>
        <v>6.1038242927524244E-2</v>
      </c>
      <c r="F13" s="395">
        <v>10910</v>
      </c>
      <c r="G13" s="70">
        <f>F13/F28</f>
        <v>5.7760012706143948E-2</v>
      </c>
      <c r="H13" s="5"/>
      <c r="I13" s="210">
        <v>182</v>
      </c>
      <c r="J13" s="157">
        <f>+I13/D28</f>
        <v>9.0663186263032836E-4</v>
      </c>
      <c r="K13" s="399">
        <v>183</v>
      </c>
      <c r="L13" s="881">
        <f>+K13/F28</f>
        <v>9.6884347618921571E-4</v>
      </c>
      <c r="N13" s="213"/>
      <c r="Q13" s="29"/>
    </row>
    <row r="14" spans="1:17" ht="15.75" thickBot="1" x14ac:dyDescent="0.3">
      <c r="A14" s="361" t="s">
        <v>3</v>
      </c>
      <c r="B14" s="207">
        <v>4579</v>
      </c>
      <c r="C14" s="211">
        <f>B14/B28</f>
        <v>2.1600686844290135E-2</v>
      </c>
      <c r="D14" s="207">
        <v>4069</v>
      </c>
      <c r="E14" s="376">
        <f>D14/D28</f>
        <v>2.0269698071663768E-2</v>
      </c>
      <c r="F14" s="398">
        <v>3618</v>
      </c>
      <c r="G14" s="71">
        <f>F14/F28</f>
        <v>1.9154512004658921E-2</v>
      </c>
      <c r="H14" s="5"/>
      <c r="I14" s="404">
        <v>608</v>
      </c>
      <c r="J14" s="166">
        <f>+I14/D28</f>
        <v>3.0287482004353826E-3</v>
      </c>
      <c r="K14" s="401">
        <v>592</v>
      </c>
      <c r="L14" s="882">
        <f>+K14/F28</f>
        <v>3.1341821743388833E-3</v>
      </c>
      <c r="M14" s="29"/>
      <c r="N14" s="213"/>
    </row>
    <row r="15" spans="1:17" ht="15.75" thickBot="1" x14ac:dyDescent="0.3">
      <c r="A15" s="369"/>
      <c r="B15" s="99"/>
      <c r="C15" s="371"/>
      <c r="D15" s="372"/>
      <c r="E15" s="371"/>
      <c r="F15" s="382"/>
      <c r="G15" s="383"/>
      <c r="H15" s="155"/>
      <c r="I15" s="406"/>
      <c r="J15" s="371"/>
      <c r="K15" s="407"/>
      <c r="L15" s="408"/>
      <c r="N15" s="213"/>
    </row>
    <row r="16" spans="1:17" ht="15.75" thickBot="1" x14ac:dyDescent="0.3">
      <c r="A16" s="389" t="s">
        <v>75</v>
      </c>
      <c r="B16" s="390">
        <f>SUM(B18:B21,B23:B26)</f>
        <v>38991</v>
      </c>
      <c r="C16" s="391">
        <f xml:space="preserve"> B16/B28</f>
        <v>0.18393369310891389</v>
      </c>
      <c r="D16" s="390">
        <f>SUM(D18:D21,D23:D26)</f>
        <v>35805</v>
      </c>
      <c r="E16" s="391">
        <f xml:space="preserve"> D16/D28</f>
        <v>0.17836238374438959</v>
      </c>
      <c r="F16" s="392">
        <f>SUM(F18:F21,F23:F26)</f>
        <v>32167</v>
      </c>
      <c r="G16" s="393">
        <f xml:space="preserve"> F16/F28</f>
        <v>0.17029938851682241</v>
      </c>
      <c r="H16" s="5"/>
      <c r="I16" s="390">
        <f>SUM(I18:I26)</f>
        <v>4642</v>
      </c>
      <c r="J16" s="391">
        <f>+I16/D28</f>
        <v>2.3124093990824088E-2</v>
      </c>
      <c r="K16" s="462">
        <f>SUM(K18:K26)</f>
        <v>5219</v>
      </c>
      <c r="L16" s="463">
        <f>+K16/F28</f>
        <v>2.7630568864653097E-2</v>
      </c>
      <c r="M16" s="29"/>
      <c r="N16" s="213"/>
    </row>
    <row r="17" spans="1:17" ht="15.75" thickBot="1" x14ac:dyDescent="0.3">
      <c r="A17" s="381"/>
      <c r="B17" s="1022" t="s">
        <v>6</v>
      </c>
      <c r="C17" s="1022"/>
      <c r="D17" s="1022"/>
      <c r="E17" s="1022"/>
      <c r="F17" s="1022"/>
      <c r="G17" s="1023"/>
      <c r="H17" s="155"/>
      <c r="I17" s="1024" t="s">
        <v>6</v>
      </c>
      <c r="J17" s="1025"/>
      <c r="K17" s="1025"/>
      <c r="L17" s="1026"/>
      <c r="N17" s="213"/>
    </row>
    <row r="18" spans="1:17" ht="15.75" thickBot="1" x14ac:dyDescent="0.3">
      <c r="A18" s="767" t="s">
        <v>0</v>
      </c>
      <c r="B18" s="378">
        <v>8049</v>
      </c>
      <c r="C18" s="379">
        <f>B18/B28</f>
        <v>3.7969846780889126E-2</v>
      </c>
      <c r="D18" s="378">
        <v>6418</v>
      </c>
      <c r="E18" s="380">
        <f>D18/D28</f>
        <v>3.1971226892095861E-2</v>
      </c>
      <c r="F18" s="394">
        <v>5989</v>
      </c>
      <c r="G18" s="167">
        <v>3.1971226892095861E-2</v>
      </c>
      <c r="H18" s="155"/>
      <c r="I18" s="409">
        <v>358</v>
      </c>
      <c r="J18" s="380">
        <f>+I18/D28</f>
        <v>1.7833747627563601E-3</v>
      </c>
      <c r="K18" s="403">
        <v>427</v>
      </c>
      <c r="L18" s="880">
        <f>+K18/F28</f>
        <v>2.2606347777748364E-3</v>
      </c>
      <c r="M18" s="29"/>
      <c r="N18" s="213"/>
      <c r="P18" s="213"/>
    </row>
    <row r="19" spans="1:17" ht="15.75" thickBot="1" x14ac:dyDescent="0.3">
      <c r="A19" s="780" t="s">
        <v>1</v>
      </c>
      <c r="B19" s="778">
        <v>0</v>
      </c>
      <c r="C19" s="70">
        <f>B19/B28</f>
        <v>0</v>
      </c>
      <c r="D19" s="151">
        <v>0</v>
      </c>
      <c r="E19" s="157">
        <f>D19/D28</f>
        <v>0</v>
      </c>
      <c r="F19" s="395">
        <v>0</v>
      </c>
      <c r="G19" s="70">
        <v>0</v>
      </c>
      <c r="H19" s="5"/>
      <c r="I19" s="2">
        <v>0</v>
      </c>
      <c r="J19" s="157">
        <f>+I19/D28</f>
        <v>0</v>
      </c>
      <c r="K19" s="399">
        <v>0</v>
      </c>
      <c r="L19" s="881">
        <f>+K19/F28</f>
        <v>0</v>
      </c>
      <c r="N19" s="213"/>
    </row>
    <row r="20" spans="1:17" x14ac:dyDescent="0.25">
      <c r="A20" s="770" t="s">
        <v>2</v>
      </c>
      <c r="B20" s="151">
        <v>2036</v>
      </c>
      <c r="C20" s="70">
        <f>B20/B28</f>
        <v>9.6044984527134131E-3</v>
      </c>
      <c r="D20" s="151">
        <v>2518</v>
      </c>
      <c r="E20" s="157">
        <f>D20/D28</f>
        <v>1.2543401264303113E-2</v>
      </c>
      <c r="F20" s="395">
        <v>2568</v>
      </c>
      <c r="G20" s="70">
        <v>1.2543401264303113E-2</v>
      </c>
      <c r="H20" s="5"/>
      <c r="I20" s="2">
        <v>51</v>
      </c>
      <c r="J20" s="157">
        <f>+I20/D28</f>
        <v>2.5405618128652058E-4</v>
      </c>
      <c r="K20" s="399">
        <v>91</v>
      </c>
      <c r="L20" s="881">
        <f>+K20/F28</f>
        <v>4.8177462477168645E-4</v>
      </c>
      <c r="N20" s="213"/>
      <c r="P20" s="29"/>
    </row>
    <row r="21" spans="1:17" ht="15.75" thickBot="1" x14ac:dyDescent="0.3">
      <c r="A21" s="767" t="s">
        <v>3</v>
      </c>
      <c r="B21" s="207">
        <v>189</v>
      </c>
      <c r="C21" s="211">
        <f>B21/B28</f>
        <v>8.9157672277152995E-4</v>
      </c>
      <c r="D21" s="207">
        <v>129</v>
      </c>
      <c r="E21" s="376">
        <f>D21/D28</f>
        <v>6.4261269384237557E-4</v>
      </c>
      <c r="F21" s="398">
        <v>122</v>
      </c>
      <c r="G21" s="71">
        <v>6.4261269384237557E-4</v>
      </c>
      <c r="H21" s="5"/>
      <c r="I21" s="404">
        <v>49</v>
      </c>
      <c r="J21" s="376">
        <f>+I21/D28</f>
        <v>2.4409319378508839E-4</v>
      </c>
      <c r="K21" s="401">
        <v>36</v>
      </c>
      <c r="L21" s="882">
        <f>+K21/F28</f>
        <v>1.9059215925033751E-4</v>
      </c>
      <c r="M21" s="29"/>
      <c r="N21" s="213"/>
      <c r="O21" s="213"/>
    </row>
    <row r="22" spans="1:17" ht="15.75" thickBot="1" x14ac:dyDescent="0.3">
      <c r="A22" s="381"/>
      <c r="B22" s="1018" t="s">
        <v>7</v>
      </c>
      <c r="C22" s="1018"/>
      <c r="D22" s="1018"/>
      <c r="E22" s="1018"/>
      <c r="F22" s="1018"/>
      <c r="G22" s="1019"/>
      <c r="H22" s="5"/>
      <c r="I22" s="1024" t="s">
        <v>7</v>
      </c>
      <c r="J22" s="1025"/>
      <c r="K22" s="1025"/>
      <c r="L22" s="1026"/>
      <c r="N22" s="213"/>
    </row>
    <row r="23" spans="1:17" x14ac:dyDescent="0.25">
      <c r="A23" s="377" t="s">
        <v>0</v>
      </c>
      <c r="B23" s="378">
        <v>19371</v>
      </c>
      <c r="C23" s="379">
        <f>B23/B28</f>
        <v>9.1379538078345535E-2</v>
      </c>
      <c r="D23" s="378">
        <v>16688</v>
      </c>
      <c r="E23" s="380">
        <f>D23/D28</f>
        <v>8.3131167711950102E-2</v>
      </c>
      <c r="F23" s="394">
        <v>14464</v>
      </c>
      <c r="G23" s="167">
        <f>F23/F28</f>
        <v>7.6575694205468933E-2</v>
      </c>
      <c r="H23" s="5"/>
      <c r="I23" s="402">
        <v>2831</v>
      </c>
      <c r="J23" s="380">
        <f>+I23/D28</f>
        <v>1.410260880827725E-2</v>
      </c>
      <c r="K23" s="403">
        <v>3198</v>
      </c>
      <c r="L23" s="880">
        <f>+K23/F28</f>
        <v>1.6930936813404983E-2</v>
      </c>
      <c r="M23" s="29"/>
      <c r="N23" s="213"/>
    </row>
    <row r="24" spans="1:17" x14ac:dyDescent="0.25">
      <c r="A24" s="1" t="s">
        <v>1</v>
      </c>
      <c r="B24" s="151">
        <v>0</v>
      </c>
      <c r="C24" s="70">
        <f>B24/B28</f>
        <v>0</v>
      </c>
      <c r="D24" s="207">
        <v>0</v>
      </c>
      <c r="E24" s="157">
        <f>D24/D28</f>
        <v>0</v>
      </c>
      <c r="F24" s="395">
        <v>0</v>
      </c>
      <c r="G24" s="70">
        <f>F24/F28</f>
        <v>0</v>
      </c>
      <c r="H24" s="5"/>
      <c r="I24" s="2">
        <v>0</v>
      </c>
      <c r="J24" s="157">
        <f>+I24/D28</f>
        <v>0</v>
      </c>
      <c r="K24" s="399">
        <v>0</v>
      </c>
      <c r="L24" s="881">
        <f>+K24/F28</f>
        <v>0</v>
      </c>
      <c r="N24" s="213"/>
    </row>
    <row r="25" spans="1:17" x14ac:dyDescent="0.25">
      <c r="A25" s="1" t="s">
        <v>2</v>
      </c>
      <c r="B25" s="151">
        <v>8619</v>
      </c>
      <c r="C25" s="70">
        <f>B25/B28</f>
        <v>4.065872896067628E-2</v>
      </c>
      <c r="D25" s="209">
        <v>9523</v>
      </c>
      <c r="E25" s="157">
        <f>D25/D28</f>
        <v>4.7438764988069322E-2</v>
      </c>
      <c r="F25" s="395">
        <v>8517</v>
      </c>
      <c r="G25" s="70">
        <f>F25/F28</f>
        <v>4.5090928342642347E-2</v>
      </c>
      <c r="H25" s="5"/>
      <c r="I25" s="2">
        <v>1244</v>
      </c>
      <c r="J25" s="157">
        <f>+I25/D28</f>
        <v>6.1969782258908153E-3</v>
      </c>
      <c r="K25" s="399">
        <v>1371</v>
      </c>
      <c r="L25" s="881">
        <f>+K25/F28</f>
        <v>7.2583847314503531E-3</v>
      </c>
      <c r="N25" s="213"/>
      <c r="O25" s="213"/>
    </row>
    <row r="26" spans="1:17" ht="15.75" thickBot="1" x14ac:dyDescent="0.3">
      <c r="A26" s="361" t="s">
        <v>3</v>
      </c>
      <c r="B26" s="207">
        <v>727</v>
      </c>
      <c r="C26" s="362">
        <f>B26/B28</f>
        <v>3.4295041135180013E-3</v>
      </c>
      <c r="D26" s="363">
        <v>529</v>
      </c>
      <c r="E26" s="364">
        <f>D26/D28</f>
        <v>2.6352101941288114E-3</v>
      </c>
      <c r="F26" s="397">
        <v>507</v>
      </c>
      <c r="G26" s="169">
        <f>F26/F28</f>
        <v>2.6841729094422531E-3</v>
      </c>
      <c r="H26" s="5"/>
      <c r="I26" s="404">
        <v>109</v>
      </c>
      <c r="J26" s="376">
        <f>+I26/D28</f>
        <v>5.4298281882805377E-4</v>
      </c>
      <c r="K26" s="401">
        <v>96</v>
      </c>
      <c r="L26" s="882">
        <f>+K26/F28</f>
        <v>5.0824575800090005E-4</v>
      </c>
      <c r="N26" s="213"/>
      <c r="O26" s="213"/>
      <c r="Q26" s="29"/>
    </row>
    <row r="27" spans="1:17" ht="15.75" thickBot="1" x14ac:dyDescent="0.3">
      <c r="A27" s="369"/>
      <c r="B27" s="370"/>
      <c r="C27" s="371"/>
      <c r="D27" s="372"/>
      <c r="E27" s="373"/>
      <c r="F27" s="374"/>
      <c r="G27" s="375"/>
      <c r="H27" s="5"/>
      <c r="I27" s="406"/>
      <c r="J27" s="371"/>
      <c r="K27" s="407"/>
      <c r="L27" s="408"/>
      <c r="N27" s="213"/>
    </row>
    <row r="28" spans="1:17" ht="15.75" thickBot="1" x14ac:dyDescent="0.3">
      <c r="A28" s="365" t="s">
        <v>5</v>
      </c>
      <c r="B28" s="366">
        <f>B4+B16</f>
        <v>211984</v>
      </c>
      <c r="C28" s="367">
        <f>SUM(C4,C16)</f>
        <v>1</v>
      </c>
      <c r="D28" s="366">
        <f>D4+D16</f>
        <v>200743</v>
      </c>
      <c r="E28" s="368">
        <f>SUM(E4,E16)</f>
        <v>1</v>
      </c>
      <c r="F28" s="414">
        <f>F4+F16</f>
        <v>188885</v>
      </c>
      <c r="G28" s="69">
        <f>SUM(G4,G16)</f>
        <v>1</v>
      </c>
      <c r="H28" s="5"/>
      <c r="I28" s="366">
        <f>SUM(I4,I16)</f>
        <v>9919</v>
      </c>
      <c r="J28" s="368">
        <f>+I28/D28</f>
        <v>4.9411436513352891E-2</v>
      </c>
      <c r="K28" s="461">
        <f>SUM(K4,K16)</f>
        <v>10797</v>
      </c>
      <c r="L28" s="883">
        <f>+K28/F28</f>
        <v>5.7161765095163727E-2</v>
      </c>
      <c r="N28" s="213"/>
      <c r="O28" s="334"/>
    </row>
    <row r="29" spans="1:17" x14ac:dyDescent="0.25">
      <c r="B29" s="10"/>
      <c r="C29" s="10"/>
      <c r="D29" s="29"/>
      <c r="E29" s="51"/>
      <c r="F29" s="359"/>
      <c r="G29" s="359"/>
      <c r="H29" s="29"/>
      <c r="I29" s="29"/>
      <c r="K29" s="29"/>
      <c r="L29" s="11" t="s">
        <v>468</v>
      </c>
      <c r="N29" s="29"/>
    </row>
    <row r="30" spans="1:17" x14ac:dyDescent="0.25">
      <c r="I30" s="29"/>
    </row>
    <row r="31" spans="1:17" x14ac:dyDescent="0.25">
      <c r="F31" s="418"/>
      <c r="I31" s="29"/>
    </row>
    <row r="32" spans="1:17" x14ac:dyDescent="0.25">
      <c r="F32" s="334"/>
      <c r="I32" s="213"/>
      <c r="J32" s="415"/>
      <c r="N32" s="213"/>
    </row>
    <row r="33" spans="9:10" x14ac:dyDescent="0.25">
      <c r="I33" s="213"/>
      <c r="J33" s="415"/>
    </row>
    <row r="34" spans="9:10" x14ac:dyDescent="0.25">
      <c r="I34" s="213"/>
      <c r="J34" s="415"/>
    </row>
  </sheetData>
  <mergeCells count="15">
    <mergeCell ref="B22:G22"/>
    <mergeCell ref="B5:G5"/>
    <mergeCell ref="B10:G10"/>
    <mergeCell ref="B17:G17"/>
    <mergeCell ref="I5:L5"/>
    <mergeCell ref="I10:L10"/>
    <mergeCell ref="I17:L17"/>
    <mergeCell ref="I22:L22"/>
    <mergeCell ref="A1:J1"/>
    <mergeCell ref="I2:L2"/>
    <mergeCell ref="B3:C3"/>
    <mergeCell ref="D3:E3"/>
    <mergeCell ref="I3:J3"/>
    <mergeCell ref="F3:G3"/>
    <mergeCell ref="K3:L3"/>
  </mergeCells>
  <phoneticPr fontId="4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41"/>
  <sheetViews>
    <sheetView tabSelected="1" zoomScaleNormal="100" workbookViewId="0">
      <selection activeCell="A35" sqref="A35"/>
    </sheetView>
  </sheetViews>
  <sheetFormatPr defaultRowHeight="15" x14ac:dyDescent="0.25"/>
  <cols>
    <col min="1" max="1" width="46.28515625" customWidth="1"/>
    <col min="2" max="2" width="7.42578125" bestFit="1" customWidth="1"/>
    <col min="3" max="3" width="10.140625" customWidth="1"/>
    <col min="4" max="8" width="8.5703125" customWidth="1"/>
    <col min="9" max="9" width="6.7109375" bestFit="1" customWidth="1"/>
    <col min="10" max="10" width="8.5703125" customWidth="1"/>
  </cols>
  <sheetData>
    <row r="1" spans="1:11" ht="47.25" customHeight="1" thickBot="1" x14ac:dyDescent="0.3">
      <c r="A1" s="1030" t="s">
        <v>559</v>
      </c>
      <c r="B1" s="1030"/>
      <c r="C1" s="1030"/>
      <c r="D1" s="1030"/>
      <c r="E1" s="1030"/>
      <c r="F1" s="1030"/>
      <c r="G1" s="1030"/>
      <c r="H1" s="1030"/>
      <c r="I1" s="1030"/>
      <c r="J1" s="1030"/>
    </row>
    <row r="2" spans="1:11" ht="15.75" thickBot="1" x14ac:dyDescent="0.3">
      <c r="A2" s="181" t="s">
        <v>18</v>
      </c>
      <c r="B2" s="1031" t="s">
        <v>74</v>
      </c>
      <c r="C2" s="1032"/>
      <c r="D2" s="1032"/>
      <c r="E2" s="1033"/>
      <c r="F2" s="1031" t="s">
        <v>75</v>
      </c>
      <c r="G2" s="1032"/>
      <c r="H2" s="1032"/>
      <c r="I2" s="1033"/>
      <c r="J2" s="1027" t="s">
        <v>17</v>
      </c>
    </row>
    <row r="3" spans="1:11" x14ac:dyDescent="0.25">
      <c r="A3" s="185" t="s">
        <v>19</v>
      </c>
      <c r="B3" s="1034" t="s">
        <v>44</v>
      </c>
      <c r="C3" s="1035"/>
      <c r="D3" s="1034" t="s">
        <v>3</v>
      </c>
      <c r="E3" s="1035"/>
      <c r="F3" s="1034" t="s">
        <v>44</v>
      </c>
      <c r="G3" s="1035"/>
      <c r="H3" s="1034" t="s">
        <v>3</v>
      </c>
      <c r="I3" s="1035"/>
      <c r="J3" s="1028"/>
    </row>
    <row r="4" spans="1:11" ht="30.75" customHeight="1" thickBot="1" x14ac:dyDescent="0.3">
      <c r="A4" s="52" t="s">
        <v>20</v>
      </c>
      <c r="B4" s="53" t="s">
        <v>22</v>
      </c>
      <c r="C4" s="54" t="s">
        <v>363</v>
      </c>
      <c r="D4" s="53" t="s">
        <v>22</v>
      </c>
      <c r="E4" s="54" t="s">
        <v>363</v>
      </c>
      <c r="F4" s="53" t="s">
        <v>22</v>
      </c>
      <c r="G4" s="54" t="s">
        <v>363</v>
      </c>
      <c r="H4" s="53" t="s">
        <v>22</v>
      </c>
      <c r="I4" s="54" t="s">
        <v>363</v>
      </c>
      <c r="J4" s="1029"/>
    </row>
    <row r="5" spans="1:11" x14ac:dyDescent="0.25">
      <c r="A5" s="178" t="s">
        <v>10</v>
      </c>
      <c r="B5" s="55">
        <v>6267</v>
      </c>
      <c r="C5" s="56">
        <v>5163</v>
      </c>
      <c r="D5" s="57">
        <v>350</v>
      </c>
      <c r="E5" s="58">
        <v>227</v>
      </c>
      <c r="F5" s="57">
        <v>0</v>
      </c>
      <c r="G5" s="58">
        <v>0</v>
      </c>
      <c r="H5" s="57">
        <v>0</v>
      </c>
      <c r="I5" s="58">
        <v>0</v>
      </c>
      <c r="J5" s="929">
        <f t="shared" ref="J5:J11" si="0" xml:space="preserve"> B5+D5+F5+H5</f>
        <v>6617</v>
      </c>
    </row>
    <row r="6" spans="1:11" x14ac:dyDescent="0.25">
      <c r="A6" s="179" t="s">
        <v>11</v>
      </c>
      <c r="B6" s="17">
        <v>8109</v>
      </c>
      <c r="C6" s="59">
        <v>7599</v>
      </c>
      <c r="D6" s="17">
        <v>1447</v>
      </c>
      <c r="E6" s="59">
        <v>1218</v>
      </c>
      <c r="F6" s="60">
        <v>485</v>
      </c>
      <c r="G6" s="61">
        <v>58</v>
      </c>
      <c r="H6" s="60">
        <v>12</v>
      </c>
      <c r="I6" s="61">
        <v>0</v>
      </c>
      <c r="J6" s="930">
        <f t="shared" si="0"/>
        <v>10053</v>
      </c>
    </row>
    <row r="7" spans="1:11" x14ac:dyDescent="0.25">
      <c r="A7" s="179" t="s">
        <v>12</v>
      </c>
      <c r="B7" s="17">
        <v>80698</v>
      </c>
      <c r="C7" s="59">
        <v>61534</v>
      </c>
      <c r="D7" s="17">
        <v>3384</v>
      </c>
      <c r="E7" s="59">
        <v>1635</v>
      </c>
      <c r="F7" s="17">
        <v>24935</v>
      </c>
      <c r="G7" s="59">
        <v>6373</v>
      </c>
      <c r="H7" s="60">
        <v>491</v>
      </c>
      <c r="I7" s="61">
        <v>94</v>
      </c>
      <c r="J7" s="930">
        <f t="shared" si="0"/>
        <v>109508</v>
      </c>
      <c r="K7" s="29"/>
    </row>
    <row r="8" spans="1:11" x14ac:dyDescent="0.25">
      <c r="A8" s="179" t="s">
        <v>13</v>
      </c>
      <c r="B8" s="17">
        <v>34340</v>
      </c>
      <c r="C8" s="59">
        <v>31182</v>
      </c>
      <c r="D8" s="17">
        <v>2360</v>
      </c>
      <c r="E8" s="59">
        <v>1593</v>
      </c>
      <c r="F8" s="60">
        <v>114</v>
      </c>
      <c r="G8" s="61">
        <v>44</v>
      </c>
      <c r="H8" s="60">
        <v>0</v>
      </c>
      <c r="I8" s="61">
        <v>0</v>
      </c>
      <c r="J8" s="930">
        <f t="shared" si="0"/>
        <v>36814</v>
      </c>
    </row>
    <row r="9" spans="1:11" x14ac:dyDescent="0.25">
      <c r="A9" s="179" t="s">
        <v>14</v>
      </c>
      <c r="B9" s="17">
        <v>3985</v>
      </c>
      <c r="C9" s="59">
        <v>3667</v>
      </c>
      <c r="D9" s="60">
        <v>464</v>
      </c>
      <c r="E9" s="61">
        <v>273</v>
      </c>
      <c r="F9" s="60">
        <v>72</v>
      </c>
      <c r="G9" s="61">
        <v>23</v>
      </c>
      <c r="H9" s="60">
        <v>0</v>
      </c>
      <c r="I9" s="61">
        <v>0</v>
      </c>
      <c r="J9" s="930">
        <f t="shared" si="0"/>
        <v>4521</v>
      </c>
    </row>
    <row r="10" spans="1:11" x14ac:dyDescent="0.25">
      <c r="A10" s="179" t="s">
        <v>15</v>
      </c>
      <c r="B10" s="17">
        <v>1454</v>
      </c>
      <c r="C10" s="61">
        <v>1148</v>
      </c>
      <c r="D10" s="60">
        <v>57</v>
      </c>
      <c r="E10" s="61">
        <v>24</v>
      </c>
      <c r="F10" s="17">
        <v>2451</v>
      </c>
      <c r="G10" s="59">
        <v>1312</v>
      </c>
      <c r="H10" s="60">
        <v>0</v>
      </c>
      <c r="I10" s="61">
        <v>0</v>
      </c>
      <c r="J10" s="931">
        <f t="shared" si="0"/>
        <v>3962</v>
      </c>
    </row>
    <row r="11" spans="1:11" ht="15.75" thickBot="1" x14ac:dyDescent="0.3">
      <c r="A11" s="180" t="s">
        <v>16</v>
      </c>
      <c r="B11" s="62">
        <v>12809</v>
      </c>
      <c r="C11" s="63">
        <v>11915</v>
      </c>
      <c r="D11" s="64">
        <v>994</v>
      </c>
      <c r="E11" s="65">
        <v>468</v>
      </c>
      <c r="F11" s="62">
        <v>3481</v>
      </c>
      <c r="G11" s="65">
        <v>747</v>
      </c>
      <c r="H11" s="64">
        <v>126</v>
      </c>
      <c r="I11" s="65">
        <v>28</v>
      </c>
      <c r="J11" s="932">
        <f t="shared" si="0"/>
        <v>17410</v>
      </c>
    </row>
    <row r="12" spans="1:11" ht="15.75" thickBot="1" x14ac:dyDescent="0.3">
      <c r="A12" s="275" t="s">
        <v>21</v>
      </c>
      <c r="B12" s="5"/>
      <c r="C12" s="5"/>
      <c r="D12" s="5"/>
      <c r="E12" s="5"/>
      <c r="F12" s="5"/>
      <c r="G12" s="5"/>
      <c r="H12" s="5"/>
      <c r="I12" s="67" t="s">
        <v>17</v>
      </c>
      <c r="J12" s="68">
        <f>SUM(J5:J11)</f>
        <v>188885</v>
      </c>
    </row>
    <row r="13" spans="1:11" x14ac:dyDescent="0.25">
      <c r="A13" s="178" t="s">
        <v>10</v>
      </c>
      <c r="B13" s="793">
        <f xml:space="preserve"> B5/J12</f>
        <v>3.3178918389496256E-2</v>
      </c>
      <c r="C13" s="86">
        <f xml:space="preserve"> C5/J12</f>
        <v>2.7334092172485905E-2</v>
      </c>
      <c r="D13" s="85">
        <f xml:space="preserve"> D5/J12</f>
        <v>1.852979326044948E-3</v>
      </c>
      <c r="E13" s="86">
        <f xml:space="preserve"> E5/J12</f>
        <v>1.2017894486062949E-3</v>
      </c>
      <c r="F13" s="85">
        <f xml:space="preserve"> F5/J12</f>
        <v>0</v>
      </c>
      <c r="G13" s="86">
        <f xml:space="preserve"> G5/J12</f>
        <v>0</v>
      </c>
      <c r="H13" s="85">
        <f xml:space="preserve"> H5/J12</f>
        <v>0</v>
      </c>
      <c r="I13" s="86">
        <f xml:space="preserve"> I5/J12</f>
        <v>0</v>
      </c>
      <c r="J13" s="933">
        <f xml:space="preserve"> J5/J12</f>
        <v>3.5031897715541202E-2</v>
      </c>
    </row>
    <row r="14" spans="1:11" x14ac:dyDescent="0.25">
      <c r="A14" s="179" t="s">
        <v>11</v>
      </c>
      <c r="B14" s="777">
        <f xml:space="preserve"> B6/J12</f>
        <v>4.2930883871138525E-2</v>
      </c>
      <c r="C14" s="89">
        <f xml:space="preserve"> C6/J12</f>
        <v>4.0230828281758745E-2</v>
      </c>
      <c r="D14" s="88">
        <f xml:space="preserve"> D6/J12</f>
        <v>7.6607459565343995E-3</v>
      </c>
      <c r="E14" s="89">
        <f xml:space="preserve"> E6/J12</f>
        <v>6.448368054636419E-3</v>
      </c>
      <c r="F14" s="88">
        <f xml:space="preserve"> F6/J12</f>
        <v>2.5676999232337135E-3</v>
      </c>
      <c r="G14" s="89">
        <f xml:space="preserve"> G6/J12</f>
        <v>3.0706514545887707E-4</v>
      </c>
      <c r="H14" s="88">
        <f xml:space="preserve"> H6/J12</f>
        <v>6.3530719750112507E-5</v>
      </c>
      <c r="I14" s="89">
        <f xml:space="preserve"> I6/J12</f>
        <v>0</v>
      </c>
      <c r="J14" s="934">
        <f xml:space="preserve"> J6/J12</f>
        <v>5.3222860470656747E-2</v>
      </c>
    </row>
    <row r="15" spans="1:11" x14ac:dyDescent="0.25">
      <c r="A15" s="179" t="s">
        <v>12</v>
      </c>
      <c r="B15" s="777">
        <f xml:space="preserve"> B7/J12</f>
        <v>0.42723350186621489</v>
      </c>
      <c r="C15" s="89">
        <f xml:space="preserve"> C7/J12</f>
        <v>0.32577494242528521</v>
      </c>
      <c r="D15" s="88">
        <f xml:space="preserve"> D7/J12</f>
        <v>1.7915662969531725E-2</v>
      </c>
      <c r="E15" s="89">
        <f xml:space="preserve"> E7/J12</f>
        <v>8.6560605659528281E-3</v>
      </c>
      <c r="F15" s="88">
        <f xml:space="preserve"> F7/J12</f>
        <v>0.13201154141408794</v>
      </c>
      <c r="G15" s="89">
        <f xml:space="preserve"> G7/J12</f>
        <v>3.3740106413955584E-2</v>
      </c>
      <c r="H15" s="88">
        <f xml:space="preserve"> H7/J12</f>
        <v>2.59946528310877E-3</v>
      </c>
      <c r="I15" s="89">
        <f xml:space="preserve"> I7/J12</f>
        <v>4.9765730470921455E-4</v>
      </c>
      <c r="J15" s="934">
        <f xml:space="preserve"> J7/J12</f>
        <v>0.57976017153294335</v>
      </c>
    </row>
    <row r="16" spans="1:11" x14ac:dyDescent="0.25">
      <c r="A16" s="179" t="s">
        <v>13</v>
      </c>
      <c r="B16" s="777">
        <f xml:space="preserve"> B8/J12</f>
        <v>0.18180374301823862</v>
      </c>
      <c r="C16" s="89">
        <f xml:space="preserve"> C8/J12</f>
        <v>0.16508457527066733</v>
      </c>
      <c r="D16" s="88">
        <f xml:space="preserve"> D8/J12</f>
        <v>1.2494374884188792E-2</v>
      </c>
      <c r="E16" s="89">
        <f xml:space="preserve"> E8/J12</f>
        <v>8.433703046827435E-3</v>
      </c>
      <c r="F16" s="88">
        <f xml:space="preserve"> F8/J12</f>
        <v>6.0354183762606874E-4</v>
      </c>
      <c r="G16" s="89">
        <f xml:space="preserve"> G8/J12</f>
        <v>2.3294597241707918E-4</v>
      </c>
      <c r="H16" s="88">
        <f xml:space="preserve"> H8/J12</f>
        <v>0</v>
      </c>
      <c r="I16" s="89">
        <f xml:space="preserve"> I8/J12</f>
        <v>0</v>
      </c>
      <c r="J16" s="934">
        <f xml:space="preserve"> J8/J12</f>
        <v>0.19490165974005347</v>
      </c>
    </row>
    <row r="17" spans="1:10" x14ac:dyDescent="0.25">
      <c r="A17" s="179" t="s">
        <v>14</v>
      </c>
      <c r="B17" s="777">
        <f xml:space="preserve"> B9/J12</f>
        <v>2.1097493183683192E-2</v>
      </c>
      <c r="C17" s="89">
        <f xml:space="preserve"> C9/J12</f>
        <v>1.9413929110305213E-2</v>
      </c>
      <c r="D17" s="88">
        <f xml:space="preserve"> D9/J12</f>
        <v>2.4565211636710165E-3</v>
      </c>
      <c r="E17" s="89">
        <f xml:space="preserve"> E9/J12</f>
        <v>1.4453238743150595E-3</v>
      </c>
      <c r="F17" s="88">
        <f xml:space="preserve"> F9/J12</f>
        <v>3.8118431850067501E-4</v>
      </c>
      <c r="G17" s="89">
        <f xml:space="preserve"> G9/J12</f>
        <v>1.217672128543823E-4</v>
      </c>
      <c r="H17" s="88">
        <f xml:space="preserve"> H9/J12</f>
        <v>0</v>
      </c>
      <c r="I17" s="89">
        <f xml:space="preserve"> I9/J12</f>
        <v>0</v>
      </c>
      <c r="J17" s="934">
        <f xml:space="preserve"> J9/J12</f>
        <v>2.3935198665854886E-2</v>
      </c>
    </row>
    <row r="18" spans="1:10" x14ac:dyDescent="0.25">
      <c r="A18" s="179" t="s">
        <v>15</v>
      </c>
      <c r="B18" s="777">
        <f xml:space="preserve"> B10/J12</f>
        <v>7.6978055430552981E-3</v>
      </c>
      <c r="C18" s="89">
        <f xml:space="preserve"> C10/J12</f>
        <v>6.077772189427429E-3</v>
      </c>
      <c r="D18" s="88">
        <f xml:space="preserve"> D10/J12</f>
        <v>3.0177091881303437E-4</v>
      </c>
      <c r="E18" s="89">
        <f xml:space="preserve"> E10/J12</f>
        <v>1.2706143950022501E-4</v>
      </c>
      <c r="F18" s="88">
        <f xml:space="preserve"> F10/J12</f>
        <v>1.2976149508960479E-2</v>
      </c>
      <c r="G18" s="89">
        <f xml:space="preserve"> G10/J12</f>
        <v>6.9460253593456337E-3</v>
      </c>
      <c r="H18" s="88">
        <f xml:space="preserve"> H10/J12</f>
        <v>0</v>
      </c>
      <c r="I18" s="89">
        <f xml:space="preserve"> I10/J12</f>
        <v>0</v>
      </c>
      <c r="J18" s="934">
        <f xml:space="preserve"> J10/J12</f>
        <v>2.097572597082881E-2</v>
      </c>
    </row>
    <row r="19" spans="1:10" ht="15.75" thickBot="1" x14ac:dyDescent="0.3">
      <c r="A19" s="180" t="s">
        <v>16</v>
      </c>
      <c r="B19" s="884">
        <f xml:space="preserve"> B11/J12</f>
        <v>6.781374910659925E-2</v>
      </c>
      <c r="C19" s="885">
        <f xml:space="preserve"> C11/J12</f>
        <v>6.3080710485215866E-2</v>
      </c>
      <c r="D19" s="886">
        <f xml:space="preserve"> D11/J12</f>
        <v>5.2624612859676519E-3</v>
      </c>
      <c r="E19" s="885">
        <f xml:space="preserve"> E11/J12</f>
        <v>2.4776980702543878E-3</v>
      </c>
      <c r="F19" s="886">
        <f xml:space="preserve"> F11/J12</f>
        <v>1.8429202954178468E-2</v>
      </c>
      <c r="G19" s="885">
        <f xml:space="preserve"> G11/J12</f>
        <v>3.954787304444503E-3</v>
      </c>
      <c r="H19" s="886">
        <f xml:space="preserve"> H11/J12</f>
        <v>6.6707255737618123E-4</v>
      </c>
      <c r="I19" s="885">
        <f xml:space="preserve"> I11/J12</f>
        <v>1.4823834608359584E-4</v>
      </c>
      <c r="J19" s="935">
        <f xml:space="preserve"> J11/J12</f>
        <v>9.2172485904121554E-2</v>
      </c>
    </row>
    <row r="20" spans="1:10" x14ac:dyDescent="0.25">
      <c r="A20" s="50"/>
      <c r="J20" s="11" t="s">
        <v>468</v>
      </c>
    </row>
    <row r="21" spans="1:10" x14ac:dyDescent="0.25">
      <c r="A21" s="29"/>
    </row>
    <row r="22" spans="1:10" x14ac:dyDescent="0.25">
      <c r="A22" s="334"/>
      <c r="B22" s="334"/>
      <c r="G22" s="29"/>
      <c r="J22" s="29"/>
    </row>
    <row r="41" spans="12:15" x14ac:dyDescent="0.25">
      <c r="L41" s="208"/>
      <c r="M41" s="208"/>
      <c r="N41" s="208"/>
      <c r="O41" s="50"/>
    </row>
  </sheetData>
  <mergeCells count="8">
    <mergeCell ref="J2:J4"/>
    <mergeCell ref="A1:J1"/>
    <mergeCell ref="F2:I2"/>
    <mergeCell ref="B2:E2"/>
    <mergeCell ref="B3:C3"/>
    <mergeCell ref="D3:E3"/>
    <mergeCell ref="F3:G3"/>
    <mergeCell ref="H3:I3"/>
  </mergeCells>
  <phoneticPr fontId="4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44"/>
  <sheetViews>
    <sheetView tabSelected="1" zoomScaleNormal="100" workbookViewId="0">
      <selection activeCell="A35" sqref="A35"/>
    </sheetView>
  </sheetViews>
  <sheetFormatPr defaultRowHeight="15" x14ac:dyDescent="0.25"/>
  <cols>
    <col min="1" max="1" width="19.5703125" bestFit="1" customWidth="1"/>
    <col min="2" max="6" width="9.28515625" customWidth="1"/>
    <col min="7" max="7" width="10.42578125" customWidth="1"/>
    <col min="8" max="9" width="9.28515625" customWidth="1"/>
  </cols>
  <sheetData>
    <row r="1" spans="1:9" ht="58.5" customHeight="1" thickBot="1" x14ac:dyDescent="0.3">
      <c r="A1" s="1036" t="s">
        <v>475</v>
      </c>
      <c r="B1" s="1036"/>
      <c r="C1" s="1036"/>
      <c r="D1" s="1036"/>
      <c r="E1" s="1036"/>
      <c r="F1" s="1036"/>
      <c r="G1" s="1036"/>
      <c r="H1" s="1036"/>
      <c r="I1" s="227"/>
    </row>
    <row r="2" spans="1:9" ht="15" customHeight="1" x14ac:dyDescent="0.25">
      <c r="A2" s="181" t="s">
        <v>42</v>
      </c>
      <c r="B2" s="1039" t="s">
        <v>44</v>
      </c>
      <c r="C2" s="1040"/>
      <c r="D2" s="1034" t="s">
        <v>3</v>
      </c>
      <c r="E2" s="1035"/>
      <c r="F2" s="1041" t="s">
        <v>17</v>
      </c>
      <c r="G2" s="1037" t="s">
        <v>76</v>
      </c>
      <c r="H2" s="1043" t="s">
        <v>73</v>
      </c>
      <c r="I2" s="228"/>
    </row>
    <row r="3" spans="1:9" ht="15.75" thickBot="1" x14ac:dyDescent="0.3">
      <c r="A3" s="753" t="s">
        <v>43</v>
      </c>
      <c r="B3" s="731" t="s">
        <v>8</v>
      </c>
      <c r="C3" s="732" t="s">
        <v>9</v>
      </c>
      <c r="D3" s="53" t="s">
        <v>8</v>
      </c>
      <c r="E3" s="732" t="s">
        <v>9</v>
      </c>
      <c r="F3" s="1042"/>
      <c r="G3" s="1038"/>
      <c r="H3" s="1044"/>
      <c r="I3" s="228"/>
    </row>
    <row r="4" spans="1:9" ht="18" customHeight="1" x14ac:dyDescent="0.25">
      <c r="A4" s="756" t="s">
        <v>23</v>
      </c>
      <c r="B4" s="791">
        <v>21317</v>
      </c>
      <c r="C4" s="738">
        <v>3515</v>
      </c>
      <c r="D4" s="737">
        <v>1551</v>
      </c>
      <c r="E4" s="738">
        <v>964</v>
      </c>
      <c r="F4" s="743">
        <f>SUM(B4:E4)</f>
        <v>27347</v>
      </c>
      <c r="G4" s="871">
        <f>F4/F37</f>
        <v>0.14478121608386055</v>
      </c>
      <c r="H4" s="743">
        <v>2348</v>
      </c>
      <c r="I4" s="335"/>
    </row>
    <row r="5" spans="1:9" ht="18" customHeight="1" x14ac:dyDescent="0.25">
      <c r="A5" s="757" t="s">
        <v>24</v>
      </c>
      <c r="B5" s="755">
        <v>15057</v>
      </c>
      <c r="C5" s="740">
        <v>37</v>
      </c>
      <c r="D5" s="739">
        <v>967</v>
      </c>
      <c r="E5" s="740">
        <v>407</v>
      </c>
      <c r="F5" s="744">
        <f>SUM(B5:E5)</f>
        <v>16468</v>
      </c>
      <c r="G5" s="872">
        <f>F5/F37</f>
        <v>8.7185324403737718E-2</v>
      </c>
      <c r="H5" s="744">
        <v>364</v>
      </c>
      <c r="I5" s="335"/>
    </row>
    <row r="6" spans="1:9" ht="18" customHeight="1" x14ac:dyDescent="0.25">
      <c r="A6" s="757" t="s">
        <v>26</v>
      </c>
      <c r="B6" s="755">
        <v>2108</v>
      </c>
      <c r="C6" s="740">
        <v>9483</v>
      </c>
      <c r="D6" s="739">
        <v>41</v>
      </c>
      <c r="E6" s="740">
        <v>274</v>
      </c>
      <c r="F6" s="744">
        <f t="shared" ref="F6:F26" si="0">SUM(B6:E6)</f>
        <v>11906</v>
      </c>
      <c r="G6" s="872">
        <f>F6/F37</f>
        <v>6.3033062445403285E-2</v>
      </c>
      <c r="H6" s="744">
        <v>2584</v>
      </c>
      <c r="I6" s="335"/>
    </row>
    <row r="7" spans="1:9" ht="18" customHeight="1" x14ac:dyDescent="0.25">
      <c r="A7" s="757" t="s">
        <v>25</v>
      </c>
      <c r="B7" s="755">
        <v>9398</v>
      </c>
      <c r="C7" s="740">
        <v>1554</v>
      </c>
      <c r="D7" s="739">
        <v>441</v>
      </c>
      <c r="E7" s="740">
        <v>310</v>
      </c>
      <c r="F7" s="744">
        <f t="shared" si="0"/>
        <v>11703</v>
      </c>
      <c r="G7" s="872">
        <f>F7/F37</f>
        <v>6.1958334436297217E-2</v>
      </c>
      <c r="H7" s="744">
        <v>151</v>
      </c>
      <c r="I7" s="335"/>
    </row>
    <row r="8" spans="1:9" ht="18" customHeight="1" x14ac:dyDescent="0.25">
      <c r="A8" s="757" t="s">
        <v>28</v>
      </c>
      <c r="B8" s="755">
        <v>7585</v>
      </c>
      <c r="C8" s="740">
        <v>2562</v>
      </c>
      <c r="D8" s="739">
        <v>218</v>
      </c>
      <c r="E8" s="740">
        <v>161</v>
      </c>
      <c r="F8" s="744">
        <f t="shared" si="0"/>
        <v>10526</v>
      </c>
      <c r="G8" s="872">
        <f>F8/F37</f>
        <v>5.5727029674140352E-2</v>
      </c>
      <c r="H8" s="744">
        <v>193</v>
      </c>
      <c r="I8" s="335"/>
    </row>
    <row r="9" spans="1:9" x14ac:dyDescent="0.25">
      <c r="A9" s="757" t="s">
        <v>159</v>
      </c>
      <c r="B9" s="755">
        <v>7242</v>
      </c>
      <c r="C9" s="740">
        <v>2790</v>
      </c>
      <c r="D9" s="739">
        <v>239</v>
      </c>
      <c r="E9" s="740">
        <v>145</v>
      </c>
      <c r="F9" s="744">
        <f t="shared" si="0"/>
        <v>10416</v>
      </c>
      <c r="G9" s="872">
        <f>F9/F37</f>
        <v>5.5144664743097649E-2</v>
      </c>
      <c r="H9" s="744">
        <v>163</v>
      </c>
      <c r="I9" s="335"/>
    </row>
    <row r="10" spans="1:9" ht="18" customHeight="1" x14ac:dyDescent="0.25">
      <c r="A10" s="757" t="s">
        <v>45</v>
      </c>
      <c r="B10" s="755">
        <v>8587</v>
      </c>
      <c r="C10" s="740">
        <v>1208</v>
      </c>
      <c r="D10" s="739">
        <v>299</v>
      </c>
      <c r="E10" s="740">
        <v>156</v>
      </c>
      <c r="F10" s="744">
        <f t="shared" si="0"/>
        <v>10250</v>
      </c>
      <c r="G10" s="872">
        <f>F10/F37</f>
        <v>5.4265823119887764E-2</v>
      </c>
      <c r="H10" s="744">
        <v>178</v>
      </c>
      <c r="I10" s="335"/>
    </row>
    <row r="11" spans="1:9" ht="18" customHeight="1" x14ac:dyDescent="0.25">
      <c r="A11" s="757" t="s">
        <v>29</v>
      </c>
      <c r="B11" s="755">
        <v>7328</v>
      </c>
      <c r="C11" s="740">
        <v>2016</v>
      </c>
      <c r="D11" s="739">
        <v>182</v>
      </c>
      <c r="E11" s="740">
        <v>249</v>
      </c>
      <c r="F11" s="744">
        <f t="shared" si="0"/>
        <v>9775</v>
      </c>
      <c r="G11" s="872">
        <f>F11/F37</f>
        <v>5.1751065463112478E-2</v>
      </c>
      <c r="H11" s="744">
        <v>132</v>
      </c>
      <c r="I11" s="335"/>
    </row>
    <row r="12" spans="1:9" ht="18" customHeight="1" x14ac:dyDescent="0.25">
      <c r="A12" s="757" t="s">
        <v>27</v>
      </c>
      <c r="B12" s="755">
        <v>7836</v>
      </c>
      <c r="C12" s="740">
        <v>1576</v>
      </c>
      <c r="D12" s="739">
        <v>187</v>
      </c>
      <c r="E12" s="740">
        <v>157</v>
      </c>
      <c r="F12" s="744">
        <f t="shared" si="0"/>
        <v>9756</v>
      </c>
      <c r="G12" s="872">
        <f>F12/F37</f>
        <v>5.1650475156841465E-2</v>
      </c>
      <c r="H12" s="744">
        <v>120</v>
      </c>
      <c r="I12" s="335"/>
    </row>
    <row r="13" spans="1:9" ht="18" customHeight="1" x14ac:dyDescent="0.25">
      <c r="A13" s="757" t="s">
        <v>30</v>
      </c>
      <c r="B13" s="755">
        <v>6789</v>
      </c>
      <c r="C13" s="740">
        <v>1870</v>
      </c>
      <c r="D13" s="739">
        <v>201</v>
      </c>
      <c r="E13" s="740">
        <v>137</v>
      </c>
      <c r="F13" s="744">
        <f t="shared" si="0"/>
        <v>8997</v>
      </c>
      <c r="G13" s="872">
        <f>F13/F37</f>
        <v>4.7632157132646846E-2</v>
      </c>
      <c r="H13" s="744">
        <v>127</v>
      </c>
      <c r="I13" s="335"/>
    </row>
    <row r="14" spans="1:9" ht="18" customHeight="1" x14ac:dyDescent="0.25">
      <c r="A14" s="757" t="s">
        <v>31</v>
      </c>
      <c r="B14" s="755">
        <v>6801</v>
      </c>
      <c r="C14" s="740">
        <v>706</v>
      </c>
      <c r="D14" s="739">
        <v>388</v>
      </c>
      <c r="E14" s="740">
        <v>244</v>
      </c>
      <c r="F14" s="744">
        <f t="shared" si="0"/>
        <v>8139</v>
      </c>
      <c r="G14" s="872">
        <f>F14/F37</f>
        <v>4.3089710670513807E-2</v>
      </c>
      <c r="H14" s="744">
        <v>809</v>
      </c>
      <c r="I14" s="335"/>
    </row>
    <row r="15" spans="1:9" ht="18" customHeight="1" x14ac:dyDescent="0.25">
      <c r="A15" s="757" t="s">
        <v>121</v>
      </c>
      <c r="B15" s="755">
        <v>4414</v>
      </c>
      <c r="C15" s="740">
        <v>1977</v>
      </c>
      <c r="D15" s="739">
        <v>141</v>
      </c>
      <c r="E15" s="740">
        <v>202</v>
      </c>
      <c r="F15" s="744">
        <f t="shared" si="0"/>
        <v>6734</v>
      </c>
      <c r="G15" s="872">
        <f>F15/F37</f>
        <v>3.5651322233104799E-2</v>
      </c>
      <c r="H15" s="744">
        <v>160</v>
      </c>
      <c r="I15" s="335"/>
    </row>
    <row r="16" spans="1:9" ht="18" customHeight="1" x14ac:dyDescent="0.25">
      <c r="A16" s="757" t="s">
        <v>34</v>
      </c>
      <c r="B16" s="755">
        <v>4826</v>
      </c>
      <c r="C16" s="740">
        <v>1422</v>
      </c>
      <c r="D16" s="739">
        <v>86</v>
      </c>
      <c r="E16" s="740">
        <v>69</v>
      </c>
      <c r="F16" s="744">
        <f t="shared" si="0"/>
        <v>6403</v>
      </c>
      <c r="G16" s="872">
        <f>F16/F37</f>
        <v>3.3898933213330866E-2</v>
      </c>
      <c r="H16" s="744">
        <v>43</v>
      </c>
      <c r="I16" s="335"/>
    </row>
    <row r="17" spans="1:9" ht="18" customHeight="1" x14ac:dyDescent="0.25">
      <c r="A17" s="757" t="s">
        <v>32</v>
      </c>
      <c r="B17" s="755">
        <v>4184</v>
      </c>
      <c r="C17" s="740">
        <v>1654</v>
      </c>
      <c r="D17" s="739">
        <v>107</v>
      </c>
      <c r="E17" s="740">
        <v>182</v>
      </c>
      <c r="F17" s="744">
        <f t="shared" si="0"/>
        <v>6127</v>
      </c>
      <c r="G17" s="872">
        <f>F17/F37</f>
        <v>3.2437726659078278E-2</v>
      </c>
      <c r="H17" s="744">
        <v>77</v>
      </c>
      <c r="I17" s="335"/>
    </row>
    <row r="18" spans="1:9" ht="18" customHeight="1" x14ac:dyDescent="0.25">
      <c r="A18" s="764" t="s">
        <v>35</v>
      </c>
      <c r="B18" s="755">
        <v>801</v>
      </c>
      <c r="C18" s="740">
        <v>3914</v>
      </c>
      <c r="D18" s="739">
        <v>0</v>
      </c>
      <c r="E18" s="740">
        <v>0</v>
      </c>
      <c r="F18" s="744">
        <f t="shared" si="0"/>
        <v>4715</v>
      </c>
      <c r="G18" s="872">
        <f>F18/F37</f>
        <v>2.4962278635148372E-2</v>
      </c>
      <c r="H18" s="744">
        <v>41</v>
      </c>
      <c r="I18" s="335"/>
    </row>
    <row r="19" spans="1:9" ht="18" customHeight="1" x14ac:dyDescent="0.25">
      <c r="A19" s="757" t="s">
        <v>36</v>
      </c>
      <c r="B19" s="755">
        <v>3057</v>
      </c>
      <c r="C19" s="740">
        <v>984</v>
      </c>
      <c r="D19" s="739">
        <v>107</v>
      </c>
      <c r="E19" s="740">
        <v>61</v>
      </c>
      <c r="F19" s="744">
        <f t="shared" si="0"/>
        <v>4209</v>
      </c>
      <c r="G19" s="872">
        <f>F19/F37</f>
        <v>2.228339995235196E-2</v>
      </c>
      <c r="H19" s="744">
        <v>118</v>
      </c>
      <c r="I19" s="335"/>
    </row>
    <row r="20" spans="1:9" ht="18" customHeight="1" x14ac:dyDescent="0.25">
      <c r="A20" s="757" t="s">
        <v>100</v>
      </c>
      <c r="B20" s="755">
        <v>2214</v>
      </c>
      <c r="C20" s="740">
        <v>1727</v>
      </c>
      <c r="D20" s="739">
        <v>80</v>
      </c>
      <c r="E20" s="740">
        <v>130</v>
      </c>
      <c r="F20" s="744">
        <f t="shared" si="0"/>
        <v>4151</v>
      </c>
      <c r="G20" s="872">
        <f>F20/F37</f>
        <v>2.1976334806893084E-2</v>
      </c>
      <c r="H20" s="744">
        <v>856</v>
      </c>
      <c r="I20" s="335"/>
    </row>
    <row r="21" spans="1:9" ht="18" customHeight="1" x14ac:dyDescent="0.25">
      <c r="A21" s="766" t="s">
        <v>359</v>
      </c>
      <c r="B21" s="755">
        <v>208</v>
      </c>
      <c r="C21" s="740">
        <v>3438</v>
      </c>
      <c r="D21" s="739">
        <v>0</v>
      </c>
      <c r="E21" s="740">
        <v>0</v>
      </c>
      <c r="F21" s="744">
        <f t="shared" si="0"/>
        <v>3646</v>
      </c>
      <c r="G21" s="872">
        <f>F21/F37</f>
        <v>1.9302750350742515E-2</v>
      </c>
      <c r="H21" s="744">
        <v>782</v>
      </c>
      <c r="I21" s="335"/>
    </row>
    <row r="22" spans="1:9" ht="18" customHeight="1" x14ac:dyDescent="0.25">
      <c r="A22" s="757" t="s">
        <v>348</v>
      </c>
      <c r="B22" s="755">
        <v>2327</v>
      </c>
      <c r="C22" s="740">
        <v>1096</v>
      </c>
      <c r="D22" s="739">
        <v>56</v>
      </c>
      <c r="E22" s="740">
        <v>8</v>
      </c>
      <c r="F22" s="744">
        <f t="shared" si="0"/>
        <v>3487</v>
      </c>
      <c r="G22" s="872">
        <f>F22/F37</f>
        <v>1.8460968314053524E-2</v>
      </c>
      <c r="H22" s="744">
        <v>97</v>
      </c>
      <c r="I22" s="335"/>
    </row>
    <row r="23" spans="1:9" ht="18" customHeight="1" x14ac:dyDescent="0.25">
      <c r="A23" s="757" t="s">
        <v>37</v>
      </c>
      <c r="B23" s="755">
        <v>1310</v>
      </c>
      <c r="C23" s="740">
        <v>1133</v>
      </c>
      <c r="D23" s="739">
        <v>0</v>
      </c>
      <c r="E23" s="740">
        <v>0</v>
      </c>
      <c r="F23" s="744">
        <f t="shared" si="0"/>
        <v>2443</v>
      </c>
      <c r="G23" s="872">
        <f>F23/F37</f>
        <v>1.2933795695793737E-2</v>
      </c>
      <c r="H23" s="744">
        <v>6</v>
      </c>
      <c r="I23" s="335"/>
    </row>
    <row r="24" spans="1:9" ht="18" customHeight="1" x14ac:dyDescent="0.25">
      <c r="A24" s="757" t="s">
        <v>102</v>
      </c>
      <c r="B24" s="755">
        <v>1935</v>
      </c>
      <c r="C24" s="740">
        <v>83</v>
      </c>
      <c r="D24" s="739">
        <v>107</v>
      </c>
      <c r="E24" s="740">
        <v>47</v>
      </c>
      <c r="F24" s="744">
        <f t="shared" si="0"/>
        <v>2172</v>
      </c>
      <c r="G24" s="872">
        <f>F24/F37</f>
        <v>1.1499060274770363E-2</v>
      </c>
      <c r="H24" s="744">
        <v>218</v>
      </c>
      <c r="I24" s="335"/>
    </row>
    <row r="25" spans="1:9" ht="18" customHeight="1" x14ac:dyDescent="0.25">
      <c r="A25" s="757" t="s">
        <v>38</v>
      </c>
      <c r="B25" s="755">
        <v>428</v>
      </c>
      <c r="C25" s="740">
        <v>1479</v>
      </c>
      <c r="D25" s="739">
        <v>1</v>
      </c>
      <c r="E25" s="740">
        <v>69</v>
      </c>
      <c r="F25" s="744">
        <f t="shared" si="0"/>
        <v>1977</v>
      </c>
      <c r="G25" s="872">
        <f>F25/F37</f>
        <v>1.0466686078831035E-2</v>
      </c>
      <c r="H25" s="744">
        <v>92</v>
      </c>
      <c r="I25" s="335"/>
    </row>
    <row r="26" spans="1:9" ht="18" customHeight="1" x14ac:dyDescent="0.25">
      <c r="A26" s="757" t="s">
        <v>39</v>
      </c>
      <c r="B26" s="755">
        <v>1467</v>
      </c>
      <c r="C26" s="740">
        <v>404</v>
      </c>
      <c r="D26" s="739">
        <v>19</v>
      </c>
      <c r="E26" s="740">
        <v>14</v>
      </c>
      <c r="F26" s="744">
        <f t="shared" si="0"/>
        <v>1904</v>
      </c>
      <c r="G26" s="872">
        <f>F26/F37</f>
        <v>1.0080207533684517E-2</v>
      </c>
      <c r="H26" s="744">
        <v>67</v>
      </c>
      <c r="I26" s="335"/>
    </row>
    <row r="27" spans="1:9" ht="18" customHeight="1" x14ac:dyDescent="0.25">
      <c r="A27" s="757" t="s">
        <v>47</v>
      </c>
      <c r="B27" s="755">
        <v>253</v>
      </c>
      <c r="C27" s="740">
        <v>916</v>
      </c>
      <c r="D27" s="739">
        <v>0</v>
      </c>
      <c r="E27" s="740">
        <v>12</v>
      </c>
      <c r="F27" s="744">
        <f>SUM(B27:E27)</f>
        <v>1181</v>
      </c>
      <c r="G27" s="872">
        <f>F27/F37</f>
        <v>6.2524816687402384E-3</v>
      </c>
      <c r="H27" s="744">
        <v>585</v>
      </c>
      <c r="I27" s="335"/>
    </row>
    <row r="28" spans="1:9" ht="18" customHeight="1" x14ac:dyDescent="0.25">
      <c r="A28" s="757" t="s">
        <v>46</v>
      </c>
      <c r="B28" s="755">
        <v>759</v>
      </c>
      <c r="C28" s="740">
        <v>328</v>
      </c>
      <c r="D28" s="739">
        <v>0</v>
      </c>
      <c r="E28" s="740">
        <v>22</v>
      </c>
      <c r="F28" s="744">
        <f>SUM(B28:E28)</f>
        <v>1109</v>
      </c>
      <c r="G28" s="872">
        <f>F28/F37</f>
        <v>5.8712973502395641E-3</v>
      </c>
      <c r="H28" s="744">
        <v>56</v>
      </c>
      <c r="I28" s="335"/>
    </row>
    <row r="29" spans="1:9" ht="18" customHeight="1" x14ac:dyDescent="0.25">
      <c r="A29" s="757" t="s">
        <v>40</v>
      </c>
      <c r="B29" s="755">
        <v>958</v>
      </c>
      <c r="C29" s="740">
        <v>0</v>
      </c>
      <c r="D29" s="739">
        <v>56</v>
      </c>
      <c r="E29" s="740">
        <v>38</v>
      </c>
      <c r="F29" s="744">
        <f t="shared" ref="F29:F36" si="1">SUM(B29:E29)</f>
        <v>1052</v>
      </c>
      <c r="G29" s="872">
        <f>F29/F37</f>
        <v>5.569526431426529E-3</v>
      </c>
      <c r="H29" s="744">
        <v>105</v>
      </c>
      <c r="I29" s="335"/>
    </row>
    <row r="30" spans="1:9" ht="18" customHeight="1" x14ac:dyDescent="0.25">
      <c r="A30" s="757" t="s">
        <v>41</v>
      </c>
      <c r="B30" s="755">
        <v>589</v>
      </c>
      <c r="C30" s="740">
        <v>0</v>
      </c>
      <c r="D30" s="739">
        <v>56</v>
      </c>
      <c r="E30" s="740">
        <v>25</v>
      </c>
      <c r="F30" s="744">
        <f t="shared" si="1"/>
        <v>670</v>
      </c>
      <c r="G30" s="872">
        <f>F30/F37</f>
        <v>3.5471318527146149E-3</v>
      </c>
      <c r="H30" s="744">
        <v>78</v>
      </c>
      <c r="I30" s="335"/>
    </row>
    <row r="31" spans="1:9" ht="18" customHeight="1" x14ac:dyDescent="0.25">
      <c r="A31" s="757" t="s">
        <v>383</v>
      </c>
      <c r="B31" s="755">
        <v>279</v>
      </c>
      <c r="C31" s="740">
        <v>346</v>
      </c>
      <c r="D31" s="739">
        <v>0</v>
      </c>
      <c r="E31" s="740">
        <v>0</v>
      </c>
      <c r="F31" s="744">
        <f t="shared" si="1"/>
        <v>625</v>
      </c>
      <c r="G31" s="872">
        <f>F31/F37</f>
        <v>3.3088916536516927E-3</v>
      </c>
      <c r="H31" s="744">
        <v>54</v>
      </c>
      <c r="I31" s="335"/>
    </row>
    <row r="32" spans="1:9" ht="18" customHeight="1" x14ac:dyDescent="0.25">
      <c r="A32" s="757" t="s">
        <v>160</v>
      </c>
      <c r="B32" s="755">
        <v>511</v>
      </c>
      <c r="C32" s="740">
        <v>0</v>
      </c>
      <c r="D32" s="739">
        <v>30</v>
      </c>
      <c r="E32" s="740">
        <v>42</v>
      </c>
      <c r="F32" s="744">
        <f t="shared" si="1"/>
        <v>583</v>
      </c>
      <c r="G32" s="872">
        <f>F32/F37</f>
        <v>3.0865341345262991E-3</v>
      </c>
      <c r="H32" s="744">
        <v>30</v>
      </c>
      <c r="I32" s="335"/>
    </row>
    <row r="33" spans="1:9" ht="18" customHeight="1" x14ac:dyDescent="0.25">
      <c r="A33" s="757" t="s">
        <v>432</v>
      </c>
      <c r="B33" s="755">
        <v>24</v>
      </c>
      <c r="C33" s="740">
        <v>198</v>
      </c>
      <c r="D33" s="739">
        <v>0</v>
      </c>
      <c r="E33" s="740">
        <v>0</v>
      </c>
      <c r="F33" s="744">
        <f t="shared" si="1"/>
        <v>222</v>
      </c>
      <c r="G33" s="872">
        <f>F33/F37</f>
        <v>1.1753183153770813E-3</v>
      </c>
      <c r="H33" s="744">
        <v>143</v>
      </c>
      <c r="I33" s="335"/>
    </row>
    <row r="34" spans="1:9" ht="18" customHeight="1" x14ac:dyDescent="0.25">
      <c r="A34" s="757" t="s">
        <v>354</v>
      </c>
      <c r="B34" s="755">
        <v>110</v>
      </c>
      <c r="C34" s="740">
        <v>0</v>
      </c>
      <c r="D34" s="739">
        <v>0</v>
      </c>
      <c r="E34" s="740">
        <v>0</v>
      </c>
      <c r="F34" s="744">
        <f t="shared" si="1"/>
        <v>110</v>
      </c>
      <c r="G34" s="872">
        <f>F34/F37</f>
        <v>5.8236493104269794E-4</v>
      </c>
      <c r="H34" s="744">
        <v>0</v>
      </c>
      <c r="I34" s="335"/>
    </row>
    <row r="35" spans="1:9" ht="18" customHeight="1" x14ac:dyDescent="0.25">
      <c r="A35" s="757" t="s">
        <v>353</v>
      </c>
      <c r="B35" s="755">
        <v>45</v>
      </c>
      <c r="C35" s="740">
        <v>0</v>
      </c>
      <c r="D35" s="739">
        <v>0</v>
      </c>
      <c r="E35" s="740">
        <v>0</v>
      </c>
      <c r="F35" s="744">
        <f t="shared" si="1"/>
        <v>45</v>
      </c>
      <c r="G35" s="872">
        <f>F35/F37</f>
        <v>2.3824019906292188E-4</v>
      </c>
      <c r="H35" s="744">
        <v>2</v>
      </c>
      <c r="I35" s="335"/>
    </row>
    <row r="36" spans="1:9" ht="15.75" thickBot="1" x14ac:dyDescent="0.3">
      <c r="A36" s="758" t="s">
        <v>412</v>
      </c>
      <c r="B36" s="792">
        <v>18</v>
      </c>
      <c r="C36" s="742">
        <v>19</v>
      </c>
      <c r="D36" s="741">
        <v>0</v>
      </c>
      <c r="E36" s="742">
        <v>0</v>
      </c>
      <c r="F36" s="745">
        <f t="shared" si="1"/>
        <v>37</v>
      </c>
      <c r="G36" s="873">
        <f>F36/F37</f>
        <v>1.9588638589618021E-4</v>
      </c>
      <c r="H36" s="745">
        <v>18</v>
      </c>
      <c r="I36" s="335"/>
    </row>
    <row r="37" spans="1:9" ht="18" customHeight="1" thickBot="1" x14ac:dyDescent="0.3">
      <c r="A37" s="754" t="s">
        <v>5</v>
      </c>
      <c r="B37" s="733">
        <f t="shared" ref="B37:H37" si="2">SUM(B4:B36)</f>
        <v>130765</v>
      </c>
      <c r="C37" s="734">
        <f t="shared" si="2"/>
        <v>48435</v>
      </c>
      <c r="D37" s="733">
        <f t="shared" si="2"/>
        <v>5560</v>
      </c>
      <c r="E37" s="735">
        <f t="shared" si="2"/>
        <v>4125</v>
      </c>
      <c r="F37" s="736">
        <f t="shared" si="2"/>
        <v>188885</v>
      </c>
      <c r="G37" s="874">
        <f>SUM(G4:G36)</f>
        <v>1</v>
      </c>
      <c r="H37" s="736">
        <f t="shared" si="2"/>
        <v>10797</v>
      </c>
      <c r="I37" s="335"/>
    </row>
    <row r="38" spans="1:9" ht="18" customHeight="1" thickBot="1" x14ac:dyDescent="0.3">
      <c r="A38" s="48"/>
      <c r="B38" s="747">
        <f xml:space="preserve"> B37/F37</f>
        <v>0.69229954734362176</v>
      </c>
      <c r="C38" s="748">
        <f xml:space="preserve"> C37/F37</f>
        <v>0.25642586759139158</v>
      </c>
      <c r="D38" s="749">
        <f xml:space="preserve"> D37/F37</f>
        <v>2.9435900150885458E-2</v>
      </c>
      <c r="E38" s="750">
        <f xml:space="preserve"> E37/F37</f>
        <v>2.1838684914101174E-2</v>
      </c>
      <c r="F38" s="177">
        <f>SUM(B38:E38)</f>
        <v>0.99999999999999989</v>
      </c>
      <c r="G38" s="746"/>
      <c r="H38" s="48"/>
      <c r="I38" s="48"/>
    </row>
    <row r="39" spans="1:9" x14ac:dyDescent="0.25">
      <c r="H39" s="11" t="s">
        <v>468</v>
      </c>
      <c r="I39" s="11"/>
    </row>
    <row r="41" spans="1:9" x14ac:dyDescent="0.25">
      <c r="A41" s="212"/>
      <c r="B41" s="212"/>
    </row>
    <row r="42" spans="1:9" x14ac:dyDescent="0.25">
      <c r="A42" s="212"/>
      <c r="B42" s="212"/>
    </row>
    <row r="43" spans="1:9" x14ac:dyDescent="0.25">
      <c r="A43" s="212"/>
      <c r="B43" s="212"/>
    </row>
    <row r="44" spans="1:9" x14ac:dyDescent="0.25">
      <c r="A44" s="212"/>
      <c r="B44" s="212"/>
    </row>
  </sheetData>
  <mergeCells count="6">
    <mergeCell ref="A1:H1"/>
    <mergeCell ref="G2:G3"/>
    <mergeCell ref="B2:C2"/>
    <mergeCell ref="D2:E2"/>
    <mergeCell ref="F2:F3"/>
    <mergeCell ref="H2:H3"/>
  </mergeCells>
  <phoneticPr fontId="4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9"/>
  <sheetViews>
    <sheetView showGridLines="0" tabSelected="1" topLeftCell="A2" zoomScaleNormal="100" workbookViewId="0">
      <selection activeCell="A35" sqref="A35"/>
    </sheetView>
  </sheetViews>
  <sheetFormatPr defaultRowHeight="15" x14ac:dyDescent="0.25"/>
  <cols>
    <col min="1" max="1" width="44.140625" bestFit="1" customWidth="1"/>
    <col min="2" max="10" width="9.5703125" customWidth="1"/>
    <col min="11" max="11" width="9.28515625" bestFit="1" customWidth="1"/>
    <col min="13" max="13" width="8.5703125" bestFit="1" customWidth="1"/>
  </cols>
  <sheetData>
    <row r="1" spans="1:12" ht="47.25" customHeight="1" thickBot="1" x14ac:dyDescent="0.3">
      <c r="A1" s="1045" t="s">
        <v>473</v>
      </c>
      <c r="B1" s="1045"/>
      <c r="C1" s="1045"/>
      <c r="D1" s="1045"/>
      <c r="E1" s="1045"/>
      <c r="F1" s="1045"/>
      <c r="G1" s="1045"/>
      <c r="H1" s="1045"/>
      <c r="I1" s="1045"/>
      <c r="J1" s="1045"/>
    </row>
    <row r="2" spans="1:12" ht="15.75" thickBot="1" x14ac:dyDescent="0.3">
      <c r="A2" s="181" t="s">
        <v>18</v>
      </c>
      <c r="B2" s="1031" t="s">
        <v>74</v>
      </c>
      <c r="C2" s="1032"/>
      <c r="D2" s="1032"/>
      <c r="E2" s="1046"/>
      <c r="F2" s="1031" t="s">
        <v>75</v>
      </c>
      <c r="G2" s="1032"/>
      <c r="H2" s="1032"/>
      <c r="I2" s="1033"/>
      <c r="J2" s="1027" t="s">
        <v>17</v>
      </c>
    </row>
    <row r="3" spans="1:12" x14ac:dyDescent="0.25">
      <c r="A3" s="185" t="s">
        <v>77</v>
      </c>
      <c r="B3" s="1034" t="s">
        <v>44</v>
      </c>
      <c r="C3" s="1035"/>
      <c r="D3" s="1034" t="s">
        <v>3</v>
      </c>
      <c r="E3" s="1047"/>
      <c r="F3" s="1034" t="s">
        <v>44</v>
      </c>
      <c r="G3" s="1047"/>
      <c r="H3" s="1034" t="s">
        <v>3</v>
      </c>
      <c r="I3" s="1035"/>
      <c r="J3" s="1028"/>
    </row>
    <row r="4" spans="1:12" ht="30.75" thickBot="1" x14ac:dyDescent="0.3">
      <c r="A4" s="52" t="s">
        <v>20</v>
      </c>
      <c r="B4" s="53" t="s">
        <v>22</v>
      </c>
      <c r="C4" s="54" t="s">
        <v>352</v>
      </c>
      <c r="D4" s="53" t="s">
        <v>22</v>
      </c>
      <c r="E4" s="416" t="s">
        <v>352</v>
      </c>
      <c r="F4" s="53" t="s">
        <v>22</v>
      </c>
      <c r="G4" s="416" t="s">
        <v>352</v>
      </c>
      <c r="H4" s="53" t="s">
        <v>22</v>
      </c>
      <c r="I4" s="54" t="s">
        <v>352</v>
      </c>
      <c r="J4" s="1029"/>
    </row>
    <row r="5" spans="1:12" x14ac:dyDescent="0.25">
      <c r="A5" s="178" t="s">
        <v>10</v>
      </c>
      <c r="B5" s="55">
        <v>1979</v>
      </c>
      <c r="C5" s="56">
        <v>1501</v>
      </c>
      <c r="D5" s="77">
        <v>81</v>
      </c>
      <c r="E5" s="96">
        <v>61</v>
      </c>
      <c r="F5" s="55">
        <v>0</v>
      </c>
      <c r="G5" s="96">
        <v>0</v>
      </c>
      <c r="H5" s="55">
        <v>0</v>
      </c>
      <c r="I5" s="56">
        <v>0</v>
      </c>
      <c r="J5" s="78">
        <f>+B5+D5+F5+H5</f>
        <v>2060</v>
      </c>
    </row>
    <row r="6" spans="1:12" x14ac:dyDescent="0.25">
      <c r="A6" s="179" t="s">
        <v>11</v>
      </c>
      <c r="B6" s="17">
        <v>2664</v>
      </c>
      <c r="C6" s="59">
        <v>2373</v>
      </c>
      <c r="D6" s="18">
        <v>335</v>
      </c>
      <c r="E6" s="97">
        <v>224</v>
      </c>
      <c r="F6" s="17">
        <v>93</v>
      </c>
      <c r="G6" s="97">
        <v>28</v>
      </c>
      <c r="H6" s="17">
        <v>6</v>
      </c>
      <c r="I6" s="59">
        <v>2</v>
      </c>
      <c r="J6" s="75">
        <f t="shared" ref="J6:J11" si="0">+B6+D6+F6+H6</f>
        <v>3098</v>
      </c>
    </row>
    <row r="7" spans="1:12" x14ac:dyDescent="0.25">
      <c r="A7" s="179" t="s">
        <v>12</v>
      </c>
      <c r="B7" s="17">
        <v>28327</v>
      </c>
      <c r="C7" s="59">
        <v>20542</v>
      </c>
      <c r="D7" s="18">
        <v>788</v>
      </c>
      <c r="E7" s="97">
        <v>479</v>
      </c>
      <c r="F7" s="17">
        <v>11866</v>
      </c>
      <c r="G7" s="97">
        <v>2148</v>
      </c>
      <c r="H7" s="17">
        <v>57</v>
      </c>
      <c r="I7" s="59">
        <v>14</v>
      </c>
      <c r="J7" s="75">
        <f t="shared" si="0"/>
        <v>41038</v>
      </c>
    </row>
    <row r="8" spans="1:12" x14ac:dyDescent="0.25">
      <c r="A8" s="179" t="s">
        <v>13</v>
      </c>
      <c r="B8" s="17">
        <v>11128</v>
      </c>
      <c r="C8" s="59">
        <v>9833</v>
      </c>
      <c r="D8" s="18">
        <v>582</v>
      </c>
      <c r="E8" s="97">
        <v>412</v>
      </c>
      <c r="F8" s="17">
        <v>33</v>
      </c>
      <c r="G8" s="97">
        <v>19</v>
      </c>
      <c r="H8" s="17">
        <v>0</v>
      </c>
      <c r="I8" s="59">
        <v>0</v>
      </c>
      <c r="J8" s="75">
        <f t="shared" si="0"/>
        <v>11743</v>
      </c>
    </row>
    <row r="9" spans="1:12" x14ac:dyDescent="0.25">
      <c r="A9" s="179" t="s">
        <v>14</v>
      </c>
      <c r="B9" s="17">
        <v>1524</v>
      </c>
      <c r="C9" s="59">
        <v>1341</v>
      </c>
      <c r="D9" s="18">
        <v>94</v>
      </c>
      <c r="E9" s="97">
        <v>56</v>
      </c>
      <c r="F9" s="17">
        <v>0</v>
      </c>
      <c r="G9" s="97">
        <v>0</v>
      </c>
      <c r="H9" s="17">
        <v>0</v>
      </c>
      <c r="I9" s="59">
        <v>0</v>
      </c>
      <c r="J9" s="75">
        <f t="shared" si="0"/>
        <v>1618</v>
      </c>
    </row>
    <row r="10" spans="1:12" x14ac:dyDescent="0.25">
      <c r="A10" s="179" t="s">
        <v>15</v>
      </c>
      <c r="B10" s="17">
        <v>465</v>
      </c>
      <c r="C10" s="59">
        <v>328</v>
      </c>
      <c r="D10" s="18">
        <v>15</v>
      </c>
      <c r="E10" s="97">
        <v>7</v>
      </c>
      <c r="F10" s="17">
        <v>1244</v>
      </c>
      <c r="G10" s="97">
        <v>634</v>
      </c>
      <c r="H10" s="17">
        <v>0</v>
      </c>
      <c r="I10" s="59">
        <v>0</v>
      </c>
      <c r="J10" s="75">
        <f t="shared" si="0"/>
        <v>1724</v>
      </c>
    </row>
    <row r="11" spans="1:12" ht="15.75" thickBot="1" x14ac:dyDescent="0.3">
      <c r="A11" s="180" t="s">
        <v>16</v>
      </c>
      <c r="B11" s="62">
        <v>3015</v>
      </c>
      <c r="C11" s="63">
        <v>2148</v>
      </c>
      <c r="D11" s="79">
        <v>104</v>
      </c>
      <c r="E11" s="98">
        <v>49</v>
      </c>
      <c r="F11" s="62">
        <v>1364</v>
      </c>
      <c r="G11" s="98">
        <v>13</v>
      </c>
      <c r="H11" s="62">
        <v>15</v>
      </c>
      <c r="I11" s="63">
        <v>3</v>
      </c>
      <c r="J11" s="80">
        <f t="shared" si="0"/>
        <v>4498</v>
      </c>
      <c r="L11" s="155"/>
    </row>
    <row r="12" spans="1:12" ht="15.75" thickBot="1" x14ac:dyDescent="0.3">
      <c r="A12" s="48"/>
      <c r="B12" s="81">
        <f>+SUM(B5:B11)</f>
        <v>49102</v>
      </c>
      <c r="C12" s="82">
        <f t="shared" ref="C12:J12" si="1">+SUM(C5:C11)</f>
        <v>38066</v>
      </c>
      <c r="D12" s="81">
        <f t="shared" si="1"/>
        <v>1999</v>
      </c>
      <c r="E12" s="417">
        <f t="shared" si="1"/>
        <v>1288</v>
      </c>
      <c r="F12" s="81">
        <f t="shared" si="1"/>
        <v>14600</v>
      </c>
      <c r="G12" s="417">
        <f t="shared" si="1"/>
        <v>2842</v>
      </c>
      <c r="H12" s="156">
        <f t="shared" si="1"/>
        <v>78</v>
      </c>
      <c r="I12" s="83">
        <f t="shared" si="1"/>
        <v>19</v>
      </c>
      <c r="J12" s="84">
        <f t="shared" si="1"/>
        <v>65779</v>
      </c>
      <c r="K12" s="29"/>
      <c r="L12" s="29"/>
    </row>
    <row r="13" spans="1:12" x14ac:dyDescent="0.25">
      <c r="A13" s="48"/>
      <c r="B13" s="48"/>
      <c r="C13" s="48"/>
      <c r="D13" s="48"/>
      <c r="E13" s="48"/>
      <c r="F13" s="48"/>
      <c r="G13" s="48"/>
      <c r="H13" s="48"/>
      <c r="I13" s="12"/>
      <c r="J13" s="12"/>
      <c r="K13" s="29"/>
      <c r="L13" s="29"/>
    </row>
    <row r="14" spans="1:12" ht="15.75" thickBot="1" x14ac:dyDescent="0.3">
      <c r="A14" s="66" t="s">
        <v>21</v>
      </c>
      <c r="B14" s="206"/>
      <c r="C14" s="206"/>
      <c r="D14" s="206"/>
      <c r="E14" s="206"/>
      <c r="F14" s="206"/>
      <c r="G14" s="206"/>
      <c r="H14" s="206"/>
      <c r="I14" s="206"/>
      <c r="J14" s="206"/>
      <c r="K14" s="418"/>
      <c r="L14" s="29"/>
    </row>
    <row r="15" spans="1:12" x14ac:dyDescent="0.25">
      <c r="A15" s="178" t="s">
        <v>10</v>
      </c>
      <c r="B15" s="793">
        <f t="shared" ref="B15:J15" si="2">+B5/SUM($J$5:$J$11)</f>
        <v>3.008558962586844E-2</v>
      </c>
      <c r="C15" s="86">
        <f t="shared" si="2"/>
        <v>2.28188327581751E-2</v>
      </c>
      <c r="D15" s="85">
        <f t="shared" si="2"/>
        <v>1.2313960382492892E-3</v>
      </c>
      <c r="E15" s="86">
        <f t="shared" si="2"/>
        <v>9.2734763374329192E-4</v>
      </c>
      <c r="F15" s="85">
        <f t="shared" si="2"/>
        <v>0</v>
      </c>
      <c r="G15" s="86">
        <f t="shared" si="2"/>
        <v>0</v>
      </c>
      <c r="H15" s="85">
        <f t="shared" si="2"/>
        <v>0</v>
      </c>
      <c r="I15" s="86">
        <f t="shared" si="2"/>
        <v>0</v>
      </c>
      <c r="J15" s="87">
        <f t="shared" si="2"/>
        <v>3.1316985664117725E-2</v>
      </c>
      <c r="K15" s="419"/>
    </row>
    <row r="16" spans="1:12" x14ac:dyDescent="0.25">
      <c r="A16" s="179" t="s">
        <v>11</v>
      </c>
      <c r="B16" s="777">
        <f t="shared" ref="B16:J16" si="3">+B6/SUM($J$5:$J$11)</f>
        <v>4.0499247480198848E-2</v>
      </c>
      <c r="C16" s="89">
        <f t="shared" si="3"/>
        <v>3.6075343194636587E-2</v>
      </c>
      <c r="D16" s="88">
        <f t="shared" si="3"/>
        <v>5.0928107754754561E-3</v>
      </c>
      <c r="E16" s="89">
        <f t="shared" si="3"/>
        <v>3.4053421304671705E-3</v>
      </c>
      <c r="F16" s="88">
        <f t="shared" si="3"/>
        <v>1.4138250809528877E-3</v>
      </c>
      <c r="G16" s="89">
        <f t="shared" si="3"/>
        <v>4.2566776630839631E-4</v>
      </c>
      <c r="H16" s="88">
        <f t="shared" si="3"/>
        <v>9.12145213517992E-5</v>
      </c>
      <c r="I16" s="89">
        <f t="shared" si="3"/>
        <v>3.0404840450599736E-5</v>
      </c>
      <c r="J16" s="90">
        <f t="shared" si="3"/>
        <v>4.7097097857978991E-2</v>
      </c>
      <c r="K16" s="419"/>
    </row>
    <row r="17" spans="1:10" x14ac:dyDescent="0.25">
      <c r="A17" s="179" t="s">
        <v>12</v>
      </c>
      <c r="B17" s="777">
        <f t="shared" ref="B17:J21" si="4">+B7/SUM($J$5:$J$11)</f>
        <v>0.43063895772206934</v>
      </c>
      <c r="C17" s="89">
        <f t="shared" si="4"/>
        <v>0.31228811626810987</v>
      </c>
      <c r="D17" s="88">
        <f t="shared" si="4"/>
        <v>1.1979507137536295E-2</v>
      </c>
      <c r="E17" s="89">
        <f t="shared" si="4"/>
        <v>7.281959287918637E-3</v>
      </c>
      <c r="F17" s="88">
        <f t="shared" si="4"/>
        <v>0.18039191839340823</v>
      </c>
      <c r="G17" s="89">
        <f t="shared" si="4"/>
        <v>3.2654798643944119E-2</v>
      </c>
      <c r="H17" s="88">
        <f t="shared" si="4"/>
        <v>8.6653795284209246E-4</v>
      </c>
      <c r="I17" s="89">
        <f t="shared" si="4"/>
        <v>2.1283388315419816E-4</v>
      </c>
      <c r="J17" s="90">
        <f t="shared" si="4"/>
        <v>0.62387692120585603</v>
      </c>
    </row>
    <row r="18" spans="1:10" x14ac:dyDescent="0.25">
      <c r="A18" s="179" t="s">
        <v>13</v>
      </c>
      <c r="B18" s="777">
        <f t="shared" si="4"/>
        <v>0.16917253226713694</v>
      </c>
      <c r="C18" s="89">
        <f t="shared" si="4"/>
        <v>0.14948539807537359</v>
      </c>
      <c r="D18" s="88">
        <f t="shared" si="4"/>
        <v>8.8478085711245231E-3</v>
      </c>
      <c r="E18" s="89">
        <f t="shared" si="4"/>
        <v>6.2633971328235451E-3</v>
      </c>
      <c r="F18" s="88">
        <f t="shared" si="4"/>
        <v>5.0167986743489561E-4</v>
      </c>
      <c r="G18" s="89">
        <f t="shared" si="4"/>
        <v>2.888459842806975E-4</v>
      </c>
      <c r="H18" s="88">
        <f t="shared" si="4"/>
        <v>0</v>
      </c>
      <c r="I18" s="89">
        <f t="shared" si="4"/>
        <v>0</v>
      </c>
      <c r="J18" s="90">
        <f t="shared" si="4"/>
        <v>0.17852202070569634</v>
      </c>
    </row>
    <row r="19" spans="1:10" x14ac:dyDescent="0.25">
      <c r="A19" s="179" t="s">
        <v>14</v>
      </c>
      <c r="B19" s="777">
        <f t="shared" si="4"/>
        <v>2.3168488423357E-2</v>
      </c>
      <c r="C19" s="89">
        <f t="shared" si="4"/>
        <v>2.0386445522127122E-2</v>
      </c>
      <c r="D19" s="88">
        <f t="shared" si="4"/>
        <v>1.4290275011781875E-3</v>
      </c>
      <c r="E19" s="89">
        <f t="shared" si="4"/>
        <v>8.5133553261679262E-4</v>
      </c>
      <c r="F19" s="88">
        <f t="shared" si="4"/>
        <v>0</v>
      </c>
      <c r="G19" s="89">
        <f t="shared" si="4"/>
        <v>0</v>
      </c>
      <c r="H19" s="88">
        <f t="shared" si="4"/>
        <v>0</v>
      </c>
      <c r="I19" s="89">
        <f t="shared" si="4"/>
        <v>0</v>
      </c>
      <c r="J19" s="90">
        <f t="shared" si="4"/>
        <v>2.4597515924535185E-2</v>
      </c>
    </row>
    <row r="20" spans="1:10" x14ac:dyDescent="0.25">
      <c r="A20" s="179" t="s">
        <v>15</v>
      </c>
      <c r="B20" s="777">
        <f t="shared" si="4"/>
        <v>7.0691254047644389E-3</v>
      </c>
      <c r="C20" s="89">
        <f t="shared" si="4"/>
        <v>4.986393833898357E-3</v>
      </c>
      <c r="D20" s="88">
        <f t="shared" si="4"/>
        <v>2.2803630337949802E-4</v>
      </c>
      <c r="E20" s="89">
        <f t="shared" si="4"/>
        <v>1.0641694157709908E-4</v>
      </c>
      <c r="F20" s="88">
        <f t="shared" si="4"/>
        <v>1.8911810760273037E-2</v>
      </c>
      <c r="G20" s="89">
        <f t="shared" si="4"/>
        <v>9.6383344228401155E-3</v>
      </c>
      <c r="H20" s="88">
        <f t="shared" si="4"/>
        <v>0</v>
      </c>
      <c r="I20" s="89">
        <f t="shared" si="4"/>
        <v>0</v>
      </c>
      <c r="J20" s="90">
        <f t="shared" si="4"/>
        <v>2.6208972468416972E-2</v>
      </c>
    </row>
    <row r="21" spans="1:10" ht="15.75" thickBot="1" x14ac:dyDescent="0.3">
      <c r="A21" s="180" t="s">
        <v>16</v>
      </c>
      <c r="B21" s="794">
        <f t="shared" si="4"/>
        <v>4.58352969792791E-2</v>
      </c>
      <c r="C21" s="92">
        <f t="shared" si="4"/>
        <v>3.2654798643944119E-2</v>
      </c>
      <c r="D21" s="91">
        <f t="shared" si="4"/>
        <v>1.5810517034311863E-3</v>
      </c>
      <c r="E21" s="92">
        <f t="shared" si="4"/>
        <v>7.4491859103969355E-4</v>
      </c>
      <c r="F21" s="91">
        <f t="shared" si="4"/>
        <v>2.0736101187309019E-2</v>
      </c>
      <c r="G21" s="92">
        <f t="shared" si="4"/>
        <v>1.9763146292889829E-4</v>
      </c>
      <c r="H21" s="91">
        <f t="shared" si="4"/>
        <v>2.2803630337949802E-4</v>
      </c>
      <c r="I21" s="92">
        <f t="shared" si="4"/>
        <v>4.56072606758996E-5</v>
      </c>
      <c r="J21" s="93">
        <f t="shared" si="4"/>
        <v>6.83804861733988E-2</v>
      </c>
    </row>
    <row r="22" spans="1:10" ht="15.75" thickBot="1" x14ac:dyDescent="0.3">
      <c r="A22" s="48"/>
      <c r="B22" s="94">
        <f>+SUM(B15:B21)</f>
        <v>0.74646923790267405</v>
      </c>
      <c r="C22" s="95">
        <f t="shared" ref="C22:J22" si="5">+SUM(C15:C21)</f>
        <v>0.5786953282962648</v>
      </c>
      <c r="D22" s="94">
        <f t="shared" si="5"/>
        <v>3.0389638030374436E-2</v>
      </c>
      <c r="E22" s="95">
        <f t="shared" si="5"/>
        <v>1.958071725018623E-2</v>
      </c>
      <c r="F22" s="94">
        <f t="shared" si="5"/>
        <v>0.22195533528937808</v>
      </c>
      <c r="G22" s="95">
        <f t="shared" si="5"/>
        <v>4.3205278280302226E-2</v>
      </c>
      <c r="H22" s="94">
        <f t="shared" si="5"/>
        <v>1.1857887775733897E-3</v>
      </c>
      <c r="I22" s="95">
        <f t="shared" si="5"/>
        <v>2.888459842806975E-4</v>
      </c>
      <c r="J22" s="76">
        <f t="shared" si="5"/>
        <v>1</v>
      </c>
    </row>
    <row r="23" spans="1:10" x14ac:dyDescent="0.25">
      <c r="J23" s="11" t="s">
        <v>468</v>
      </c>
    </row>
    <row r="24" spans="1:10" x14ac:dyDescent="0.25">
      <c r="G24" s="29"/>
    </row>
    <row r="25" spans="1:10" x14ac:dyDescent="0.25">
      <c r="B25" s="29"/>
      <c r="G25" s="334"/>
    </row>
    <row r="26" spans="1:10" x14ac:dyDescent="0.25">
      <c r="B26" s="29"/>
      <c r="C26" s="29"/>
      <c r="D26" s="29"/>
      <c r="E26" s="29"/>
      <c r="F26" s="29"/>
    </row>
    <row r="27" spans="1:10" x14ac:dyDescent="0.25">
      <c r="F27" s="29"/>
    </row>
    <row r="28" spans="1:10" x14ac:dyDescent="0.25">
      <c r="B28" s="29"/>
      <c r="C28" s="29"/>
      <c r="D28" s="29"/>
      <c r="E28" s="29"/>
      <c r="F28" s="29"/>
    </row>
    <row r="29" spans="1:10" x14ac:dyDescent="0.25">
      <c r="B29" s="29"/>
      <c r="C29" s="29"/>
      <c r="D29" s="29"/>
    </row>
  </sheetData>
  <mergeCells count="8">
    <mergeCell ref="A1:J1"/>
    <mergeCell ref="B2:E2"/>
    <mergeCell ref="F2:I2"/>
    <mergeCell ref="J2:J4"/>
    <mergeCell ref="B3:C3"/>
    <mergeCell ref="D3:E3"/>
    <mergeCell ref="F3:G3"/>
    <mergeCell ref="H3:I3"/>
  </mergeCells>
  <phoneticPr fontId="4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41"/>
  <sheetViews>
    <sheetView tabSelected="1" topLeftCell="A23" zoomScaleNormal="100" workbookViewId="0">
      <selection activeCell="A35" sqref="A35"/>
    </sheetView>
  </sheetViews>
  <sheetFormatPr defaultRowHeight="15" x14ac:dyDescent="0.25"/>
  <cols>
    <col min="1" max="1" width="19.42578125" customWidth="1"/>
    <col min="2" max="7" width="7.85546875" customWidth="1"/>
    <col min="8" max="8" width="8.5703125" customWidth="1"/>
    <col min="9" max="9" width="9.42578125" customWidth="1"/>
    <col min="11" max="11" width="22.5703125" customWidth="1"/>
    <col min="12" max="16" width="12.7109375" bestFit="1" customWidth="1"/>
  </cols>
  <sheetData>
    <row r="1" spans="1:11" ht="54" customHeight="1" thickBot="1" x14ac:dyDescent="0.3">
      <c r="A1" s="1036" t="s">
        <v>474</v>
      </c>
      <c r="B1" s="1036"/>
      <c r="C1" s="1036"/>
      <c r="D1" s="1036"/>
      <c r="E1" s="1036"/>
      <c r="F1" s="1036"/>
      <c r="G1" s="1036"/>
      <c r="H1" s="1036"/>
      <c r="I1" s="1036"/>
    </row>
    <row r="2" spans="1:11" ht="15" customHeight="1" x14ac:dyDescent="0.25">
      <c r="A2" s="690" t="s">
        <v>42</v>
      </c>
      <c r="B2" s="1048" t="s">
        <v>0</v>
      </c>
      <c r="C2" s="1049"/>
      <c r="D2" s="1050" t="s">
        <v>2</v>
      </c>
      <c r="E2" s="1051"/>
      <c r="F2" s="1048" t="s">
        <v>3</v>
      </c>
      <c r="G2" s="1051"/>
      <c r="H2" s="1052" t="s">
        <v>17</v>
      </c>
      <c r="I2" s="1054" t="s">
        <v>78</v>
      </c>
    </row>
    <row r="3" spans="1:11" ht="15" customHeight="1" thickBot="1" x14ac:dyDescent="0.3">
      <c r="A3" s="74" t="s">
        <v>43</v>
      </c>
      <c r="B3" s="691" t="s">
        <v>8</v>
      </c>
      <c r="C3" s="692" t="s">
        <v>9</v>
      </c>
      <c r="D3" s="693" t="s">
        <v>8</v>
      </c>
      <c r="E3" s="694" t="s">
        <v>9</v>
      </c>
      <c r="F3" s="691" t="s">
        <v>8</v>
      </c>
      <c r="G3" s="694" t="s">
        <v>9</v>
      </c>
      <c r="H3" s="1053"/>
      <c r="I3" s="1055"/>
    </row>
    <row r="4" spans="1:11" x14ac:dyDescent="0.25">
      <c r="A4" s="795" t="s">
        <v>23</v>
      </c>
      <c r="B4" s="77">
        <v>2529</v>
      </c>
      <c r="C4" s="96">
        <v>584</v>
      </c>
      <c r="D4" s="55">
        <v>3127</v>
      </c>
      <c r="E4" s="56">
        <v>609</v>
      </c>
      <c r="F4" s="77">
        <v>239</v>
      </c>
      <c r="G4" s="96">
        <v>187</v>
      </c>
      <c r="H4" s="942">
        <v>7275</v>
      </c>
      <c r="I4" s="695">
        <v>0.11059760713905654</v>
      </c>
      <c r="K4" s="193"/>
    </row>
    <row r="5" spans="1:11" x14ac:dyDescent="0.25">
      <c r="A5" s="277" t="s">
        <v>26</v>
      </c>
      <c r="B5" s="18">
        <v>401</v>
      </c>
      <c r="C5" s="97">
        <v>2714</v>
      </c>
      <c r="D5" s="17">
        <v>72</v>
      </c>
      <c r="E5" s="59">
        <v>3065</v>
      </c>
      <c r="F5" s="18">
        <v>5</v>
      </c>
      <c r="G5" s="97">
        <v>30</v>
      </c>
      <c r="H5" s="943">
        <v>6287</v>
      </c>
      <c r="I5" s="696">
        <v>9.5577615956460263E-2</v>
      </c>
      <c r="K5" s="193"/>
    </row>
    <row r="6" spans="1:11" x14ac:dyDescent="0.25">
      <c r="A6" s="277" t="s">
        <v>25</v>
      </c>
      <c r="B6" s="18">
        <v>1829</v>
      </c>
      <c r="C6" s="97">
        <v>307</v>
      </c>
      <c r="D6" s="17">
        <v>1899</v>
      </c>
      <c r="E6" s="59">
        <v>459</v>
      </c>
      <c r="F6" s="18">
        <v>111</v>
      </c>
      <c r="G6" s="97">
        <v>72</v>
      </c>
      <c r="H6" s="943">
        <v>4677</v>
      </c>
      <c r="I6" s="696">
        <v>7.1101719393727475E-2</v>
      </c>
      <c r="K6" s="193"/>
    </row>
    <row r="7" spans="1:11" x14ac:dyDescent="0.25">
      <c r="A7" s="277" t="s">
        <v>24</v>
      </c>
      <c r="B7" s="18">
        <v>1992</v>
      </c>
      <c r="C7" s="97">
        <v>45</v>
      </c>
      <c r="D7" s="17">
        <v>2102</v>
      </c>
      <c r="E7" s="59">
        <v>0</v>
      </c>
      <c r="F7" s="18">
        <v>225</v>
      </c>
      <c r="G7" s="97">
        <v>73</v>
      </c>
      <c r="H7" s="943">
        <v>4437</v>
      </c>
      <c r="I7" s="696">
        <v>6.7453138539655511E-2</v>
      </c>
      <c r="K7" s="193"/>
    </row>
    <row r="8" spans="1:11" x14ac:dyDescent="0.25">
      <c r="A8" s="277" t="s">
        <v>28</v>
      </c>
      <c r="B8" s="18">
        <v>1510</v>
      </c>
      <c r="C8" s="97">
        <v>635</v>
      </c>
      <c r="D8" s="17">
        <v>1152</v>
      </c>
      <c r="E8" s="59">
        <v>635</v>
      </c>
      <c r="F8" s="18">
        <v>72</v>
      </c>
      <c r="G8" s="97">
        <v>44</v>
      </c>
      <c r="H8" s="943">
        <v>4048</v>
      </c>
      <c r="I8" s="696">
        <v>6.1539397072013863E-2</v>
      </c>
      <c r="K8" s="193"/>
    </row>
    <row r="9" spans="1:11" x14ac:dyDescent="0.25">
      <c r="A9" s="277" t="s">
        <v>159</v>
      </c>
      <c r="B9" s="18">
        <v>1195</v>
      </c>
      <c r="C9" s="97">
        <v>523</v>
      </c>
      <c r="D9" s="17">
        <v>1394</v>
      </c>
      <c r="E9" s="59">
        <v>738</v>
      </c>
      <c r="F9" s="18">
        <v>62</v>
      </c>
      <c r="G9" s="97">
        <v>30</v>
      </c>
      <c r="H9" s="943">
        <v>3942</v>
      </c>
      <c r="I9" s="696">
        <v>5.9927940528132079E-2</v>
      </c>
      <c r="K9" s="193"/>
    </row>
    <row r="10" spans="1:11" x14ac:dyDescent="0.25">
      <c r="A10" s="277" t="s">
        <v>27</v>
      </c>
      <c r="B10" s="18">
        <v>1401</v>
      </c>
      <c r="C10" s="97">
        <v>261</v>
      </c>
      <c r="D10" s="17">
        <v>1706</v>
      </c>
      <c r="E10" s="59">
        <v>390</v>
      </c>
      <c r="F10" s="18">
        <v>74</v>
      </c>
      <c r="G10" s="97">
        <v>32</v>
      </c>
      <c r="H10" s="943">
        <v>3864</v>
      </c>
      <c r="I10" s="696">
        <v>5.8742151750558691E-2</v>
      </c>
      <c r="K10" s="193"/>
    </row>
    <row r="11" spans="1:11" x14ac:dyDescent="0.25">
      <c r="A11" s="277" t="s">
        <v>45</v>
      </c>
      <c r="B11" s="18">
        <v>1500</v>
      </c>
      <c r="C11" s="97">
        <v>241</v>
      </c>
      <c r="D11" s="17">
        <v>1165</v>
      </c>
      <c r="E11" s="59">
        <v>292</v>
      </c>
      <c r="F11" s="18">
        <v>85</v>
      </c>
      <c r="G11" s="97">
        <v>37</v>
      </c>
      <c r="H11" s="943">
        <v>3320</v>
      </c>
      <c r="I11" s="696">
        <v>5.0472035147995559E-2</v>
      </c>
      <c r="K11" s="193"/>
    </row>
    <row r="12" spans="1:11" x14ac:dyDescent="0.25">
      <c r="A12" s="277" t="s">
        <v>30</v>
      </c>
      <c r="B12" s="18">
        <v>1204</v>
      </c>
      <c r="C12" s="97">
        <v>328</v>
      </c>
      <c r="D12" s="17">
        <v>1180</v>
      </c>
      <c r="E12" s="59">
        <v>463</v>
      </c>
      <c r="F12" s="18">
        <v>69</v>
      </c>
      <c r="G12" s="97">
        <v>25</v>
      </c>
      <c r="H12" s="943">
        <v>3269</v>
      </c>
      <c r="I12" s="696">
        <v>4.9696711716505269E-2</v>
      </c>
      <c r="K12" s="193"/>
    </row>
    <row r="13" spans="1:11" x14ac:dyDescent="0.25">
      <c r="A13" s="277" t="s">
        <v>29</v>
      </c>
      <c r="B13" s="18">
        <v>1120</v>
      </c>
      <c r="C13" s="97">
        <v>421</v>
      </c>
      <c r="D13" s="17">
        <v>950</v>
      </c>
      <c r="E13" s="59">
        <v>466</v>
      </c>
      <c r="F13" s="18">
        <v>57</v>
      </c>
      <c r="G13" s="97">
        <v>33</v>
      </c>
      <c r="H13" s="943">
        <v>3047</v>
      </c>
      <c r="I13" s="696">
        <v>4.6321774426488695E-2</v>
      </c>
      <c r="K13" s="193"/>
    </row>
    <row r="14" spans="1:11" x14ac:dyDescent="0.25">
      <c r="A14" s="277" t="s">
        <v>31</v>
      </c>
      <c r="B14" s="18">
        <v>1020</v>
      </c>
      <c r="C14" s="97">
        <v>163</v>
      </c>
      <c r="D14" s="17">
        <v>1145</v>
      </c>
      <c r="E14" s="59">
        <v>112</v>
      </c>
      <c r="F14" s="18">
        <v>71</v>
      </c>
      <c r="G14" s="97">
        <v>41</v>
      </c>
      <c r="H14" s="943">
        <v>2552</v>
      </c>
      <c r="I14" s="696">
        <v>3.8796576414965263E-2</v>
      </c>
      <c r="K14" s="193"/>
    </row>
    <row r="15" spans="1:11" x14ac:dyDescent="0.25">
      <c r="A15" s="277" t="s">
        <v>121</v>
      </c>
      <c r="B15" s="18">
        <v>870</v>
      </c>
      <c r="C15" s="97">
        <v>556</v>
      </c>
      <c r="D15" s="17">
        <v>441</v>
      </c>
      <c r="E15" s="59">
        <v>527</v>
      </c>
      <c r="F15" s="18">
        <v>41</v>
      </c>
      <c r="G15" s="97">
        <v>29</v>
      </c>
      <c r="H15" s="943">
        <v>2464</v>
      </c>
      <c r="I15" s="696">
        <v>3.7458763435138875E-2</v>
      </c>
      <c r="K15" s="193"/>
    </row>
    <row r="16" spans="1:11" x14ac:dyDescent="0.25">
      <c r="A16" s="277" t="s">
        <v>32</v>
      </c>
      <c r="B16" s="18">
        <v>657</v>
      </c>
      <c r="C16" s="97">
        <v>382</v>
      </c>
      <c r="D16" s="17">
        <v>686</v>
      </c>
      <c r="E16" s="59">
        <v>372</v>
      </c>
      <c r="F16" s="18">
        <v>43</v>
      </c>
      <c r="G16" s="97">
        <v>45</v>
      </c>
      <c r="H16" s="943">
        <v>2185</v>
      </c>
      <c r="I16" s="696">
        <v>3.321728819228021E-2</v>
      </c>
      <c r="K16" s="193"/>
    </row>
    <row r="17" spans="1:11" x14ac:dyDescent="0.25">
      <c r="A17" s="277" t="s">
        <v>359</v>
      </c>
      <c r="B17" s="18">
        <v>0</v>
      </c>
      <c r="C17" s="97">
        <v>1330</v>
      </c>
      <c r="D17" s="17">
        <v>13</v>
      </c>
      <c r="E17" s="59">
        <v>707</v>
      </c>
      <c r="F17" s="18">
        <v>0</v>
      </c>
      <c r="G17" s="97">
        <v>0</v>
      </c>
      <c r="H17" s="943">
        <v>2050</v>
      </c>
      <c r="I17" s="696">
        <v>3.1164961461864728E-2</v>
      </c>
      <c r="K17" s="193"/>
    </row>
    <row r="18" spans="1:11" x14ac:dyDescent="0.25">
      <c r="A18" s="278" t="s">
        <v>100</v>
      </c>
      <c r="B18" s="18">
        <v>470</v>
      </c>
      <c r="C18" s="97">
        <v>364</v>
      </c>
      <c r="D18" s="17">
        <v>343</v>
      </c>
      <c r="E18" s="59">
        <v>516</v>
      </c>
      <c r="F18" s="18">
        <v>11</v>
      </c>
      <c r="G18" s="97">
        <v>24</v>
      </c>
      <c r="H18" s="943">
        <v>1728</v>
      </c>
      <c r="I18" s="696">
        <v>2.6269782149318171E-2</v>
      </c>
      <c r="K18" s="193"/>
    </row>
    <row r="19" spans="1:11" x14ac:dyDescent="0.25">
      <c r="A19" s="277" t="s">
        <v>35</v>
      </c>
      <c r="B19" s="18">
        <v>147</v>
      </c>
      <c r="C19" s="97">
        <v>702</v>
      </c>
      <c r="D19" s="17">
        <v>58</v>
      </c>
      <c r="E19" s="59">
        <v>598</v>
      </c>
      <c r="F19" s="18">
        <v>0</v>
      </c>
      <c r="G19" s="97">
        <v>0</v>
      </c>
      <c r="H19" s="943">
        <v>1505</v>
      </c>
      <c r="I19" s="696">
        <v>2.2879642439076302E-2</v>
      </c>
      <c r="J19" s="29"/>
      <c r="K19" s="193"/>
    </row>
    <row r="20" spans="1:11" x14ac:dyDescent="0.25">
      <c r="A20" s="277" t="s">
        <v>34</v>
      </c>
      <c r="B20" s="18">
        <v>588</v>
      </c>
      <c r="C20" s="97">
        <v>159</v>
      </c>
      <c r="D20" s="17">
        <v>505</v>
      </c>
      <c r="E20" s="59">
        <v>216</v>
      </c>
      <c r="F20" s="18">
        <v>22</v>
      </c>
      <c r="G20" s="97">
        <v>8</v>
      </c>
      <c r="H20" s="943">
        <v>1498</v>
      </c>
      <c r="I20" s="696">
        <v>2.2773225497499203E-2</v>
      </c>
      <c r="K20" s="193"/>
    </row>
    <row r="21" spans="1:11" x14ac:dyDescent="0.25">
      <c r="A21" s="276" t="s">
        <v>36</v>
      </c>
      <c r="B21" s="18">
        <v>547</v>
      </c>
      <c r="C21" s="97">
        <v>165</v>
      </c>
      <c r="D21" s="17">
        <v>411</v>
      </c>
      <c r="E21" s="59">
        <v>199</v>
      </c>
      <c r="F21" s="18">
        <v>37</v>
      </c>
      <c r="G21" s="97">
        <v>22</v>
      </c>
      <c r="H21" s="943">
        <v>1381</v>
      </c>
      <c r="I21" s="696">
        <v>2.0994542331139118E-2</v>
      </c>
      <c r="K21" s="193"/>
    </row>
    <row r="22" spans="1:11" x14ac:dyDescent="0.25">
      <c r="A22" s="277" t="s">
        <v>348</v>
      </c>
      <c r="B22" s="18">
        <v>458</v>
      </c>
      <c r="C22" s="97">
        <v>220</v>
      </c>
      <c r="D22" s="17">
        <v>347</v>
      </c>
      <c r="E22" s="59">
        <v>288</v>
      </c>
      <c r="F22" s="18">
        <v>25</v>
      </c>
      <c r="G22" s="97">
        <v>4</v>
      </c>
      <c r="H22" s="943">
        <v>1342</v>
      </c>
      <c r="I22" s="696">
        <v>2.0401647942352424E-2</v>
      </c>
      <c r="K22" s="193"/>
    </row>
    <row r="23" spans="1:11" x14ac:dyDescent="0.25">
      <c r="A23" s="277" t="s">
        <v>37</v>
      </c>
      <c r="B23" s="18">
        <v>312</v>
      </c>
      <c r="C23" s="97">
        <v>191</v>
      </c>
      <c r="D23" s="17">
        <v>322</v>
      </c>
      <c r="E23" s="59">
        <v>419</v>
      </c>
      <c r="F23" s="18">
        <v>0</v>
      </c>
      <c r="G23" s="97">
        <v>0</v>
      </c>
      <c r="H23" s="943">
        <v>1244</v>
      </c>
      <c r="I23" s="696">
        <v>1.8911810760273037E-2</v>
      </c>
      <c r="K23" s="193"/>
    </row>
    <row r="24" spans="1:11" x14ac:dyDescent="0.25">
      <c r="A24" s="277" t="s">
        <v>38</v>
      </c>
      <c r="B24" s="18">
        <v>145</v>
      </c>
      <c r="C24" s="97">
        <v>372</v>
      </c>
      <c r="D24" s="17">
        <v>97</v>
      </c>
      <c r="E24" s="59">
        <v>365</v>
      </c>
      <c r="F24" s="18">
        <v>0</v>
      </c>
      <c r="G24" s="97">
        <v>0</v>
      </c>
      <c r="H24" s="943">
        <v>979</v>
      </c>
      <c r="I24" s="696">
        <v>1.4883169400568571E-2</v>
      </c>
      <c r="K24" s="193"/>
    </row>
    <row r="25" spans="1:11" x14ac:dyDescent="0.25">
      <c r="A25" s="277" t="s">
        <v>39</v>
      </c>
      <c r="B25" s="18">
        <v>295</v>
      </c>
      <c r="C25" s="97">
        <v>114</v>
      </c>
      <c r="D25" s="17">
        <v>169</v>
      </c>
      <c r="E25" s="59">
        <v>123</v>
      </c>
      <c r="F25" s="18">
        <v>2</v>
      </c>
      <c r="G25" s="97">
        <v>1</v>
      </c>
      <c r="H25" s="943">
        <v>704</v>
      </c>
      <c r="I25" s="696">
        <v>1.0702503838611106E-2</v>
      </c>
      <c r="K25" s="193"/>
    </row>
    <row r="26" spans="1:11" x14ac:dyDescent="0.25">
      <c r="A26" s="277" t="s">
        <v>40</v>
      </c>
      <c r="B26" s="18">
        <v>195</v>
      </c>
      <c r="C26" s="97">
        <v>0</v>
      </c>
      <c r="D26" s="17">
        <v>166</v>
      </c>
      <c r="E26" s="59">
        <v>0</v>
      </c>
      <c r="F26" s="18">
        <v>15</v>
      </c>
      <c r="G26" s="97">
        <v>10</v>
      </c>
      <c r="H26" s="943">
        <v>386</v>
      </c>
      <c r="I26" s="696">
        <v>5.8681342069657489E-3</v>
      </c>
      <c r="K26" s="193"/>
    </row>
    <row r="27" spans="1:11" x14ac:dyDescent="0.25">
      <c r="A27" s="277" t="s">
        <v>102</v>
      </c>
      <c r="B27" s="18">
        <v>57</v>
      </c>
      <c r="C27" s="97">
        <v>43</v>
      </c>
      <c r="D27" s="17">
        <v>206</v>
      </c>
      <c r="E27" s="59">
        <v>0</v>
      </c>
      <c r="F27" s="18">
        <v>19</v>
      </c>
      <c r="G27" s="97">
        <v>8</v>
      </c>
      <c r="H27" s="943">
        <v>333</v>
      </c>
      <c r="I27" s="696">
        <v>5.062405935024856E-3</v>
      </c>
      <c r="K27" s="193"/>
    </row>
    <row r="28" spans="1:11" x14ac:dyDescent="0.25">
      <c r="A28" s="277" t="s">
        <v>47</v>
      </c>
      <c r="B28" s="18">
        <v>64</v>
      </c>
      <c r="C28" s="97">
        <v>101</v>
      </c>
      <c r="D28" s="17">
        <v>43</v>
      </c>
      <c r="E28" s="59">
        <v>100</v>
      </c>
      <c r="F28" s="18">
        <v>2</v>
      </c>
      <c r="G28" s="97">
        <v>4</v>
      </c>
      <c r="H28" s="943">
        <v>314</v>
      </c>
      <c r="I28" s="696">
        <v>4.7735599507441589E-3</v>
      </c>
      <c r="K28" s="193"/>
    </row>
    <row r="29" spans="1:11" x14ac:dyDescent="0.25">
      <c r="A29" s="277" t="s">
        <v>383</v>
      </c>
      <c r="B29" s="18">
        <v>150</v>
      </c>
      <c r="C29" s="97">
        <v>116</v>
      </c>
      <c r="D29" s="17">
        <v>19</v>
      </c>
      <c r="E29" s="59">
        <v>0</v>
      </c>
      <c r="F29" s="18">
        <v>0</v>
      </c>
      <c r="G29" s="97">
        <v>0</v>
      </c>
      <c r="H29" s="943">
        <v>285</v>
      </c>
      <c r="I29" s="696">
        <v>4.3326897642104621E-3</v>
      </c>
      <c r="K29" s="193"/>
    </row>
    <row r="30" spans="1:11" x14ac:dyDescent="0.25">
      <c r="A30" s="277" t="s">
        <v>46</v>
      </c>
      <c r="B30" s="18">
        <v>106</v>
      </c>
      <c r="C30" s="97">
        <v>55</v>
      </c>
      <c r="D30" s="17">
        <v>61</v>
      </c>
      <c r="E30" s="59">
        <v>43</v>
      </c>
      <c r="F30" s="18">
        <v>1</v>
      </c>
      <c r="G30" s="97">
        <v>1</v>
      </c>
      <c r="H30" s="943">
        <v>267</v>
      </c>
      <c r="I30" s="696">
        <v>4.0590462001550646E-3</v>
      </c>
      <c r="K30" s="193"/>
    </row>
    <row r="31" spans="1:11" x14ac:dyDescent="0.25">
      <c r="A31" s="277" t="s">
        <v>41</v>
      </c>
      <c r="B31" s="18">
        <v>84</v>
      </c>
      <c r="C31" s="97">
        <v>0</v>
      </c>
      <c r="D31" s="17">
        <v>91</v>
      </c>
      <c r="E31" s="59">
        <v>0</v>
      </c>
      <c r="F31" s="18">
        <v>12</v>
      </c>
      <c r="G31" s="97">
        <v>2</v>
      </c>
      <c r="H31" s="943">
        <v>189</v>
      </c>
      <c r="I31" s="696">
        <v>2.8732574225816751E-3</v>
      </c>
      <c r="K31" s="193"/>
    </row>
    <row r="32" spans="1:11" x14ac:dyDescent="0.25">
      <c r="A32" s="277" t="s">
        <v>160</v>
      </c>
      <c r="B32" s="18">
        <v>95</v>
      </c>
      <c r="C32" s="97">
        <v>0</v>
      </c>
      <c r="D32" s="17">
        <v>78</v>
      </c>
      <c r="E32" s="59">
        <v>0</v>
      </c>
      <c r="F32" s="18">
        <v>7</v>
      </c>
      <c r="G32" s="97">
        <v>8</v>
      </c>
      <c r="H32" s="943">
        <v>188</v>
      </c>
      <c r="I32" s="696">
        <v>2.858055002356375E-3</v>
      </c>
      <c r="K32" s="193"/>
    </row>
    <row r="33" spans="1:18" ht="15.75" thickBot="1" x14ac:dyDescent="0.3">
      <c r="A33" s="796" t="s">
        <v>353</v>
      </c>
      <c r="B33" s="79">
        <v>19</v>
      </c>
      <c r="C33" s="98">
        <v>0</v>
      </c>
      <c r="D33" s="17">
        <v>0</v>
      </c>
      <c r="E33" s="59">
        <v>0</v>
      </c>
      <c r="F33" s="18">
        <v>0</v>
      </c>
      <c r="G33" s="97">
        <v>0</v>
      </c>
      <c r="H33" s="944">
        <v>19</v>
      </c>
      <c r="I33" s="697">
        <v>2.888459842806975E-4</v>
      </c>
      <c r="K33" s="193"/>
    </row>
    <row r="34" spans="1:18" ht="15.75" thickBot="1" x14ac:dyDescent="0.3">
      <c r="A34" s="67" t="s">
        <v>5</v>
      </c>
      <c r="B34" s="936">
        <v>20960</v>
      </c>
      <c r="C34" s="937">
        <v>11092</v>
      </c>
      <c r="D34" s="936">
        <v>19948</v>
      </c>
      <c r="E34" s="937">
        <v>11702</v>
      </c>
      <c r="F34" s="938">
        <v>1307</v>
      </c>
      <c r="G34" s="939">
        <v>770</v>
      </c>
      <c r="H34" s="940">
        <v>65779</v>
      </c>
      <c r="I34" s="941">
        <v>0.99999999999999989</v>
      </c>
      <c r="L34" s="213"/>
      <c r="M34" s="213"/>
      <c r="N34" s="213"/>
      <c r="O34" s="213"/>
      <c r="P34" s="213"/>
      <c r="Q34" s="213"/>
      <c r="R34" s="213"/>
    </row>
    <row r="35" spans="1:18" ht="20.100000000000001" customHeight="1" thickBot="1" x14ac:dyDescent="0.3">
      <c r="A35" s="48"/>
      <c r="B35" s="698">
        <v>0.31864272792228521</v>
      </c>
      <c r="C35" s="699">
        <v>0.16862524513902613</v>
      </c>
      <c r="D35" s="698">
        <v>0.30325787865428178</v>
      </c>
      <c r="E35" s="700">
        <v>0.17789872147645905</v>
      </c>
      <c r="F35" s="701">
        <v>1.9869563234466928E-2</v>
      </c>
      <c r="G35" s="699">
        <v>1.1705863573480899E-2</v>
      </c>
      <c r="H35" s="945">
        <v>1</v>
      </c>
      <c r="I35" s="702"/>
    </row>
    <row r="36" spans="1:18" x14ac:dyDescent="0.25">
      <c r="I36" s="11" t="s">
        <v>468</v>
      </c>
    </row>
    <row r="41" spans="1:18" x14ac:dyDescent="0.25">
      <c r="B41" s="16"/>
      <c r="C41" s="16"/>
      <c r="D41" s="16"/>
      <c r="E41" s="16"/>
      <c r="F41" s="16"/>
      <c r="G41" s="16"/>
      <c r="H41" s="16"/>
    </row>
  </sheetData>
  <mergeCells count="6">
    <mergeCell ref="A1:I1"/>
    <mergeCell ref="B2:C2"/>
    <mergeCell ref="D2:E2"/>
    <mergeCell ref="F2:G2"/>
    <mergeCell ref="H2:H3"/>
    <mergeCell ref="I2:I3"/>
  </mergeCells>
  <phoneticPr fontId="4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5"/>
  <sheetViews>
    <sheetView tabSelected="1" zoomScaleNormal="100" workbookViewId="0">
      <selection activeCell="A35" sqref="A35"/>
    </sheetView>
  </sheetViews>
  <sheetFormatPr defaultRowHeight="15" x14ac:dyDescent="0.25"/>
  <cols>
    <col min="1" max="1" width="31.140625" style="6" customWidth="1"/>
    <col min="2" max="11" width="9.7109375" style="6" customWidth="1"/>
    <col min="12" max="16384" width="9.140625" style="6"/>
  </cols>
  <sheetData>
    <row r="1" spans="1:12" ht="64.5" customHeight="1" thickBot="1" x14ac:dyDescent="0.3">
      <c r="A1" s="1056" t="s">
        <v>471</v>
      </c>
      <c r="B1" s="1056"/>
      <c r="C1" s="1056"/>
      <c r="D1" s="1056"/>
      <c r="E1" s="1056"/>
      <c r="F1" s="1056"/>
      <c r="G1" s="1056"/>
      <c r="H1" s="1056"/>
      <c r="I1" s="1056"/>
      <c r="J1" s="1056"/>
      <c r="K1" s="1056"/>
    </row>
    <row r="2" spans="1:12" ht="77.25" customHeight="1" thickBot="1" x14ac:dyDescent="0.3">
      <c r="A2" s="200"/>
      <c r="B2" s="285" t="s">
        <v>48</v>
      </c>
      <c r="C2" s="283" t="s">
        <v>79</v>
      </c>
      <c r="D2" s="284" t="s">
        <v>50</v>
      </c>
      <c r="E2" s="285" t="s">
        <v>51</v>
      </c>
      <c r="F2" s="283" t="s">
        <v>80</v>
      </c>
      <c r="G2" s="284" t="s">
        <v>355</v>
      </c>
      <c r="H2" s="286" t="s">
        <v>356</v>
      </c>
      <c r="I2" s="283" t="s">
        <v>81</v>
      </c>
      <c r="J2" s="283" t="s">
        <v>357</v>
      </c>
      <c r="K2" s="284" t="s">
        <v>358</v>
      </c>
      <c r="L2" s="7"/>
    </row>
    <row r="3" spans="1:12" ht="30" x14ac:dyDescent="0.25">
      <c r="A3" s="752" t="s">
        <v>10</v>
      </c>
      <c r="B3" s="338">
        <v>2530</v>
      </c>
      <c r="C3" s="339">
        <v>2309</v>
      </c>
      <c r="D3" s="340">
        <f>B3/C3</f>
        <v>1.0957124296232135</v>
      </c>
      <c r="E3" s="338">
        <v>2133</v>
      </c>
      <c r="F3" s="339">
        <v>1999</v>
      </c>
      <c r="G3" s="340">
        <f>F3/C3</f>
        <v>0.86574274577739285</v>
      </c>
      <c r="H3" s="341">
        <v>1591</v>
      </c>
      <c r="I3" s="339">
        <v>1591</v>
      </c>
      <c r="J3" s="342">
        <f>I3/F3</f>
        <v>0.79589794897448729</v>
      </c>
      <c r="K3" s="340">
        <f>I3/C3</f>
        <v>0.68904287570376788</v>
      </c>
      <c r="L3" s="8"/>
    </row>
    <row r="4" spans="1:12" x14ac:dyDescent="0.25">
      <c r="A4" s="179" t="s">
        <v>11</v>
      </c>
      <c r="B4" s="343">
        <v>6413</v>
      </c>
      <c r="C4" s="344">
        <v>4695</v>
      </c>
      <c r="D4" s="345">
        <f t="shared" ref="D4:D10" si="0">B4/C4</f>
        <v>1.3659211927582535</v>
      </c>
      <c r="E4" s="343">
        <v>4498</v>
      </c>
      <c r="F4" s="344">
        <v>3908</v>
      </c>
      <c r="G4" s="345">
        <f t="shared" ref="G4:G10" si="1">F4/C4</f>
        <v>0.83237486687965923</v>
      </c>
      <c r="H4" s="346">
        <v>2308</v>
      </c>
      <c r="I4" s="344">
        <v>2307</v>
      </c>
      <c r="J4" s="347">
        <f t="shared" ref="J4:J10" si="2">I4/F4</f>
        <v>0.59032753326509724</v>
      </c>
      <c r="K4" s="345">
        <f t="shared" ref="K4:K10" si="3">I4/C4</f>
        <v>0.49137380191693292</v>
      </c>
      <c r="L4" s="8"/>
    </row>
    <row r="5" spans="1:12" x14ac:dyDescent="0.25">
      <c r="A5" s="179" t="s">
        <v>12</v>
      </c>
      <c r="B5" s="343">
        <v>55255</v>
      </c>
      <c r="C5" s="344">
        <v>32450</v>
      </c>
      <c r="D5" s="345">
        <f t="shared" si="0"/>
        <v>1.7027734976887519</v>
      </c>
      <c r="E5" s="343">
        <v>34525</v>
      </c>
      <c r="F5" s="344">
        <v>26459</v>
      </c>
      <c r="G5" s="345">
        <f>F5/C5</f>
        <v>0.81537750385208008</v>
      </c>
      <c r="H5" s="346">
        <v>22575</v>
      </c>
      <c r="I5" s="344">
        <v>22453</v>
      </c>
      <c r="J5" s="347">
        <f t="shared" si="2"/>
        <v>0.84859594088967838</v>
      </c>
      <c r="K5" s="345">
        <f t="shared" si="3"/>
        <v>0.69192604006163327</v>
      </c>
    </row>
    <row r="6" spans="1:12" x14ac:dyDescent="0.25">
      <c r="A6" s="179" t="s">
        <v>13</v>
      </c>
      <c r="B6" s="343">
        <v>17991</v>
      </c>
      <c r="C6" s="344">
        <v>13625</v>
      </c>
      <c r="D6" s="345">
        <f t="shared" si="0"/>
        <v>1.3204403669724771</v>
      </c>
      <c r="E6" s="343">
        <v>15467</v>
      </c>
      <c r="F6" s="344">
        <v>12490</v>
      </c>
      <c r="G6" s="345">
        <f t="shared" si="1"/>
        <v>0.91669724770642202</v>
      </c>
      <c r="H6" s="346">
        <v>10126</v>
      </c>
      <c r="I6" s="344">
        <v>10087</v>
      </c>
      <c r="J6" s="347">
        <f t="shared" si="2"/>
        <v>0.80760608486789431</v>
      </c>
      <c r="K6" s="345">
        <f t="shared" si="3"/>
        <v>0.74033027522935779</v>
      </c>
    </row>
    <row r="7" spans="1:12" x14ac:dyDescent="0.25">
      <c r="A7" s="179" t="s">
        <v>14</v>
      </c>
      <c r="B7" s="343">
        <v>3196</v>
      </c>
      <c r="C7" s="344">
        <v>2546</v>
      </c>
      <c r="D7" s="345">
        <f t="shared" si="0"/>
        <v>1.2553024351924587</v>
      </c>
      <c r="E7" s="343">
        <v>1087</v>
      </c>
      <c r="F7" s="344">
        <v>1034</v>
      </c>
      <c r="G7" s="345">
        <f t="shared" si="1"/>
        <v>0.406127258444619</v>
      </c>
      <c r="H7" s="346">
        <v>843</v>
      </c>
      <c r="I7" s="344">
        <v>843</v>
      </c>
      <c r="J7" s="347">
        <f t="shared" si="2"/>
        <v>0.81528046421663447</v>
      </c>
      <c r="K7" s="345">
        <f t="shared" si="3"/>
        <v>0.33110761979575803</v>
      </c>
    </row>
    <row r="8" spans="1:12" ht="30" x14ac:dyDescent="0.25">
      <c r="A8" s="751" t="s">
        <v>15</v>
      </c>
      <c r="B8" s="343">
        <v>2822</v>
      </c>
      <c r="C8" s="344">
        <v>2637</v>
      </c>
      <c r="D8" s="345">
        <f t="shared" si="0"/>
        <v>1.0701554797117938</v>
      </c>
      <c r="E8" s="343">
        <v>1224</v>
      </c>
      <c r="F8" s="344">
        <v>1179</v>
      </c>
      <c r="G8" s="345">
        <f t="shared" si="1"/>
        <v>0.44709897610921501</v>
      </c>
      <c r="H8" s="346">
        <v>1019</v>
      </c>
      <c r="I8" s="344">
        <v>1017</v>
      </c>
      <c r="J8" s="347">
        <f t="shared" si="2"/>
        <v>0.86259541984732824</v>
      </c>
      <c r="K8" s="345">
        <f t="shared" si="3"/>
        <v>0.38566552901023893</v>
      </c>
    </row>
    <row r="9" spans="1:12" ht="15.75" thickBot="1" x14ac:dyDescent="0.3">
      <c r="A9" s="180" t="s">
        <v>16</v>
      </c>
      <c r="B9" s="348">
        <v>13138</v>
      </c>
      <c r="C9" s="349">
        <v>7654</v>
      </c>
      <c r="D9" s="350">
        <f t="shared" si="0"/>
        <v>1.7164881107917429</v>
      </c>
      <c r="E9" s="348">
        <v>4576</v>
      </c>
      <c r="F9" s="349">
        <v>3849</v>
      </c>
      <c r="G9" s="350">
        <f t="shared" si="1"/>
        <v>0.50287431408413896</v>
      </c>
      <c r="H9" s="351">
        <v>3432</v>
      </c>
      <c r="I9" s="349">
        <v>3422</v>
      </c>
      <c r="J9" s="352">
        <f t="shared" si="2"/>
        <v>0.88906209405040271</v>
      </c>
      <c r="K9" s="350">
        <f t="shared" si="3"/>
        <v>0.44708649072380452</v>
      </c>
      <c r="L9" s="8"/>
    </row>
    <row r="10" spans="1:12" ht="15.75" thickBot="1" x14ac:dyDescent="0.3">
      <c r="A10" s="67" t="s">
        <v>82</v>
      </c>
      <c r="B10" s="353">
        <v>101345</v>
      </c>
      <c r="C10" s="354">
        <v>54561</v>
      </c>
      <c r="D10" s="355">
        <f t="shared" si="0"/>
        <v>1.8574622899140412</v>
      </c>
      <c r="E10" s="353">
        <v>63510</v>
      </c>
      <c r="F10" s="354">
        <v>46557</v>
      </c>
      <c r="G10" s="355">
        <f t="shared" si="1"/>
        <v>0.85330180898443941</v>
      </c>
      <c r="H10" s="356">
        <v>41894</v>
      </c>
      <c r="I10" s="354">
        <v>41628</v>
      </c>
      <c r="J10" s="357">
        <f t="shared" si="2"/>
        <v>0.89412977640311875</v>
      </c>
      <c r="K10" s="355">
        <f t="shared" si="3"/>
        <v>0.76296255567163362</v>
      </c>
      <c r="L10" s="8"/>
    </row>
    <row r="11" spans="1:12" x14ac:dyDescent="0.25">
      <c r="A11" s="719" t="s">
        <v>591</v>
      </c>
      <c r="K11" s="13" t="s">
        <v>468</v>
      </c>
    </row>
    <row r="12" spans="1:12" x14ac:dyDescent="0.25">
      <c r="B12" s="152"/>
      <c r="C12" s="152"/>
      <c r="D12" s="152"/>
      <c r="E12" s="152"/>
      <c r="F12" s="152"/>
      <c r="G12" s="152"/>
      <c r="H12" s="152"/>
      <c r="I12" s="152"/>
    </row>
    <row r="15" spans="1:12" x14ac:dyDescent="0.25">
      <c r="B15" s="152"/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64E77D-CA6B-40B4-9176-2C55B6BB3D2F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0B67A60-9E18-4392-81ED-1CE598C71B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1762CD-3BDB-47DD-B0B6-8FA24A8CB9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34</vt:i4>
      </vt:variant>
      <vt:variant>
        <vt:lpstr>Pomenované rozsahy</vt:lpstr>
      </vt:variant>
      <vt:variant>
        <vt:i4>4</vt:i4>
      </vt:variant>
    </vt:vector>
  </HeadingPairs>
  <TitlesOfParts>
    <vt:vector size="38" baseType="lpstr">
      <vt:lpstr>obal</vt:lpstr>
      <vt:lpstr>zoznam tabuliek</vt:lpstr>
      <vt:lpstr>skratky VŠ</vt:lpstr>
      <vt:lpstr>T1-počet študentov</vt:lpstr>
      <vt:lpstr>T2-študenti podľa odborov</vt:lpstr>
      <vt:lpstr>T3-podiel škol</vt:lpstr>
      <vt:lpstr>T4-abs podľa odborov</vt:lpstr>
      <vt:lpstr>T5-abs podiel skol</vt:lpstr>
      <vt:lpstr>T6-PKIpo odboroch-2013</vt:lpstr>
      <vt:lpstr>T7-PKIvek-2013</vt:lpstr>
      <vt:lpstr>T8-PK maturanti-2013</vt:lpstr>
      <vt:lpstr>T9-PK II. stupeň-2013</vt:lpstr>
      <vt:lpstr>T10-Platy</vt:lpstr>
      <vt:lpstr>T11-profesori</vt:lpstr>
      <vt:lpstr>T12a-VVŠ VEGA</vt:lpstr>
      <vt:lpstr>T12b-komisie VEGA</vt:lpstr>
      <vt:lpstr>T13-VVŠ KEGA</vt:lpstr>
      <vt:lpstr>T14a-VVŠ APVV</vt:lpstr>
      <vt:lpstr>T14b-SVV APVV</vt:lpstr>
      <vt:lpstr>T 15a - CREPŠ 2013 prehľad</vt:lpstr>
      <vt:lpstr>T 15b - CREPC 2013</vt:lpstr>
      <vt:lpstr>T16-soc.štip</vt:lpstr>
      <vt:lpstr>T17-Ubytovanie</vt:lpstr>
      <vt:lpstr>T18a-Súvaha A 2013</vt:lpstr>
      <vt:lpstr>T 18b-Súvaha P 2013</vt:lpstr>
      <vt:lpstr>T19-Výnosy 2013</vt:lpstr>
      <vt:lpstr>T20-Výnosy porovnanie</vt:lpstr>
      <vt:lpstr>T21-Náklady 2013</vt:lpstr>
      <vt:lpstr>T22-Náklady porovnanie</vt:lpstr>
      <vt:lpstr>T23-VH 2013</vt:lpstr>
      <vt:lpstr>T24-náklady soc.star. 2013</vt:lpstr>
      <vt:lpstr>T25-výnosy soc.star. 2013</vt:lpstr>
      <vt:lpstr>T26-VH soc.star. 2013</vt:lpstr>
      <vt:lpstr>T27-384 rok 2013</vt:lpstr>
      <vt:lpstr>'T9-PK II. stupeň-2013'!Názvy_tlače</vt:lpstr>
      <vt:lpstr>'T24-náklady soc.star. 2013'!Oblasť_tlače</vt:lpstr>
      <vt:lpstr>'T25-výnosy soc.star. 2013'!Oblasť_tlače</vt:lpstr>
      <vt:lpstr>'T9-PK II. stupeň-2013'!Oblasť_tlače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Páleníková Emília</cp:lastModifiedBy>
  <cp:lastPrinted>2014-09-02T10:38:47Z</cp:lastPrinted>
  <dcterms:created xsi:type="dcterms:W3CDTF">2010-06-10T18:29:15Z</dcterms:created>
  <dcterms:modified xsi:type="dcterms:W3CDTF">2014-09-02T11:09:53Z</dcterms:modified>
</cp:coreProperties>
</file>