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a.gejdosova\Desktop\MATURITY 2023\FINAL PODKLADY pre maturity spolu 2023\"/>
    </mc:Choice>
  </mc:AlternateContent>
  <xr:revisionPtr revIDLastSave="0" documentId="13_ncr:1_{51D2D4D4-2641-4291-B55F-9B7669C17892}" xr6:coauthVersionLast="36" xr6:coauthVersionMax="36" xr10:uidLastSave="{00000000-0000-0000-0000-000000000000}"/>
  <bookViews>
    <workbookView xWindow="0" yWindow="0" windowWidth="21570" windowHeight="7980" xr2:uid="{2AD7816A-A77B-4CCA-AFEC-EDA4DA2D2062}"/>
  </bookViews>
  <sheets>
    <sheet name="skoly_riad.sk.ob.2023" sheetId="2" r:id="rId1"/>
    <sheet name="NIVAM_skoly_riad.sk.ob.2023" sheetId="3" r:id="rId2"/>
    <sheet name="skoly_mimor.sk.2023" sheetId="4" r:id="rId3"/>
    <sheet name="NIVAM_skoly_mimoriad.sk.2023" sheetId="5" r:id="rId4"/>
    <sheet name="SUMÁR_zriad_2023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3" hidden="1">NIVAM_skoly_mimoriad.sk.2023!$A$3:$I$6</definedName>
    <definedName name="_xlnm._FilterDatabase" localSheetId="1" hidden="1">NIVAM_skoly_riad.sk.ob.2023!$A$3:$I$17</definedName>
    <definedName name="_xlnm._FilterDatabase" localSheetId="2" hidden="1">skoly_mimor.sk.2023!$A$3:$Z$542</definedName>
    <definedName name="_xlnm._FilterDatabase" localSheetId="0" hidden="1">skoly_riad.sk.ob.2023!$A$3:$I$801</definedName>
    <definedName name="_xlnm._FilterDatabase" localSheetId="4" hidden="1">SUMÁR_zriad_2023!$A$4:$E$180</definedName>
    <definedName name="k2r" localSheetId="4">#REF!</definedName>
    <definedName name="k2r">#REF!</definedName>
    <definedName name="kbs" localSheetId="4">#REF!</definedName>
    <definedName name="kbs">#REF!</definedName>
    <definedName name="kbzz" localSheetId="4">#REF!</definedName>
    <definedName name="kbzz">#REF!</definedName>
    <definedName name="kcvj" localSheetId="4">#REF!</definedName>
    <definedName name="kcvj">#REF!</definedName>
    <definedName name="kcvjzs" localSheetId="4">#REF!</definedName>
    <definedName name="kcvjzs">#REF!</definedName>
    <definedName name="kint" localSheetId="4">#REF!</definedName>
    <definedName name="kint">#REF!</definedName>
    <definedName name="kint1" localSheetId="4">#REF!</definedName>
    <definedName name="kint1">#REF!</definedName>
    <definedName name="kint2" localSheetId="4">#REF!</definedName>
    <definedName name="kint2">#REF!</definedName>
    <definedName name="kint3" localSheetId="4">#REF!</definedName>
    <definedName name="kint3">#REF!</definedName>
    <definedName name="kintms" localSheetId="4">#REF!</definedName>
    <definedName name="kintms">#REF!</definedName>
    <definedName name="kjnm" localSheetId="4">#REF!</definedName>
    <definedName name="kjnm">#REF!</definedName>
    <definedName name="kkat1" localSheetId="4">#REF!</definedName>
    <definedName name="kkat1">#REF!</definedName>
    <definedName name="kkat1zs" localSheetId="4">#REF!</definedName>
    <definedName name="kkat1zs">#REF!</definedName>
    <definedName name="kkat2" localSheetId="4">#REF!</definedName>
    <definedName name="kkat2">#REF!</definedName>
    <definedName name="kkat2zs" localSheetId="4">#REF!</definedName>
    <definedName name="kkat2zs">#REF!</definedName>
    <definedName name="kkat3" localSheetId="4">#REF!</definedName>
    <definedName name="kkat3">#REF!</definedName>
    <definedName name="kkat3zs" localSheetId="4">#REF!</definedName>
    <definedName name="kkat3zs">#REF!</definedName>
    <definedName name="kkat4" localSheetId="4">#REF!</definedName>
    <definedName name="kkat4">#REF!</definedName>
    <definedName name="kkat4zs" localSheetId="4">#REF!</definedName>
    <definedName name="kkat4zs">#REF!</definedName>
    <definedName name="kkat5" localSheetId="4">#REF!</definedName>
    <definedName name="kkat5">#REF!</definedName>
    <definedName name="kkat5zs" localSheetId="4">#REF!</definedName>
    <definedName name="kkat5zs">#REF!</definedName>
    <definedName name="kkat6" localSheetId="4">#REF!</definedName>
    <definedName name="kkat6">#REF!</definedName>
    <definedName name="kkat6zs" localSheetId="4">#REF!</definedName>
    <definedName name="kkat6zs">#REF!</definedName>
    <definedName name="knem1" localSheetId="4">#REF!</definedName>
    <definedName name="knem1">#REF!</definedName>
    <definedName name="knem2" localSheetId="4">#REF!</definedName>
    <definedName name="knem2">#REF!</definedName>
    <definedName name="knem3" localSheetId="4">#REF!</definedName>
    <definedName name="knem3">#REF!</definedName>
    <definedName name="knemms" localSheetId="4">#REF!</definedName>
    <definedName name="knemms">#REF!</definedName>
    <definedName name="knemskd1" localSheetId="4">#REF!</definedName>
    <definedName name="knemskd1">#REF!</definedName>
    <definedName name="knemskd2" localSheetId="4">#REF!</definedName>
    <definedName name="knemskd2">#REF!</definedName>
    <definedName name="knemskd3" localSheetId="4">#REF!</definedName>
    <definedName name="knemskd3">#REF!</definedName>
    <definedName name="knpa" localSheetId="4">#REF!</definedName>
    <definedName name="knpa">#REF!</definedName>
    <definedName name="knr" localSheetId="4">#REF!</definedName>
    <definedName name="knr">#REF!</definedName>
    <definedName name="knrptp" localSheetId="4">#REF!</definedName>
    <definedName name="knrptp">#REF!</definedName>
    <definedName name="KoefTeplo" localSheetId="4">#REF!</definedName>
    <definedName name="KoefTeplo">#REF!</definedName>
    <definedName name="kop" localSheetId="4">#REF!</definedName>
    <definedName name="kop">#REF!</definedName>
    <definedName name="kos" localSheetId="4">#REF!</definedName>
    <definedName name="kos">#REF!</definedName>
    <definedName name="kprax60" localSheetId="4">#REF!</definedName>
    <definedName name="kprax60">#REF!</definedName>
    <definedName name="kprax80" localSheetId="4">#REF!</definedName>
    <definedName name="kprax80">#REF!</definedName>
    <definedName name="krvp1" localSheetId="4">#REF!</definedName>
    <definedName name="krvp1">#REF!</definedName>
    <definedName name="ksf" localSheetId="4">#REF!</definedName>
    <definedName name="ksf">#REF!</definedName>
    <definedName name="ksgym1" localSheetId="4">#REF!</definedName>
    <definedName name="ksgym1">#REF!</definedName>
    <definedName name="ksgym2" localSheetId="4">#REF!</definedName>
    <definedName name="ksgym2">#REF!</definedName>
    <definedName name="ksgym3" localSheetId="4">#REF!</definedName>
    <definedName name="ksgym3">#REF!</definedName>
    <definedName name="ksportm1" localSheetId="4">#REF!</definedName>
    <definedName name="ksportm1">#REF!</definedName>
    <definedName name="ksportm2" localSheetId="4">#REF!</definedName>
    <definedName name="ksportm2">#REF!</definedName>
    <definedName name="ksportm3" localSheetId="4">#REF!</definedName>
    <definedName name="ksportm3">#REF!</definedName>
    <definedName name="ksskd" localSheetId="4">#REF!</definedName>
    <definedName name="ksskd">#REF!</definedName>
    <definedName name="kucast" localSheetId="4">#REF!</definedName>
    <definedName name="kucast">#REF!</definedName>
    <definedName name="kvaz1" localSheetId="4">#REF!</definedName>
    <definedName name="kvaz1">#REF!</definedName>
    <definedName name="kvaz2" localSheetId="4">#REF!</definedName>
    <definedName name="kvaz2">#REF!</definedName>
    <definedName name="kvs" localSheetId="4">#REF!</definedName>
    <definedName name="kvs">#REF!</definedName>
    <definedName name="L">#REF!</definedName>
    <definedName name="msnorm" localSheetId="4">#REF!</definedName>
    <definedName name="msnorm">#REF!</definedName>
    <definedName name="_xlnm.Print_Titles" localSheetId="4">SUMÁR_zriad_2023!$4:$4</definedName>
    <definedName name="Normativy" localSheetId="4">#REF!</definedName>
    <definedName name="Normativy">#REF!</definedName>
    <definedName name="NormativyTeplo" localSheetId="4">#REF!</definedName>
    <definedName name="NormativyTeplo">#REF!</definedName>
    <definedName name="_xlnm.Print_Area" localSheetId="3">NIVAM_skoly_mimoriad.sk.2023!$A$1:$Z$9</definedName>
    <definedName name="_xlnm.Print_Area" localSheetId="0">skoly_riad.sk.ob.2023!$A$1:$Z$802</definedName>
    <definedName name="_xlnm.Print_Area" localSheetId="4">SUMÁR_zriad_2023!$A$4:$F$180</definedName>
    <definedName name="sum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0" i="6" l="1"/>
  <c r="F131" i="6"/>
  <c r="F127" i="6" l="1"/>
  <c r="V6" i="5" l="1"/>
  <c r="U6" i="5"/>
  <c r="S6" i="5"/>
  <c r="R6" i="5"/>
  <c r="Q6" i="5"/>
  <c r="P6" i="5"/>
  <c r="O6" i="5"/>
  <c r="N6" i="5"/>
  <c r="M6" i="5"/>
  <c r="L6" i="5"/>
  <c r="K6" i="5"/>
  <c r="J6" i="5"/>
  <c r="X5" i="5"/>
  <c r="W5" i="5"/>
  <c r="V5" i="5"/>
  <c r="T5" i="5"/>
  <c r="Y5" i="5" s="1"/>
  <c r="Z5" i="5" s="1"/>
  <c r="X4" i="5"/>
  <c r="X6" i="5" s="1"/>
  <c r="W4" i="5"/>
  <c r="W6" i="5" s="1"/>
  <c r="V4" i="5"/>
  <c r="T4" i="5"/>
  <c r="T6" i="5" s="1"/>
  <c r="U542" i="4"/>
  <c r="S542" i="4"/>
  <c r="R542" i="4"/>
  <c r="Q542" i="4"/>
  <c r="P542" i="4"/>
  <c r="O542" i="4"/>
  <c r="N542" i="4"/>
  <c r="M542" i="4"/>
  <c r="L542" i="4"/>
  <c r="K542" i="4"/>
  <c r="J542" i="4"/>
  <c r="X541" i="4"/>
  <c r="W541" i="4"/>
  <c r="V541" i="4"/>
  <c r="T541" i="4"/>
  <c r="X540" i="4"/>
  <c r="W540" i="4"/>
  <c r="V540" i="4"/>
  <c r="T540" i="4"/>
  <c r="X539" i="4"/>
  <c r="W539" i="4"/>
  <c r="V539" i="4"/>
  <c r="T539" i="4"/>
  <c r="X538" i="4"/>
  <c r="W538" i="4"/>
  <c r="V538" i="4"/>
  <c r="T538" i="4"/>
  <c r="X537" i="4"/>
  <c r="W537" i="4"/>
  <c r="V537" i="4"/>
  <c r="T537" i="4"/>
  <c r="X536" i="4"/>
  <c r="W536" i="4"/>
  <c r="V536" i="4"/>
  <c r="T536" i="4"/>
  <c r="X535" i="4"/>
  <c r="W535" i="4"/>
  <c r="V535" i="4"/>
  <c r="T535" i="4"/>
  <c r="X534" i="4"/>
  <c r="W534" i="4"/>
  <c r="V534" i="4"/>
  <c r="T534" i="4"/>
  <c r="X532" i="4"/>
  <c r="W532" i="4"/>
  <c r="V532" i="4"/>
  <c r="T532" i="4"/>
  <c r="X531" i="4"/>
  <c r="W531" i="4"/>
  <c r="V531" i="4"/>
  <c r="T531" i="4"/>
  <c r="X530" i="4"/>
  <c r="W530" i="4"/>
  <c r="V530" i="4"/>
  <c r="T530" i="4"/>
  <c r="X529" i="4"/>
  <c r="W529" i="4"/>
  <c r="V529" i="4"/>
  <c r="T529" i="4"/>
  <c r="X528" i="4"/>
  <c r="W528" i="4"/>
  <c r="V528" i="4"/>
  <c r="T528" i="4"/>
  <c r="X527" i="4"/>
  <c r="W527" i="4"/>
  <c r="V527" i="4"/>
  <c r="T527" i="4"/>
  <c r="X526" i="4"/>
  <c r="W526" i="4"/>
  <c r="V526" i="4"/>
  <c r="T526" i="4"/>
  <c r="X525" i="4"/>
  <c r="W525" i="4"/>
  <c r="V525" i="4"/>
  <c r="T525" i="4"/>
  <c r="X524" i="4"/>
  <c r="W524" i="4"/>
  <c r="V524" i="4"/>
  <c r="T524" i="4"/>
  <c r="X523" i="4"/>
  <c r="W523" i="4"/>
  <c r="V523" i="4"/>
  <c r="T523" i="4"/>
  <c r="X522" i="4"/>
  <c r="W522" i="4"/>
  <c r="V522" i="4"/>
  <c r="T522" i="4"/>
  <c r="X521" i="4"/>
  <c r="W521" i="4"/>
  <c r="V521" i="4"/>
  <c r="T521" i="4"/>
  <c r="X520" i="4"/>
  <c r="W520" i="4"/>
  <c r="V520" i="4"/>
  <c r="T520" i="4"/>
  <c r="X519" i="4"/>
  <c r="W519" i="4"/>
  <c r="V519" i="4"/>
  <c r="T519" i="4"/>
  <c r="X518" i="4"/>
  <c r="W518" i="4"/>
  <c r="V518" i="4"/>
  <c r="T518" i="4"/>
  <c r="X517" i="4"/>
  <c r="W517" i="4"/>
  <c r="V517" i="4"/>
  <c r="T517" i="4"/>
  <c r="X516" i="4"/>
  <c r="W516" i="4"/>
  <c r="V516" i="4"/>
  <c r="T516" i="4"/>
  <c r="X515" i="4"/>
  <c r="W515" i="4"/>
  <c r="V515" i="4"/>
  <c r="T515" i="4"/>
  <c r="X514" i="4"/>
  <c r="W514" i="4"/>
  <c r="V514" i="4"/>
  <c r="T514" i="4"/>
  <c r="X513" i="4"/>
  <c r="W513" i="4"/>
  <c r="V513" i="4"/>
  <c r="T513" i="4"/>
  <c r="X512" i="4"/>
  <c r="W512" i="4"/>
  <c r="V512" i="4"/>
  <c r="T512" i="4"/>
  <c r="X511" i="4"/>
  <c r="W511" i="4"/>
  <c r="V511" i="4"/>
  <c r="T511" i="4"/>
  <c r="X510" i="4"/>
  <c r="W510" i="4"/>
  <c r="V510" i="4"/>
  <c r="T510" i="4"/>
  <c r="X509" i="4"/>
  <c r="W509" i="4"/>
  <c r="V509" i="4"/>
  <c r="T509" i="4"/>
  <c r="X508" i="4"/>
  <c r="W508" i="4"/>
  <c r="V508" i="4"/>
  <c r="T508" i="4"/>
  <c r="X507" i="4"/>
  <c r="W507" i="4"/>
  <c r="V507" i="4"/>
  <c r="T507" i="4"/>
  <c r="X506" i="4"/>
  <c r="W506" i="4"/>
  <c r="V506" i="4"/>
  <c r="T506" i="4"/>
  <c r="X505" i="4"/>
  <c r="W505" i="4"/>
  <c r="V505" i="4"/>
  <c r="T505" i="4"/>
  <c r="X504" i="4"/>
  <c r="W504" i="4"/>
  <c r="V504" i="4"/>
  <c r="T504" i="4"/>
  <c r="X503" i="4"/>
  <c r="W503" i="4"/>
  <c r="V503" i="4"/>
  <c r="T503" i="4"/>
  <c r="X502" i="4"/>
  <c r="W502" i="4"/>
  <c r="V502" i="4"/>
  <c r="T502" i="4"/>
  <c r="X501" i="4"/>
  <c r="W501" i="4"/>
  <c r="V501" i="4"/>
  <c r="T501" i="4"/>
  <c r="X500" i="4"/>
  <c r="W500" i="4"/>
  <c r="V500" i="4"/>
  <c r="T500" i="4"/>
  <c r="X499" i="4"/>
  <c r="W499" i="4"/>
  <c r="V499" i="4"/>
  <c r="T499" i="4"/>
  <c r="X498" i="4"/>
  <c r="W498" i="4"/>
  <c r="V498" i="4"/>
  <c r="T498" i="4"/>
  <c r="X497" i="4"/>
  <c r="W497" i="4"/>
  <c r="V497" i="4"/>
  <c r="T497" i="4"/>
  <c r="X496" i="4"/>
  <c r="W496" i="4"/>
  <c r="V496" i="4"/>
  <c r="T496" i="4"/>
  <c r="X495" i="4"/>
  <c r="W495" i="4"/>
  <c r="V495" i="4"/>
  <c r="T495" i="4"/>
  <c r="X494" i="4"/>
  <c r="W494" i="4"/>
  <c r="V494" i="4"/>
  <c r="T494" i="4"/>
  <c r="X493" i="4"/>
  <c r="W493" i="4"/>
  <c r="V493" i="4"/>
  <c r="T493" i="4"/>
  <c r="X492" i="4"/>
  <c r="W492" i="4"/>
  <c r="V492" i="4"/>
  <c r="T492" i="4"/>
  <c r="X491" i="4"/>
  <c r="W491" i="4"/>
  <c r="V491" i="4"/>
  <c r="T491" i="4"/>
  <c r="X490" i="4"/>
  <c r="W490" i="4"/>
  <c r="V490" i="4"/>
  <c r="T490" i="4"/>
  <c r="X489" i="4"/>
  <c r="W489" i="4"/>
  <c r="V489" i="4"/>
  <c r="T489" i="4"/>
  <c r="X488" i="4"/>
  <c r="W488" i="4"/>
  <c r="V488" i="4"/>
  <c r="T488" i="4"/>
  <c r="X487" i="4"/>
  <c r="W487" i="4"/>
  <c r="V487" i="4"/>
  <c r="T487" i="4"/>
  <c r="X486" i="4"/>
  <c r="W486" i="4"/>
  <c r="V486" i="4"/>
  <c r="T486" i="4"/>
  <c r="X485" i="4"/>
  <c r="W485" i="4"/>
  <c r="V485" i="4"/>
  <c r="T485" i="4"/>
  <c r="X484" i="4"/>
  <c r="W484" i="4"/>
  <c r="V484" i="4"/>
  <c r="T484" i="4"/>
  <c r="X483" i="4"/>
  <c r="W483" i="4"/>
  <c r="V483" i="4"/>
  <c r="T483" i="4"/>
  <c r="X482" i="4"/>
  <c r="W482" i="4"/>
  <c r="V482" i="4"/>
  <c r="T482" i="4"/>
  <c r="X481" i="4"/>
  <c r="W481" i="4"/>
  <c r="V481" i="4"/>
  <c r="T481" i="4"/>
  <c r="X480" i="4"/>
  <c r="W480" i="4"/>
  <c r="V480" i="4"/>
  <c r="T480" i="4"/>
  <c r="X479" i="4"/>
  <c r="W479" i="4"/>
  <c r="V479" i="4"/>
  <c r="T479" i="4"/>
  <c r="X478" i="4"/>
  <c r="W478" i="4"/>
  <c r="V478" i="4"/>
  <c r="T478" i="4"/>
  <c r="X477" i="4"/>
  <c r="W477" i="4"/>
  <c r="V477" i="4"/>
  <c r="T477" i="4"/>
  <c r="X476" i="4"/>
  <c r="W476" i="4"/>
  <c r="V476" i="4"/>
  <c r="T476" i="4"/>
  <c r="X475" i="4"/>
  <c r="W475" i="4"/>
  <c r="V475" i="4"/>
  <c r="T475" i="4"/>
  <c r="X474" i="4"/>
  <c r="W474" i="4"/>
  <c r="V474" i="4"/>
  <c r="T474" i="4"/>
  <c r="X473" i="4"/>
  <c r="W473" i="4"/>
  <c r="V473" i="4"/>
  <c r="T473" i="4"/>
  <c r="X472" i="4"/>
  <c r="W472" i="4"/>
  <c r="V472" i="4"/>
  <c r="T472" i="4"/>
  <c r="X471" i="4"/>
  <c r="W471" i="4"/>
  <c r="V471" i="4"/>
  <c r="T471" i="4"/>
  <c r="X470" i="4"/>
  <c r="W470" i="4"/>
  <c r="V470" i="4"/>
  <c r="T470" i="4"/>
  <c r="X469" i="4"/>
  <c r="W469" i="4"/>
  <c r="V469" i="4"/>
  <c r="T469" i="4"/>
  <c r="X468" i="4"/>
  <c r="W468" i="4"/>
  <c r="V468" i="4"/>
  <c r="T468" i="4"/>
  <c r="X467" i="4"/>
  <c r="W467" i="4"/>
  <c r="V467" i="4"/>
  <c r="T467" i="4"/>
  <c r="X466" i="4"/>
  <c r="W466" i="4"/>
  <c r="V466" i="4"/>
  <c r="T466" i="4"/>
  <c r="X465" i="4"/>
  <c r="W465" i="4"/>
  <c r="V465" i="4"/>
  <c r="T465" i="4"/>
  <c r="X464" i="4"/>
  <c r="W464" i="4"/>
  <c r="V464" i="4"/>
  <c r="T464" i="4"/>
  <c r="X463" i="4"/>
  <c r="W463" i="4"/>
  <c r="V463" i="4"/>
  <c r="T463" i="4"/>
  <c r="X462" i="4"/>
  <c r="W462" i="4"/>
  <c r="V462" i="4"/>
  <c r="T462" i="4"/>
  <c r="X461" i="4"/>
  <c r="W461" i="4"/>
  <c r="V461" i="4"/>
  <c r="T461" i="4"/>
  <c r="X460" i="4"/>
  <c r="W460" i="4"/>
  <c r="V460" i="4"/>
  <c r="T460" i="4"/>
  <c r="X459" i="4"/>
  <c r="W459" i="4"/>
  <c r="V459" i="4"/>
  <c r="T459" i="4"/>
  <c r="X458" i="4"/>
  <c r="W458" i="4"/>
  <c r="V458" i="4"/>
  <c r="T458" i="4"/>
  <c r="X457" i="4"/>
  <c r="W457" i="4"/>
  <c r="V457" i="4"/>
  <c r="T457" i="4"/>
  <c r="X456" i="4"/>
  <c r="W456" i="4"/>
  <c r="V456" i="4"/>
  <c r="T456" i="4"/>
  <c r="X455" i="4"/>
  <c r="W455" i="4"/>
  <c r="V455" i="4"/>
  <c r="T455" i="4"/>
  <c r="X454" i="4"/>
  <c r="W454" i="4"/>
  <c r="V454" i="4"/>
  <c r="T454" i="4"/>
  <c r="X453" i="4"/>
  <c r="W453" i="4"/>
  <c r="V453" i="4"/>
  <c r="T453" i="4"/>
  <c r="X452" i="4"/>
  <c r="W452" i="4"/>
  <c r="V452" i="4"/>
  <c r="T452" i="4"/>
  <c r="X451" i="4"/>
  <c r="W451" i="4"/>
  <c r="V451" i="4"/>
  <c r="T451" i="4"/>
  <c r="X450" i="4"/>
  <c r="W450" i="4"/>
  <c r="V450" i="4"/>
  <c r="T450" i="4"/>
  <c r="X449" i="4"/>
  <c r="W449" i="4"/>
  <c r="V449" i="4"/>
  <c r="T449" i="4"/>
  <c r="X448" i="4"/>
  <c r="W448" i="4"/>
  <c r="V448" i="4"/>
  <c r="T448" i="4"/>
  <c r="X447" i="4"/>
  <c r="W447" i="4"/>
  <c r="V447" i="4"/>
  <c r="T447" i="4"/>
  <c r="X446" i="4"/>
  <c r="W446" i="4"/>
  <c r="V446" i="4"/>
  <c r="T446" i="4"/>
  <c r="X445" i="4"/>
  <c r="W445" i="4"/>
  <c r="V445" i="4"/>
  <c r="T445" i="4"/>
  <c r="X444" i="4"/>
  <c r="W444" i="4"/>
  <c r="V444" i="4"/>
  <c r="T444" i="4"/>
  <c r="X443" i="4"/>
  <c r="W443" i="4"/>
  <c r="V443" i="4"/>
  <c r="T443" i="4"/>
  <c r="X442" i="4"/>
  <c r="W442" i="4"/>
  <c r="V442" i="4"/>
  <c r="T442" i="4"/>
  <c r="X441" i="4"/>
  <c r="W441" i="4"/>
  <c r="V441" i="4"/>
  <c r="T441" i="4"/>
  <c r="X440" i="4"/>
  <c r="W440" i="4"/>
  <c r="V440" i="4"/>
  <c r="T440" i="4"/>
  <c r="X439" i="4"/>
  <c r="W439" i="4"/>
  <c r="V439" i="4"/>
  <c r="T439" i="4"/>
  <c r="X438" i="4"/>
  <c r="W438" i="4"/>
  <c r="V438" i="4"/>
  <c r="T438" i="4"/>
  <c r="X437" i="4"/>
  <c r="W437" i="4"/>
  <c r="V437" i="4"/>
  <c r="T437" i="4"/>
  <c r="X436" i="4"/>
  <c r="W436" i="4"/>
  <c r="V436" i="4"/>
  <c r="T436" i="4"/>
  <c r="X435" i="4"/>
  <c r="W435" i="4"/>
  <c r="V435" i="4"/>
  <c r="T435" i="4"/>
  <c r="X434" i="4"/>
  <c r="W434" i="4"/>
  <c r="V434" i="4"/>
  <c r="T434" i="4"/>
  <c r="X433" i="4"/>
  <c r="W433" i="4"/>
  <c r="V433" i="4"/>
  <c r="T433" i="4"/>
  <c r="X432" i="4"/>
  <c r="W432" i="4"/>
  <c r="V432" i="4"/>
  <c r="T432" i="4"/>
  <c r="X431" i="4"/>
  <c r="W431" i="4"/>
  <c r="V431" i="4"/>
  <c r="T431" i="4"/>
  <c r="X430" i="4"/>
  <c r="W430" i="4"/>
  <c r="V430" i="4"/>
  <c r="T430" i="4"/>
  <c r="X429" i="4"/>
  <c r="W429" i="4"/>
  <c r="V429" i="4"/>
  <c r="T429" i="4"/>
  <c r="X428" i="4"/>
  <c r="W428" i="4"/>
  <c r="V428" i="4"/>
  <c r="T428" i="4"/>
  <c r="X427" i="4"/>
  <c r="W427" i="4"/>
  <c r="V427" i="4"/>
  <c r="T427" i="4"/>
  <c r="X426" i="4"/>
  <c r="W426" i="4"/>
  <c r="V426" i="4"/>
  <c r="T426" i="4"/>
  <c r="X425" i="4"/>
  <c r="W425" i="4"/>
  <c r="V425" i="4"/>
  <c r="T425" i="4"/>
  <c r="X424" i="4"/>
  <c r="W424" i="4"/>
  <c r="V424" i="4"/>
  <c r="T424" i="4"/>
  <c r="X423" i="4"/>
  <c r="W423" i="4"/>
  <c r="V423" i="4"/>
  <c r="T423" i="4"/>
  <c r="X422" i="4"/>
  <c r="W422" i="4"/>
  <c r="V422" i="4"/>
  <c r="T422" i="4"/>
  <c r="X421" i="4"/>
  <c r="W421" i="4"/>
  <c r="V421" i="4"/>
  <c r="T421" i="4"/>
  <c r="X420" i="4"/>
  <c r="W420" i="4"/>
  <c r="V420" i="4"/>
  <c r="T420" i="4"/>
  <c r="X419" i="4"/>
  <c r="W419" i="4"/>
  <c r="V419" i="4"/>
  <c r="T419" i="4"/>
  <c r="X418" i="4"/>
  <c r="W418" i="4"/>
  <c r="V418" i="4"/>
  <c r="T418" i="4"/>
  <c r="X417" i="4"/>
  <c r="W417" i="4"/>
  <c r="V417" i="4"/>
  <c r="T417" i="4"/>
  <c r="X416" i="4"/>
  <c r="W416" i="4"/>
  <c r="V416" i="4"/>
  <c r="T416" i="4"/>
  <c r="X415" i="4"/>
  <c r="W415" i="4"/>
  <c r="V415" i="4"/>
  <c r="T415" i="4"/>
  <c r="X414" i="4"/>
  <c r="W414" i="4"/>
  <c r="V414" i="4"/>
  <c r="T414" i="4"/>
  <c r="X413" i="4"/>
  <c r="W413" i="4"/>
  <c r="V413" i="4"/>
  <c r="T413" i="4"/>
  <c r="X412" i="4"/>
  <c r="W412" i="4"/>
  <c r="V412" i="4"/>
  <c r="T412" i="4"/>
  <c r="X411" i="4"/>
  <c r="W411" i="4"/>
  <c r="V411" i="4"/>
  <c r="T411" i="4"/>
  <c r="X410" i="4"/>
  <c r="W410" i="4"/>
  <c r="V410" i="4"/>
  <c r="T410" i="4"/>
  <c r="X409" i="4"/>
  <c r="W409" i="4"/>
  <c r="V409" i="4"/>
  <c r="T409" i="4"/>
  <c r="X408" i="4"/>
  <c r="W408" i="4"/>
  <c r="V408" i="4"/>
  <c r="T408" i="4"/>
  <c r="X407" i="4"/>
  <c r="W407" i="4"/>
  <c r="V407" i="4"/>
  <c r="T407" i="4"/>
  <c r="Y407" i="4" s="1"/>
  <c r="Z407" i="4" s="1"/>
  <c r="X406" i="4"/>
  <c r="W406" i="4"/>
  <c r="V406" i="4"/>
  <c r="T406" i="4"/>
  <c r="X405" i="4"/>
  <c r="W405" i="4"/>
  <c r="V405" i="4"/>
  <c r="T405" i="4"/>
  <c r="X404" i="4"/>
  <c r="W404" i="4"/>
  <c r="V404" i="4"/>
  <c r="T404" i="4"/>
  <c r="X403" i="4"/>
  <c r="W403" i="4"/>
  <c r="V403" i="4"/>
  <c r="T403" i="4"/>
  <c r="X402" i="4"/>
  <c r="W402" i="4"/>
  <c r="V402" i="4"/>
  <c r="T402" i="4"/>
  <c r="X401" i="4"/>
  <c r="W401" i="4"/>
  <c r="V401" i="4"/>
  <c r="T401" i="4"/>
  <c r="X400" i="4"/>
  <c r="W400" i="4"/>
  <c r="V400" i="4"/>
  <c r="T400" i="4"/>
  <c r="X399" i="4"/>
  <c r="W399" i="4"/>
  <c r="V399" i="4"/>
  <c r="T399" i="4"/>
  <c r="X398" i="4"/>
  <c r="W398" i="4"/>
  <c r="V398" i="4"/>
  <c r="T398" i="4"/>
  <c r="X397" i="4"/>
  <c r="W397" i="4"/>
  <c r="V397" i="4"/>
  <c r="T397" i="4"/>
  <c r="X396" i="4"/>
  <c r="W396" i="4"/>
  <c r="V396" i="4"/>
  <c r="T396" i="4"/>
  <c r="X395" i="4"/>
  <c r="W395" i="4"/>
  <c r="V395" i="4"/>
  <c r="T395" i="4"/>
  <c r="X394" i="4"/>
  <c r="W394" i="4"/>
  <c r="V394" i="4"/>
  <c r="T394" i="4"/>
  <c r="X393" i="4"/>
  <c r="W393" i="4"/>
  <c r="V393" i="4"/>
  <c r="T393" i="4"/>
  <c r="X392" i="4"/>
  <c r="W392" i="4"/>
  <c r="V392" i="4"/>
  <c r="T392" i="4"/>
  <c r="X391" i="4"/>
  <c r="W391" i="4"/>
  <c r="V391" i="4"/>
  <c r="T391" i="4"/>
  <c r="X390" i="4"/>
  <c r="W390" i="4"/>
  <c r="V390" i="4"/>
  <c r="T390" i="4"/>
  <c r="X389" i="4"/>
  <c r="W389" i="4"/>
  <c r="V389" i="4"/>
  <c r="T389" i="4"/>
  <c r="X388" i="4"/>
  <c r="W388" i="4"/>
  <c r="V388" i="4"/>
  <c r="T388" i="4"/>
  <c r="X387" i="4"/>
  <c r="W387" i="4"/>
  <c r="V387" i="4"/>
  <c r="T387" i="4"/>
  <c r="X386" i="4"/>
  <c r="W386" i="4"/>
  <c r="V386" i="4"/>
  <c r="T386" i="4"/>
  <c r="X385" i="4"/>
  <c r="W385" i="4"/>
  <c r="V385" i="4"/>
  <c r="T385" i="4"/>
  <c r="X384" i="4"/>
  <c r="W384" i="4"/>
  <c r="V384" i="4"/>
  <c r="T384" i="4"/>
  <c r="X383" i="4"/>
  <c r="W383" i="4"/>
  <c r="V383" i="4"/>
  <c r="T383" i="4"/>
  <c r="X382" i="4"/>
  <c r="W382" i="4"/>
  <c r="V382" i="4"/>
  <c r="T382" i="4"/>
  <c r="X381" i="4"/>
  <c r="W381" i="4"/>
  <c r="V381" i="4"/>
  <c r="T381" i="4"/>
  <c r="X380" i="4"/>
  <c r="W380" i="4"/>
  <c r="V380" i="4"/>
  <c r="T380" i="4"/>
  <c r="X379" i="4"/>
  <c r="W379" i="4"/>
  <c r="V379" i="4"/>
  <c r="T379" i="4"/>
  <c r="X378" i="4"/>
  <c r="W378" i="4"/>
  <c r="V378" i="4"/>
  <c r="T378" i="4"/>
  <c r="X377" i="4"/>
  <c r="W377" i="4"/>
  <c r="V377" i="4"/>
  <c r="T377" i="4"/>
  <c r="X376" i="4"/>
  <c r="W376" i="4"/>
  <c r="V376" i="4"/>
  <c r="T376" i="4"/>
  <c r="X375" i="4"/>
  <c r="W375" i="4"/>
  <c r="V375" i="4"/>
  <c r="T375" i="4"/>
  <c r="X374" i="4"/>
  <c r="W374" i="4"/>
  <c r="V374" i="4"/>
  <c r="T374" i="4"/>
  <c r="X373" i="4"/>
  <c r="W373" i="4"/>
  <c r="V373" i="4"/>
  <c r="T373" i="4"/>
  <c r="X372" i="4"/>
  <c r="W372" i="4"/>
  <c r="V372" i="4"/>
  <c r="T372" i="4"/>
  <c r="X371" i="4"/>
  <c r="W371" i="4"/>
  <c r="V371" i="4"/>
  <c r="T371" i="4"/>
  <c r="X370" i="4"/>
  <c r="W370" i="4"/>
  <c r="V370" i="4"/>
  <c r="T370" i="4"/>
  <c r="X369" i="4"/>
  <c r="W369" i="4"/>
  <c r="V369" i="4"/>
  <c r="T369" i="4"/>
  <c r="X368" i="4"/>
  <c r="W368" i="4"/>
  <c r="V368" i="4"/>
  <c r="T368" i="4"/>
  <c r="X367" i="4"/>
  <c r="W367" i="4"/>
  <c r="V367" i="4"/>
  <c r="T367" i="4"/>
  <c r="X366" i="4"/>
  <c r="W366" i="4"/>
  <c r="V366" i="4"/>
  <c r="T366" i="4"/>
  <c r="X365" i="4"/>
  <c r="W365" i="4"/>
  <c r="V365" i="4"/>
  <c r="T365" i="4"/>
  <c r="X364" i="4"/>
  <c r="W364" i="4"/>
  <c r="V364" i="4"/>
  <c r="T364" i="4"/>
  <c r="X363" i="4"/>
  <c r="W363" i="4"/>
  <c r="V363" i="4"/>
  <c r="T363" i="4"/>
  <c r="X362" i="4"/>
  <c r="W362" i="4"/>
  <c r="V362" i="4"/>
  <c r="T362" i="4"/>
  <c r="X361" i="4"/>
  <c r="W361" i="4"/>
  <c r="V361" i="4"/>
  <c r="T361" i="4"/>
  <c r="X360" i="4"/>
  <c r="W360" i="4"/>
  <c r="V360" i="4"/>
  <c r="T360" i="4"/>
  <c r="X359" i="4"/>
  <c r="W359" i="4"/>
  <c r="V359" i="4"/>
  <c r="T359" i="4"/>
  <c r="X358" i="4"/>
  <c r="W358" i="4"/>
  <c r="V358" i="4"/>
  <c r="T358" i="4"/>
  <c r="X357" i="4"/>
  <c r="W357" i="4"/>
  <c r="V357" i="4"/>
  <c r="T357" i="4"/>
  <c r="X356" i="4"/>
  <c r="W356" i="4"/>
  <c r="V356" i="4"/>
  <c r="T356" i="4"/>
  <c r="X355" i="4"/>
  <c r="W355" i="4"/>
  <c r="V355" i="4"/>
  <c r="T355" i="4"/>
  <c r="X354" i="4"/>
  <c r="W354" i="4"/>
  <c r="V354" i="4"/>
  <c r="T354" i="4"/>
  <c r="X353" i="4"/>
  <c r="W353" i="4"/>
  <c r="V353" i="4"/>
  <c r="T353" i="4"/>
  <c r="X352" i="4"/>
  <c r="W352" i="4"/>
  <c r="V352" i="4"/>
  <c r="T352" i="4"/>
  <c r="X351" i="4"/>
  <c r="W351" i="4"/>
  <c r="V351" i="4"/>
  <c r="T351" i="4"/>
  <c r="X350" i="4"/>
  <c r="W350" i="4"/>
  <c r="V350" i="4"/>
  <c r="T350" i="4"/>
  <c r="X349" i="4"/>
  <c r="W349" i="4"/>
  <c r="V349" i="4"/>
  <c r="T349" i="4"/>
  <c r="X348" i="4"/>
  <c r="W348" i="4"/>
  <c r="V348" i="4"/>
  <c r="T348" i="4"/>
  <c r="X347" i="4"/>
  <c r="W347" i="4"/>
  <c r="V347" i="4"/>
  <c r="T347" i="4"/>
  <c r="X346" i="4"/>
  <c r="W346" i="4"/>
  <c r="V346" i="4"/>
  <c r="T346" i="4"/>
  <c r="X345" i="4"/>
  <c r="W345" i="4"/>
  <c r="V345" i="4"/>
  <c r="T345" i="4"/>
  <c r="X344" i="4"/>
  <c r="W344" i="4"/>
  <c r="T344" i="4"/>
  <c r="X343" i="4"/>
  <c r="W343" i="4"/>
  <c r="V343" i="4"/>
  <c r="T343" i="4"/>
  <c r="X342" i="4"/>
  <c r="W342" i="4"/>
  <c r="V342" i="4"/>
  <c r="T342" i="4"/>
  <c r="X341" i="4"/>
  <c r="W341" i="4"/>
  <c r="V341" i="4"/>
  <c r="T341" i="4"/>
  <c r="X340" i="4"/>
  <c r="W340" i="4"/>
  <c r="V340" i="4"/>
  <c r="T340" i="4"/>
  <c r="X339" i="4"/>
  <c r="W339" i="4"/>
  <c r="V339" i="4"/>
  <c r="T339" i="4"/>
  <c r="X338" i="4"/>
  <c r="W338" i="4"/>
  <c r="V338" i="4"/>
  <c r="T338" i="4"/>
  <c r="X337" i="4"/>
  <c r="W337" i="4"/>
  <c r="V337" i="4"/>
  <c r="T337" i="4"/>
  <c r="X336" i="4"/>
  <c r="W336" i="4"/>
  <c r="V336" i="4"/>
  <c r="T336" i="4"/>
  <c r="X335" i="4"/>
  <c r="W335" i="4"/>
  <c r="V335" i="4"/>
  <c r="T335" i="4"/>
  <c r="X334" i="4"/>
  <c r="W334" i="4"/>
  <c r="V334" i="4"/>
  <c r="T334" i="4"/>
  <c r="X333" i="4"/>
  <c r="W333" i="4"/>
  <c r="V333" i="4"/>
  <c r="T333" i="4"/>
  <c r="X332" i="4"/>
  <c r="W332" i="4"/>
  <c r="V332" i="4"/>
  <c r="T332" i="4"/>
  <c r="X331" i="4"/>
  <c r="W331" i="4"/>
  <c r="V331" i="4"/>
  <c r="T331" i="4"/>
  <c r="X330" i="4"/>
  <c r="W330" i="4"/>
  <c r="V330" i="4"/>
  <c r="T330" i="4"/>
  <c r="X329" i="4"/>
  <c r="W329" i="4"/>
  <c r="V329" i="4"/>
  <c r="T329" i="4"/>
  <c r="X328" i="4"/>
  <c r="W328" i="4"/>
  <c r="V328" i="4"/>
  <c r="T328" i="4"/>
  <c r="X327" i="4"/>
  <c r="W327" i="4"/>
  <c r="V327" i="4"/>
  <c r="T327" i="4"/>
  <c r="X326" i="4"/>
  <c r="W326" i="4"/>
  <c r="V326" i="4"/>
  <c r="T326" i="4"/>
  <c r="X325" i="4"/>
  <c r="W325" i="4"/>
  <c r="V325" i="4"/>
  <c r="T325" i="4"/>
  <c r="X324" i="4"/>
  <c r="W324" i="4"/>
  <c r="V324" i="4"/>
  <c r="T324" i="4"/>
  <c r="X323" i="4"/>
  <c r="W323" i="4"/>
  <c r="V323" i="4"/>
  <c r="T323" i="4"/>
  <c r="X322" i="4"/>
  <c r="W322" i="4"/>
  <c r="V322" i="4"/>
  <c r="T322" i="4"/>
  <c r="X321" i="4"/>
  <c r="W321" i="4"/>
  <c r="V321" i="4"/>
  <c r="T321" i="4"/>
  <c r="X320" i="4"/>
  <c r="W320" i="4"/>
  <c r="V320" i="4"/>
  <c r="T320" i="4"/>
  <c r="X319" i="4"/>
  <c r="W319" i="4"/>
  <c r="V319" i="4"/>
  <c r="T319" i="4"/>
  <c r="X318" i="4"/>
  <c r="W318" i="4"/>
  <c r="V318" i="4"/>
  <c r="T318" i="4"/>
  <c r="X317" i="4"/>
  <c r="W317" i="4"/>
  <c r="V317" i="4"/>
  <c r="T317" i="4"/>
  <c r="X316" i="4"/>
  <c r="W316" i="4"/>
  <c r="V316" i="4"/>
  <c r="T316" i="4"/>
  <c r="X315" i="4"/>
  <c r="W315" i="4"/>
  <c r="V315" i="4"/>
  <c r="T315" i="4"/>
  <c r="X314" i="4"/>
  <c r="W314" i="4"/>
  <c r="V314" i="4"/>
  <c r="T314" i="4"/>
  <c r="X313" i="4"/>
  <c r="W313" i="4"/>
  <c r="V313" i="4"/>
  <c r="T313" i="4"/>
  <c r="X312" i="4"/>
  <c r="W312" i="4"/>
  <c r="V312" i="4"/>
  <c r="T312" i="4"/>
  <c r="X311" i="4"/>
  <c r="W311" i="4"/>
  <c r="V311" i="4"/>
  <c r="T311" i="4"/>
  <c r="X310" i="4"/>
  <c r="W310" i="4"/>
  <c r="V310" i="4"/>
  <c r="T310" i="4"/>
  <c r="X309" i="4"/>
  <c r="W309" i="4"/>
  <c r="V309" i="4"/>
  <c r="T309" i="4"/>
  <c r="X308" i="4"/>
  <c r="W308" i="4"/>
  <c r="V308" i="4"/>
  <c r="T308" i="4"/>
  <c r="X307" i="4"/>
  <c r="W307" i="4"/>
  <c r="V307" i="4"/>
  <c r="T307" i="4"/>
  <c r="X306" i="4"/>
  <c r="W306" i="4"/>
  <c r="V306" i="4"/>
  <c r="T306" i="4"/>
  <c r="X305" i="4"/>
  <c r="W305" i="4"/>
  <c r="V305" i="4"/>
  <c r="T305" i="4"/>
  <c r="X304" i="4"/>
  <c r="W304" i="4"/>
  <c r="V304" i="4"/>
  <c r="T304" i="4"/>
  <c r="X303" i="4"/>
  <c r="W303" i="4"/>
  <c r="V303" i="4"/>
  <c r="T303" i="4"/>
  <c r="X302" i="4"/>
  <c r="W302" i="4"/>
  <c r="V302" i="4"/>
  <c r="T302" i="4"/>
  <c r="X301" i="4"/>
  <c r="W301" i="4"/>
  <c r="V301" i="4"/>
  <c r="T301" i="4"/>
  <c r="X300" i="4"/>
  <c r="W300" i="4"/>
  <c r="V300" i="4"/>
  <c r="T300" i="4"/>
  <c r="X299" i="4"/>
  <c r="W299" i="4"/>
  <c r="V299" i="4"/>
  <c r="T299" i="4"/>
  <c r="X298" i="4"/>
  <c r="W298" i="4"/>
  <c r="V298" i="4"/>
  <c r="T298" i="4"/>
  <c r="X297" i="4"/>
  <c r="W297" i="4"/>
  <c r="V297" i="4"/>
  <c r="T297" i="4"/>
  <c r="X296" i="4"/>
  <c r="W296" i="4"/>
  <c r="V296" i="4"/>
  <c r="T296" i="4"/>
  <c r="X295" i="4"/>
  <c r="W295" i="4"/>
  <c r="V295" i="4"/>
  <c r="T295" i="4"/>
  <c r="X294" i="4"/>
  <c r="W294" i="4"/>
  <c r="V294" i="4"/>
  <c r="T294" i="4"/>
  <c r="X293" i="4"/>
  <c r="W293" i="4"/>
  <c r="V293" i="4"/>
  <c r="T293" i="4"/>
  <c r="X292" i="4"/>
  <c r="W292" i="4"/>
  <c r="V292" i="4"/>
  <c r="T292" i="4"/>
  <c r="X291" i="4"/>
  <c r="W291" i="4"/>
  <c r="V291" i="4"/>
  <c r="T291" i="4"/>
  <c r="X290" i="4"/>
  <c r="W290" i="4"/>
  <c r="V290" i="4"/>
  <c r="T290" i="4"/>
  <c r="X289" i="4"/>
  <c r="W289" i="4"/>
  <c r="V289" i="4"/>
  <c r="T289" i="4"/>
  <c r="X288" i="4"/>
  <c r="W288" i="4"/>
  <c r="V288" i="4"/>
  <c r="T288" i="4"/>
  <c r="X287" i="4"/>
  <c r="W287" i="4"/>
  <c r="T287" i="4"/>
  <c r="X286" i="4"/>
  <c r="W286" i="4"/>
  <c r="V286" i="4"/>
  <c r="T286" i="4"/>
  <c r="X285" i="4"/>
  <c r="W285" i="4"/>
  <c r="V285" i="4"/>
  <c r="T285" i="4"/>
  <c r="X284" i="4"/>
  <c r="W284" i="4"/>
  <c r="V284" i="4"/>
  <c r="T284" i="4"/>
  <c r="X283" i="4"/>
  <c r="W283" i="4"/>
  <c r="V283" i="4"/>
  <c r="T283" i="4"/>
  <c r="X282" i="4"/>
  <c r="W282" i="4"/>
  <c r="V282" i="4"/>
  <c r="T282" i="4"/>
  <c r="X281" i="4"/>
  <c r="W281" i="4"/>
  <c r="V281" i="4"/>
  <c r="T281" i="4"/>
  <c r="X280" i="4"/>
  <c r="W280" i="4"/>
  <c r="V280" i="4"/>
  <c r="T280" i="4"/>
  <c r="X279" i="4"/>
  <c r="W279" i="4"/>
  <c r="V279" i="4"/>
  <c r="T279" i="4"/>
  <c r="X278" i="4"/>
  <c r="W278" i="4"/>
  <c r="V278" i="4"/>
  <c r="T278" i="4"/>
  <c r="X277" i="4"/>
  <c r="W277" i="4"/>
  <c r="V277" i="4"/>
  <c r="T277" i="4"/>
  <c r="X276" i="4"/>
  <c r="W276" i="4"/>
  <c r="V276" i="4"/>
  <c r="T276" i="4"/>
  <c r="X275" i="4"/>
  <c r="W275" i="4"/>
  <c r="V275" i="4"/>
  <c r="T275" i="4"/>
  <c r="X274" i="4"/>
  <c r="W274" i="4"/>
  <c r="V274" i="4"/>
  <c r="T274" i="4"/>
  <c r="X273" i="4"/>
  <c r="W273" i="4"/>
  <c r="V273" i="4"/>
  <c r="T273" i="4"/>
  <c r="X272" i="4"/>
  <c r="W272" i="4"/>
  <c r="V272" i="4"/>
  <c r="T272" i="4"/>
  <c r="X271" i="4"/>
  <c r="W271" i="4"/>
  <c r="V271" i="4"/>
  <c r="T271" i="4"/>
  <c r="X270" i="4"/>
  <c r="W270" i="4"/>
  <c r="V270" i="4"/>
  <c r="T270" i="4"/>
  <c r="X269" i="4"/>
  <c r="W269" i="4"/>
  <c r="V269" i="4"/>
  <c r="T269" i="4"/>
  <c r="X268" i="4"/>
  <c r="W268" i="4"/>
  <c r="V268" i="4"/>
  <c r="T268" i="4"/>
  <c r="X267" i="4"/>
  <c r="W267" i="4"/>
  <c r="V267" i="4"/>
  <c r="T267" i="4"/>
  <c r="X266" i="4"/>
  <c r="W266" i="4"/>
  <c r="V266" i="4"/>
  <c r="T266" i="4"/>
  <c r="X265" i="4"/>
  <c r="W265" i="4"/>
  <c r="V265" i="4"/>
  <c r="T265" i="4"/>
  <c r="X264" i="4"/>
  <c r="W264" i="4"/>
  <c r="V264" i="4"/>
  <c r="T264" i="4"/>
  <c r="X263" i="4"/>
  <c r="W263" i="4"/>
  <c r="V263" i="4"/>
  <c r="T263" i="4"/>
  <c r="X262" i="4"/>
  <c r="W262" i="4"/>
  <c r="V262" i="4"/>
  <c r="T262" i="4"/>
  <c r="X261" i="4"/>
  <c r="W261" i="4"/>
  <c r="V261" i="4"/>
  <c r="T261" i="4"/>
  <c r="X260" i="4"/>
  <c r="W260" i="4"/>
  <c r="V260" i="4"/>
  <c r="T260" i="4"/>
  <c r="X259" i="4"/>
  <c r="W259" i="4"/>
  <c r="V259" i="4"/>
  <c r="T259" i="4"/>
  <c r="X258" i="4"/>
  <c r="W258" i="4"/>
  <c r="V258" i="4"/>
  <c r="T258" i="4"/>
  <c r="X257" i="4"/>
  <c r="W257" i="4"/>
  <c r="V257" i="4"/>
  <c r="T257" i="4"/>
  <c r="X256" i="4"/>
  <c r="W256" i="4"/>
  <c r="V256" i="4"/>
  <c r="T256" i="4"/>
  <c r="X255" i="4"/>
  <c r="W255" i="4"/>
  <c r="V255" i="4"/>
  <c r="T255" i="4"/>
  <c r="X254" i="4"/>
  <c r="W254" i="4"/>
  <c r="V254" i="4"/>
  <c r="T254" i="4"/>
  <c r="X253" i="4"/>
  <c r="W253" i="4"/>
  <c r="V253" i="4"/>
  <c r="T253" i="4"/>
  <c r="X252" i="4"/>
  <c r="W252" i="4"/>
  <c r="V252" i="4"/>
  <c r="T252" i="4"/>
  <c r="X251" i="4"/>
  <c r="W251" i="4"/>
  <c r="V251" i="4"/>
  <c r="T251" i="4"/>
  <c r="X250" i="4"/>
  <c r="W250" i="4"/>
  <c r="V250" i="4"/>
  <c r="T250" i="4"/>
  <c r="X249" i="4"/>
  <c r="W249" i="4"/>
  <c r="V249" i="4"/>
  <c r="T249" i="4"/>
  <c r="X248" i="4"/>
  <c r="W248" i="4"/>
  <c r="V248" i="4"/>
  <c r="T248" i="4"/>
  <c r="X247" i="4"/>
  <c r="W247" i="4"/>
  <c r="V247" i="4"/>
  <c r="T247" i="4"/>
  <c r="X246" i="4"/>
  <c r="W246" i="4"/>
  <c r="V246" i="4"/>
  <c r="T246" i="4"/>
  <c r="X245" i="4"/>
  <c r="W245" i="4"/>
  <c r="V245" i="4"/>
  <c r="T245" i="4"/>
  <c r="X244" i="4"/>
  <c r="W244" i="4"/>
  <c r="V244" i="4"/>
  <c r="T244" i="4"/>
  <c r="X243" i="4"/>
  <c r="W243" i="4"/>
  <c r="V243" i="4"/>
  <c r="T243" i="4"/>
  <c r="X242" i="4"/>
  <c r="W242" i="4"/>
  <c r="V242" i="4"/>
  <c r="T242" i="4"/>
  <c r="X241" i="4"/>
  <c r="W241" i="4"/>
  <c r="V241" i="4"/>
  <c r="T241" i="4"/>
  <c r="X240" i="4"/>
  <c r="W240" i="4"/>
  <c r="V240" i="4"/>
  <c r="T240" i="4"/>
  <c r="X239" i="4"/>
  <c r="W239" i="4"/>
  <c r="V239" i="4"/>
  <c r="T239" i="4"/>
  <c r="X238" i="4"/>
  <c r="W238" i="4"/>
  <c r="V238" i="4"/>
  <c r="T238" i="4"/>
  <c r="X237" i="4"/>
  <c r="W237" i="4"/>
  <c r="V237" i="4"/>
  <c r="T237" i="4"/>
  <c r="X236" i="4"/>
  <c r="W236" i="4"/>
  <c r="V236" i="4"/>
  <c r="T236" i="4"/>
  <c r="X235" i="4"/>
  <c r="W235" i="4"/>
  <c r="V235" i="4"/>
  <c r="T235" i="4"/>
  <c r="X234" i="4"/>
  <c r="W234" i="4"/>
  <c r="V234" i="4"/>
  <c r="T234" i="4"/>
  <c r="X233" i="4"/>
  <c r="W233" i="4"/>
  <c r="V233" i="4"/>
  <c r="T233" i="4"/>
  <c r="X232" i="4"/>
  <c r="W232" i="4"/>
  <c r="V232" i="4"/>
  <c r="T232" i="4"/>
  <c r="X231" i="4"/>
  <c r="W231" i="4"/>
  <c r="V231" i="4"/>
  <c r="T231" i="4"/>
  <c r="X230" i="4"/>
  <c r="W230" i="4"/>
  <c r="V230" i="4"/>
  <c r="T230" i="4"/>
  <c r="X229" i="4"/>
  <c r="W229" i="4"/>
  <c r="V229" i="4"/>
  <c r="T229" i="4"/>
  <c r="X228" i="4"/>
  <c r="W228" i="4"/>
  <c r="V228" i="4"/>
  <c r="T228" i="4"/>
  <c r="X227" i="4"/>
  <c r="W227" i="4"/>
  <c r="V227" i="4"/>
  <c r="T227" i="4"/>
  <c r="X226" i="4"/>
  <c r="W226" i="4"/>
  <c r="V226" i="4"/>
  <c r="T226" i="4"/>
  <c r="X225" i="4"/>
  <c r="W225" i="4"/>
  <c r="V225" i="4"/>
  <c r="T225" i="4"/>
  <c r="X224" i="4"/>
  <c r="W224" i="4"/>
  <c r="V224" i="4"/>
  <c r="T224" i="4"/>
  <c r="X223" i="4"/>
  <c r="W223" i="4"/>
  <c r="V223" i="4"/>
  <c r="T223" i="4"/>
  <c r="X222" i="4"/>
  <c r="W222" i="4"/>
  <c r="V222" i="4"/>
  <c r="T222" i="4"/>
  <c r="X221" i="4"/>
  <c r="W221" i="4"/>
  <c r="V221" i="4"/>
  <c r="T221" i="4"/>
  <c r="X220" i="4"/>
  <c r="W220" i="4"/>
  <c r="V220" i="4"/>
  <c r="T220" i="4"/>
  <c r="X219" i="4"/>
  <c r="W219" i="4"/>
  <c r="V219" i="4"/>
  <c r="T219" i="4"/>
  <c r="X218" i="4"/>
  <c r="W218" i="4"/>
  <c r="V218" i="4"/>
  <c r="T218" i="4"/>
  <c r="X217" i="4"/>
  <c r="W217" i="4"/>
  <c r="V217" i="4"/>
  <c r="T217" i="4"/>
  <c r="X216" i="4"/>
  <c r="W216" i="4"/>
  <c r="V216" i="4"/>
  <c r="T216" i="4"/>
  <c r="X215" i="4"/>
  <c r="W215" i="4"/>
  <c r="V215" i="4"/>
  <c r="T215" i="4"/>
  <c r="X214" i="4"/>
  <c r="W214" i="4"/>
  <c r="V214" i="4"/>
  <c r="T214" i="4"/>
  <c r="X213" i="4"/>
  <c r="W213" i="4"/>
  <c r="V213" i="4"/>
  <c r="T213" i="4"/>
  <c r="X212" i="4"/>
  <c r="W212" i="4"/>
  <c r="V212" i="4"/>
  <c r="T212" i="4"/>
  <c r="X211" i="4"/>
  <c r="W211" i="4"/>
  <c r="V211" i="4"/>
  <c r="T211" i="4"/>
  <c r="X210" i="4"/>
  <c r="W210" i="4"/>
  <c r="V210" i="4"/>
  <c r="T210" i="4"/>
  <c r="X209" i="4"/>
  <c r="W209" i="4"/>
  <c r="V209" i="4"/>
  <c r="T209" i="4"/>
  <c r="X208" i="4"/>
  <c r="W208" i="4"/>
  <c r="V208" i="4"/>
  <c r="T208" i="4"/>
  <c r="X207" i="4"/>
  <c r="W207" i="4"/>
  <c r="V207" i="4"/>
  <c r="T207" i="4"/>
  <c r="X206" i="4"/>
  <c r="W206" i="4"/>
  <c r="V206" i="4"/>
  <c r="T206" i="4"/>
  <c r="X205" i="4"/>
  <c r="W205" i="4"/>
  <c r="V205" i="4"/>
  <c r="T205" i="4"/>
  <c r="X204" i="4"/>
  <c r="W204" i="4"/>
  <c r="V204" i="4"/>
  <c r="T204" i="4"/>
  <c r="X203" i="4"/>
  <c r="W203" i="4"/>
  <c r="V203" i="4"/>
  <c r="T203" i="4"/>
  <c r="X202" i="4"/>
  <c r="W202" i="4"/>
  <c r="V202" i="4"/>
  <c r="T202" i="4"/>
  <c r="X201" i="4"/>
  <c r="W201" i="4"/>
  <c r="V201" i="4"/>
  <c r="T201" i="4"/>
  <c r="X200" i="4"/>
  <c r="W200" i="4"/>
  <c r="V200" i="4"/>
  <c r="T200" i="4"/>
  <c r="X199" i="4"/>
  <c r="W199" i="4"/>
  <c r="V199" i="4"/>
  <c r="T199" i="4"/>
  <c r="X198" i="4"/>
  <c r="W198" i="4"/>
  <c r="V198" i="4"/>
  <c r="T198" i="4"/>
  <c r="X197" i="4"/>
  <c r="W197" i="4"/>
  <c r="V197" i="4"/>
  <c r="T197" i="4"/>
  <c r="X196" i="4"/>
  <c r="W196" i="4"/>
  <c r="V196" i="4"/>
  <c r="T196" i="4"/>
  <c r="X195" i="4"/>
  <c r="W195" i="4"/>
  <c r="V195" i="4"/>
  <c r="T195" i="4"/>
  <c r="X194" i="4"/>
  <c r="W194" i="4"/>
  <c r="V194" i="4"/>
  <c r="T194" i="4"/>
  <c r="X193" i="4"/>
  <c r="W193" i="4"/>
  <c r="V193" i="4"/>
  <c r="T193" i="4"/>
  <c r="X192" i="4"/>
  <c r="W192" i="4"/>
  <c r="V192" i="4"/>
  <c r="T192" i="4"/>
  <c r="X191" i="4"/>
  <c r="W191" i="4"/>
  <c r="V191" i="4"/>
  <c r="T191" i="4"/>
  <c r="X190" i="4"/>
  <c r="W190" i="4"/>
  <c r="V190" i="4"/>
  <c r="T190" i="4"/>
  <c r="X189" i="4"/>
  <c r="W189" i="4"/>
  <c r="V189" i="4"/>
  <c r="T189" i="4"/>
  <c r="X188" i="4"/>
  <c r="W188" i="4"/>
  <c r="V188" i="4"/>
  <c r="T188" i="4"/>
  <c r="X187" i="4"/>
  <c r="W187" i="4"/>
  <c r="V187" i="4"/>
  <c r="T187" i="4"/>
  <c r="X186" i="4"/>
  <c r="W186" i="4"/>
  <c r="V186" i="4"/>
  <c r="T186" i="4"/>
  <c r="X185" i="4"/>
  <c r="W185" i="4"/>
  <c r="V185" i="4"/>
  <c r="T185" i="4"/>
  <c r="X184" i="4"/>
  <c r="W184" i="4"/>
  <c r="V184" i="4"/>
  <c r="T184" i="4"/>
  <c r="X183" i="4"/>
  <c r="W183" i="4"/>
  <c r="V183" i="4"/>
  <c r="T183" i="4"/>
  <c r="X182" i="4"/>
  <c r="W182" i="4"/>
  <c r="V182" i="4"/>
  <c r="T182" i="4"/>
  <c r="X181" i="4"/>
  <c r="W181" i="4"/>
  <c r="V181" i="4"/>
  <c r="T181" i="4"/>
  <c r="X180" i="4"/>
  <c r="W180" i="4"/>
  <c r="V180" i="4"/>
  <c r="T180" i="4"/>
  <c r="X179" i="4"/>
  <c r="W179" i="4"/>
  <c r="V179" i="4"/>
  <c r="T179" i="4"/>
  <c r="X178" i="4"/>
  <c r="W178" i="4"/>
  <c r="V178" i="4"/>
  <c r="T178" i="4"/>
  <c r="X177" i="4"/>
  <c r="W177" i="4"/>
  <c r="V177" i="4"/>
  <c r="T177" i="4"/>
  <c r="X176" i="4"/>
  <c r="W176" i="4"/>
  <c r="V176" i="4"/>
  <c r="T176" i="4"/>
  <c r="X175" i="4"/>
  <c r="W175" i="4"/>
  <c r="V175" i="4"/>
  <c r="T175" i="4"/>
  <c r="X174" i="4"/>
  <c r="W174" i="4"/>
  <c r="V174" i="4"/>
  <c r="T174" i="4"/>
  <c r="X173" i="4"/>
  <c r="W173" i="4"/>
  <c r="V173" i="4"/>
  <c r="T173" i="4"/>
  <c r="X172" i="4"/>
  <c r="W172" i="4"/>
  <c r="V172" i="4"/>
  <c r="T172" i="4"/>
  <c r="X171" i="4"/>
  <c r="W171" i="4"/>
  <c r="V171" i="4"/>
  <c r="T171" i="4"/>
  <c r="X170" i="4"/>
  <c r="W170" i="4"/>
  <c r="V170" i="4"/>
  <c r="T170" i="4"/>
  <c r="X169" i="4"/>
  <c r="W169" i="4"/>
  <c r="V169" i="4"/>
  <c r="T169" i="4"/>
  <c r="X168" i="4"/>
  <c r="W168" i="4"/>
  <c r="V168" i="4"/>
  <c r="T168" i="4"/>
  <c r="X167" i="4"/>
  <c r="W167" i="4"/>
  <c r="V167" i="4"/>
  <c r="T167" i="4"/>
  <c r="X166" i="4"/>
  <c r="W166" i="4"/>
  <c r="V166" i="4"/>
  <c r="T166" i="4"/>
  <c r="X165" i="4"/>
  <c r="W165" i="4"/>
  <c r="V165" i="4"/>
  <c r="T165" i="4"/>
  <c r="X164" i="4"/>
  <c r="W164" i="4"/>
  <c r="V164" i="4"/>
  <c r="T164" i="4"/>
  <c r="X163" i="4"/>
  <c r="W163" i="4"/>
  <c r="V163" i="4"/>
  <c r="T163" i="4"/>
  <c r="X162" i="4"/>
  <c r="W162" i="4"/>
  <c r="V162" i="4"/>
  <c r="T162" i="4"/>
  <c r="X161" i="4"/>
  <c r="W161" i="4"/>
  <c r="V161" i="4"/>
  <c r="T161" i="4"/>
  <c r="X160" i="4"/>
  <c r="W160" i="4"/>
  <c r="V160" i="4"/>
  <c r="T160" i="4"/>
  <c r="X159" i="4"/>
  <c r="W159" i="4"/>
  <c r="V159" i="4"/>
  <c r="T159" i="4"/>
  <c r="X158" i="4"/>
  <c r="W158" i="4"/>
  <c r="V158" i="4"/>
  <c r="T158" i="4"/>
  <c r="X157" i="4"/>
  <c r="W157" i="4"/>
  <c r="V157" i="4"/>
  <c r="T157" i="4"/>
  <c r="X156" i="4"/>
  <c r="W156" i="4"/>
  <c r="V156" i="4"/>
  <c r="T156" i="4"/>
  <c r="X155" i="4"/>
  <c r="W155" i="4"/>
  <c r="V155" i="4"/>
  <c r="T155" i="4"/>
  <c r="X154" i="4"/>
  <c r="W154" i="4"/>
  <c r="V154" i="4"/>
  <c r="T154" i="4"/>
  <c r="X153" i="4"/>
  <c r="W153" i="4"/>
  <c r="V153" i="4"/>
  <c r="T153" i="4"/>
  <c r="X152" i="4"/>
  <c r="W152" i="4"/>
  <c r="V152" i="4"/>
  <c r="T152" i="4"/>
  <c r="X151" i="4"/>
  <c r="W151" i="4"/>
  <c r="V151" i="4"/>
  <c r="T151" i="4"/>
  <c r="X150" i="4"/>
  <c r="W150" i="4"/>
  <c r="V150" i="4"/>
  <c r="T150" i="4"/>
  <c r="X149" i="4"/>
  <c r="W149" i="4"/>
  <c r="V149" i="4"/>
  <c r="T149" i="4"/>
  <c r="X148" i="4"/>
  <c r="W148" i="4"/>
  <c r="V148" i="4"/>
  <c r="T148" i="4"/>
  <c r="X147" i="4"/>
  <c r="W147" i="4"/>
  <c r="V147" i="4"/>
  <c r="T147" i="4"/>
  <c r="X146" i="4"/>
  <c r="W146" i="4"/>
  <c r="V146" i="4"/>
  <c r="T146" i="4"/>
  <c r="X145" i="4"/>
  <c r="W145" i="4"/>
  <c r="V145" i="4"/>
  <c r="T145" i="4"/>
  <c r="X144" i="4"/>
  <c r="W144" i="4"/>
  <c r="V144" i="4"/>
  <c r="T144" i="4"/>
  <c r="X143" i="4"/>
  <c r="W143" i="4"/>
  <c r="V143" i="4"/>
  <c r="T143" i="4"/>
  <c r="X142" i="4"/>
  <c r="W142" i="4"/>
  <c r="V142" i="4"/>
  <c r="T142" i="4"/>
  <c r="X141" i="4"/>
  <c r="W141" i="4"/>
  <c r="V141" i="4"/>
  <c r="T141" i="4"/>
  <c r="X140" i="4"/>
  <c r="W140" i="4"/>
  <c r="V140" i="4"/>
  <c r="T140" i="4"/>
  <c r="X139" i="4"/>
  <c r="W139" i="4"/>
  <c r="V139" i="4"/>
  <c r="T139" i="4"/>
  <c r="X138" i="4"/>
  <c r="W138" i="4"/>
  <c r="V138" i="4"/>
  <c r="T138" i="4"/>
  <c r="X137" i="4"/>
  <c r="W137" i="4"/>
  <c r="V137" i="4"/>
  <c r="T137" i="4"/>
  <c r="X136" i="4"/>
  <c r="W136" i="4"/>
  <c r="V136" i="4"/>
  <c r="T136" i="4"/>
  <c r="X135" i="4"/>
  <c r="W135" i="4"/>
  <c r="V135" i="4"/>
  <c r="T135" i="4"/>
  <c r="X134" i="4"/>
  <c r="W134" i="4"/>
  <c r="V134" i="4"/>
  <c r="T134" i="4"/>
  <c r="X133" i="4"/>
  <c r="W133" i="4"/>
  <c r="V133" i="4"/>
  <c r="T133" i="4"/>
  <c r="X132" i="4"/>
  <c r="W132" i="4"/>
  <c r="V132" i="4"/>
  <c r="T132" i="4"/>
  <c r="X131" i="4"/>
  <c r="W131" i="4"/>
  <c r="V131" i="4"/>
  <c r="T131" i="4"/>
  <c r="X130" i="4"/>
  <c r="W130" i="4"/>
  <c r="V130" i="4"/>
  <c r="T130" i="4"/>
  <c r="X129" i="4"/>
  <c r="W129" i="4"/>
  <c r="V129" i="4"/>
  <c r="T129" i="4"/>
  <c r="X128" i="4"/>
  <c r="W128" i="4"/>
  <c r="V128" i="4"/>
  <c r="T128" i="4"/>
  <c r="X127" i="4"/>
  <c r="W127" i="4"/>
  <c r="V127" i="4"/>
  <c r="T127" i="4"/>
  <c r="X126" i="4"/>
  <c r="W126" i="4"/>
  <c r="V126" i="4"/>
  <c r="T126" i="4"/>
  <c r="X125" i="4"/>
  <c r="W125" i="4"/>
  <c r="V125" i="4"/>
  <c r="T125" i="4"/>
  <c r="X124" i="4"/>
  <c r="W124" i="4"/>
  <c r="V124" i="4"/>
  <c r="T124" i="4"/>
  <c r="X123" i="4"/>
  <c r="W123" i="4"/>
  <c r="V123" i="4"/>
  <c r="T123" i="4"/>
  <c r="X122" i="4"/>
  <c r="W122" i="4"/>
  <c r="V122" i="4"/>
  <c r="T122" i="4"/>
  <c r="X121" i="4"/>
  <c r="W121" i="4"/>
  <c r="V121" i="4"/>
  <c r="T121" i="4"/>
  <c r="X120" i="4"/>
  <c r="W120" i="4"/>
  <c r="V120" i="4"/>
  <c r="T120" i="4"/>
  <c r="X119" i="4"/>
  <c r="W119" i="4"/>
  <c r="V119" i="4"/>
  <c r="T119" i="4"/>
  <c r="X118" i="4"/>
  <c r="W118" i="4"/>
  <c r="V118" i="4"/>
  <c r="T118" i="4"/>
  <c r="X117" i="4"/>
  <c r="W117" i="4"/>
  <c r="V117" i="4"/>
  <c r="T117" i="4"/>
  <c r="X116" i="4"/>
  <c r="W116" i="4"/>
  <c r="V116" i="4"/>
  <c r="T116" i="4"/>
  <c r="X115" i="4"/>
  <c r="W115" i="4"/>
  <c r="V115" i="4"/>
  <c r="T115" i="4"/>
  <c r="X114" i="4"/>
  <c r="W114" i="4"/>
  <c r="V114" i="4"/>
  <c r="T114" i="4"/>
  <c r="X113" i="4"/>
  <c r="W113" i="4"/>
  <c r="V113" i="4"/>
  <c r="T113" i="4"/>
  <c r="X112" i="4"/>
  <c r="W112" i="4"/>
  <c r="V112" i="4"/>
  <c r="T112" i="4"/>
  <c r="X111" i="4"/>
  <c r="W111" i="4"/>
  <c r="V111" i="4"/>
  <c r="T111" i="4"/>
  <c r="X110" i="4"/>
  <c r="W110" i="4"/>
  <c r="V110" i="4"/>
  <c r="T110" i="4"/>
  <c r="X109" i="4"/>
  <c r="W109" i="4"/>
  <c r="V109" i="4"/>
  <c r="T109" i="4"/>
  <c r="X108" i="4"/>
  <c r="W108" i="4"/>
  <c r="V108" i="4"/>
  <c r="T108" i="4"/>
  <c r="X107" i="4"/>
  <c r="W107" i="4"/>
  <c r="V107" i="4"/>
  <c r="T107" i="4"/>
  <c r="X106" i="4"/>
  <c r="W106" i="4"/>
  <c r="V106" i="4"/>
  <c r="T106" i="4"/>
  <c r="X105" i="4"/>
  <c r="W105" i="4"/>
  <c r="V105" i="4"/>
  <c r="T105" i="4"/>
  <c r="X104" i="4"/>
  <c r="W104" i="4"/>
  <c r="V104" i="4"/>
  <c r="T104" i="4"/>
  <c r="X103" i="4"/>
  <c r="W103" i="4"/>
  <c r="V103" i="4"/>
  <c r="T103" i="4"/>
  <c r="X102" i="4"/>
  <c r="W102" i="4"/>
  <c r="V102" i="4"/>
  <c r="T102" i="4"/>
  <c r="X101" i="4"/>
  <c r="W101" i="4"/>
  <c r="V101" i="4"/>
  <c r="T101" i="4"/>
  <c r="X100" i="4"/>
  <c r="W100" i="4"/>
  <c r="V100" i="4"/>
  <c r="T100" i="4"/>
  <c r="X99" i="4"/>
  <c r="W99" i="4"/>
  <c r="V99" i="4"/>
  <c r="T99" i="4"/>
  <c r="X98" i="4"/>
  <c r="W98" i="4"/>
  <c r="V98" i="4"/>
  <c r="T98" i="4"/>
  <c r="X97" i="4"/>
  <c r="W97" i="4"/>
  <c r="V97" i="4"/>
  <c r="T97" i="4"/>
  <c r="X96" i="4"/>
  <c r="W96" i="4"/>
  <c r="V96" i="4"/>
  <c r="T96" i="4"/>
  <c r="X95" i="4"/>
  <c r="W95" i="4"/>
  <c r="V95" i="4"/>
  <c r="T95" i="4"/>
  <c r="X94" i="4"/>
  <c r="W94" i="4"/>
  <c r="V94" i="4"/>
  <c r="T94" i="4"/>
  <c r="X93" i="4"/>
  <c r="W93" i="4"/>
  <c r="V93" i="4"/>
  <c r="T93" i="4"/>
  <c r="X92" i="4"/>
  <c r="W92" i="4"/>
  <c r="V92" i="4"/>
  <c r="T92" i="4"/>
  <c r="X91" i="4"/>
  <c r="W91" i="4"/>
  <c r="V91" i="4"/>
  <c r="T91" i="4"/>
  <c r="X90" i="4"/>
  <c r="W90" i="4"/>
  <c r="V90" i="4"/>
  <c r="T90" i="4"/>
  <c r="X89" i="4"/>
  <c r="W89" i="4"/>
  <c r="V89" i="4"/>
  <c r="T89" i="4"/>
  <c r="X88" i="4"/>
  <c r="W88" i="4"/>
  <c r="V88" i="4"/>
  <c r="T88" i="4"/>
  <c r="X87" i="4"/>
  <c r="W87" i="4"/>
  <c r="V87" i="4"/>
  <c r="T87" i="4"/>
  <c r="X86" i="4"/>
  <c r="W86" i="4"/>
  <c r="V86" i="4"/>
  <c r="T86" i="4"/>
  <c r="X85" i="4"/>
  <c r="W85" i="4"/>
  <c r="V85" i="4"/>
  <c r="T85" i="4"/>
  <c r="X84" i="4"/>
  <c r="W84" i="4"/>
  <c r="V84" i="4"/>
  <c r="T84" i="4"/>
  <c r="X83" i="4"/>
  <c r="W83" i="4"/>
  <c r="V83" i="4"/>
  <c r="T83" i="4"/>
  <c r="X82" i="4"/>
  <c r="W82" i="4"/>
  <c r="V82" i="4"/>
  <c r="T82" i="4"/>
  <c r="X81" i="4"/>
  <c r="W81" i="4"/>
  <c r="V81" i="4"/>
  <c r="T81" i="4"/>
  <c r="X80" i="4"/>
  <c r="W80" i="4"/>
  <c r="V80" i="4"/>
  <c r="T80" i="4"/>
  <c r="X79" i="4"/>
  <c r="W79" i="4"/>
  <c r="V79" i="4"/>
  <c r="T79" i="4"/>
  <c r="X78" i="4"/>
  <c r="W78" i="4"/>
  <c r="V78" i="4"/>
  <c r="T78" i="4"/>
  <c r="X77" i="4"/>
  <c r="W77" i="4"/>
  <c r="V77" i="4"/>
  <c r="T77" i="4"/>
  <c r="X76" i="4"/>
  <c r="W76" i="4"/>
  <c r="V76" i="4"/>
  <c r="T76" i="4"/>
  <c r="X75" i="4"/>
  <c r="W75" i="4"/>
  <c r="V75" i="4"/>
  <c r="T75" i="4"/>
  <c r="X74" i="4"/>
  <c r="W74" i="4"/>
  <c r="V74" i="4"/>
  <c r="T74" i="4"/>
  <c r="X73" i="4"/>
  <c r="W73" i="4"/>
  <c r="V73" i="4"/>
  <c r="T73" i="4"/>
  <c r="X72" i="4"/>
  <c r="W72" i="4"/>
  <c r="V72" i="4"/>
  <c r="T72" i="4"/>
  <c r="X71" i="4"/>
  <c r="W71" i="4"/>
  <c r="V71" i="4"/>
  <c r="T71" i="4"/>
  <c r="X70" i="4"/>
  <c r="W70" i="4"/>
  <c r="V70" i="4"/>
  <c r="T70" i="4"/>
  <c r="X69" i="4"/>
  <c r="W69" i="4"/>
  <c r="V69" i="4"/>
  <c r="T69" i="4"/>
  <c r="X68" i="4"/>
  <c r="W68" i="4"/>
  <c r="V68" i="4"/>
  <c r="T68" i="4"/>
  <c r="X67" i="4"/>
  <c r="W67" i="4"/>
  <c r="V67" i="4"/>
  <c r="T67" i="4"/>
  <c r="X66" i="4"/>
  <c r="W66" i="4"/>
  <c r="V66" i="4"/>
  <c r="T66" i="4"/>
  <c r="X65" i="4"/>
  <c r="W65" i="4"/>
  <c r="V65" i="4"/>
  <c r="T65" i="4"/>
  <c r="X64" i="4"/>
  <c r="W64" i="4"/>
  <c r="V64" i="4"/>
  <c r="T64" i="4"/>
  <c r="X63" i="4"/>
  <c r="W63" i="4"/>
  <c r="V63" i="4"/>
  <c r="T63" i="4"/>
  <c r="X62" i="4"/>
  <c r="W62" i="4"/>
  <c r="V62" i="4"/>
  <c r="T62" i="4"/>
  <c r="X61" i="4"/>
  <c r="W61" i="4"/>
  <c r="V61" i="4"/>
  <c r="T61" i="4"/>
  <c r="X60" i="4"/>
  <c r="W60" i="4"/>
  <c r="V60" i="4"/>
  <c r="T60" i="4"/>
  <c r="X59" i="4"/>
  <c r="W59" i="4"/>
  <c r="V59" i="4"/>
  <c r="T59" i="4"/>
  <c r="X58" i="4"/>
  <c r="W58" i="4"/>
  <c r="V58" i="4"/>
  <c r="T58" i="4"/>
  <c r="X57" i="4"/>
  <c r="W57" i="4"/>
  <c r="V57" i="4"/>
  <c r="T57" i="4"/>
  <c r="X56" i="4"/>
  <c r="W56" i="4"/>
  <c r="V56" i="4"/>
  <c r="T56" i="4"/>
  <c r="X55" i="4"/>
  <c r="W55" i="4"/>
  <c r="V55" i="4"/>
  <c r="T55" i="4"/>
  <c r="X54" i="4"/>
  <c r="W54" i="4"/>
  <c r="V54" i="4"/>
  <c r="T54" i="4"/>
  <c r="X53" i="4"/>
  <c r="W53" i="4"/>
  <c r="V53" i="4"/>
  <c r="T53" i="4"/>
  <c r="X52" i="4"/>
  <c r="W52" i="4"/>
  <c r="V52" i="4"/>
  <c r="T52" i="4"/>
  <c r="X51" i="4"/>
  <c r="W51" i="4"/>
  <c r="V51" i="4"/>
  <c r="T51" i="4"/>
  <c r="X50" i="4"/>
  <c r="W50" i="4"/>
  <c r="V50" i="4"/>
  <c r="T50" i="4"/>
  <c r="X49" i="4"/>
  <c r="W49" i="4"/>
  <c r="V49" i="4"/>
  <c r="T49" i="4"/>
  <c r="X48" i="4"/>
  <c r="W48" i="4"/>
  <c r="V48" i="4"/>
  <c r="T48" i="4"/>
  <c r="X47" i="4"/>
  <c r="W47" i="4"/>
  <c r="V47" i="4"/>
  <c r="T47" i="4"/>
  <c r="X46" i="4"/>
  <c r="W46" i="4"/>
  <c r="V46" i="4"/>
  <c r="T46" i="4"/>
  <c r="X45" i="4"/>
  <c r="W45" i="4"/>
  <c r="V45" i="4"/>
  <c r="T45" i="4"/>
  <c r="X44" i="4"/>
  <c r="W44" i="4"/>
  <c r="V44" i="4"/>
  <c r="T44" i="4"/>
  <c r="X43" i="4"/>
  <c r="W43" i="4"/>
  <c r="V43" i="4"/>
  <c r="T43" i="4"/>
  <c r="X42" i="4"/>
  <c r="W42" i="4"/>
  <c r="V42" i="4"/>
  <c r="T42" i="4"/>
  <c r="X41" i="4"/>
  <c r="W41" i="4"/>
  <c r="V41" i="4"/>
  <c r="T41" i="4"/>
  <c r="X40" i="4"/>
  <c r="W40" i="4"/>
  <c r="V40" i="4"/>
  <c r="T40" i="4"/>
  <c r="X39" i="4"/>
  <c r="W39" i="4"/>
  <c r="V39" i="4"/>
  <c r="T39" i="4"/>
  <c r="X38" i="4"/>
  <c r="W38" i="4"/>
  <c r="V38" i="4"/>
  <c r="T38" i="4"/>
  <c r="X37" i="4"/>
  <c r="W37" i="4"/>
  <c r="V37" i="4"/>
  <c r="T37" i="4"/>
  <c r="X36" i="4"/>
  <c r="W36" i="4"/>
  <c r="V36" i="4"/>
  <c r="T36" i="4"/>
  <c r="X35" i="4"/>
  <c r="W35" i="4"/>
  <c r="V35" i="4"/>
  <c r="T35" i="4"/>
  <c r="X34" i="4"/>
  <c r="W34" i="4"/>
  <c r="V34" i="4"/>
  <c r="T34" i="4"/>
  <c r="X33" i="4"/>
  <c r="W33" i="4"/>
  <c r="V33" i="4"/>
  <c r="T33" i="4"/>
  <c r="X32" i="4"/>
  <c r="W32" i="4"/>
  <c r="V32" i="4"/>
  <c r="T32" i="4"/>
  <c r="X31" i="4"/>
  <c r="W31" i="4"/>
  <c r="V31" i="4"/>
  <c r="T31" i="4"/>
  <c r="X30" i="4"/>
  <c r="W30" i="4"/>
  <c r="V30" i="4"/>
  <c r="T30" i="4"/>
  <c r="X29" i="4"/>
  <c r="W29" i="4"/>
  <c r="V29" i="4"/>
  <c r="T29" i="4"/>
  <c r="X28" i="4"/>
  <c r="W28" i="4"/>
  <c r="V28" i="4"/>
  <c r="T28" i="4"/>
  <c r="X27" i="4"/>
  <c r="W27" i="4"/>
  <c r="V27" i="4"/>
  <c r="T27" i="4"/>
  <c r="X26" i="4"/>
  <c r="W26" i="4"/>
  <c r="V26" i="4"/>
  <c r="T26" i="4"/>
  <c r="X25" i="4"/>
  <c r="W25" i="4"/>
  <c r="V25" i="4"/>
  <c r="T25" i="4"/>
  <c r="X24" i="4"/>
  <c r="W24" i="4"/>
  <c r="V24" i="4"/>
  <c r="T24" i="4"/>
  <c r="X23" i="4"/>
  <c r="W23" i="4"/>
  <c r="V23" i="4"/>
  <c r="T23" i="4"/>
  <c r="X22" i="4"/>
  <c r="W22" i="4"/>
  <c r="V22" i="4"/>
  <c r="T22" i="4"/>
  <c r="X21" i="4"/>
  <c r="W21" i="4"/>
  <c r="V21" i="4"/>
  <c r="T21" i="4"/>
  <c r="X20" i="4"/>
  <c r="W20" i="4"/>
  <c r="V20" i="4"/>
  <c r="T20" i="4"/>
  <c r="X19" i="4"/>
  <c r="W19" i="4"/>
  <c r="V19" i="4"/>
  <c r="T19" i="4"/>
  <c r="X18" i="4"/>
  <c r="W18" i="4"/>
  <c r="V18" i="4"/>
  <c r="T18" i="4"/>
  <c r="X17" i="4"/>
  <c r="W17" i="4"/>
  <c r="V17" i="4"/>
  <c r="T17" i="4"/>
  <c r="X16" i="4"/>
  <c r="W16" i="4"/>
  <c r="V16" i="4"/>
  <c r="T16" i="4"/>
  <c r="X15" i="4"/>
  <c r="W15" i="4"/>
  <c r="V15" i="4"/>
  <c r="T15" i="4"/>
  <c r="X14" i="4"/>
  <c r="W14" i="4"/>
  <c r="V14" i="4"/>
  <c r="T14" i="4"/>
  <c r="X13" i="4"/>
  <c r="W13" i="4"/>
  <c r="V13" i="4"/>
  <c r="T13" i="4"/>
  <c r="X12" i="4"/>
  <c r="W12" i="4"/>
  <c r="V12" i="4"/>
  <c r="T12" i="4"/>
  <c r="X11" i="4"/>
  <c r="W11" i="4"/>
  <c r="V11" i="4"/>
  <c r="T11" i="4"/>
  <c r="X10" i="4"/>
  <c r="W10" i="4"/>
  <c r="V10" i="4"/>
  <c r="T10" i="4"/>
  <c r="X9" i="4"/>
  <c r="W9" i="4"/>
  <c r="V9" i="4"/>
  <c r="T9" i="4"/>
  <c r="X8" i="4"/>
  <c r="W8" i="4"/>
  <c r="V8" i="4"/>
  <c r="T8" i="4"/>
  <c r="X7" i="4"/>
  <c r="W7" i="4"/>
  <c r="V7" i="4"/>
  <c r="T7" i="4"/>
  <c r="X6" i="4"/>
  <c r="W6" i="4"/>
  <c r="V6" i="4"/>
  <c r="T6" i="4"/>
  <c r="X5" i="4"/>
  <c r="W5" i="4"/>
  <c r="V5" i="4"/>
  <c r="T5" i="4"/>
  <c r="X4" i="4"/>
  <c r="W4" i="4"/>
  <c r="V4" i="4"/>
  <c r="T4" i="4"/>
  <c r="Y21" i="4" l="1"/>
  <c r="Z21" i="4" s="1"/>
  <c r="Y340" i="4"/>
  <c r="Z340" i="4" s="1"/>
  <c r="Y375" i="4"/>
  <c r="Z375" i="4" s="1"/>
  <c r="Y384" i="4"/>
  <c r="Z384" i="4" s="1"/>
  <c r="Y402" i="4"/>
  <c r="Z402" i="4" s="1"/>
  <c r="Y413" i="4"/>
  <c r="Z413" i="4" s="1"/>
  <c r="Y443" i="4"/>
  <c r="Z443" i="4" s="1"/>
  <c r="Y336" i="4"/>
  <c r="Z336" i="4" s="1"/>
  <c r="Y23" i="4"/>
  <c r="Z23" i="4" s="1"/>
  <c r="Y38" i="4"/>
  <c r="Z38" i="4" s="1"/>
  <c r="Y313" i="4"/>
  <c r="Z313" i="4" s="1"/>
  <c r="Y316" i="4"/>
  <c r="Z316" i="4" s="1"/>
  <c r="Y289" i="4"/>
  <c r="Z289" i="4" s="1"/>
  <c r="Y65" i="4"/>
  <c r="Z65" i="4" s="1"/>
  <c r="Y137" i="4"/>
  <c r="Z137" i="4" s="1"/>
  <c r="Y156" i="4"/>
  <c r="Z156" i="4" s="1"/>
  <c r="Y158" i="4"/>
  <c r="Z158" i="4" s="1"/>
  <c r="Y170" i="4"/>
  <c r="Z170" i="4" s="1"/>
  <c r="Y182" i="4"/>
  <c r="Z182" i="4" s="1"/>
  <c r="Y104" i="4"/>
  <c r="Z104" i="4" s="1"/>
  <c r="Y119" i="4"/>
  <c r="Z119" i="4" s="1"/>
  <c r="Y70" i="4"/>
  <c r="Z70" i="4" s="1"/>
  <c r="Y73" i="4"/>
  <c r="Z73" i="4" s="1"/>
  <c r="Y19" i="4"/>
  <c r="Z19" i="4" s="1"/>
  <c r="Y27" i="4"/>
  <c r="Z27" i="4" s="1"/>
  <c r="Y63" i="4"/>
  <c r="Z63" i="4" s="1"/>
  <c r="Y68" i="4"/>
  <c r="Z68" i="4" s="1"/>
  <c r="Y112" i="4"/>
  <c r="Z112" i="4" s="1"/>
  <c r="Y113" i="4"/>
  <c r="Z113" i="4" s="1"/>
  <c r="Y115" i="4"/>
  <c r="Z115" i="4" s="1"/>
  <c r="Y155" i="4"/>
  <c r="Z155" i="4" s="1"/>
  <c r="Y242" i="4"/>
  <c r="Z242" i="4" s="1"/>
  <c r="Y254" i="4"/>
  <c r="Z254" i="4" s="1"/>
  <c r="Y272" i="4"/>
  <c r="Z272" i="4" s="1"/>
  <c r="Y312" i="4"/>
  <c r="Z312" i="4" s="1"/>
  <c r="Y314" i="4"/>
  <c r="Z314" i="4" s="1"/>
  <c r="Y408" i="4"/>
  <c r="Z408" i="4" s="1"/>
  <c r="Y14" i="4"/>
  <c r="Z14" i="4" s="1"/>
  <c r="Y61" i="4"/>
  <c r="Z61" i="4" s="1"/>
  <c r="Y110" i="4"/>
  <c r="Z110" i="4" s="1"/>
  <c r="Y148" i="4"/>
  <c r="Z148" i="4" s="1"/>
  <c r="Y149" i="4"/>
  <c r="Z149" i="4" s="1"/>
  <c r="Y151" i="4"/>
  <c r="Z151" i="4" s="1"/>
  <c r="Y292" i="4"/>
  <c r="Z292" i="4" s="1"/>
  <c r="Y301" i="4"/>
  <c r="Z301" i="4" s="1"/>
  <c r="Y304" i="4"/>
  <c r="Z304" i="4" s="1"/>
  <c r="Y338" i="4"/>
  <c r="Z338" i="4" s="1"/>
  <c r="Y353" i="4"/>
  <c r="Z353" i="4" s="1"/>
  <c r="Y371" i="4"/>
  <c r="Z371" i="4" s="1"/>
  <c r="Y12" i="4"/>
  <c r="Z12" i="4" s="1"/>
  <c r="Y54" i="4"/>
  <c r="Z54" i="4" s="1"/>
  <c r="Y135" i="4"/>
  <c r="Z135" i="4" s="1"/>
  <c r="Y146" i="4"/>
  <c r="Z146" i="4" s="1"/>
  <c r="Y212" i="4"/>
  <c r="Z212" i="4" s="1"/>
  <c r="Y295" i="4"/>
  <c r="Z295" i="4" s="1"/>
  <c r="Y298" i="4"/>
  <c r="Z298" i="4" s="1"/>
  <c r="Y323" i="4"/>
  <c r="Z323" i="4" s="1"/>
  <c r="Y325" i="4"/>
  <c r="Z325" i="4" s="1"/>
  <c r="Y328" i="4"/>
  <c r="Z328" i="4" s="1"/>
  <c r="Y335" i="4"/>
  <c r="Z335" i="4" s="1"/>
  <c r="Y449" i="4"/>
  <c r="Z449" i="4" s="1"/>
  <c r="Y11" i="4"/>
  <c r="Z11" i="4" s="1"/>
  <c r="Y56" i="4"/>
  <c r="Z56" i="4" s="1"/>
  <c r="Y97" i="4"/>
  <c r="Z97" i="4" s="1"/>
  <c r="Y4" i="4"/>
  <c r="Z4" i="4" s="1"/>
  <c r="Y5" i="4"/>
  <c r="Z5" i="4" s="1"/>
  <c r="Y7" i="4"/>
  <c r="Z7" i="4" s="1"/>
  <c r="Y47" i="4"/>
  <c r="Z47" i="4" s="1"/>
  <c r="Y50" i="4"/>
  <c r="Z50" i="4" s="1"/>
  <c r="Y84" i="4"/>
  <c r="Z84" i="4" s="1"/>
  <c r="Y90" i="4"/>
  <c r="Z90" i="4" s="1"/>
  <c r="Y92" i="4"/>
  <c r="Z92" i="4" s="1"/>
  <c r="Y133" i="4"/>
  <c r="Z133" i="4" s="1"/>
  <c r="Y185" i="4"/>
  <c r="Z185" i="4" s="1"/>
  <c r="Y200" i="4"/>
  <c r="Z200" i="4" s="1"/>
  <c r="Y288" i="4"/>
  <c r="Z288" i="4" s="1"/>
  <c r="Y294" i="4"/>
  <c r="Z294" i="4" s="1"/>
  <c r="Y297" i="4"/>
  <c r="Z297" i="4" s="1"/>
  <c r="Y337" i="4"/>
  <c r="Z337" i="4" s="1"/>
  <c r="Y40" i="4"/>
  <c r="Z40" i="4" s="1"/>
  <c r="Y41" i="4"/>
  <c r="Z41" i="4" s="1"/>
  <c r="Y43" i="4"/>
  <c r="Z43" i="4" s="1"/>
  <c r="Y77" i="4"/>
  <c r="Z77" i="4" s="1"/>
  <c r="Y120" i="4"/>
  <c r="Z120" i="4" s="1"/>
  <c r="Y126" i="4"/>
  <c r="Z126" i="4" s="1"/>
  <c r="Y128" i="4"/>
  <c r="Z128" i="4" s="1"/>
  <c r="Y318" i="4"/>
  <c r="Z318" i="4" s="1"/>
  <c r="Y321" i="4"/>
  <c r="Z321" i="4" s="1"/>
  <c r="Y466" i="4"/>
  <c r="Z466" i="4" s="1"/>
  <c r="Y539" i="4"/>
  <c r="Z539" i="4" s="1"/>
  <c r="Y83" i="4"/>
  <c r="Z83" i="4" s="1"/>
  <c r="Y86" i="4"/>
  <c r="Z86" i="4" s="1"/>
  <c r="Y89" i="4"/>
  <c r="Z89" i="4" s="1"/>
  <c r="Y206" i="4"/>
  <c r="Z206" i="4" s="1"/>
  <c r="Y258" i="4"/>
  <c r="Z258" i="4" s="1"/>
  <c r="Y39" i="4"/>
  <c r="Z39" i="4" s="1"/>
  <c r="Y62" i="4"/>
  <c r="Z62" i="4" s="1"/>
  <c r="Y85" i="4"/>
  <c r="Z85" i="4" s="1"/>
  <c r="Y98" i="4"/>
  <c r="Z98" i="4" s="1"/>
  <c r="Y111" i="4"/>
  <c r="Z111" i="4" s="1"/>
  <c r="Y121" i="4"/>
  <c r="Z121" i="4" s="1"/>
  <c r="Y124" i="4"/>
  <c r="Z124" i="4" s="1"/>
  <c r="Y132" i="4"/>
  <c r="Z132" i="4" s="1"/>
  <c r="Y134" i="4"/>
  <c r="Z134" i="4" s="1"/>
  <c r="Y145" i="4"/>
  <c r="Z145" i="4" s="1"/>
  <c r="Y147" i="4"/>
  <c r="Z147" i="4" s="1"/>
  <c r="Y164" i="4"/>
  <c r="Z164" i="4" s="1"/>
  <c r="Y245" i="4"/>
  <c r="Z245" i="4" s="1"/>
  <c r="Y285" i="4"/>
  <c r="Z285" i="4" s="1"/>
  <c r="Y287" i="4"/>
  <c r="Z287" i="4" s="1"/>
  <c r="Y290" i="4"/>
  <c r="Z290" i="4" s="1"/>
  <c r="Y307" i="4"/>
  <c r="Z307" i="4" s="1"/>
  <c r="Y310" i="4"/>
  <c r="Z310" i="4" s="1"/>
  <c r="Y330" i="4"/>
  <c r="Z330" i="4" s="1"/>
  <c r="Y333" i="4"/>
  <c r="Z333" i="4" s="1"/>
  <c r="Y355" i="4"/>
  <c r="Z355" i="4" s="1"/>
  <c r="Y436" i="4"/>
  <c r="Z436" i="4" s="1"/>
  <c r="Y442" i="4"/>
  <c r="Z442" i="4" s="1"/>
  <c r="Y444" i="4"/>
  <c r="Z444" i="4" s="1"/>
  <c r="Y78" i="4"/>
  <c r="Z78" i="4" s="1"/>
  <c r="Y122" i="4"/>
  <c r="Z122" i="4" s="1"/>
  <c r="Y162" i="4"/>
  <c r="Z162" i="4" s="1"/>
  <c r="Y203" i="4"/>
  <c r="Z203" i="4" s="1"/>
  <c r="Y334" i="4"/>
  <c r="Z334" i="4" s="1"/>
  <c r="Y13" i="4"/>
  <c r="Z13" i="4" s="1"/>
  <c r="Y17" i="4"/>
  <c r="Z17" i="4" s="1"/>
  <c r="Y18" i="4"/>
  <c r="Z18" i="4" s="1"/>
  <c r="Y20" i="4"/>
  <c r="Z20" i="4" s="1"/>
  <c r="Y37" i="4"/>
  <c r="Z37" i="4" s="1"/>
  <c r="Y60" i="4"/>
  <c r="Z60" i="4" s="1"/>
  <c r="Y79" i="4"/>
  <c r="Z79" i="4" s="1"/>
  <c r="Y88" i="4"/>
  <c r="Z88" i="4" s="1"/>
  <c r="Y96" i="4"/>
  <c r="Z96" i="4" s="1"/>
  <c r="Y102" i="4"/>
  <c r="Z102" i="4" s="1"/>
  <c r="Y109" i="4"/>
  <c r="Z109" i="4" s="1"/>
  <c r="Y9" i="4"/>
  <c r="Z9" i="4" s="1"/>
  <c r="Y16" i="4"/>
  <c r="Z16" i="4" s="1"/>
  <c r="Y24" i="4"/>
  <c r="Z24" i="4" s="1"/>
  <c r="Y30" i="4"/>
  <c r="Z30" i="4" s="1"/>
  <c r="Y36" i="4"/>
  <c r="Z36" i="4" s="1"/>
  <c r="Y58" i="4"/>
  <c r="Z58" i="4" s="1"/>
  <c r="Y59" i="4"/>
  <c r="Z59" i="4" s="1"/>
  <c r="Y66" i="4"/>
  <c r="Z66" i="4" s="1"/>
  <c r="Y75" i="4"/>
  <c r="Z75" i="4" s="1"/>
  <c r="Y94" i="4"/>
  <c r="Z94" i="4" s="1"/>
  <c r="Y95" i="4"/>
  <c r="Z95" i="4" s="1"/>
  <c r="Y101" i="4"/>
  <c r="Z101" i="4" s="1"/>
  <c r="Y108" i="4"/>
  <c r="Z108" i="4" s="1"/>
  <c r="Y117" i="4"/>
  <c r="Z117" i="4" s="1"/>
  <c r="Y130" i="4"/>
  <c r="Z130" i="4" s="1"/>
  <c r="Y131" i="4"/>
  <c r="Z131" i="4" s="1"/>
  <c r="Y138" i="4"/>
  <c r="Z138" i="4" s="1"/>
  <c r="Y144" i="4"/>
  <c r="Z144" i="4" s="1"/>
  <c r="Y153" i="4"/>
  <c r="Z153" i="4" s="1"/>
  <c r="Y160" i="4"/>
  <c r="Z160" i="4" s="1"/>
  <c r="Y163" i="4"/>
  <c r="Z163" i="4" s="1"/>
  <c r="Y226" i="4"/>
  <c r="Z226" i="4" s="1"/>
  <c r="Y229" i="4"/>
  <c r="Z229" i="4" s="1"/>
  <c r="Y232" i="4"/>
  <c r="Z232" i="4" s="1"/>
  <c r="Y235" i="4"/>
  <c r="Z235" i="4" s="1"/>
  <c r="Y257" i="4"/>
  <c r="Z257" i="4" s="1"/>
  <c r="Y284" i="4"/>
  <c r="Z284" i="4" s="1"/>
  <c r="Y306" i="4"/>
  <c r="Z306" i="4" s="1"/>
  <c r="Y309" i="4"/>
  <c r="Z309" i="4" s="1"/>
  <c r="Y324" i="4"/>
  <c r="Z324" i="4" s="1"/>
  <c r="Y326" i="4"/>
  <c r="Z326" i="4" s="1"/>
  <c r="Y373" i="4"/>
  <c r="Z373" i="4" s="1"/>
  <c r="Y431" i="4"/>
  <c r="Z431" i="4" s="1"/>
  <c r="Y437" i="4"/>
  <c r="Z437" i="4" s="1"/>
  <c r="Y462" i="4"/>
  <c r="Z462" i="4" s="1"/>
  <c r="Y516" i="4"/>
  <c r="Z516" i="4" s="1"/>
  <c r="Y535" i="4"/>
  <c r="Z535" i="4" s="1"/>
  <c r="Y81" i="4"/>
  <c r="Z81" i="4" s="1"/>
  <c r="Y143" i="4"/>
  <c r="Z143" i="4" s="1"/>
  <c r="Y183" i="4"/>
  <c r="Z183" i="4" s="1"/>
  <c r="Y224" i="4"/>
  <c r="Z224" i="4" s="1"/>
  <c r="Y300" i="4"/>
  <c r="Z300" i="4" s="1"/>
  <c r="Y302" i="4"/>
  <c r="Z302" i="4" s="1"/>
  <c r="Y343" i="4"/>
  <c r="Z343" i="4" s="1"/>
  <c r="Y348" i="4"/>
  <c r="Z348" i="4" s="1"/>
  <c r="Y391" i="4"/>
  <c r="Z391" i="4" s="1"/>
  <c r="Y425" i="4"/>
  <c r="Z425" i="4" s="1"/>
  <c r="Y125" i="4"/>
  <c r="Z125" i="4" s="1"/>
  <c r="Y255" i="4"/>
  <c r="Z255" i="4" s="1"/>
  <c r="Y311" i="4"/>
  <c r="Z311" i="4" s="1"/>
  <c r="Y331" i="4"/>
  <c r="Z331" i="4" s="1"/>
  <c r="Y29" i="4"/>
  <c r="Z29" i="4" s="1"/>
  <c r="Y32" i="4"/>
  <c r="Z32" i="4" s="1"/>
  <c r="Y35" i="4"/>
  <c r="Z35" i="4" s="1"/>
  <c r="Y107" i="4"/>
  <c r="Z107" i="4" s="1"/>
  <c r="Y140" i="4"/>
  <c r="Z140" i="4" s="1"/>
  <c r="Y186" i="4"/>
  <c r="Z186" i="4" s="1"/>
  <c r="Y230" i="4"/>
  <c r="Z230" i="4" s="1"/>
  <c r="Y275" i="4"/>
  <c r="Z275" i="4" s="1"/>
  <c r="Y278" i="4"/>
  <c r="Z278" i="4" s="1"/>
  <c r="Y6" i="4"/>
  <c r="Z6" i="4" s="1"/>
  <c r="Y8" i="4"/>
  <c r="Z8" i="4" s="1"/>
  <c r="Y25" i="4"/>
  <c r="Z25" i="4" s="1"/>
  <c r="Y31" i="4"/>
  <c r="Z31" i="4" s="1"/>
  <c r="Y34" i="4"/>
  <c r="Z34" i="4" s="1"/>
  <c r="Y42" i="4"/>
  <c r="Z42" i="4" s="1"/>
  <c r="Y44" i="4"/>
  <c r="Z44" i="4" s="1"/>
  <c r="Y48" i="4"/>
  <c r="Z48" i="4" s="1"/>
  <c r="Y55" i="4"/>
  <c r="Z55" i="4" s="1"/>
  <c r="Y57" i="4"/>
  <c r="Z57" i="4" s="1"/>
  <c r="Y67" i="4"/>
  <c r="Z67" i="4" s="1"/>
  <c r="Y71" i="4"/>
  <c r="Z71" i="4" s="1"/>
  <c r="Y72" i="4"/>
  <c r="Z72" i="4" s="1"/>
  <c r="Y74" i="4"/>
  <c r="Z74" i="4" s="1"/>
  <c r="Y91" i="4"/>
  <c r="Z91" i="4" s="1"/>
  <c r="Y93" i="4"/>
  <c r="Z93" i="4" s="1"/>
  <c r="Y114" i="4"/>
  <c r="Z114" i="4" s="1"/>
  <c r="Y116" i="4"/>
  <c r="Z116" i="4" s="1"/>
  <c r="Y127" i="4"/>
  <c r="Z127" i="4" s="1"/>
  <c r="Y129" i="4"/>
  <c r="Z129" i="4" s="1"/>
  <c r="Y139" i="4"/>
  <c r="Z139" i="4" s="1"/>
  <c r="Y142" i="4"/>
  <c r="Z142" i="4" s="1"/>
  <c r="Y150" i="4"/>
  <c r="Z150" i="4" s="1"/>
  <c r="Y152" i="4"/>
  <c r="Z152" i="4" s="1"/>
  <c r="Y157" i="4"/>
  <c r="Z157" i="4" s="1"/>
  <c r="Y159" i="4"/>
  <c r="Z159" i="4" s="1"/>
  <c r="Y173" i="4"/>
  <c r="Z173" i="4" s="1"/>
  <c r="Y213" i="4"/>
  <c r="Z213" i="4" s="1"/>
  <c r="Y216" i="4"/>
  <c r="Z216" i="4" s="1"/>
  <c r="Y218" i="4"/>
  <c r="Z218" i="4" s="1"/>
  <c r="Y236" i="4"/>
  <c r="Z236" i="4" s="1"/>
  <c r="Y299" i="4"/>
  <c r="Z299" i="4" s="1"/>
  <c r="Y319" i="4"/>
  <c r="Z319" i="4" s="1"/>
  <c r="Y322" i="4"/>
  <c r="Z322" i="4" s="1"/>
  <c r="Y342" i="4"/>
  <c r="Z342" i="4" s="1"/>
  <c r="Y357" i="4"/>
  <c r="Z357" i="4" s="1"/>
  <c r="Y366" i="4"/>
  <c r="Z366" i="4" s="1"/>
  <c r="Y415" i="4"/>
  <c r="Z415" i="4" s="1"/>
  <c r="Y419" i="4"/>
  <c r="Z419" i="4" s="1"/>
  <c r="Y488" i="4"/>
  <c r="Z488" i="4" s="1"/>
  <c r="Y506" i="4"/>
  <c r="Z506" i="4" s="1"/>
  <c r="Y244" i="4"/>
  <c r="Z244" i="4" s="1"/>
  <c r="Y222" i="4"/>
  <c r="Z222" i="4" s="1"/>
  <c r="Y231" i="4"/>
  <c r="Z231" i="4" s="1"/>
  <c r="Y234" i="4"/>
  <c r="Z234" i="4" s="1"/>
  <c r="Y53" i="4"/>
  <c r="Z53" i="4" s="1"/>
  <c r="Y76" i="4"/>
  <c r="Z76" i="4" s="1"/>
  <c r="Y103" i="4"/>
  <c r="Z103" i="4" s="1"/>
  <c r="Y393" i="4"/>
  <c r="Z393" i="4" s="1"/>
  <c r="Y247" i="4"/>
  <c r="Z247" i="4" s="1"/>
  <c r="Y219" i="4"/>
  <c r="Z219" i="4" s="1"/>
  <c r="Y22" i="4"/>
  <c r="Z22" i="4" s="1"/>
  <c r="Y49" i="4"/>
  <c r="Z49" i="4" s="1"/>
  <c r="Y26" i="4"/>
  <c r="Z26" i="4" s="1"/>
  <c r="Y45" i="4"/>
  <c r="Z45" i="4" s="1"/>
  <c r="Y52" i="4"/>
  <c r="Z52" i="4" s="1"/>
  <c r="Y80" i="4"/>
  <c r="Z80" i="4" s="1"/>
  <c r="Y99" i="4"/>
  <c r="Z99" i="4" s="1"/>
  <c r="Y106" i="4"/>
  <c r="Z106" i="4" s="1"/>
  <c r="Y161" i="4"/>
  <c r="Z161" i="4" s="1"/>
  <c r="Y172" i="4"/>
  <c r="Z172" i="4" s="1"/>
  <c r="Y175" i="4"/>
  <c r="Z175" i="4" s="1"/>
  <c r="Y389" i="4"/>
  <c r="Z389" i="4" s="1"/>
  <c r="Y196" i="4"/>
  <c r="Z196" i="4" s="1"/>
  <c r="Y262" i="4"/>
  <c r="Z262" i="4" s="1"/>
  <c r="Y271" i="4"/>
  <c r="Z271" i="4" s="1"/>
  <c r="Y281" i="4"/>
  <c r="Z281" i="4" s="1"/>
  <c r="Y351" i="4"/>
  <c r="Z351" i="4" s="1"/>
  <c r="Y362" i="4"/>
  <c r="Z362" i="4" s="1"/>
  <c r="Y369" i="4"/>
  <c r="Z369" i="4" s="1"/>
  <c r="Y380" i="4"/>
  <c r="Z380" i="4" s="1"/>
  <c r="Y387" i="4"/>
  <c r="Z387" i="4" s="1"/>
  <c r="Y398" i="4"/>
  <c r="Z398" i="4" s="1"/>
  <c r="Y406" i="4"/>
  <c r="Z406" i="4" s="1"/>
  <c r="Y190" i="4"/>
  <c r="Z190" i="4" s="1"/>
  <c r="Y193" i="4"/>
  <c r="Z193" i="4" s="1"/>
  <c r="Y199" i="4"/>
  <c r="Z199" i="4" s="1"/>
  <c r="Y209" i="4"/>
  <c r="Z209" i="4" s="1"/>
  <c r="Y265" i="4"/>
  <c r="Z265" i="4" s="1"/>
  <c r="Y268" i="4"/>
  <c r="Z268" i="4" s="1"/>
  <c r="Y10" i="4"/>
  <c r="Z10" i="4" s="1"/>
  <c r="Y15" i="4"/>
  <c r="Z15" i="4" s="1"/>
  <c r="Y28" i="4"/>
  <c r="Z28" i="4" s="1"/>
  <c r="Y33" i="4"/>
  <c r="Z33" i="4" s="1"/>
  <c r="Y46" i="4"/>
  <c r="Z46" i="4" s="1"/>
  <c r="Y51" i="4"/>
  <c r="Z51" i="4" s="1"/>
  <c r="Y64" i="4"/>
  <c r="Z64" i="4" s="1"/>
  <c r="Y69" i="4"/>
  <c r="Z69" i="4" s="1"/>
  <c r="Y82" i="4"/>
  <c r="Z82" i="4" s="1"/>
  <c r="Y87" i="4"/>
  <c r="Z87" i="4" s="1"/>
  <c r="Y100" i="4"/>
  <c r="Z100" i="4" s="1"/>
  <c r="Y105" i="4"/>
  <c r="Z105" i="4" s="1"/>
  <c r="Y118" i="4"/>
  <c r="Z118" i="4" s="1"/>
  <c r="Y123" i="4"/>
  <c r="Z123" i="4" s="1"/>
  <c r="Y136" i="4"/>
  <c r="Z136" i="4" s="1"/>
  <c r="Y141" i="4"/>
  <c r="Z141" i="4" s="1"/>
  <c r="Y154" i="4"/>
  <c r="Z154" i="4" s="1"/>
  <c r="Y177" i="4"/>
  <c r="Z177" i="4" s="1"/>
  <c r="Y180" i="4"/>
  <c r="Z180" i="4" s="1"/>
  <c r="Y188" i="4"/>
  <c r="Z188" i="4" s="1"/>
  <c r="Y194" i="4"/>
  <c r="Z194" i="4" s="1"/>
  <c r="Y221" i="4"/>
  <c r="Z221" i="4" s="1"/>
  <c r="Y249" i="4"/>
  <c r="Z249" i="4" s="1"/>
  <c r="Y252" i="4"/>
  <c r="Z252" i="4" s="1"/>
  <c r="Y260" i="4"/>
  <c r="Z260" i="4" s="1"/>
  <c r="Y266" i="4"/>
  <c r="Z266" i="4" s="1"/>
  <c r="Y293" i="4"/>
  <c r="Z293" i="4" s="1"/>
  <c r="Y296" i="4"/>
  <c r="Z296" i="4" s="1"/>
  <c r="Y305" i="4"/>
  <c r="Z305" i="4" s="1"/>
  <c r="Y308" i="4"/>
  <c r="Z308" i="4" s="1"/>
  <c r="Y317" i="4"/>
  <c r="Z317" i="4" s="1"/>
  <c r="Y320" i="4"/>
  <c r="Z320" i="4" s="1"/>
  <c r="Y329" i="4"/>
  <c r="Z329" i="4" s="1"/>
  <c r="Y332" i="4"/>
  <c r="Z332" i="4" s="1"/>
  <c r="Y341" i="4"/>
  <c r="Z341" i="4" s="1"/>
  <c r="Y344" i="4"/>
  <c r="Z344" i="4" s="1"/>
  <c r="Y358" i="4"/>
  <c r="Z358" i="4" s="1"/>
  <c r="Y376" i="4"/>
  <c r="Z376" i="4" s="1"/>
  <c r="Y394" i="4"/>
  <c r="Z394" i="4" s="1"/>
  <c r="Y420" i="4"/>
  <c r="Z420" i="4" s="1"/>
  <c r="Y167" i="4"/>
  <c r="Z167" i="4" s="1"/>
  <c r="Y176" i="4"/>
  <c r="Z176" i="4" s="1"/>
  <c r="Y195" i="4"/>
  <c r="Z195" i="4" s="1"/>
  <c r="Y198" i="4"/>
  <c r="Z198" i="4" s="1"/>
  <c r="Y208" i="4"/>
  <c r="Z208" i="4" s="1"/>
  <c r="Y211" i="4"/>
  <c r="Z211" i="4" s="1"/>
  <c r="Y239" i="4"/>
  <c r="Z239" i="4" s="1"/>
  <c r="Y248" i="4"/>
  <c r="Z248" i="4" s="1"/>
  <c r="Y267" i="4"/>
  <c r="Z267" i="4" s="1"/>
  <c r="Y270" i="4"/>
  <c r="Z270" i="4" s="1"/>
  <c r="Y280" i="4"/>
  <c r="Z280" i="4" s="1"/>
  <c r="Y283" i="4"/>
  <c r="Z283" i="4" s="1"/>
  <c r="Y291" i="4"/>
  <c r="Z291" i="4" s="1"/>
  <c r="Y303" i="4"/>
  <c r="Z303" i="4" s="1"/>
  <c r="Y315" i="4"/>
  <c r="Z315" i="4" s="1"/>
  <c r="Y327" i="4"/>
  <c r="Z327" i="4" s="1"/>
  <c r="Y339" i="4"/>
  <c r="Z339" i="4" s="1"/>
  <c r="Y361" i="4"/>
  <c r="Z361" i="4" s="1"/>
  <c r="Y379" i="4"/>
  <c r="Z379" i="4" s="1"/>
  <c r="Y397" i="4"/>
  <c r="Z397" i="4" s="1"/>
  <c r="Y418" i="4"/>
  <c r="Z418" i="4" s="1"/>
  <c r="Y438" i="4"/>
  <c r="Z438" i="4" s="1"/>
  <c r="Y451" i="4"/>
  <c r="Z451" i="4" s="1"/>
  <c r="Y455" i="4"/>
  <c r="Z455" i="4" s="1"/>
  <c r="Y166" i="4"/>
  <c r="Z166" i="4" s="1"/>
  <c r="Y169" i="4"/>
  <c r="Z169" i="4" s="1"/>
  <c r="Y179" i="4"/>
  <c r="Z179" i="4" s="1"/>
  <c r="Y189" i="4"/>
  <c r="Z189" i="4" s="1"/>
  <c r="Y192" i="4"/>
  <c r="Z192" i="4" s="1"/>
  <c r="Y202" i="4"/>
  <c r="Z202" i="4" s="1"/>
  <c r="Y205" i="4"/>
  <c r="Z205" i="4" s="1"/>
  <c r="Y215" i="4"/>
  <c r="Z215" i="4" s="1"/>
  <c r="Y225" i="4"/>
  <c r="Z225" i="4" s="1"/>
  <c r="Y228" i="4"/>
  <c r="Z228" i="4" s="1"/>
  <c r="Y238" i="4"/>
  <c r="Z238" i="4" s="1"/>
  <c r="Y241" i="4"/>
  <c r="Z241" i="4" s="1"/>
  <c r="Y251" i="4"/>
  <c r="Z251" i="4" s="1"/>
  <c r="Y261" i="4"/>
  <c r="Z261" i="4" s="1"/>
  <c r="Y264" i="4"/>
  <c r="Z264" i="4" s="1"/>
  <c r="Y274" i="4"/>
  <c r="Z274" i="4" s="1"/>
  <c r="Y277" i="4"/>
  <c r="Z277" i="4" s="1"/>
  <c r="Y347" i="4"/>
  <c r="Z347" i="4" s="1"/>
  <c r="Y352" i="4"/>
  <c r="Z352" i="4" s="1"/>
  <c r="Y356" i="4"/>
  <c r="Z356" i="4" s="1"/>
  <c r="Y360" i="4"/>
  <c r="Z360" i="4" s="1"/>
  <c r="Y365" i="4"/>
  <c r="Z365" i="4" s="1"/>
  <c r="Y370" i="4"/>
  <c r="Z370" i="4" s="1"/>
  <c r="Y374" i="4"/>
  <c r="Z374" i="4" s="1"/>
  <c r="Y378" i="4"/>
  <c r="Z378" i="4" s="1"/>
  <c r="Y383" i="4"/>
  <c r="Z383" i="4" s="1"/>
  <c r="Y388" i="4"/>
  <c r="Z388" i="4" s="1"/>
  <c r="Y392" i="4"/>
  <c r="Z392" i="4" s="1"/>
  <c r="Y396" i="4"/>
  <c r="Z396" i="4" s="1"/>
  <c r="Y401" i="4"/>
  <c r="Z401" i="4" s="1"/>
  <c r="Y404" i="4"/>
  <c r="Z404" i="4" s="1"/>
  <c r="Y405" i="4"/>
  <c r="Z405" i="4" s="1"/>
  <c r="Y412" i="4"/>
  <c r="Z412" i="4" s="1"/>
  <c r="Y414" i="4"/>
  <c r="Z414" i="4" s="1"/>
  <c r="Y440" i="4"/>
  <c r="Z440" i="4" s="1"/>
  <c r="Y441" i="4"/>
  <c r="Z441" i="4" s="1"/>
  <c r="Y448" i="4"/>
  <c r="Z448" i="4" s="1"/>
  <c r="Y450" i="4"/>
  <c r="Z450" i="4" s="1"/>
  <c r="Y475" i="4"/>
  <c r="Z475" i="4" s="1"/>
  <c r="Y484" i="4"/>
  <c r="Z484" i="4" s="1"/>
  <c r="Y512" i="4"/>
  <c r="Z512" i="4" s="1"/>
  <c r="Y524" i="4"/>
  <c r="Z524" i="4" s="1"/>
  <c r="Y541" i="4"/>
  <c r="Z541" i="4" s="1"/>
  <c r="Y493" i="4"/>
  <c r="Z493" i="4" s="1"/>
  <c r="Y499" i="4"/>
  <c r="Z499" i="4" s="1"/>
  <c r="Y502" i="4"/>
  <c r="Z502" i="4" s="1"/>
  <c r="Y537" i="4"/>
  <c r="Z537" i="4" s="1"/>
  <c r="Y454" i="4"/>
  <c r="Z454" i="4" s="1"/>
  <c r="Y165" i="4"/>
  <c r="Z165" i="4" s="1"/>
  <c r="Y168" i="4"/>
  <c r="Z168" i="4" s="1"/>
  <c r="Y178" i="4"/>
  <c r="Z178" i="4" s="1"/>
  <c r="Y181" i="4"/>
  <c r="Z181" i="4" s="1"/>
  <c r="Y191" i="4"/>
  <c r="Z191" i="4" s="1"/>
  <c r="Y201" i="4"/>
  <c r="Z201" i="4" s="1"/>
  <c r="Y204" i="4"/>
  <c r="Z204" i="4" s="1"/>
  <c r="Y214" i="4"/>
  <c r="Z214" i="4" s="1"/>
  <c r="Y217" i="4"/>
  <c r="Z217" i="4" s="1"/>
  <c r="Y227" i="4"/>
  <c r="Z227" i="4" s="1"/>
  <c r="Y237" i="4"/>
  <c r="Z237" i="4" s="1"/>
  <c r="Y240" i="4"/>
  <c r="Z240" i="4" s="1"/>
  <c r="Y250" i="4"/>
  <c r="Z250" i="4" s="1"/>
  <c r="Y253" i="4"/>
  <c r="Z253" i="4" s="1"/>
  <c r="Y263" i="4"/>
  <c r="Z263" i="4" s="1"/>
  <c r="Y273" i="4"/>
  <c r="Z273" i="4" s="1"/>
  <c r="Y276" i="4"/>
  <c r="Z276" i="4" s="1"/>
  <c r="Y286" i="4"/>
  <c r="Z286" i="4" s="1"/>
  <c r="Y346" i="4"/>
  <c r="Z346" i="4" s="1"/>
  <c r="Y350" i="4"/>
  <c r="Z350" i="4" s="1"/>
  <c r="Y354" i="4"/>
  <c r="Z354" i="4" s="1"/>
  <c r="Y359" i="4"/>
  <c r="Z359" i="4" s="1"/>
  <c r="Y364" i="4"/>
  <c r="Z364" i="4" s="1"/>
  <c r="Y368" i="4"/>
  <c r="Z368" i="4" s="1"/>
  <c r="Y372" i="4"/>
  <c r="Z372" i="4" s="1"/>
  <c r="Y377" i="4"/>
  <c r="Z377" i="4" s="1"/>
  <c r="Y382" i="4"/>
  <c r="Z382" i="4" s="1"/>
  <c r="Y386" i="4"/>
  <c r="Z386" i="4" s="1"/>
  <c r="Y390" i="4"/>
  <c r="Z390" i="4" s="1"/>
  <c r="Y395" i="4"/>
  <c r="Z395" i="4" s="1"/>
  <c r="Y400" i="4"/>
  <c r="Z400" i="4" s="1"/>
  <c r="Y424" i="4"/>
  <c r="Z424" i="4" s="1"/>
  <c r="Y426" i="4"/>
  <c r="Z426" i="4" s="1"/>
  <c r="Y480" i="4"/>
  <c r="Z480" i="4" s="1"/>
  <c r="Y511" i="4"/>
  <c r="Z511" i="4" s="1"/>
  <c r="Y520" i="4"/>
  <c r="Z520" i="4" s="1"/>
  <c r="Y433" i="4"/>
  <c r="Z433" i="4" s="1"/>
  <c r="Y456" i="4"/>
  <c r="Z456" i="4" s="1"/>
  <c r="Y171" i="4"/>
  <c r="Z171" i="4" s="1"/>
  <c r="Y174" i="4"/>
  <c r="Z174" i="4" s="1"/>
  <c r="Y184" i="4"/>
  <c r="Z184" i="4" s="1"/>
  <c r="Y187" i="4"/>
  <c r="Z187" i="4" s="1"/>
  <c r="Y197" i="4"/>
  <c r="Z197" i="4" s="1"/>
  <c r="Y207" i="4"/>
  <c r="Z207" i="4" s="1"/>
  <c r="Y210" i="4"/>
  <c r="Z210" i="4" s="1"/>
  <c r="Y220" i="4"/>
  <c r="Z220" i="4" s="1"/>
  <c r="Y223" i="4"/>
  <c r="Z223" i="4" s="1"/>
  <c r="Y233" i="4"/>
  <c r="Z233" i="4" s="1"/>
  <c r="Y243" i="4"/>
  <c r="Z243" i="4" s="1"/>
  <c r="Y246" i="4"/>
  <c r="Z246" i="4" s="1"/>
  <c r="Y256" i="4"/>
  <c r="Z256" i="4" s="1"/>
  <c r="Y259" i="4"/>
  <c r="Z259" i="4" s="1"/>
  <c r="Y269" i="4"/>
  <c r="Z269" i="4" s="1"/>
  <c r="Y279" i="4"/>
  <c r="Z279" i="4" s="1"/>
  <c r="Y282" i="4"/>
  <c r="Z282" i="4" s="1"/>
  <c r="Y345" i="4"/>
  <c r="Z345" i="4" s="1"/>
  <c r="Y349" i="4"/>
  <c r="Z349" i="4" s="1"/>
  <c r="Y363" i="4"/>
  <c r="Z363" i="4" s="1"/>
  <c r="Y367" i="4"/>
  <c r="Z367" i="4" s="1"/>
  <c r="Y381" i="4"/>
  <c r="Z381" i="4" s="1"/>
  <c r="Y385" i="4"/>
  <c r="Z385" i="4" s="1"/>
  <c r="Y399" i="4"/>
  <c r="Z399" i="4" s="1"/>
  <c r="Y422" i="4"/>
  <c r="Z422" i="4" s="1"/>
  <c r="Y423" i="4"/>
  <c r="Z423" i="4" s="1"/>
  <c r="Y430" i="4"/>
  <c r="Z430" i="4" s="1"/>
  <c r="Y432" i="4"/>
  <c r="Z432" i="4" s="1"/>
  <c r="Y458" i="4"/>
  <c r="Z458" i="4" s="1"/>
  <c r="Y459" i="4"/>
  <c r="Z459" i="4" s="1"/>
  <c r="Y470" i="4"/>
  <c r="Z470" i="4" s="1"/>
  <c r="Y498" i="4"/>
  <c r="Z498" i="4" s="1"/>
  <c r="Y529" i="4"/>
  <c r="Z529" i="4" s="1"/>
  <c r="Y4" i="5"/>
  <c r="V542" i="4"/>
  <c r="Y403" i="4"/>
  <c r="Z403" i="4" s="1"/>
  <c r="Y410" i="4"/>
  <c r="Z410" i="4" s="1"/>
  <c r="Y411" i="4"/>
  <c r="Z411" i="4" s="1"/>
  <c r="Y421" i="4"/>
  <c r="Z421" i="4" s="1"/>
  <c r="Y428" i="4"/>
  <c r="Z428" i="4" s="1"/>
  <c r="Y429" i="4"/>
  <c r="Z429" i="4" s="1"/>
  <c r="Y439" i="4"/>
  <c r="Z439" i="4" s="1"/>
  <c r="Y446" i="4"/>
  <c r="Z446" i="4" s="1"/>
  <c r="Y447" i="4"/>
  <c r="Z447" i="4" s="1"/>
  <c r="Y457" i="4"/>
  <c r="Z457" i="4" s="1"/>
  <c r="Y481" i="4"/>
  <c r="Z481" i="4" s="1"/>
  <c r="Y494" i="4"/>
  <c r="Z494" i="4" s="1"/>
  <c r="Y536" i="4"/>
  <c r="Z536" i="4" s="1"/>
  <c r="X542" i="4"/>
  <c r="Y409" i="4"/>
  <c r="Z409" i="4" s="1"/>
  <c r="Y416" i="4"/>
  <c r="Z416" i="4" s="1"/>
  <c r="Y417" i="4"/>
  <c r="Z417" i="4" s="1"/>
  <c r="Y427" i="4"/>
  <c r="Z427" i="4" s="1"/>
  <c r="Y434" i="4"/>
  <c r="Z434" i="4" s="1"/>
  <c r="Y435" i="4"/>
  <c r="Z435" i="4" s="1"/>
  <c r="Y445" i="4"/>
  <c r="Z445" i="4" s="1"/>
  <c r="Y452" i="4"/>
  <c r="Z452" i="4" s="1"/>
  <c r="Y453" i="4"/>
  <c r="Z453" i="4" s="1"/>
  <c r="Y463" i="4"/>
  <c r="Z463" i="4" s="1"/>
  <c r="Y476" i="4"/>
  <c r="Z476" i="4" s="1"/>
  <c r="Y517" i="4"/>
  <c r="Z517" i="4" s="1"/>
  <c r="Y530" i="4"/>
  <c r="Z530" i="4" s="1"/>
  <c r="T542" i="4"/>
  <c r="Y460" i="4"/>
  <c r="Z460" i="4" s="1"/>
  <c r="Y474" i="4"/>
  <c r="Z474" i="4" s="1"/>
  <c r="Y478" i="4"/>
  <c r="Z478" i="4" s="1"/>
  <c r="Y492" i="4"/>
  <c r="Z492" i="4" s="1"/>
  <c r="Y496" i="4"/>
  <c r="Z496" i="4" s="1"/>
  <c r="Y510" i="4"/>
  <c r="Z510" i="4" s="1"/>
  <c r="Y514" i="4"/>
  <c r="Z514" i="4" s="1"/>
  <c r="Y528" i="4"/>
  <c r="Z528" i="4" s="1"/>
  <c r="Y532" i="4"/>
  <c r="Z532" i="4" s="1"/>
  <c r="Y464" i="4"/>
  <c r="Z464" i="4" s="1"/>
  <c r="Y469" i="4"/>
  <c r="Z469" i="4" s="1"/>
  <c r="Y482" i="4"/>
  <c r="Z482" i="4" s="1"/>
  <c r="Y487" i="4"/>
  <c r="Z487" i="4" s="1"/>
  <c r="Y500" i="4"/>
  <c r="Z500" i="4" s="1"/>
  <c r="Y505" i="4"/>
  <c r="Z505" i="4" s="1"/>
  <c r="Y518" i="4"/>
  <c r="Z518" i="4" s="1"/>
  <c r="Y523" i="4"/>
  <c r="Z523" i="4" s="1"/>
  <c r="W542" i="4"/>
  <c r="Y468" i="4"/>
  <c r="Z468" i="4" s="1"/>
  <c r="Y472" i="4"/>
  <c r="Z472" i="4" s="1"/>
  <c r="Y486" i="4"/>
  <c r="Z486" i="4" s="1"/>
  <c r="Y490" i="4"/>
  <c r="Z490" i="4" s="1"/>
  <c r="Y504" i="4"/>
  <c r="Z504" i="4" s="1"/>
  <c r="Y508" i="4"/>
  <c r="Z508" i="4" s="1"/>
  <c r="Y522" i="4"/>
  <c r="Z522" i="4" s="1"/>
  <c r="Y526" i="4"/>
  <c r="Z526" i="4" s="1"/>
  <c r="Y461" i="4"/>
  <c r="Z461" i="4" s="1"/>
  <c r="Y467" i="4"/>
  <c r="Z467" i="4" s="1"/>
  <c r="Y473" i="4"/>
  <c r="Z473" i="4" s="1"/>
  <c r="Y479" i="4"/>
  <c r="Z479" i="4" s="1"/>
  <c r="Y485" i="4"/>
  <c r="Z485" i="4" s="1"/>
  <c r="Y491" i="4"/>
  <c r="Z491" i="4" s="1"/>
  <c r="Y497" i="4"/>
  <c r="Z497" i="4" s="1"/>
  <c r="Y503" i="4"/>
  <c r="Z503" i="4" s="1"/>
  <c r="Y509" i="4"/>
  <c r="Z509" i="4" s="1"/>
  <c r="Y515" i="4"/>
  <c r="Z515" i="4" s="1"/>
  <c r="Y521" i="4"/>
  <c r="Z521" i="4" s="1"/>
  <c r="Y527" i="4"/>
  <c r="Z527" i="4" s="1"/>
  <c r="Y534" i="4"/>
  <c r="Z534" i="4" s="1"/>
  <c r="Y540" i="4"/>
  <c r="Z540" i="4" s="1"/>
  <c r="Y465" i="4"/>
  <c r="Z465" i="4" s="1"/>
  <c r="Y471" i="4"/>
  <c r="Z471" i="4" s="1"/>
  <c r="Y477" i="4"/>
  <c r="Z477" i="4" s="1"/>
  <c r="Y483" i="4"/>
  <c r="Z483" i="4" s="1"/>
  <c r="Y489" i="4"/>
  <c r="Z489" i="4" s="1"/>
  <c r="Y495" i="4"/>
  <c r="Z495" i="4" s="1"/>
  <c r="Y501" i="4"/>
  <c r="Z501" i="4" s="1"/>
  <c r="Y507" i="4"/>
  <c r="Z507" i="4" s="1"/>
  <c r="Y513" i="4"/>
  <c r="Z513" i="4" s="1"/>
  <c r="Y519" i="4"/>
  <c r="Z519" i="4" s="1"/>
  <c r="Y525" i="4"/>
  <c r="Z525" i="4" s="1"/>
  <c r="Y531" i="4"/>
  <c r="Z531" i="4" s="1"/>
  <c r="Y538" i="4"/>
  <c r="Z538" i="4" s="1"/>
  <c r="Y6" i="5" l="1"/>
  <c r="Z4" i="5"/>
  <c r="Z6" i="5" s="1"/>
  <c r="Z542" i="4"/>
  <c r="Y542" i="4"/>
  <c r="U17" i="3" l="1"/>
  <c r="S17" i="3"/>
  <c r="R17" i="3"/>
  <c r="Q17" i="3"/>
  <c r="P17" i="3"/>
  <c r="O17" i="3"/>
  <c r="N17" i="3"/>
  <c r="M17" i="3"/>
  <c r="L17" i="3"/>
  <c r="K17" i="3"/>
  <c r="J17" i="3"/>
  <c r="X16" i="3"/>
  <c r="W16" i="3"/>
  <c r="V16" i="3"/>
  <c r="T16" i="3"/>
  <c r="X15" i="3"/>
  <c r="W15" i="3"/>
  <c r="V15" i="3"/>
  <c r="T15" i="3"/>
  <c r="X14" i="3"/>
  <c r="W14" i="3"/>
  <c r="V14" i="3"/>
  <c r="T14" i="3"/>
  <c r="X13" i="3"/>
  <c r="W13" i="3"/>
  <c r="V13" i="3"/>
  <c r="T13" i="3"/>
  <c r="X12" i="3"/>
  <c r="W12" i="3"/>
  <c r="V12" i="3"/>
  <c r="T12" i="3"/>
  <c r="X11" i="3"/>
  <c r="W11" i="3"/>
  <c r="V11" i="3"/>
  <c r="T11" i="3"/>
  <c r="X10" i="3"/>
  <c r="W10" i="3"/>
  <c r="V10" i="3"/>
  <c r="T10" i="3"/>
  <c r="X9" i="3"/>
  <c r="W9" i="3"/>
  <c r="V9" i="3"/>
  <c r="T9" i="3"/>
  <c r="X8" i="3"/>
  <c r="W8" i="3"/>
  <c r="V8" i="3"/>
  <c r="T8" i="3"/>
  <c r="X7" i="3"/>
  <c r="W7" i="3"/>
  <c r="V7" i="3"/>
  <c r="T7" i="3"/>
  <c r="X6" i="3"/>
  <c r="W6" i="3"/>
  <c r="V6" i="3"/>
  <c r="T6" i="3"/>
  <c r="X5" i="3"/>
  <c r="W5" i="3"/>
  <c r="V5" i="3"/>
  <c r="T5" i="3"/>
  <c r="X4" i="3"/>
  <c r="W4" i="3"/>
  <c r="V4" i="3"/>
  <c r="T4" i="3"/>
  <c r="U800" i="2"/>
  <c r="S800" i="2"/>
  <c r="R800" i="2"/>
  <c r="Q800" i="2"/>
  <c r="P800" i="2"/>
  <c r="O800" i="2"/>
  <c r="N800" i="2"/>
  <c r="M800" i="2"/>
  <c r="L800" i="2"/>
  <c r="T800" i="2" s="1"/>
  <c r="K800" i="2"/>
  <c r="J800" i="2"/>
  <c r="U799" i="2"/>
  <c r="S799" i="2"/>
  <c r="R799" i="2"/>
  <c r="Q799" i="2"/>
  <c r="P799" i="2"/>
  <c r="O799" i="2"/>
  <c r="N799" i="2"/>
  <c r="M799" i="2"/>
  <c r="L799" i="2"/>
  <c r="T799" i="2" s="1"/>
  <c r="K799" i="2"/>
  <c r="J799" i="2"/>
  <c r="U798" i="2"/>
  <c r="S798" i="2"/>
  <c r="R798" i="2"/>
  <c r="Q798" i="2"/>
  <c r="P798" i="2"/>
  <c r="O798" i="2"/>
  <c r="N798" i="2"/>
  <c r="M798" i="2"/>
  <c r="L798" i="2"/>
  <c r="T798" i="2" s="1"/>
  <c r="K798" i="2"/>
  <c r="J798" i="2"/>
  <c r="U797" i="2"/>
  <c r="S797" i="2"/>
  <c r="R797" i="2"/>
  <c r="Q797" i="2"/>
  <c r="P797" i="2"/>
  <c r="O797" i="2"/>
  <c r="N797" i="2"/>
  <c r="M797" i="2"/>
  <c r="L797" i="2"/>
  <c r="T797" i="2" s="1"/>
  <c r="K797" i="2"/>
  <c r="J797" i="2"/>
  <c r="U796" i="2"/>
  <c r="S796" i="2"/>
  <c r="R796" i="2"/>
  <c r="Q796" i="2"/>
  <c r="P796" i="2"/>
  <c r="O796" i="2"/>
  <c r="N796" i="2"/>
  <c r="M796" i="2"/>
  <c r="L796" i="2"/>
  <c r="T796" i="2" s="1"/>
  <c r="K796" i="2"/>
  <c r="J796" i="2"/>
  <c r="U795" i="2"/>
  <c r="S795" i="2"/>
  <c r="R795" i="2"/>
  <c r="Q795" i="2"/>
  <c r="P795" i="2"/>
  <c r="O795" i="2"/>
  <c r="N795" i="2"/>
  <c r="M795" i="2"/>
  <c r="L795" i="2"/>
  <c r="T795" i="2" s="1"/>
  <c r="K795" i="2"/>
  <c r="J795" i="2"/>
  <c r="U794" i="2"/>
  <c r="S794" i="2"/>
  <c r="R794" i="2"/>
  <c r="Q794" i="2"/>
  <c r="P794" i="2"/>
  <c r="O794" i="2"/>
  <c r="N794" i="2"/>
  <c r="M794" i="2"/>
  <c r="L794" i="2"/>
  <c r="T794" i="2" s="1"/>
  <c r="K794" i="2"/>
  <c r="J794" i="2"/>
  <c r="U793" i="2"/>
  <c r="S793" i="2"/>
  <c r="R793" i="2"/>
  <c r="Q793" i="2"/>
  <c r="P793" i="2"/>
  <c r="O793" i="2"/>
  <c r="N793" i="2"/>
  <c r="M793" i="2"/>
  <c r="L793" i="2"/>
  <c r="T793" i="2" s="1"/>
  <c r="K793" i="2"/>
  <c r="J793" i="2"/>
  <c r="U792" i="2"/>
  <c r="S792" i="2"/>
  <c r="R792" i="2"/>
  <c r="Q792" i="2"/>
  <c r="P792" i="2"/>
  <c r="O792" i="2"/>
  <c r="N792" i="2"/>
  <c r="M792" i="2"/>
  <c r="L792" i="2"/>
  <c r="T792" i="2" s="1"/>
  <c r="K792" i="2"/>
  <c r="J792" i="2"/>
  <c r="U791" i="2"/>
  <c r="S791" i="2"/>
  <c r="R791" i="2"/>
  <c r="Q791" i="2"/>
  <c r="P791" i="2"/>
  <c r="O791" i="2"/>
  <c r="N791" i="2"/>
  <c r="M791" i="2"/>
  <c r="L791" i="2"/>
  <c r="T791" i="2" s="1"/>
  <c r="K791" i="2"/>
  <c r="J791" i="2"/>
  <c r="U790" i="2"/>
  <c r="S790" i="2"/>
  <c r="R790" i="2"/>
  <c r="Q790" i="2"/>
  <c r="P790" i="2"/>
  <c r="O790" i="2"/>
  <c r="N790" i="2"/>
  <c r="M790" i="2"/>
  <c r="L790" i="2"/>
  <c r="T790" i="2" s="1"/>
  <c r="K790" i="2"/>
  <c r="J790" i="2"/>
  <c r="U789" i="2"/>
  <c r="S789" i="2"/>
  <c r="R789" i="2"/>
  <c r="Q789" i="2"/>
  <c r="P789" i="2"/>
  <c r="O789" i="2"/>
  <c r="N789" i="2"/>
  <c r="M789" i="2"/>
  <c r="L789" i="2"/>
  <c r="T789" i="2" s="1"/>
  <c r="K789" i="2"/>
  <c r="J789" i="2"/>
  <c r="U788" i="2"/>
  <c r="S788" i="2"/>
  <c r="R788" i="2"/>
  <c r="Q788" i="2"/>
  <c r="P788" i="2"/>
  <c r="O788" i="2"/>
  <c r="N788" i="2"/>
  <c r="M788" i="2"/>
  <c r="L788" i="2"/>
  <c r="T788" i="2" s="1"/>
  <c r="K788" i="2"/>
  <c r="J788" i="2"/>
  <c r="U787" i="2"/>
  <c r="S787" i="2"/>
  <c r="R787" i="2"/>
  <c r="Q787" i="2"/>
  <c r="P787" i="2"/>
  <c r="O787" i="2"/>
  <c r="N787" i="2"/>
  <c r="M787" i="2"/>
  <c r="L787" i="2"/>
  <c r="T787" i="2" s="1"/>
  <c r="K787" i="2"/>
  <c r="J787" i="2"/>
  <c r="U786" i="2"/>
  <c r="S786" i="2"/>
  <c r="R786" i="2"/>
  <c r="Q786" i="2"/>
  <c r="P786" i="2"/>
  <c r="O786" i="2"/>
  <c r="N786" i="2"/>
  <c r="M786" i="2"/>
  <c r="L786" i="2"/>
  <c r="T786" i="2" s="1"/>
  <c r="K786" i="2"/>
  <c r="J786" i="2"/>
  <c r="U785" i="2"/>
  <c r="S785" i="2"/>
  <c r="R785" i="2"/>
  <c r="Q785" i="2"/>
  <c r="P785" i="2"/>
  <c r="O785" i="2"/>
  <c r="N785" i="2"/>
  <c r="M785" i="2"/>
  <c r="L785" i="2"/>
  <c r="T785" i="2" s="1"/>
  <c r="K785" i="2"/>
  <c r="J785" i="2"/>
  <c r="U784" i="2"/>
  <c r="S784" i="2"/>
  <c r="R784" i="2"/>
  <c r="Q784" i="2"/>
  <c r="P784" i="2"/>
  <c r="O784" i="2"/>
  <c r="N784" i="2"/>
  <c r="M784" i="2"/>
  <c r="L784" i="2"/>
  <c r="T784" i="2" s="1"/>
  <c r="K784" i="2"/>
  <c r="J784" i="2"/>
  <c r="U783" i="2"/>
  <c r="S783" i="2"/>
  <c r="R783" i="2"/>
  <c r="Q783" i="2"/>
  <c r="P783" i="2"/>
  <c r="O783" i="2"/>
  <c r="N783" i="2"/>
  <c r="M783" i="2"/>
  <c r="L783" i="2"/>
  <c r="T783" i="2" s="1"/>
  <c r="K783" i="2"/>
  <c r="J783" i="2"/>
  <c r="U782" i="2"/>
  <c r="S782" i="2"/>
  <c r="R782" i="2"/>
  <c r="Q782" i="2"/>
  <c r="P782" i="2"/>
  <c r="O782" i="2"/>
  <c r="N782" i="2"/>
  <c r="M782" i="2"/>
  <c r="L782" i="2"/>
  <c r="T782" i="2" s="1"/>
  <c r="K782" i="2"/>
  <c r="J782" i="2"/>
  <c r="U781" i="2"/>
  <c r="S781" i="2"/>
  <c r="R781" i="2"/>
  <c r="Q781" i="2"/>
  <c r="P781" i="2"/>
  <c r="O781" i="2"/>
  <c r="N781" i="2"/>
  <c r="M781" i="2"/>
  <c r="L781" i="2"/>
  <c r="T781" i="2" s="1"/>
  <c r="K781" i="2"/>
  <c r="J781" i="2"/>
  <c r="U780" i="2"/>
  <c r="S780" i="2"/>
  <c r="R780" i="2"/>
  <c r="Q780" i="2"/>
  <c r="P780" i="2"/>
  <c r="O780" i="2"/>
  <c r="N780" i="2"/>
  <c r="M780" i="2"/>
  <c r="L780" i="2"/>
  <c r="T780" i="2" s="1"/>
  <c r="K780" i="2"/>
  <c r="J780" i="2"/>
  <c r="U779" i="2"/>
  <c r="S779" i="2"/>
  <c r="R779" i="2"/>
  <c r="Q779" i="2"/>
  <c r="P779" i="2"/>
  <c r="O779" i="2"/>
  <c r="N779" i="2"/>
  <c r="M779" i="2"/>
  <c r="L779" i="2"/>
  <c r="T779" i="2" s="1"/>
  <c r="K779" i="2"/>
  <c r="J779" i="2"/>
  <c r="U778" i="2"/>
  <c r="S778" i="2"/>
  <c r="R778" i="2"/>
  <c r="Q778" i="2"/>
  <c r="P778" i="2"/>
  <c r="O778" i="2"/>
  <c r="N778" i="2"/>
  <c r="M778" i="2"/>
  <c r="L778" i="2"/>
  <c r="T778" i="2" s="1"/>
  <c r="K778" i="2"/>
  <c r="J778" i="2"/>
  <c r="U777" i="2"/>
  <c r="S777" i="2"/>
  <c r="R777" i="2"/>
  <c r="Q777" i="2"/>
  <c r="P777" i="2"/>
  <c r="O777" i="2"/>
  <c r="N777" i="2"/>
  <c r="M777" i="2"/>
  <c r="L777" i="2"/>
  <c r="T777" i="2" s="1"/>
  <c r="K777" i="2"/>
  <c r="J777" i="2"/>
  <c r="U776" i="2"/>
  <c r="S776" i="2"/>
  <c r="R776" i="2"/>
  <c r="Q776" i="2"/>
  <c r="P776" i="2"/>
  <c r="O776" i="2"/>
  <c r="N776" i="2"/>
  <c r="M776" i="2"/>
  <c r="L776" i="2"/>
  <c r="T776" i="2" s="1"/>
  <c r="K776" i="2"/>
  <c r="J776" i="2"/>
  <c r="U775" i="2"/>
  <c r="S775" i="2"/>
  <c r="R775" i="2"/>
  <c r="Q775" i="2"/>
  <c r="P775" i="2"/>
  <c r="O775" i="2"/>
  <c r="N775" i="2"/>
  <c r="M775" i="2"/>
  <c r="L775" i="2"/>
  <c r="T775" i="2" s="1"/>
  <c r="K775" i="2"/>
  <c r="J775" i="2"/>
  <c r="U774" i="2"/>
  <c r="S774" i="2"/>
  <c r="R774" i="2"/>
  <c r="Q774" i="2"/>
  <c r="P774" i="2"/>
  <c r="O774" i="2"/>
  <c r="N774" i="2"/>
  <c r="M774" i="2"/>
  <c r="L774" i="2"/>
  <c r="T774" i="2" s="1"/>
  <c r="K774" i="2"/>
  <c r="J774" i="2"/>
  <c r="U773" i="2"/>
  <c r="S773" i="2"/>
  <c r="R773" i="2"/>
  <c r="Q773" i="2"/>
  <c r="P773" i="2"/>
  <c r="O773" i="2"/>
  <c r="N773" i="2"/>
  <c r="M773" i="2"/>
  <c r="L773" i="2"/>
  <c r="T773" i="2" s="1"/>
  <c r="K773" i="2"/>
  <c r="J773" i="2"/>
  <c r="U772" i="2"/>
  <c r="S772" i="2"/>
  <c r="R772" i="2"/>
  <c r="Q772" i="2"/>
  <c r="P772" i="2"/>
  <c r="O772" i="2"/>
  <c r="N772" i="2"/>
  <c r="M772" i="2"/>
  <c r="L772" i="2"/>
  <c r="T772" i="2" s="1"/>
  <c r="K772" i="2"/>
  <c r="J772" i="2"/>
  <c r="U771" i="2"/>
  <c r="S771" i="2"/>
  <c r="R771" i="2"/>
  <c r="Q771" i="2"/>
  <c r="P771" i="2"/>
  <c r="O771" i="2"/>
  <c r="N771" i="2"/>
  <c r="M771" i="2"/>
  <c r="L771" i="2"/>
  <c r="T771" i="2" s="1"/>
  <c r="K771" i="2"/>
  <c r="J771" i="2"/>
  <c r="U770" i="2"/>
  <c r="S770" i="2"/>
  <c r="R770" i="2"/>
  <c r="Q770" i="2"/>
  <c r="P770" i="2"/>
  <c r="O770" i="2"/>
  <c r="N770" i="2"/>
  <c r="M770" i="2"/>
  <c r="L770" i="2"/>
  <c r="T770" i="2" s="1"/>
  <c r="K770" i="2"/>
  <c r="J770" i="2"/>
  <c r="U769" i="2"/>
  <c r="S769" i="2"/>
  <c r="R769" i="2"/>
  <c r="Q769" i="2"/>
  <c r="P769" i="2"/>
  <c r="O769" i="2"/>
  <c r="N769" i="2"/>
  <c r="M769" i="2"/>
  <c r="L769" i="2"/>
  <c r="T769" i="2" s="1"/>
  <c r="K769" i="2"/>
  <c r="J769" i="2"/>
  <c r="U768" i="2"/>
  <c r="S768" i="2"/>
  <c r="R768" i="2"/>
  <c r="Q768" i="2"/>
  <c r="P768" i="2"/>
  <c r="O768" i="2"/>
  <c r="N768" i="2"/>
  <c r="M768" i="2"/>
  <c r="L768" i="2"/>
  <c r="T768" i="2" s="1"/>
  <c r="K768" i="2"/>
  <c r="J768" i="2"/>
  <c r="U767" i="2"/>
  <c r="S767" i="2"/>
  <c r="R767" i="2"/>
  <c r="Q767" i="2"/>
  <c r="P767" i="2"/>
  <c r="O767" i="2"/>
  <c r="N767" i="2"/>
  <c r="M767" i="2"/>
  <c r="L767" i="2"/>
  <c r="T767" i="2" s="1"/>
  <c r="K767" i="2"/>
  <c r="J767" i="2"/>
  <c r="U766" i="2"/>
  <c r="S766" i="2"/>
  <c r="R766" i="2"/>
  <c r="Q766" i="2"/>
  <c r="P766" i="2"/>
  <c r="O766" i="2"/>
  <c r="N766" i="2"/>
  <c r="M766" i="2"/>
  <c r="L766" i="2"/>
  <c r="T766" i="2" s="1"/>
  <c r="K766" i="2"/>
  <c r="J766" i="2"/>
  <c r="U765" i="2"/>
  <c r="S765" i="2"/>
  <c r="R765" i="2"/>
  <c r="Q765" i="2"/>
  <c r="P765" i="2"/>
  <c r="O765" i="2"/>
  <c r="N765" i="2"/>
  <c r="M765" i="2"/>
  <c r="L765" i="2"/>
  <c r="T765" i="2" s="1"/>
  <c r="K765" i="2"/>
  <c r="J765" i="2"/>
  <c r="U764" i="2"/>
  <c r="S764" i="2"/>
  <c r="R764" i="2"/>
  <c r="Q764" i="2"/>
  <c r="P764" i="2"/>
  <c r="O764" i="2"/>
  <c r="N764" i="2"/>
  <c r="M764" i="2"/>
  <c r="L764" i="2"/>
  <c r="T764" i="2" s="1"/>
  <c r="K764" i="2"/>
  <c r="J764" i="2"/>
  <c r="U763" i="2"/>
  <c r="S763" i="2"/>
  <c r="R763" i="2"/>
  <c r="Q763" i="2"/>
  <c r="P763" i="2"/>
  <c r="O763" i="2"/>
  <c r="N763" i="2"/>
  <c r="M763" i="2"/>
  <c r="L763" i="2"/>
  <c r="T763" i="2" s="1"/>
  <c r="K763" i="2"/>
  <c r="J763" i="2"/>
  <c r="U762" i="2"/>
  <c r="S762" i="2"/>
  <c r="R762" i="2"/>
  <c r="Q762" i="2"/>
  <c r="P762" i="2"/>
  <c r="O762" i="2"/>
  <c r="N762" i="2"/>
  <c r="M762" i="2"/>
  <c r="L762" i="2"/>
  <c r="T762" i="2" s="1"/>
  <c r="K762" i="2"/>
  <c r="J762" i="2"/>
  <c r="U761" i="2"/>
  <c r="S761" i="2"/>
  <c r="R761" i="2"/>
  <c r="Q761" i="2"/>
  <c r="P761" i="2"/>
  <c r="O761" i="2"/>
  <c r="N761" i="2"/>
  <c r="M761" i="2"/>
  <c r="L761" i="2"/>
  <c r="T761" i="2" s="1"/>
  <c r="K761" i="2"/>
  <c r="J761" i="2"/>
  <c r="U760" i="2"/>
  <c r="S760" i="2"/>
  <c r="R760" i="2"/>
  <c r="Q760" i="2"/>
  <c r="P760" i="2"/>
  <c r="O760" i="2"/>
  <c r="N760" i="2"/>
  <c r="M760" i="2"/>
  <c r="L760" i="2"/>
  <c r="T760" i="2" s="1"/>
  <c r="K760" i="2"/>
  <c r="J760" i="2"/>
  <c r="U759" i="2"/>
  <c r="S759" i="2"/>
  <c r="R759" i="2"/>
  <c r="Q759" i="2"/>
  <c r="P759" i="2"/>
  <c r="O759" i="2"/>
  <c r="N759" i="2"/>
  <c r="M759" i="2"/>
  <c r="L759" i="2"/>
  <c r="T759" i="2" s="1"/>
  <c r="K759" i="2"/>
  <c r="J759" i="2"/>
  <c r="U758" i="2"/>
  <c r="S758" i="2"/>
  <c r="R758" i="2"/>
  <c r="Q758" i="2"/>
  <c r="P758" i="2"/>
  <c r="O758" i="2"/>
  <c r="N758" i="2"/>
  <c r="M758" i="2"/>
  <c r="L758" i="2"/>
  <c r="T758" i="2" s="1"/>
  <c r="K758" i="2"/>
  <c r="J758" i="2"/>
  <c r="U757" i="2"/>
  <c r="S757" i="2"/>
  <c r="R757" i="2"/>
  <c r="Q757" i="2"/>
  <c r="P757" i="2"/>
  <c r="O757" i="2"/>
  <c r="N757" i="2"/>
  <c r="M757" i="2"/>
  <c r="L757" i="2"/>
  <c r="T757" i="2" s="1"/>
  <c r="K757" i="2"/>
  <c r="J757" i="2"/>
  <c r="U756" i="2"/>
  <c r="S756" i="2"/>
  <c r="R756" i="2"/>
  <c r="Q756" i="2"/>
  <c r="P756" i="2"/>
  <c r="O756" i="2"/>
  <c r="N756" i="2"/>
  <c r="M756" i="2"/>
  <c r="L756" i="2"/>
  <c r="T756" i="2" s="1"/>
  <c r="K756" i="2"/>
  <c r="J756" i="2"/>
  <c r="U755" i="2"/>
  <c r="S755" i="2"/>
  <c r="R755" i="2"/>
  <c r="Q755" i="2"/>
  <c r="P755" i="2"/>
  <c r="O755" i="2"/>
  <c r="N755" i="2"/>
  <c r="M755" i="2"/>
  <c r="L755" i="2"/>
  <c r="T755" i="2" s="1"/>
  <c r="K755" i="2"/>
  <c r="J755" i="2"/>
  <c r="U754" i="2"/>
  <c r="S754" i="2"/>
  <c r="R754" i="2"/>
  <c r="Q754" i="2"/>
  <c r="P754" i="2"/>
  <c r="O754" i="2"/>
  <c r="N754" i="2"/>
  <c r="M754" i="2"/>
  <c r="L754" i="2"/>
  <c r="T754" i="2" s="1"/>
  <c r="K754" i="2"/>
  <c r="J754" i="2"/>
  <c r="U753" i="2"/>
  <c r="S753" i="2"/>
  <c r="R753" i="2"/>
  <c r="Q753" i="2"/>
  <c r="P753" i="2"/>
  <c r="O753" i="2"/>
  <c r="N753" i="2"/>
  <c r="M753" i="2"/>
  <c r="L753" i="2"/>
  <c r="T753" i="2" s="1"/>
  <c r="K753" i="2"/>
  <c r="J753" i="2"/>
  <c r="U752" i="2"/>
  <c r="S752" i="2"/>
  <c r="R752" i="2"/>
  <c r="Q752" i="2"/>
  <c r="P752" i="2"/>
  <c r="O752" i="2"/>
  <c r="N752" i="2"/>
  <c r="M752" i="2"/>
  <c r="L752" i="2"/>
  <c r="T752" i="2" s="1"/>
  <c r="K752" i="2"/>
  <c r="J752" i="2"/>
  <c r="U751" i="2"/>
  <c r="S751" i="2"/>
  <c r="R751" i="2"/>
  <c r="Q751" i="2"/>
  <c r="P751" i="2"/>
  <c r="O751" i="2"/>
  <c r="N751" i="2"/>
  <c r="M751" i="2"/>
  <c r="L751" i="2"/>
  <c r="T751" i="2" s="1"/>
  <c r="K751" i="2"/>
  <c r="J751" i="2"/>
  <c r="U750" i="2"/>
  <c r="S750" i="2"/>
  <c r="R750" i="2"/>
  <c r="Q750" i="2"/>
  <c r="P750" i="2"/>
  <c r="O750" i="2"/>
  <c r="N750" i="2"/>
  <c r="M750" i="2"/>
  <c r="L750" i="2"/>
  <c r="T750" i="2" s="1"/>
  <c r="K750" i="2"/>
  <c r="J750" i="2"/>
  <c r="U749" i="2"/>
  <c r="S749" i="2"/>
  <c r="R749" i="2"/>
  <c r="Q749" i="2"/>
  <c r="P749" i="2"/>
  <c r="O749" i="2"/>
  <c r="N749" i="2"/>
  <c r="M749" i="2"/>
  <c r="L749" i="2"/>
  <c r="T749" i="2" s="1"/>
  <c r="K749" i="2"/>
  <c r="J749" i="2"/>
  <c r="U748" i="2"/>
  <c r="S748" i="2"/>
  <c r="R748" i="2"/>
  <c r="Q748" i="2"/>
  <c r="P748" i="2"/>
  <c r="O748" i="2"/>
  <c r="N748" i="2"/>
  <c r="M748" i="2"/>
  <c r="L748" i="2"/>
  <c r="T748" i="2" s="1"/>
  <c r="K748" i="2"/>
  <c r="J748" i="2"/>
  <c r="U747" i="2"/>
  <c r="S747" i="2"/>
  <c r="R747" i="2"/>
  <c r="Q747" i="2"/>
  <c r="P747" i="2"/>
  <c r="O747" i="2"/>
  <c r="N747" i="2"/>
  <c r="M747" i="2"/>
  <c r="L747" i="2"/>
  <c r="T747" i="2" s="1"/>
  <c r="K747" i="2"/>
  <c r="J747" i="2"/>
  <c r="U746" i="2"/>
  <c r="S746" i="2"/>
  <c r="R746" i="2"/>
  <c r="Q746" i="2"/>
  <c r="P746" i="2"/>
  <c r="O746" i="2"/>
  <c r="N746" i="2"/>
  <c r="M746" i="2"/>
  <c r="L746" i="2"/>
  <c r="T746" i="2" s="1"/>
  <c r="K746" i="2"/>
  <c r="J746" i="2"/>
  <c r="U745" i="2"/>
  <c r="S745" i="2"/>
  <c r="R745" i="2"/>
  <c r="Q745" i="2"/>
  <c r="P745" i="2"/>
  <c r="O745" i="2"/>
  <c r="N745" i="2"/>
  <c r="M745" i="2"/>
  <c r="L745" i="2"/>
  <c r="T745" i="2" s="1"/>
  <c r="K745" i="2"/>
  <c r="J745" i="2"/>
  <c r="U744" i="2"/>
  <c r="S744" i="2"/>
  <c r="R744" i="2"/>
  <c r="Q744" i="2"/>
  <c r="P744" i="2"/>
  <c r="O744" i="2"/>
  <c r="N744" i="2"/>
  <c r="M744" i="2"/>
  <c r="L744" i="2"/>
  <c r="T744" i="2" s="1"/>
  <c r="K744" i="2"/>
  <c r="J744" i="2"/>
  <c r="U743" i="2"/>
  <c r="S743" i="2"/>
  <c r="R743" i="2"/>
  <c r="Q743" i="2"/>
  <c r="P743" i="2"/>
  <c r="O743" i="2"/>
  <c r="N743" i="2"/>
  <c r="M743" i="2"/>
  <c r="L743" i="2"/>
  <c r="T743" i="2" s="1"/>
  <c r="K743" i="2"/>
  <c r="J743" i="2"/>
  <c r="U742" i="2"/>
  <c r="S742" i="2"/>
  <c r="R742" i="2"/>
  <c r="Q742" i="2"/>
  <c r="P742" i="2"/>
  <c r="O742" i="2"/>
  <c r="N742" i="2"/>
  <c r="M742" i="2"/>
  <c r="L742" i="2"/>
  <c r="T742" i="2" s="1"/>
  <c r="K742" i="2"/>
  <c r="J742" i="2"/>
  <c r="U741" i="2"/>
  <c r="S741" i="2"/>
  <c r="R741" i="2"/>
  <c r="Q741" i="2"/>
  <c r="P741" i="2"/>
  <c r="O741" i="2"/>
  <c r="N741" i="2"/>
  <c r="M741" i="2"/>
  <c r="L741" i="2"/>
  <c r="T741" i="2" s="1"/>
  <c r="K741" i="2"/>
  <c r="J741" i="2"/>
  <c r="U740" i="2"/>
  <c r="S740" i="2"/>
  <c r="R740" i="2"/>
  <c r="Q740" i="2"/>
  <c r="P740" i="2"/>
  <c r="O740" i="2"/>
  <c r="N740" i="2"/>
  <c r="M740" i="2"/>
  <c r="L740" i="2"/>
  <c r="T740" i="2" s="1"/>
  <c r="K740" i="2"/>
  <c r="J740" i="2"/>
  <c r="U739" i="2"/>
  <c r="S739" i="2"/>
  <c r="R739" i="2"/>
  <c r="Q739" i="2"/>
  <c r="P739" i="2"/>
  <c r="O739" i="2"/>
  <c r="N739" i="2"/>
  <c r="M739" i="2"/>
  <c r="L739" i="2"/>
  <c r="T739" i="2" s="1"/>
  <c r="K739" i="2"/>
  <c r="J739" i="2"/>
  <c r="U738" i="2"/>
  <c r="S738" i="2"/>
  <c r="R738" i="2"/>
  <c r="Q738" i="2"/>
  <c r="P738" i="2"/>
  <c r="O738" i="2"/>
  <c r="N738" i="2"/>
  <c r="M738" i="2"/>
  <c r="L738" i="2"/>
  <c r="T738" i="2" s="1"/>
  <c r="K738" i="2"/>
  <c r="J738" i="2"/>
  <c r="U737" i="2"/>
  <c r="S737" i="2"/>
  <c r="R737" i="2"/>
  <c r="Q737" i="2"/>
  <c r="P737" i="2"/>
  <c r="O737" i="2"/>
  <c r="N737" i="2"/>
  <c r="M737" i="2"/>
  <c r="L737" i="2"/>
  <c r="T737" i="2" s="1"/>
  <c r="K737" i="2"/>
  <c r="J737" i="2"/>
  <c r="U736" i="2"/>
  <c r="S736" i="2"/>
  <c r="R736" i="2"/>
  <c r="Q736" i="2"/>
  <c r="P736" i="2"/>
  <c r="O736" i="2"/>
  <c r="N736" i="2"/>
  <c r="M736" i="2"/>
  <c r="L736" i="2"/>
  <c r="T736" i="2" s="1"/>
  <c r="K736" i="2"/>
  <c r="J736" i="2"/>
  <c r="U735" i="2"/>
  <c r="S735" i="2"/>
  <c r="R735" i="2"/>
  <c r="Q735" i="2"/>
  <c r="P735" i="2"/>
  <c r="O735" i="2"/>
  <c r="N735" i="2"/>
  <c r="M735" i="2"/>
  <c r="L735" i="2"/>
  <c r="T735" i="2" s="1"/>
  <c r="K735" i="2"/>
  <c r="J735" i="2"/>
  <c r="U734" i="2"/>
  <c r="S734" i="2"/>
  <c r="R734" i="2"/>
  <c r="Q734" i="2"/>
  <c r="P734" i="2"/>
  <c r="O734" i="2"/>
  <c r="N734" i="2"/>
  <c r="M734" i="2"/>
  <c r="L734" i="2"/>
  <c r="T734" i="2" s="1"/>
  <c r="K734" i="2"/>
  <c r="J734" i="2"/>
  <c r="U733" i="2"/>
  <c r="S733" i="2"/>
  <c r="R733" i="2"/>
  <c r="Q733" i="2"/>
  <c r="P733" i="2"/>
  <c r="O733" i="2"/>
  <c r="N733" i="2"/>
  <c r="M733" i="2"/>
  <c r="L733" i="2"/>
  <c r="T733" i="2" s="1"/>
  <c r="K733" i="2"/>
  <c r="J733" i="2"/>
  <c r="U732" i="2"/>
  <c r="S732" i="2"/>
  <c r="R732" i="2"/>
  <c r="Q732" i="2"/>
  <c r="P732" i="2"/>
  <c r="O732" i="2"/>
  <c r="N732" i="2"/>
  <c r="M732" i="2"/>
  <c r="L732" i="2"/>
  <c r="T732" i="2" s="1"/>
  <c r="K732" i="2"/>
  <c r="J732" i="2"/>
  <c r="U731" i="2"/>
  <c r="S731" i="2"/>
  <c r="R731" i="2"/>
  <c r="Q731" i="2"/>
  <c r="P731" i="2"/>
  <c r="O731" i="2"/>
  <c r="N731" i="2"/>
  <c r="M731" i="2"/>
  <c r="L731" i="2"/>
  <c r="T731" i="2" s="1"/>
  <c r="K731" i="2"/>
  <c r="J731" i="2"/>
  <c r="U730" i="2"/>
  <c r="S730" i="2"/>
  <c r="R730" i="2"/>
  <c r="Q730" i="2"/>
  <c r="P730" i="2"/>
  <c r="O730" i="2"/>
  <c r="N730" i="2"/>
  <c r="M730" i="2"/>
  <c r="L730" i="2"/>
  <c r="T730" i="2" s="1"/>
  <c r="K730" i="2"/>
  <c r="J730" i="2"/>
  <c r="U729" i="2"/>
  <c r="S729" i="2"/>
  <c r="R729" i="2"/>
  <c r="Q729" i="2"/>
  <c r="P729" i="2"/>
  <c r="O729" i="2"/>
  <c r="N729" i="2"/>
  <c r="M729" i="2"/>
  <c r="L729" i="2"/>
  <c r="T729" i="2" s="1"/>
  <c r="K729" i="2"/>
  <c r="J729" i="2"/>
  <c r="U728" i="2"/>
  <c r="S728" i="2"/>
  <c r="R728" i="2"/>
  <c r="Q728" i="2"/>
  <c r="P728" i="2"/>
  <c r="O728" i="2"/>
  <c r="N728" i="2"/>
  <c r="M728" i="2"/>
  <c r="L728" i="2"/>
  <c r="T728" i="2" s="1"/>
  <c r="K728" i="2"/>
  <c r="J728" i="2"/>
  <c r="U727" i="2"/>
  <c r="S727" i="2"/>
  <c r="R727" i="2"/>
  <c r="Q727" i="2"/>
  <c r="P727" i="2"/>
  <c r="O727" i="2"/>
  <c r="N727" i="2"/>
  <c r="M727" i="2"/>
  <c r="L727" i="2"/>
  <c r="T727" i="2" s="1"/>
  <c r="K727" i="2"/>
  <c r="J727" i="2"/>
  <c r="U726" i="2"/>
  <c r="S726" i="2"/>
  <c r="R726" i="2"/>
  <c r="Q726" i="2"/>
  <c r="P726" i="2"/>
  <c r="O726" i="2"/>
  <c r="N726" i="2"/>
  <c r="M726" i="2"/>
  <c r="L726" i="2"/>
  <c r="T726" i="2" s="1"/>
  <c r="K726" i="2"/>
  <c r="J726" i="2"/>
  <c r="U725" i="2"/>
  <c r="S725" i="2"/>
  <c r="R725" i="2"/>
  <c r="Q725" i="2"/>
  <c r="P725" i="2"/>
  <c r="O725" i="2"/>
  <c r="N725" i="2"/>
  <c r="M725" i="2"/>
  <c r="L725" i="2"/>
  <c r="T725" i="2" s="1"/>
  <c r="K725" i="2"/>
  <c r="J725" i="2"/>
  <c r="U724" i="2"/>
  <c r="S724" i="2"/>
  <c r="R724" i="2"/>
  <c r="Q724" i="2"/>
  <c r="P724" i="2"/>
  <c r="O724" i="2"/>
  <c r="N724" i="2"/>
  <c r="M724" i="2"/>
  <c r="L724" i="2"/>
  <c r="T724" i="2" s="1"/>
  <c r="K724" i="2"/>
  <c r="J724" i="2"/>
  <c r="U723" i="2"/>
  <c r="S723" i="2"/>
  <c r="R723" i="2"/>
  <c r="Q723" i="2"/>
  <c r="P723" i="2"/>
  <c r="O723" i="2"/>
  <c r="N723" i="2"/>
  <c r="M723" i="2"/>
  <c r="L723" i="2"/>
  <c r="T723" i="2" s="1"/>
  <c r="K723" i="2"/>
  <c r="J723" i="2"/>
  <c r="U722" i="2"/>
  <c r="S722" i="2"/>
  <c r="R722" i="2"/>
  <c r="Q722" i="2"/>
  <c r="P722" i="2"/>
  <c r="O722" i="2"/>
  <c r="N722" i="2"/>
  <c r="M722" i="2"/>
  <c r="L722" i="2"/>
  <c r="T722" i="2" s="1"/>
  <c r="K722" i="2"/>
  <c r="J722" i="2"/>
  <c r="U721" i="2"/>
  <c r="S721" i="2"/>
  <c r="R721" i="2"/>
  <c r="Q721" i="2"/>
  <c r="P721" i="2"/>
  <c r="O721" i="2"/>
  <c r="N721" i="2"/>
  <c r="M721" i="2"/>
  <c r="L721" i="2"/>
  <c r="T721" i="2" s="1"/>
  <c r="K721" i="2"/>
  <c r="J721" i="2"/>
  <c r="U720" i="2"/>
  <c r="S720" i="2"/>
  <c r="R720" i="2"/>
  <c r="Q720" i="2"/>
  <c r="P720" i="2"/>
  <c r="O720" i="2"/>
  <c r="N720" i="2"/>
  <c r="M720" i="2"/>
  <c r="L720" i="2"/>
  <c r="T720" i="2" s="1"/>
  <c r="K720" i="2"/>
  <c r="J720" i="2"/>
  <c r="U719" i="2"/>
  <c r="S719" i="2"/>
  <c r="R719" i="2"/>
  <c r="Q719" i="2"/>
  <c r="P719" i="2"/>
  <c r="O719" i="2"/>
  <c r="N719" i="2"/>
  <c r="M719" i="2"/>
  <c r="L719" i="2"/>
  <c r="T719" i="2" s="1"/>
  <c r="K719" i="2"/>
  <c r="J719" i="2"/>
  <c r="U718" i="2"/>
  <c r="S718" i="2"/>
  <c r="R718" i="2"/>
  <c r="Q718" i="2"/>
  <c r="P718" i="2"/>
  <c r="O718" i="2"/>
  <c r="N718" i="2"/>
  <c r="M718" i="2"/>
  <c r="L718" i="2"/>
  <c r="T718" i="2" s="1"/>
  <c r="K718" i="2"/>
  <c r="J718" i="2"/>
  <c r="U717" i="2"/>
  <c r="S717" i="2"/>
  <c r="R717" i="2"/>
  <c r="Q717" i="2"/>
  <c r="P717" i="2"/>
  <c r="O717" i="2"/>
  <c r="N717" i="2"/>
  <c r="M717" i="2"/>
  <c r="L717" i="2"/>
  <c r="T717" i="2" s="1"/>
  <c r="K717" i="2"/>
  <c r="J717" i="2"/>
  <c r="U716" i="2"/>
  <c r="S716" i="2"/>
  <c r="R716" i="2"/>
  <c r="Q716" i="2"/>
  <c r="P716" i="2"/>
  <c r="O716" i="2"/>
  <c r="N716" i="2"/>
  <c r="M716" i="2"/>
  <c r="L716" i="2"/>
  <c r="T716" i="2" s="1"/>
  <c r="K716" i="2"/>
  <c r="J716" i="2"/>
  <c r="U715" i="2"/>
  <c r="S715" i="2"/>
  <c r="R715" i="2"/>
  <c r="Q715" i="2"/>
  <c r="P715" i="2"/>
  <c r="O715" i="2"/>
  <c r="N715" i="2"/>
  <c r="M715" i="2"/>
  <c r="L715" i="2"/>
  <c r="T715" i="2" s="1"/>
  <c r="K715" i="2"/>
  <c r="J715" i="2"/>
  <c r="U714" i="2"/>
  <c r="S714" i="2"/>
  <c r="R714" i="2"/>
  <c r="Q714" i="2"/>
  <c r="P714" i="2"/>
  <c r="O714" i="2"/>
  <c r="N714" i="2"/>
  <c r="M714" i="2"/>
  <c r="L714" i="2"/>
  <c r="T714" i="2" s="1"/>
  <c r="K714" i="2"/>
  <c r="J714" i="2"/>
  <c r="U713" i="2"/>
  <c r="S713" i="2"/>
  <c r="R713" i="2"/>
  <c r="Q713" i="2"/>
  <c r="P713" i="2"/>
  <c r="O713" i="2"/>
  <c r="N713" i="2"/>
  <c r="M713" i="2"/>
  <c r="L713" i="2"/>
  <c r="T713" i="2" s="1"/>
  <c r="K713" i="2"/>
  <c r="J713" i="2"/>
  <c r="U712" i="2"/>
  <c r="S712" i="2"/>
  <c r="R712" i="2"/>
  <c r="Q712" i="2"/>
  <c r="P712" i="2"/>
  <c r="O712" i="2"/>
  <c r="N712" i="2"/>
  <c r="M712" i="2"/>
  <c r="L712" i="2"/>
  <c r="T712" i="2" s="1"/>
  <c r="K712" i="2"/>
  <c r="J712" i="2"/>
  <c r="U711" i="2"/>
  <c r="S711" i="2"/>
  <c r="R711" i="2"/>
  <c r="Q711" i="2"/>
  <c r="P711" i="2"/>
  <c r="O711" i="2"/>
  <c r="N711" i="2"/>
  <c r="M711" i="2"/>
  <c r="L711" i="2"/>
  <c r="T711" i="2" s="1"/>
  <c r="K711" i="2"/>
  <c r="J711" i="2"/>
  <c r="U710" i="2"/>
  <c r="S710" i="2"/>
  <c r="R710" i="2"/>
  <c r="Q710" i="2"/>
  <c r="P710" i="2"/>
  <c r="O710" i="2"/>
  <c r="N710" i="2"/>
  <c r="M710" i="2"/>
  <c r="L710" i="2"/>
  <c r="T710" i="2" s="1"/>
  <c r="K710" i="2"/>
  <c r="J710" i="2"/>
  <c r="U709" i="2"/>
  <c r="S709" i="2"/>
  <c r="R709" i="2"/>
  <c r="Q709" i="2"/>
  <c r="P709" i="2"/>
  <c r="O709" i="2"/>
  <c r="N709" i="2"/>
  <c r="M709" i="2"/>
  <c r="L709" i="2"/>
  <c r="T709" i="2" s="1"/>
  <c r="K709" i="2"/>
  <c r="J709" i="2"/>
  <c r="U708" i="2"/>
  <c r="S708" i="2"/>
  <c r="R708" i="2"/>
  <c r="Q708" i="2"/>
  <c r="P708" i="2"/>
  <c r="O708" i="2"/>
  <c r="N708" i="2"/>
  <c r="M708" i="2"/>
  <c r="L708" i="2"/>
  <c r="T708" i="2" s="1"/>
  <c r="K708" i="2"/>
  <c r="J708" i="2"/>
  <c r="U707" i="2"/>
  <c r="S707" i="2"/>
  <c r="R707" i="2"/>
  <c r="Q707" i="2"/>
  <c r="P707" i="2"/>
  <c r="O707" i="2"/>
  <c r="N707" i="2"/>
  <c r="M707" i="2"/>
  <c r="L707" i="2"/>
  <c r="T707" i="2" s="1"/>
  <c r="K707" i="2"/>
  <c r="J707" i="2"/>
  <c r="U706" i="2"/>
  <c r="S706" i="2"/>
  <c r="R706" i="2"/>
  <c r="Q706" i="2"/>
  <c r="P706" i="2"/>
  <c r="O706" i="2"/>
  <c r="N706" i="2"/>
  <c r="M706" i="2"/>
  <c r="L706" i="2"/>
  <c r="T706" i="2" s="1"/>
  <c r="K706" i="2"/>
  <c r="J706" i="2"/>
  <c r="U705" i="2"/>
  <c r="S705" i="2"/>
  <c r="R705" i="2"/>
  <c r="Q705" i="2"/>
  <c r="P705" i="2"/>
  <c r="O705" i="2"/>
  <c r="N705" i="2"/>
  <c r="M705" i="2"/>
  <c r="L705" i="2"/>
  <c r="T705" i="2" s="1"/>
  <c r="K705" i="2"/>
  <c r="J705" i="2"/>
  <c r="U704" i="2"/>
  <c r="S704" i="2"/>
  <c r="R704" i="2"/>
  <c r="Q704" i="2"/>
  <c r="P704" i="2"/>
  <c r="O704" i="2"/>
  <c r="N704" i="2"/>
  <c r="M704" i="2"/>
  <c r="L704" i="2"/>
  <c r="T704" i="2" s="1"/>
  <c r="K704" i="2"/>
  <c r="J704" i="2"/>
  <c r="U703" i="2"/>
  <c r="S703" i="2"/>
  <c r="R703" i="2"/>
  <c r="Q703" i="2"/>
  <c r="P703" i="2"/>
  <c r="O703" i="2"/>
  <c r="N703" i="2"/>
  <c r="M703" i="2"/>
  <c r="L703" i="2"/>
  <c r="T703" i="2" s="1"/>
  <c r="K703" i="2"/>
  <c r="J703" i="2"/>
  <c r="U702" i="2"/>
  <c r="S702" i="2"/>
  <c r="R702" i="2"/>
  <c r="Q702" i="2"/>
  <c r="P702" i="2"/>
  <c r="O702" i="2"/>
  <c r="N702" i="2"/>
  <c r="M702" i="2"/>
  <c r="L702" i="2"/>
  <c r="T702" i="2" s="1"/>
  <c r="K702" i="2"/>
  <c r="J702" i="2"/>
  <c r="U701" i="2"/>
  <c r="S701" i="2"/>
  <c r="R701" i="2"/>
  <c r="Q701" i="2"/>
  <c r="P701" i="2"/>
  <c r="O701" i="2"/>
  <c r="N701" i="2"/>
  <c r="M701" i="2"/>
  <c r="L701" i="2"/>
  <c r="T701" i="2" s="1"/>
  <c r="K701" i="2"/>
  <c r="J701" i="2"/>
  <c r="U700" i="2"/>
  <c r="S700" i="2"/>
  <c r="R700" i="2"/>
  <c r="Q700" i="2"/>
  <c r="P700" i="2"/>
  <c r="O700" i="2"/>
  <c r="N700" i="2"/>
  <c r="M700" i="2"/>
  <c r="L700" i="2"/>
  <c r="T700" i="2" s="1"/>
  <c r="K700" i="2"/>
  <c r="J700" i="2"/>
  <c r="U699" i="2"/>
  <c r="S699" i="2"/>
  <c r="R699" i="2"/>
  <c r="Q699" i="2"/>
  <c r="P699" i="2"/>
  <c r="O699" i="2"/>
  <c r="N699" i="2"/>
  <c r="M699" i="2"/>
  <c r="L699" i="2"/>
  <c r="T699" i="2" s="1"/>
  <c r="K699" i="2"/>
  <c r="J699" i="2"/>
  <c r="U698" i="2"/>
  <c r="S698" i="2"/>
  <c r="R698" i="2"/>
  <c r="Q698" i="2"/>
  <c r="P698" i="2"/>
  <c r="O698" i="2"/>
  <c r="N698" i="2"/>
  <c r="M698" i="2"/>
  <c r="L698" i="2"/>
  <c r="T698" i="2" s="1"/>
  <c r="K698" i="2"/>
  <c r="J698" i="2"/>
  <c r="U697" i="2"/>
  <c r="S697" i="2"/>
  <c r="R697" i="2"/>
  <c r="Q697" i="2"/>
  <c r="P697" i="2"/>
  <c r="O697" i="2"/>
  <c r="N697" i="2"/>
  <c r="M697" i="2"/>
  <c r="L697" i="2"/>
  <c r="T697" i="2" s="1"/>
  <c r="K697" i="2"/>
  <c r="J697" i="2"/>
  <c r="U696" i="2"/>
  <c r="S696" i="2"/>
  <c r="R696" i="2"/>
  <c r="Q696" i="2"/>
  <c r="P696" i="2"/>
  <c r="O696" i="2"/>
  <c r="N696" i="2"/>
  <c r="M696" i="2"/>
  <c r="L696" i="2"/>
  <c r="T696" i="2" s="1"/>
  <c r="K696" i="2"/>
  <c r="J696" i="2"/>
  <c r="U695" i="2"/>
  <c r="S695" i="2"/>
  <c r="R695" i="2"/>
  <c r="Q695" i="2"/>
  <c r="P695" i="2"/>
  <c r="O695" i="2"/>
  <c r="N695" i="2"/>
  <c r="M695" i="2"/>
  <c r="L695" i="2"/>
  <c r="T695" i="2" s="1"/>
  <c r="K695" i="2"/>
  <c r="J695" i="2"/>
  <c r="U694" i="2"/>
  <c r="S694" i="2"/>
  <c r="R694" i="2"/>
  <c r="Q694" i="2"/>
  <c r="P694" i="2"/>
  <c r="O694" i="2"/>
  <c r="N694" i="2"/>
  <c r="M694" i="2"/>
  <c r="L694" i="2"/>
  <c r="T694" i="2" s="1"/>
  <c r="K694" i="2"/>
  <c r="J694" i="2"/>
  <c r="U693" i="2"/>
  <c r="S693" i="2"/>
  <c r="R693" i="2"/>
  <c r="Q693" i="2"/>
  <c r="P693" i="2"/>
  <c r="O693" i="2"/>
  <c r="N693" i="2"/>
  <c r="M693" i="2"/>
  <c r="L693" i="2"/>
  <c r="T693" i="2" s="1"/>
  <c r="K693" i="2"/>
  <c r="J693" i="2"/>
  <c r="U692" i="2"/>
  <c r="S692" i="2"/>
  <c r="R692" i="2"/>
  <c r="Q692" i="2"/>
  <c r="P692" i="2"/>
  <c r="O692" i="2"/>
  <c r="N692" i="2"/>
  <c r="M692" i="2"/>
  <c r="L692" i="2"/>
  <c r="T692" i="2" s="1"/>
  <c r="K692" i="2"/>
  <c r="J692" i="2"/>
  <c r="U691" i="2"/>
  <c r="S691" i="2"/>
  <c r="R691" i="2"/>
  <c r="Q691" i="2"/>
  <c r="P691" i="2"/>
  <c r="O691" i="2"/>
  <c r="N691" i="2"/>
  <c r="M691" i="2"/>
  <c r="L691" i="2"/>
  <c r="T691" i="2" s="1"/>
  <c r="K691" i="2"/>
  <c r="J691" i="2"/>
  <c r="U690" i="2"/>
  <c r="S690" i="2"/>
  <c r="R690" i="2"/>
  <c r="Q690" i="2"/>
  <c r="P690" i="2"/>
  <c r="O690" i="2"/>
  <c r="N690" i="2"/>
  <c r="M690" i="2"/>
  <c r="L690" i="2"/>
  <c r="T690" i="2" s="1"/>
  <c r="K690" i="2"/>
  <c r="J690" i="2"/>
  <c r="U689" i="2"/>
  <c r="S689" i="2"/>
  <c r="R689" i="2"/>
  <c r="Q689" i="2"/>
  <c r="P689" i="2"/>
  <c r="O689" i="2"/>
  <c r="N689" i="2"/>
  <c r="M689" i="2"/>
  <c r="L689" i="2"/>
  <c r="T689" i="2" s="1"/>
  <c r="K689" i="2"/>
  <c r="J689" i="2"/>
  <c r="U688" i="2"/>
  <c r="S688" i="2"/>
  <c r="R688" i="2"/>
  <c r="Q688" i="2"/>
  <c r="P688" i="2"/>
  <c r="O688" i="2"/>
  <c r="N688" i="2"/>
  <c r="M688" i="2"/>
  <c r="L688" i="2"/>
  <c r="T688" i="2" s="1"/>
  <c r="K688" i="2"/>
  <c r="J688" i="2"/>
  <c r="U687" i="2"/>
  <c r="S687" i="2"/>
  <c r="R687" i="2"/>
  <c r="Q687" i="2"/>
  <c r="P687" i="2"/>
  <c r="O687" i="2"/>
  <c r="N687" i="2"/>
  <c r="M687" i="2"/>
  <c r="L687" i="2"/>
  <c r="T687" i="2" s="1"/>
  <c r="K687" i="2"/>
  <c r="J687" i="2"/>
  <c r="U686" i="2"/>
  <c r="S686" i="2"/>
  <c r="R686" i="2"/>
  <c r="Q686" i="2"/>
  <c r="P686" i="2"/>
  <c r="O686" i="2"/>
  <c r="N686" i="2"/>
  <c r="M686" i="2"/>
  <c r="L686" i="2"/>
  <c r="T686" i="2" s="1"/>
  <c r="K686" i="2"/>
  <c r="J686" i="2"/>
  <c r="U685" i="2"/>
  <c r="S685" i="2"/>
  <c r="R685" i="2"/>
  <c r="Q685" i="2"/>
  <c r="P685" i="2"/>
  <c r="O685" i="2"/>
  <c r="N685" i="2"/>
  <c r="M685" i="2"/>
  <c r="L685" i="2"/>
  <c r="T685" i="2" s="1"/>
  <c r="K685" i="2"/>
  <c r="J685" i="2"/>
  <c r="U684" i="2"/>
  <c r="S684" i="2"/>
  <c r="R684" i="2"/>
  <c r="Q684" i="2"/>
  <c r="P684" i="2"/>
  <c r="O684" i="2"/>
  <c r="N684" i="2"/>
  <c r="M684" i="2"/>
  <c r="L684" i="2"/>
  <c r="T684" i="2" s="1"/>
  <c r="K684" i="2"/>
  <c r="J684" i="2"/>
  <c r="U683" i="2"/>
  <c r="S683" i="2"/>
  <c r="R683" i="2"/>
  <c r="Q683" i="2"/>
  <c r="P683" i="2"/>
  <c r="O683" i="2"/>
  <c r="N683" i="2"/>
  <c r="M683" i="2"/>
  <c r="L683" i="2"/>
  <c r="T683" i="2" s="1"/>
  <c r="K683" i="2"/>
  <c r="J683" i="2"/>
  <c r="U682" i="2"/>
  <c r="S682" i="2"/>
  <c r="R682" i="2"/>
  <c r="Q682" i="2"/>
  <c r="P682" i="2"/>
  <c r="O682" i="2"/>
  <c r="N682" i="2"/>
  <c r="M682" i="2"/>
  <c r="L682" i="2"/>
  <c r="T682" i="2" s="1"/>
  <c r="K682" i="2"/>
  <c r="J682" i="2"/>
  <c r="U681" i="2"/>
  <c r="S681" i="2"/>
  <c r="R681" i="2"/>
  <c r="Q681" i="2"/>
  <c r="P681" i="2"/>
  <c r="O681" i="2"/>
  <c r="N681" i="2"/>
  <c r="M681" i="2"/>
  <c r="L681" i="2"/>
  <c r="T681" i="2" s="1"/>
  <c r="K681" i="2"/>
  <c r="J681" i="2"/>
  <c r="U680" i="2"/>
  <c r="S680" i="2"/>
  <c r="R680" i="2"/>
  <c r="Q680" i="2"/>
  <c r="P680" i="2"/>
  <c r="O680" i="2"/>
  <c r="N680" i="2"/>
  <c r="M680" i="2"/>
  <c r="L680" i="2"/>
  <c r="T680" i="2" s="1"/>
  <c r="K680" i="2"/>
  <c r="J680" i="2"/>
  <c r="U679" i="2"/>
  <c r="S679" i="2"/>
  <c r="R679" i="2"/>
  <c r="Q679" i="2"/>
  <c r="P679" i="2"/>
  <c r="O679" i="2"/>
  <c r="N679" i="2"/>
  <c r="M679" i="2"/>
  <c r="L679" i="2"/>
  <c r="T679" i="2" s="1"/>
  <c r="K679" i="2"/>
  <c r="J679" i="2"/>
  <c r="U678" i="2"/>
  <c r="S678" i="2"/>
  <c r="R678" i="2"/>
  <c r="Q678" i="2"/>
  <c r="P678" i="2"/>
  <c r="O678" i="2"/>
  <c r="N678" i="2"/>
  <c r="M678" i="2"/>
  <c r="L678" i="2"/>
  <c r="T678" i="2" s="1"/>
  <c r="K678" i="2"/>
  <c r="J678" i="2"/>
  <c r="U677" i="2"/>
  <c r="S677" i="2"/>
  <c r="R677" i="2"/>
  <c r="Q677" i="2"/>
  <c r="P677" i="2"/>
  <c r="O677" i="2"/>
  <c r="N677" i="2"/>
  <c r="M677" i="2"/>
  <c r="L677" i="2"/>
  <c r="T677" i="2" s="1"/>
  <c r="K677" i="2"/>
  <c r="J677" i="2"/>
  <c r="U676" i="2"/>
  <c r="S676" i="2"/>
  <c r="R676" i="2"/>
  <c r="Q676" i="2"/>
  <c r="P676" i="2"/>
  <c r="O676" i="2"/>
  <c r="N676" i="2"/>
  <c r="M676" i="2"/>
  <c r="L676" i="2"/>
  <c r="T676" i="2" s="1"/>
  <c r="K676" i="2"/>
  <c r="J676" i="2"/>
  <c r="U675" i="2"/>
  <c r="S675" i="2"/>
  <c r="R675" i="2"/>
  <c r="Q675" i="2"/>
  <c r="P675" i="2"/>
  <c r="O675" i="2"/>
  <c r="N675" i="2"/>
  <c r="M675" i="2"/>
  <c r="L675" i="2"/>
  <c r="T675" i="2" s="1"/>
  <c r="K675" i="2"/>
  <c r="J675" i="2"/>
  <c r="U674" i="2"/>
  <c r="S674" i="2"/>
  <c r="R674" i="2"/>
  <c r="Q674" i="2"/>
  <c r="P674" i="2"/>
  <c r="O674" i="2"/>
  <c r="N674" i="2"/>
  <c r="M674" i="2"/>
  <c r="L674" i="2"/>
  <c r="T674" i="2" s="1"/>
  <c r="K674" i="2"/>
  <c r="J674" i="2"/>
  <c r="U673" i="2"/>
  <c r="S673" i="2"/>
  <c r="R673" i="2"/>
  <c r="Q673" i="2"/>
  <c r="P673" i="2"/>
  <c r="O673" i="2"/>
  <c r="N673" i="2"/>
  <c r="M673" i="2"/>
  <c r="L673" i="2"/>
  <c r="T673" i="2" s="1"/>
  <c r="K673" i="2"/>
  <c r="J673" i="2"/>
  <c r="U672" i="2"/>
  <c r="S672" i="2"/>
  <c r="R672" i="2"/>
  <c r="Q672" i="2"/>
  <c r="P672" i="2"/>
  <c r="O672" i="2"/>
  <c r="N672" i="2"/>
  <c r="M672" i="2"/>
  <c r="L672" i="2"/>
  <c r="T672" i="2" s="1"/>
  <c r="K672" i="2"/>
  <c r="J672" i="2"/>
  <c r="U671" i="2"/>
  <c r="S671" i="2"/>
  <c r="R671" i="2"/>
  <c r="Q671" i="2"/>
  <c r="P671" i="2"/>
  <c r="O671" i="2"/>
  <c r="N671" i="2"/>
  <c r="M671" i="2"/>
  <c r="L671" i="2"/>
  <c r="T671" i="2" s="1"/>
  <c r="K671" i="2"/>
  <c r="J671" i="2"/>
  <c r="U670" i="2"/>
  <c r="S670" i="2"/>
  <c r="R670" i="2"/>
  <c r="Q670" i="2"/>
  <c r="P670" i="2"/>
  <c r="O670" i="2"/>
  <c r="N670" i="2"/>
  <c r="M670" i="2"/>
  <c r="L670" i="2"/>
  <c r="T670" i="2" s="1"/>
  <c r="K670" i="2"/>
  <c r="J670" i="2"/>
  <c r="U669" i="2"/>
  <c r="S669" i="2"/>
  <c r="R669" i="2"/>
  <c r="Q669" i="2"/>
  <c r="P669" i="2"/>
  <c r="O669" i="2"/>
  <c r="N669" i="2"/>
  <c r="M669" i="2"/>
  <c r="L669" i="2"/>
  <c r="T669" i="2" s="1"/>
  <c r="K669" i="2"/>
  <c r="J669" i="2"/>
  <c r="U668" i="2"/>
  <c r="S668" i="2"/>
  <c r="R668" i="2"/>
  <c r="Q668" i="2"/>
  <c r="P668" i="2"/>
  <c r="O668" i="2"/>
  <c r="N668" i="2"/>
  <c r="M668" i="2"/>
  <c r="L668" i="2"/>
  <c r="T668" i="2" s="1"/>
  <c r="K668" i="2"/>
  <c r="J668" i="2"/>
  <c r="U667" i="2"/>
  <c r="S667" i="2"/>
  <c r="R667" i="2"/>
  <c r="Q667" i="2"/>
  <c r="P667" i="2"/>
  <c r="O667" i="2"/>
  <c r="N667" i="2"/>
  <c r="M667" i="2"/>
  <c r="L667" i="2"/>
  <c r="T667" i="2" s="1"/>
  <c r="K667" i="2"/>
  <c r="J667" i="2"/>
  <c r="U666" i="2"/>
  <c r="S666" i="2"/>
  <c r="R666" i="2"/>
  <c r="Q666" i="2"/>
  <c r="P666" i="2"/>
  <c r="O666" i="2"/>
  <c r="N666" i="2"/>
  <c r="M666" i="2"/>
  <c r="L666" i="2"/>
  <c r="T666" i="2" s="1"/>
  <c r="K666" i="2"/>
  <c r="J666" i="2"/>
  <c r="U665" i="2"/>
  <c r="S665" i="2"/>
  <c r="R665" i="2"/>
  <c r="Q665" i="2"/>
  <c r="P665" i="2"/>
  <c r="O665" i="2"/>
  <c r="N665" i="2"/>
  <c r="M665" i="2"/>
  <c r="L665" i="2"/>
  <c r="T665" i="2" s="1"/>
  <c r="K665" i="2"/>
  <c r="J665" i="2"/>
  <c r="U664" i="2"/>
  <c r="S664" i="2"/>
  <c r="R664" i="2"/>
  <c r="Q664" i="2"/>
  <c r="P664" i="2"/>
  <c r="O664" i="2"/>
  <c r="N664" i="2"/>
  <c r="M664" i="2"/>
  <c r="L664" i="2"/>
  <c r="T664" i="2" s="1"/>
  <c r="K664" i="2"/>
  <c r="J664" i="2"/>
  <c r="U663" i="2"/>
  <c r="S663" i="2"/>
  <c r="R663" i="2"/>
  <c r="Q663" i="2"/>
  <c r="P663" i="2"/>
  <c r="O663" i="2"/>
  <c r="N663" i="2"/>
  <c r="M663" i="2"/>
  <c r="L663" i="2"/>
  <c r="T663" i="2" s="1"/>
  <c r="K663" i="2"/>
  <c r="J663" i="2"/>
  <c r="U662" i="2"/>
  <c r="S662" i="2"/>
  <c r="R662" i="2"/>
  <c r="Q662" i="2"/>
  <c r="P662" i="2"/>
  <c r="O662" i="2"/>
  <c r="N662" i="2"/>
  <c r="M662" i="2"/>
  <c r="L662" i="2"/>
  <c r="T662" i="2" s="1"/>
  <c r="K662" i="2"/>
  <c r="J662" i="2"/>
  <c r="U661" i="2"/>
  <c r="S661" i="2"/>
  <c r="R661" i="2"/>
  <c r="Q661" i="2"/>
  <c r="P661" i="2"/>
  <c r="O661" i="2"/>
  <c r="N661" i="2"/>
  <c r="M661" i="2"/>
  <c r="L661" i="2"/>
  <c r="T661" i="2" s="1"/>
  <c r="K661" i="2"/>
  <c r="J661" i="2"/>
  <c r="U660" i="2"/>
  <c r="S660" i="2"/>
  <c r="R660" i="2"/>
  <c r="Q660" i="2"/>
  <c r="P660" i="2"/>
  <c r="O660" i="2"/>
  <c r="N660" i="2"/>
  <c r="M660" i="2"/>
  <c r="L660" i="2"/>
  <c r="T660" i="2" s="1"/>
  <c r="K660" i="2"/>
  <c r="J660" i="2"/>
  <c r="U659" i="2"/>
  <c r="S659" i="2"/>
  <c r="R659" i="2"/>
  <c r="Q659" i="2"/>
  <c r="P659" i="2"/>
  <c r="O659" i="2"/>
  <c r="N659" i="2"/>
  <c r="M659" i="2"/>
  <c r="L659" i="2"/>
  <c r="T659" i="2" s="1"/>
  <c r="K659" i="2"/>
  <c r="J659" i="2"/>
  <c r="U658" i="2"/>
  <c r="S658" i="2"/>
  <c r="R658" i="2"/>
  <c r="Q658" i="2"/>
  <c r="P658" i="2"/>
  <c r="O658" i="2"/>
  <c r="N658" i="2"/>
  <c r="M658" i="2"/>
  <c r="L658" i="2"/>
  <c r="T658" i="2" s="1"/>
  <c r="K658" i="2"/>
  <c r="J658" i="2"/>
  <c r="U657" i="2"/>
  <c r="S657" i="2"/>
  <c r="R657" i="2"/>
  <c r="Q657" i="2"/>
  <c r="P657" i="2"/>
  <c r="O657" i="2"/>
  <c r="N657" i="2"/>
  <c r="M657" i="2"/>
  <c r="L657" i="2"/>
  <c r="T657" i="2" s="1"/>
  <c r="K657" i="2"/>
  <c r="J657" i="2"/>
  <c r="U656" i="2"/>
  <c r="S656" i="2"/>
  <c r="R656" i="2"/>
  <c r="Q656" i="2"/>
  <c r="P656" i="2"/>
  <c r="O656" i="2"/>
  <c r="N656" i="2"/>
  <c r="M656" i="2"/>
  <c r="L656" i="2"/>
  <c r="T656" i="2" s="1"/>
  <c r="K656" i="2"/>
  <c r="J656" i="2"/>
  <c r="U655" i="2"/>
  <c r="S655" i="2"/>
  <c r="R655" i="2"/>
  <c r="Q655" i="2"/>
  <c r="P655" i="2"/>
  <c r="O655" i="2"/>
  <c r="N655" i="2"/>
  <c r="M655" i="2"/>
  <c r="L655" i="2"/>
  <c r="T655" i="2" s="1"/>
  <c r="K655" i="2"/>
  <c r="J655" i="2"/>
  <c r="U654" i="2"/>
  <c r="S654" i="2"/>
  <c r="R654" i="2"/>
  <c r="Q654" i="2"/>
  <c r="P654" i="2"/>
  <c r="O654" i="2"/>
  <c r="N654" i="2"/>
  <c r="M654" i="2"/>
  <c r="L654" i="2"/>
  <c r="T654" i="2" s="1"/>
  <c r="K654" i="2"/>
  <c r="J654" i="2"/>
  <c r="U653" i="2"/>
  <c r="S653" i="2"/>
  <c r="R653" i="2"/>
  <c r="Q653" i="2"/>
  <c r="P653" i="2"/>
  <c r="O653" i="2"/>
  <c r="N653" i="2"/>
  <c r="M653" i="2"/>
  <c r="L653" i="2"/>
  <c r="T653" i="2" s="1"/>
  <c r="K653" i="2"/>
  <c r="J653" i="2"/>
  <c r="U652" i="2"/>
  <c r="S652" i="2"/>
  <c r="R652" i="2"/>
  <c r="Q652" i="2"/>
  <c r="P652" i="2"/>
  <c r="O652" i="2"/>
  <c r="N652" i="2"/>
  <c r="M652" i="2"/>
  <c r="L652" i="2"/>
  <c r="T652" i="2" s="1"/>
  <c r="K652" i="2"/>
  <c r="J652" i="2"/>
  <c r="U651" i="2"/>
  <c r="S651" i="2"/>
  <c r="R651" i="2"/>
  <c r="Q651" i="2"/>
  <c r="P651" i="2"/>
  <c r="O651" i="2"/>
  <c r="N651" i="2"/>
  <c r="M651" i="2"/>
  <c r="L651" i="2"/>
  <c r="T651" i="2" s="1"/>
  <c r="K651" i="2"/>
  <c r="J651" i="2"/>
  <c r="U650" i="2"/>
  <c r="S650" i="2"/>
  <c r="R650" i="2"/>
  <c r="Q650" i="2"/>
  <c r="P650" i="2"/>
  <c r="O650" i="2"/>
  <c r="N650" i="2"/>
  <c r="M650" i="2"/>
  <c r="L650" i="2"/>
  <c r="T650" i="2" s="1"/>
  <c r="K650" i="2"/>
  <c r="J650" i="2"/>
  <c r="U649" i="2"/>
  <c r="S649" i="2"/>
  <c r="R649" i="2"/>
  <c r="Q649" i="2"/>
  <c r="P649" i="2"/>
  <c r="O649" i="2"/>
  <c r="N649" i="2"/>
  <c r="M649" i="2"/>
  <c r="L649" i="2"/>
  <c r="T649" i="2" s="1"/>
  <c r="K649" i="2"/>
  <c r="J649" i="2"/>
  <c r="U648" i="2"/>
  <c r="S648" i="2"/>
  <c r="R648" i="2"/>
  <c r="Q648" i="2"/>
  <c r="P648" i="2"/>
  <c r="O648" i="2"/>
  <c r="N648" i="2"/>
  <c r="M648" i="2"/>
  <c r="L648" i="2"/>
  <c r="T648" i="2" s="1"/>
  <c r="K648" i="2"/>
  <c r="J648" i="2"/>
  <c r="U647" i="2"/>
  <c r="S647" i="2"/>
  <c r="R647" i="2"/>
  <c r="Q647" i="2"/>
  <c r="P647" i="2"/>
  <c r="O647" i="2"/>
  <c r="N647" i="2"/>
  <c r="M647" i="2"/>
  <c r="L647" i="2"/>
  <c r="T647" i="2" s="1"/>
  <c r="K647" i="2"/>
  <c r="J647" i="2"/>
  <c r="U646" i="2"/>
  <c r="S646" i="2"/>
  <c r="R646" i="2"/>
  <c r="Q646" i="2"/>
  <c r="P646" i="2"/>
  <c r="O646" i="2"/>
  <c r="N646" i="2"/>
  <c r="M646" i="2"/>
  <c r="L646" i="2"/>
  <c r="T646" i="2" s="1"/>
  <c r="K646" i="2"/>
  <c r="J646" i="2"/>
  <c r="U645" i="2"/>
  <c r="S645" i="2"/>
  <c r="R645" i="2"/>
  <c r="Q645" i="2"/>
  <c r="P645" i="2"/>
  <c r="O645" i="2"/>
  <c r="N645" i="2"/>
  <c r="M645" i="2"/>
  <c r="L645" i="2"/>
  <c r="T645" i="2" s="1"/>
  <c r="K645" i="2"/>
  <c r="J645" i="2"/>
  <c r="U644" i="2"/>
  <c r="S644" i="2"/>
  <c r="R644" i="2"/>
  <c r="Q644" i="2"/>
  <c r="P644" i="2"/>
  <c r="O644" i="2"/>
  <c r="N644" i="2"/>
  <c r="M644" i="2"/>
  <c r="L644" i="2"/>
  <c r="T644" i="2" s="1"/>
  <c r="K644" i="2"/>
  <c r="J644" i="2"/>
  <c r="U643" i="2"/>
  <c r="S643" i="2"/>
  <c r="R643" i="2"/>
  <c r="Q643" i="2"/>
  <c r="P643" i="2"/>
  <c r="O643" i="2"/>
  <c r="N643" i="2"/>
  <c r="M643" i="2"/>
  <c r="L643" i="2"/>
  <c r="T643" i="2" s="1"/>
  <c r="K643" i="2"/>
  <c r="J643" i="2"/>
  <c r="U642" i="2"/>
  <c r="S642" i="2"/>
  <c r="R642" i="2"/>
  <c r="Q642" i="2"/>
  <c r="P642" i="2"/>
  <c r="O642" i="2"/>
  <c r="N642" i="2"/>
  <c r="M642" i="2"/>
  <c r="L642" i="2"/>
  <c r="T642" i="2" s="1"/>
  <c r="K642" i="2"/>
  <c r="J642" i="2"/>
  <c r="U641" i="2"/>
  <c r="S641" i="2"/>
  <c r="R641" i="2"/>
  <c r="Q641" i="2"/>
  <c r="P641" i="2"/>
  <c r="O641" i="2"/>
  <c r="N641" i="2"/>
  <c r="M641" i="2"/>
  <c r="L641" i="2"/>
  <c r="T641" i="2" s="1"/>
  <c r="K641" i="2"/>
  <c r="J641" i="2"/>
  <c r="U640" i="2"/>
  <c r="S640" i="2"/>
  <c r="R640" i="2"/>
  <c r="Q640" i="2"/>
  <c r="P640" i="2"/>
  <c r="O640" i="2"/>
  <c r="N640" i="2"/>
  <c r="M640" i="2"/>
  <c r="L640" i="2"/>
  <c r="T640" i="2" s="1"/>
  <c r="K640" i="2"/>
  <c r="J640" i="2"/>
  <c r="U639" i="2"/>
  <c r="S639" i="2"/>
  <c r="R639" i="2"/>
  <c r="Q639" i="2"/>
  <c r="P639" i="2"/>
  <c r="O639" i="2"/>
  <c r="N639" i="2"/>
  <c r="M639" i="2"/>
  <c r="L639" i="2"/>
  <c r="T639" i="2" s="1"/>
  <c r="K639" i="2"/>
  <c r="J639" i="2"/>
  <c r="U638" i="2"/>
  <c r="S638" i="2"/>
  <c r="R638" i="2"/>
  <c r="Q638" i="2"/>
  <c r="P638" i="2"/>
  <c r="O638" i="2"/>
  <c r="N638" i="2"/>
  <c r="M638" i="2"/>
  <c r="L638" i="2"/>
  <c r="T638" i="2" s="1"/>
  <c r="K638" i="2"/>
  <c r="J638" i="2"/>
  <c r="U637" i="2"/>
  <c r="S637" i="2"/>
  <c r="R637" i="2"/>
  <c r="Q637" i="2"/>
  <c r="P637" i="2"/>
  <c r="O637" i="2"/>
  <c r="N637" i="2"/>
  <c r="M637" i="2"/>
  <c r="L637" i="2"/>
  <c r="T637" i="2" s="1"/>
  <c r="K637" i="2"/>
  <c r="J637" i="2"/>
  <c r="U636" i="2"/>
  <c r="S636" i="2"/>
  <c r="R636" i="2"/>
  <c r="Q636" i="2"/>
  <c r="P636" i="2"/>
  <c r="O636" i="2"/>
  <c r="N636" i="2"/>
  <c r="M636" i="2"/>
  <c r="L636" i="2"/>
  <c r="T636" i="2" s="1"/>
  <c r="K636" i="2"/>
  <c r="J636" i="2"/>
  <c r="U635" i="2"/>
  <c r="S635" i="2"/>
  <c r="R635" i="2"/>
  <c r="Q635" i="2"/>
  <c r="P635" i="2"/>
  <c r="O635" i="2"/>
  <c r="N635" i="2"/>
  <c r="M635" i="2"/>
  <c r="L635" i="2"/>
  <c r="T635" i="2" s="1"/>
  <c r="K635" i="2"/>
  <c r="J635" i="2"/>
  <c r="U634" i="2"/>
  <c r="S634" i="2"/>
  <c r="R634" i="2"/>
  <c r="Q634" i="2"/>
  <c r="P634" i="2"/>
  <c r="O634" i="2"/>
  <c r="N634" i="2"/>
  <c r="M634" i="2"/>
  <c r="L634" i="2"/>
  <c r="T634" i="2" s="1"/>
  <c r="K634" i="2"/>
  <c r="J634" i="2"/>
  <c r="U633" i="2"/>
  <c r="S633" i="2"/>
  <c r="R633" i="2"/>
  <c r="Q633" i="2"/>
  <c r="P633" i="2"/>
  <c r="O633" i="2"/>
  <c r="N633" i="2"/>
  <c r="M633" i="2"/>
  <c r="L633" i="2"/>
  <c r="T633" i="2" s="1"/>
  <c r="K633" i="2"/>
  <c r="J633" i="2"/>
  <c r="U632" i="2"/>
  <c r="S632" i="2"/>
  <c r="R632" i="2"/>
  <c r="Q632" i="2"/>
  <c r="P632" i="2"/>
  <c r="O632" i="2"/>
  <c r="N632" i="2"/>
  <c r="M632" i="2"/>
  <c r="L632" i="2"/>
  <c r="T632" i="2" s="1"/>
  <c r="K632" i="2"/>
  <c r="J632" i="2"/>
  <c r="U631" i="2"/>
  <c r="S631" i="2"/>
  <c r="R631" i="2"/>
  <c r="Q631" i="2"/>
  <c r="P631" i="2"/>
  <c r="O631" i="2"/>
  <c r="N631" i="2"/>
  <c r="M631" i="2"/>
  <c r="L631" i="2"/>
  <c r="T631" i="2" s="1"/>
  <c r="K631" i="2"/>
  <c r="J631" i="2"/>
  <c r="U630" i="2"/>
  <c r="S630" i="2"/>
  <c r="R630" i="2"/>
  <c r="Q630" i="2"/>
  <c r="P630" i="2"/>
  <c r="O630" i="2"/>
  <c r="N630" i="2"/>
  <c r="M630" i="2"/>
  <c r="L630" i="2"/>
  <c r="T630" i="2" s="1"/>
  <c r="K630" i="2"/>
  <c r="J630" i="2"/>
  <c r="U629" i="2"/>
  <c r="S629" i="2"/>
  <c r="R629" i="2"/>
  <c r="Q629" i="2"/>
  <c r="P629" i="2"/>
  <c r="O629" i="2"/>
  <c r="N629" i="2"/>
  <c r="M629" i="2"/>
  <c r="L629" i="2"/>
  <c r="T629" i="2" s="1"/>
  <c r="K629" i="2"/>
  <c r="J629" i="2"/>
  <c r="U628" i="2"/>
  <c r="S628" i="2"/>
  <c r="R628" i="2"/>
  <c r="Q628" i="2"/>
  <c r="P628" i="2"/>
  <c r="O628" i="2"/>
  <c r="N628" i="2"/>
  <c r="M628" i="2"/>
  <c r="L628" i="2"/>
  <c r="T628" i="2" s="1"/>
  <c r="K628" i="2"/>
  <c r="J628" i="2"/>
  <c r="U627" i="2"/>
  <c r="S627" i="2"/>
  <c r="R627" i="2"/>
  <c r="Q627" i="2"/>
  <c r="P627" i="2"/>
  <c r="O627" i="2"/>
  <c r="N627" i="2"/>
  <c r="M627" i="2"/>
  <c r="L627" i="2"/>
  <c r="T627" i="2" s="1"/>
  <c r="K627" i="2"/>
  <c r="J627" i="2"/>
  <c r="U626" i="2"/>
  <c r="S626" i="2"/>
  <c r="R626" i="2"/>
  <c r="Q626" i="2"/>
  <c r="P626" i="2"/>
  <c r="O626" i="2"/>
  <c r="N626" i="2"/>
  <c r="M626" i="2"/>
  <c r="L626" i="2"/>
  <c r="T626" i="2" s="1"/>
  <c r="K626" i="2"/>
  <c r="J626" i="2"/>
  <c r="U625" i="2"/>
  <c r="S625" i="2"/>
  <c r="R625" i="2"/>
  <c r="Q625" i="2"/>
  <c r="P625" i="2"/>
  <c r="O625" i="2"/>
  <c r="N625" i="2"/>
  <c r="M625" i="2"/>
  <c r="L625" i="2"/>
  <c r="T625" i="2" s="1"/>
  <c r="K625" i="2"/>
  <c r="J625" i="2"/>
  <c r="U624" i="2"/>
  <c r="S624" i="2"/>
  <c r="R624" i="2"/>
  <c r="Q624" i="2"/>
  <c r="P624" i="2"/>
  <c r="O624" i="2"/>
  <c r="N624" i="2"/>
  <c r="M624" i="2"/>
  <c r="L624" i="2"/>
  <c r="T624" i="2" s="1"/>
  <c r="K624" i="2"/>
  <c r="J624" i="2"/>
  <c r="U623" i="2"/>
  <c r="S623" i="2"/>
  <c r="R623" i="2"/>
  <c r="Q623" i="2"/>
  <c r="P623" i="2"/>
  <c r="O623" i="2"/>
  <c r="N623" i="2"/>
  <c r="M623" i="2"/>
  <c r="L623" i="2"/>
  <c r="T623" i="2" s="1"/>
  <c r="K623" i="2"/>
  <c r="J623" i="2"/>
  <c r="U622" i="2"/>
  <c r="S622" i="2"/>
  <c r="R622" i="2"/>
  <c r="Q622" i="2"/>
  <c r="P622" i="2"/>
  <c r="O622" i="2"/>
  <c r="N622" i="2"/>
  <c r="M622" i="2"/>
  <c r="L622" i="2"/>
  <c r="T622" i="2" s="1"/>
  <c r="K622" i="2"/>
  <c r="J622" i="2"/>
  <c r="U621" i="2"/>
  <c r="S621" i="2"/>
  <c r="R621" i="2"/>
  <c r="Q621" i="2"/>
  <c r="P621" i="2"/>
  <c r="O621" i="2"/>
  <c r="N621" i="2"/>
  <c r="M621" i="2"/>
  <c r="L621" i="2"/>
  <c r="T621" i="2" s="1"/>
  <c r="K621" i="2"/>
  <c r="J621" i="2"/>
  <c r="U620" i="2"/>
  <c r="S620" i="2"/>
  <c r="R620" i="2"/>
  <c r="Q620" i="2"/>
  <c r="P620" i="2"/>
  <c r="O620" i="2"/>
  <c r="N620" i="2"/>
  <c r="M620" i="2"/>
  <c r="L620" i="2"/>
  <c r="T620" i="2" s="1"/>
  <c r="K620" i="2"/>
  <c r="J620" i="2"/>
  <c r="U619" i="2"/>
  <c r="S619" i="2"/>
  <c r="R619" i="2"/>
  <c r="Q619" i="2"/>
  <c r="P619" i="2"/>
  <c r="O619" i="2"/>
  <c r="N619" i="2"/>
  <c r="M619" i="2"/>
  <c r="L619" i="2"/>
  <c r="T619" i="2" s="1"/>
  <c r="K619" i="2"/>
  <c r="J619" i="2"/>
  <c r="U618" i="2"/>
  <c r="S618" i="2"/>
  <c r="R618" i="2"/>
  <c r="Q618" i="2"/>
  <c r="P618" i="2"/>
  <c r="O618" i="2"/>
  <c r="N618" i="2"/>
  <c r="M618" i="2"/>
  <c r="L618" i="2"/>
  <c r="T618" i="2" s="1"/>
  <c r="K618" i="2"/>
  <c r="J618" i="2"/>
  <c r="U617" i="2"/>
  <c r="S617" i="2"/>
  <c r="R617" i="2"/>
  <c r="Q617" i="2"/>
  <c r="P617" i="2"/>
  <c r="O617" i="2"/>
  <c r="N617" i="2"/>
  <c r="M617" i="2"/>
  <c r="L617" i="2"/>
  <c r="T617" i="2" s="1"/>
  <c r="K617" i="2"/>
  <c r="J617" i="2"/>
  <c r="U616" i="2"/>
  <c r="S616" i="2"/>
  <c r="R616" i="2"/>
  <c r="Q616" i="2"/>
  <c r="P616" i="2"/>
  <c r="O616" i="2"/>
  <c r="N616" i="2"/>
  <c r="M616" i="2"/>
  <c r="L616" i="2"/>
  <c r="T616" i="2" s="1"/>
  <c r="K616" i="2"/>
  <c r="J616" i="2"/>
  <c r="U615" i="2"/>
  <c r="S615" i="2"/>
  <c r="R615" i="2"/>
  <c r="Q615" i="2"/>
  <c r="P615" i="2"/>
  <c r="O615" i="2"/>
  <c r="N615" i="2"/>
  <c r="M615" i="2"/>
  <c r="L615" i="2"/>
  <c r="T615" i="2" s="1"/>
  <c r="K615" i="2"/>
  <c r="J615" i="2"/>
  <c r="U614" i="2"/>
  <c r="S614" i="2"/>
  <c r="R614" i="2"/>
  <c r="Q614" i="2"/>
  <c r="P614" i="2"/>
  <c r="O614" i="2"/>
  <c r="N614" i="2"/>
  <c r="M614" i="2"/>
  <c r="L614" i="2"/>
  <c r="T614" i="2" s="1"/>
  <c r="K614" i="2"/>
  <c r="J614" i="2"/>
  <c r="U613" i="2"/>
  <c r="S613" i="2"/>
  <c r="R613" i="2"/>
  <c r="Q613" i="2"/>
  <c r="P613" i="2"/>
  <c r="O613" i="2"/>
  <c r="N613" i="2"/>
  <c r="M613" i="2"/>
  <c r="L613" i="2"/>
  <c r="T613" i="2" s="1"/>
  <c r="K613" i="2"/>
  <c r="J613" i="2"/>
  <c r="U612" i="2"/>
  <c r="S612" i="2"/>
  <c r="R612" i="2"/>
  <c r="Q612" i="2"/>
  <c r="P612" i="2"/>
  <c r="O612" i="2"/>
  <c r="N612" i="2"/>
  <c r="M612" i="2"/>
  <c r="L612" i="2"/>
  <c r="T612" i="2" s="1"/>
  <c r="K612" i="2"/>
  <c r="J612" i="2"/>
  <c r="U611" i="2"/>
  <c r="S611" i="2"/>
  <c r="R611" i="2"/>
  <c r="Q611" i="2"/>
  <c r="P611" i="2"/>
  <c r="O611" i="2"/>
  <c r="N611" i="2"/>
  <c r="M611" i="2"/>
  <c r="L611" i="2"/>
  <c r="T611" i="2" s="1"/>
  <c r="K611" i="2"/>
  <c r="J611" i="2"/>
  <c r="U610" i="2"/>
  <c r="S610" i="2"/>
  <c r="R610" i="2"/>
  <c r="Q610" i="2"/>
  <c r="P610" i="2"/>
  <c r="O610" i="2"/>
  <c r="N610" i="2"/>
  <c r="M610" i="2"/>
  <c r="L610" i="2"/>
  <c r="T610" i="2" s="1"/>
  <c r="K610" i="2"/>
  <c r="J610" i="2"/>
  <c r="U609" i="2"/>
  <c r="S609" i="2"/>
  <c r="R609" i="2"/>
  <c r="Q609" i="2"/>
  <c r="P609" i="2"/>
  <c r="O609" i="2"/>
  <c r="N609" i="2"/>
  <c r="M609" i="2"/>
  <c r="L609" i="2"/>
  <c r="T609" i="2" s="1"/>
  <c r="K609" i="2"/>
  <c r="J609" i="2"/>
  <c r="U608" i="2"/>
  <c r="S608" i="2"/>
  <c r="R608" i="2"/>
  <c r="Q608" i="2"/>
  <c r="P608" i="2"/>
  <c r="O608" i="2"/>
  <c r="N608" i="2"/>
  <c r="M608" i="2"/>
  <c r="L608" i="2"/>
  <c r="T608" i="2" s="1"/>
  <c r="K608" i="2"/>
  <c r="J608" i="2"/>
  <c r="U607" i="2"/>
  <c r="S607" i="2"/>
  <c r="R607" i="2"/>
  <c r="Q607" i="2"/>
  <c r="P607" i="2"/>
  <c r="O607" i="2"/>
  <c r="N607" i="2"/>
  <c r="M607" i="2"/>
  <c r="L607" i="2"/>
  <c r="T607" i="2" s="1"/>
  <c r="K607" i="2"/>
  <c r="J607" i="2"/>
  <c r="U606" i="2"/>
  <c r="S606" i="2"/>
  <c r="R606" i="2"/>
  <c r="Q606" i="2"/>
  <c r="P606" i="2"/>
  <c r="O606" i="2"/>
  <c r="N606" i="2"/>
  <c r="M606" i="2"/>
  <c r="L606" i="2"/>
  <c r="T606" i="2" s="1"/>
  <c r="K606" i="2"/>
  <c r="J606" i="2"/>
  <c r="U605" i="2"/>
  <c r="S605" i="2"/>
  <c r="R605" i="2"/>
  <c r="Q605" i="2"/>
  <c r="P605" i="2"/>
  <c r="O605" i="2"/>
  <c r="N605" i="2"/>
  <c r="M605" i="2"/>
  <c r="L605" i="2"/>
  <c r="T605" i="2" s="1"/>
  <c r="K605" i="2"/>
  <c r="J605" i="2"/>
  <c r="U604" i="2"/>
  <c r="S604" i="2"/>
  <c r="R604" i="2"/>
  <c r="Q604" i="2"/>
  <c r="P604" i="2"/>
  <c r="O604" i="2"/>
  <c r="N604" i="2"/>
  <c r="M604" i="2"/>
  <c r="L604" i="2"/>
  <c r="T604" i="2" s="1"/>
  <c r="K604" i="2"/>
  <c r="J604" i="2"/>
  <c r="U603" i="2"/>
  <c r="S603" i="2"/>
  <c r="R603" i="2"/>
  <c r="Q603" i="2"/>
  <c r="P603" i="2"/>
  <c r="O603" i="2"/>
  <c r="N603" i="2"/>
  <c r="M603" i="2"/>
  <c r="L603" i="2"/>
  <c r="T603" i="2" s="1"/>
  <c r="K603" i="2"/>
  <c r="J603" i="2"/>
  <c r="U602" i="2"/>
  <c r="S602" i="2"/>
  <c r="R602" i="2"/>
  <c r="Q602" i="2"/>
  <c r="P602" i="2"/>
  <c r="O602" i="2"/>
  <c r="N602" i="2"/>
  <c r="M602" i="2"/>
  <c r="L602" i="2"/>
  <c r="T602" i="2" s="1"/>
  <c r="K602" i="2"/>
  <c r="J602" i="2"/>
  <c r="U601" i="2"/>
  <c r="S601" i="2"/>
  <c r="R601" i="2"/>
  <c r="Q601" i="2"/>
  <c r="P601" i="2"/>
  <c r="O601" i="2"/>
  <c r="N601" i="2"/>
  <c r="M601" i="2"/>
  <c r="L601" i="2"/>
  <c r="T601" i="2" s="1"/>
  <c r="K601" i="2"/>
  <c r="J601" i="2"/>
  <c r="U600" i="2"/>
  <c r="S600" i="2"/>
  <c r="R600" i="2"/>
  <c r="Q600" i="2"/>
  <c r="P600" i="2"/>
  <c r="O600" i="2"/>
  <c r="N600" i="2"/>
  <c r="M600" i="2"/>
  <c r="L600" i="2"/>
  <c r="T600" i="2" s="1"/>
  <c r="K600" i="2"/>
  <c r="J600" i="2"/>
  <c r="U599" i="2"/>
  <c r="S599" i="2"/>
  <c r="R599" i="2"/>
  <c r="Q599" i="2"/>
  <c r="P599" i="2"/>
  <c r="O599" i="2"/>
  <c r="N599" i="2"/>
  <c r="M599" i="2"/>
  <c r="L599" i="2"/>
  <c r="T599" i="2" s="1"/>
  <c r="K599" i="2"/>
  <c r="J599" i="2"/>
  <c r="U598" i="2"/>
  <c r="S598" i="2"/>
  <c r="R598" i="2"/>
  <c r="Q598" i="2"/>
  <c r="P598" i="2"/>
  <c r="O598" i="2"/>
  <c r="N598" i="2"/>
  <c r="M598" i="2"/>
  <c r="L598" i="2"/>
  <c r="T598" i="2" s="1"/>
  <c r="K598" i="2"/>
  <c r="J598" i="2"/>
  <c r="U597" i="2"/>
  <c r="S597" i="2"/>
  <c r="R597" i="2"/>
  <c r="Q597" i="2"/>
  <c r="P597" i="2"/>
  <c r="O597" i="2"/>
  <c r="N597" i="2"/>
  <c r="M597" i="2"/>
  <c r="L597" i="2"/>
  <c r="T597" i="2" s="1"/>
  <c r="K597" i="2"/>
  <c r="J597" i="2"/>
  <c r="U596" i="2"/>
  <c r="S596" i="2"/>
  <c r="R596" i="2"/>
  <c r="Q596" i="2"/>
  <c r="P596" i="2"/>
  <c r="O596" i="2"/>
  <c r="N596" i="2"/>
  <c r="M596" i="2"/>
  <c r="L596" i="2"/>
  <c r="T596" i="2" s="1"/>
  <c r="K596" i="2"/>
  <c r="J596" i="2"/>
  <c r="U595" i="2"/>
  <c r="S595" i="2"/>
  <c r="R595" i="2"/>
  <c r="Q595" i="2"/>
  <c r="P595" i="2"/>
  <c r="O595" i="2"/>
  <c r="N595" i="2"/>
  <c r="M595" i="2"/>
  <c r="L595" i="2"/>
  <c r="T595" i="2" s="1"/>
  <c r="K595" i="2"/>
  <c r="J595" i="2"/>
  <c r="U594" i="2"/>
  <c r="S594" i="2"/>
  <c r="R594" i="2"/>
  <c r="Q594" i="2"/>
  <c r="P594" i="2"/>
  <c r="O594" i="2"/>
  <c r="N594" i="2"/>
  <c r="M594" i="2"/>
  <c r="L594" i="2"/>
  <c r="T594" i="2" s="1"/>
  <c r="K594" i="2"/>
  <c r="J594" i="2"/>
  <c r="U593" i="2"/>
  <c r="S593" i="2"/>
  <c r="R593" i="2"/>
  <c r="Q593" i="2"/>
  <c r="P593" i="2"/>
  <c r="O593" i="2"/>
  <c r="N593" i="2"/>
  <c r="M593" i="2"/>
  <c r="L593" i="2"/>
  <c r="T593" i="2" s="1"/>
  <c r="K593" i="2"/>
  <c r="J593" i="2"/>
  <c r="U592" i="2"/>
  <c r="S592" i="2"/>
  <c r="R592" i="2"/>
  <c r="Q592" i="2"/>
  <c r="P592" i="2"/>
  <c r="O592" i="2"/>
  <c r="N592" i="2"/>
  <c r="M592" i="2"/>
  <c r="L592" i="2"/>
  <c r="T592" i="2" s="1"/>
  <c r="K592" i="2"/>
  <c r="J592" i="2"/>
  <c r="U591" i="2"/>
  <c r="S591" i="2"/>
  <c r="R591" i="2"/>
  <c r="Q591" i="2"/>
  <c r="P591" i="2"/>
  <c r="O591" i="2"/>
  <c r="N591" i="2"/>
  <c r="M591" i="2"/>
  <c r="L591" i="2"/>
  <c r="T591" i="2" s="1"/>
  <c r="K591" i="2"/>
  <c r="J591" i="2"/>
  <c r="U590" i="2"/>
  <c r="S590" i="2"/>
  <c r="R590" i="2"/>
  <c r="Q590" i="2"/>
  <c r="P590" i="2"/>
  <c r="O590" i="2"/>
  <c r="N590" i="2"/>
  <c r="M590" i="2"/>
  <c r="L590" i="2"/>
  <c r="T590" i="2" s="1"/>
  <c r="K590" i="2"/>
  <c r="J590" i="2"/>
  <c r="U589" i="2"/>
  <c r="S589" i="2"/>
  <c r="R589" i="2"/>
  <c r="Q589" i="2"/>
  <c r="P589" i="2"/>
  <c r="O589" i="2"/>
  <c r="N589" i="2"/>
  <c r="M589" i="2"/>
  <c r="L589" i="2"/>
  <c r="T589" i="2" s="1"/>
  <c r="K589" i="2"/>
  <c r="J589" i="2"/>
  <c r="U588" i="2"/>
  <c r="S588" i="2"/>
  <c r="R588" i="2"/>
  <c r="Q588" i="2"/>
  <c r="P588" i="2"/>
  <c r="O588" i="2"/>
  <c r="N588" i="2"/>
  <c r="M588" i="2"/>
  <c r="L588" i="2"/>
  <c r="T588" i="2" s="1"/>
  <c r="K588" i="2"/>
  <c r="J588" i="2"/>
  <c r="U587" i="2"/>
  <c r="S587" i="2"/>
  <c r="R587" i="2"/>
  <c r="Q587" i="2"/>
  <c r="P587" i="2"/>
  <c r="O587" i="2"/>
  <c r="N587" i="2"/>
  <c r="M587" i="2"/>
  <c r="L587" i="2"/>
  <c r="T587" i="2" s="1"/>
  <c r="K587" i="2"/>
  <c r="J587" i="2"/>
  <c r="U586" i="2"/>
  <c r="S586" i="2"/>
  <c r="R586" i="2"/>
  <c r="Q586" i="2"/>
  <c r="P586" i="2"/>
  <c r="O586" i="2"/>
  <c r="N586" i="2"/>
  <c r="M586" i="2"/>
  <c r="L586" i="2"/>
  <c r="T586" i="2" s="1"/>
  <c r="K586" i="2"/>
  <c r="J586" i="2"/>
  <c r="U585" i="2"/>
  <c r="S585" i="2"/>
  <c r="R585" i="2"/>
  <c r="Q585" i="2"/>
  <c r="P585" i="2"/>
  <c r="O585" i="2"/>
  <c r="N585" i="2"/>
  <c r="M585" i="2"/>
  <c r="L585" i="2"/>
  <c r="T585" i="2" s="1"/>
  <c r="K585" i="2"/>
  <c r="J585" i="2"/>
  <c r="U584" i="2"/>
  <c r="S584" i="2"/>
  <c r="R584" i="2"/>
  <c r="Q584" i="2"/>
  <c r="P584" i="2"/>
  <c r="O584" i="2"/>
  <c r="N584" i="2"/>
  <c r="M584" i="2"/>
  <c r="L584" i="2"/>
  <c r="T584" i="2" s="1"/>
  <c r="K584" i="2"/>
  <c r="J584" i="2"/>
  <c r="U583" i="2"/>
  <c r="S583" i="2"/>
  <c r="R583" i="2"/>
  <c r="Q583" i="2"/>
  <c r="P583" i="2"/>
  <c r="O583" i="2"/>
  <c r="N583" i="2"/>
  <c r="M583" i="2"/>
  <c r="L583" i="2"/>
  <c r="T583" i="2" s="1"/>
  <c r="K583" i="2"/>
  <c r="J583" i="2"/>
  <c r="U582" i="2"/>
  <c r="S582" i="2"/>
  <c r="R582" i="2"/>
  <c r="Q582" i="2"/>
  <c r="P582" i="2"/>
  <c r="O582" i="2"/>
  <c r="N582" i="2"/>
  <c r="M582" i="2"/>
  <c r="L582" i="2"/>
  <c r="T582" i="2" s="1"/>
  <c r="K582" i="2"/>
  <c r="J582" i="2"/>
  <c r="U581" i="2"/>
  <c r="S581" i="2"/>
  <c r="R581" i="2"/>
  <c r="Q581" i="2"/>
  <c r="P581" i="2"/>
  <c r="O581" i="2"/>
  <c r="N581" i="2"/>
  <c r="M581" i="2"/>
  <c r="L581" i="2"/>
  <c r="T581" i="2" s="1"/>
  <c r="K581" i="2"/>
  <c r="J581" i="2"/>
  <c r="U580" i="2"/>
  <c r="S580" i="2"/>
  <c r="R580" i="2"/>
  <c r="Q580" i="2"/>
  <c r="P580" i="2"/>
  <c r="O580" i="2"/>
  <c r="N580" i="2"/>
  <c r="M580" i="2"/>
  <c r="L580" i="2"/>
  <c r="T580" i="2" s="1"/>
  <c r="K580" i="2"/>
  <c r="J580" i="2"/>
  <c r="U579" i="2"/>
  <c r="S579" i="2"/>
  <c r="R579" i="2"/>
  <c r="Q579" i="2"/>
  <c r="P579" i="2"/>
  <c r="O579" i="2"/>
  <c r="N579" i="2"/>
  <c r="M579" i="2"/>
  <c r="L579" i="2"/>
  <c r="T579" i="2" s="1"/>
  <c r="K579" i="2"/>
  <c r="J579" i="2"/>
  <c r="U578" i="2"/>
  <c r="S578" i="2"/>
  <c r="R578" i="2"/>
  <c r="Q578" i="2"/>
  <c r="P578" i="2"/>
  <c r="O578" i="2"/>
  <c r="N578" i="2"/>
  <c r="M578" i="2"/>
  <c r="L578" i="2"/>
  <c r="T578" i="2" s="1"/>
  <c r="K578" i="2"/>
  <c r="J578" i="2"/>
  <c r="U577" i="2"/>
  <c r="S577" i="2"/>
  <c r="R577" i="2"/>
  <c r="Q577" i="2"/>
  <c r="P577" i="2"/>
  <c r="O577" i="2"/>
  <c r="N577" i="2"/>
  <c r="M577" i="2"/>
  <c r="L577" i="2"/>
  <c r="T577" i="2" s="1"/>
  <c r="K577" i="2"/>
  <c r="J577" i="2"/>
  <c r="U576" i="2"/>
  <c r="S576" i="2"/>
  <c r="R576" i="2"/>
  <c r="Q576" i="2"/>
  <c r="P576" i="2"/>
  <c r="O576" i="2"/>
  <c r="N576" i="2"/>
  <c r="M576" i="2"/>
  <c r="L576" i="2"/>
  <c r="T576" i="2" s="1"/>
  <c r="K576" i="2"/>
  <c r="J576" i="2"/>
  <c r="U575" i="2"/>
  <c r="S575" i="2"/>
  <c r="R575" i="2"/>
  <c r="Q575" i="2"/>
  <c r="P575" i="2"/>
  <c r="O575" i="2"/>
  <c r="N575" i="2"/>
  <c r="M575" i="2"/>
  <c r="L575" i="2"/>
  <c r="T575" i="2" s="1"/>
  <c r="K575" i="2"/>
  <c r="J575" i="2"/>
  <c r="U574" i="2"/>
  <c r="S574" i="2"/>
  <c r="R574" i="2"/>
  <c r="Q574" i="2"/>
  <c r="P574" i="2"/>
  <c r="O574" i="2"/>
  <c r="N574" i="2"/>
  <c r="M574" i="2"/>
  <c r="L574" i="2"/>
  <c r="T574" i="2" s="1"/>
  <c r="K574" i="2"/>
  <c r="J574" i="2"/>
  <c r="U573" i="2"/>
  <c r="S573" i="2"/>
  <c r="R573" i="2"/>
  <c r="Q573" i="2"/>
  <c r="P573" i="2"/>
  <c r="O573" i="2"/>
  <c r="N573" i="2"/>
  <c r="M573" i="2"/>
  <c r="L573" i="2"/>
  <c r="T573" i="2" s="1"/>
  <c r="K573" i="2"/>
  <c r="J573" i="2"/>
  <c r="U572" i="2"/>
  <c r="S572" i="2"/>
  <c r="R572" i="2"/>
  <c r="Q572" i="2"/>
  <c r="P572" i="2"/>
  <c r="O572" i="2"/>
  <c r="N572" i="2"/>
  <c r="M572" i="2"/>
  <c r="L572" i="2"/>
  <c r="T572" i="2" s="1"/>
  <c r="K572" i="2"/>
  <c r="J572" i="2"/>
  <c r="U571" i="2"/>
  <c r="S571" i="2"/>
  <c r="R571" i="2"/>
  <c r="Q571" i="2"/>
  <c r="P571" i="2"/>
  <c r="O571" i="2"/>
  <c r="N571" i="2"/>
  <c r="M571" i="2"/>
  <c r="L571" i="2"/>
  <c r="T571" i="2" s="1"/>
  <c r="K571" i="2"/>
  <c r="J571" i="2"/>
  <c r="U570" i="2"/>
  <c r="S570" i="2"/>
  <c r="R570" i="2"/>
  <c r="Q570" i="2"/>
  <c r="P570" i="2"/>
  <c r="O570" i="2"/>
  <c r="N570" i="2"/>
  <c r="M570" i="2"/>
  <c r="L570" i="2"/>
  <c r="T570" i="2" s="1"/>
  <c r="K570" i="2"/>
  <c r="J570" i="2"/>
  <c r="U569" i="2"/>
  <c r="S569" i="2"/>
  <c r="R569" i="2"/>
  <c r="Q569" i="2"/>
  <c r="P569" i="2"/>
  <c r="O569" i="2"/>
  <c r="N569" i="2"/>
  <c r="M569" i="2"/>
  <c r="L569" i="2"/>
  <c r="T569" i="2" s="1"/>
  <c r="K569" i="2"/>
  <c r="J569" i="2"/>
  <c r="U568" i="2"/>
  <c r="S568" i="2"/>
  <c r="R568" i="2"/>
  <c r="Q568" i="2"/>
  <c r="P568" i="2"/>
  <c r="O568" i="2"/>
  <c r="N568" i="2"/>
  <c r="M568" i="2"/>
  <c r="L568" i="2"/>
  <c r="T568" i="2" s="1"/>
  <c r="K568" i="2"/>
  <c r="J568" i="2"/>
  <c r="U567" i="2"/>
  <c r="S567" i="2"/>
  <c r="R567" i="2"/>
  <c r="Q567" i="2"/>
  <c r="P567" i="2"/>
  <c r="O567" i="2"/>
  <c r="N567" i="2"/>
  <c r="M567" i="2"/>
  <c r="L567" i="2"/>
  <c r="T567" i="2" s="1"/>
  <c r="K567" i="2"/>
  <c r="J567" i="2"/>
  <c r="U566" i="2"/>
  <c r="S566" i="2"/>
  <c r="R566" i="2"/>
  <c r="Q566" i="2"/>
  <c r="P566" i="2"/>
  <c r="O566" i="2"/>
  <c r="N566" i="2"/>
  <c r="M566" i="2"/>
  <c r="L566" i="2"/>
  <c r="T566" i="2" s="1"/>
  <c r="K566" i="2"/>
  <c r="J566" i="2"/>
  <c r="U565" i="2"/>
  <c r="S565" i="2"/>
  <c r="R565" i="2"/>
  <c r="Q565" i="2"/>
  <c r="P565" i="2"/>
  <c r="O565" i="2"/>
  <c r="N565" i="2"/>
  <c r="M565" i="2"/>
  <c r="L565" i="2"/>
  <c r="T565" i="2" s="1"/>
  <c r="K565" i="2"/>
  <c r="J565" i="2"/>
  <c r="U564" i="2"/>
  <c r="S564" i="2"/>
  <c r="R564" i="2"/>
  <c r="Q564" i="2"/>
  <c r="P564" i="2"/>
  <c r="O564" i="2"/>
  <c r="N564" i="2"/>
  <c r="M564" i="2"/>
  <c r="L564" i="2"/>
  <c r="T564" i="2" s="1"/>
  <c r="K564" i="2"/>
  <c r="J564" i="2"/>
  <c r="U563" i="2"/>
  <c r="S563" i="2"/>
  <c r="R563" i="2"/>
  <c r="Q563" i="2"/>
  <c r="P563" i="2"/>
  <c r="O563" i="2"/>
  <c r="N563" i="2"/>
  <c r="M563" i="2"/>
  <c r="L563" i="2"/>
  <c r="T563" i="2" s="1"/>
  <c r="K563" i="2"/>
  <c r="J563" i="2"/>
  <c r="U562" i="2"/>
  <c r="S562" i="2"/>
  <c r="R562" i="2"/>
  <c r="Q562" i="2"/>
  <c r="P562" i="2"/>
  <c r="O562" i="2"/>
  <c r="N562" i="2"/>
  <c r="M562" i="2"/>
  <c r="L562" i="2"/>
  <c r="T562" i="2" s="1"/>
  <c r="K562" i="2"/>
  <c r="J562" i="2"/>
  <c r="U561" i="2"/>
  <c r="S561" i="2"/>
  <c r="R561" i="2"/>
  <c r="Q561" i="2"/>
  <c r="P561" i="2"/>
  <c r="O561" i="2"/>
  <c r="N561" i="2"/>
  <c r="M561" i="2"/>
  <c r="L561" i="2"/>
  <c r="T561" i="2" s="1"/>
  <c r="K561" i="2"/>
  <c r="J561" i="2"/>
  <c r="U560" i="2"/>
  <c r="S560" i="2"/>
  <c r="R560" i="2"/>
  <c r="Q560" i="2"/>
  <c r="P560" i="2"/>
  <c r="O560" i="2"/>
  <c r="N560" i="2"/>
  <c r="M560" i="2"/>
  <c r="L560" i="2"/>
  <c r="T560" i="2" s="1"/>
  <c r="K560" i="2"/>
  <c r="J560" i="2"/>
  <c r="U559" i="2"/>
  <c r="S559" i="2"/>
  <c r="R559" i="2"/>
  <c r="Q559" i="2"/>
  <c r="P559" i="2"/>
  <c r="O559" i="2"/>
  <c r="N559" i="2"/>
  <c r="M559" i="2"/>
  <c r="L559" i="2"/>
  <c r="T559" i="2" s="1"/>
  <c r="K559" i="2"/>
  <c r="J559" i="2"/>
  <c r="U558" i="2"/>
  <c r="S558" i="2"/>
  <c r="R558" i="2"/>
  <c r="Q558" i="2"/>
  <c r="P558" i="2"/>
  <c r="O558" i="2"/>
  <c r="N558" i="2"/>
  <c r="M558" i="2"/>
  <c r="L558" i="2"/>
  <c r="T558" i="2" s="1"/>
  <c r="K558" i="2"/>
  <c r="J558" i="2"/>
  <c r="U557" i="2"/>
  <c r="S557" i="2"/>
  <c r="R557" i="2"/>
  <c r="Q557" i="2"/>
  <c r="P557" i="2"/>
  <c r="O557" i="2"/>
  <c r="N557" i="2"/>
  <c r="M557" i="2"/>
  <c r="L557" i="2"/>
  <c r="T557" i="2" s="1"/>
  <c r="K557" i="2"/>
  <c r="J557" i="2"/>
  <c r="U556" i="2"/>
  <c r="S556" i="2"/>
  <c r="R556" i="2"/>
  <c r="Q556" i="2"/>
  <c r="P556" i="2"/>
  <c r="O556" i="2"/>
  <c r="N556" i="2"/>
  <c r="M556" i="2"/>
  <c r="L556" i="2"/>
  <c r="T556" i="2" s="1"/>
  <c r="K556" i="2"/>
  <c r="J556" i="2"/>
  <c r="U555" i="2"/>
  <c r="S555" i="2"/>
  <c r="R555" i="2"/>
  <c r="Q555" i="2"/>
  <c r="P555" i="2"/>
  <c r="O555" i="2"/>
  <c r="N555" i="2"/>
  <c r="M555" i="2"/>
  <c r="L555" i="2"/>
  <c r="T555" i="2" s="1"/>
  <c r="K555" i="2"/>
  <c r="J555" i="2"/>
  <c r="U554" i="2"/>
  <c r="S554" i="2"/>
  <c r="R554" i="2"/>
  <c r="Q554" i="2"/>
  <c r="P554" i="2"/>
  <c r="O554" i="2"/>
  <c r="N554" i="2"/>
  <c r="M554" i="2"/>
  <c r="L554" i="2"/>
  <c r="T554" i="2" s="1"/>
  <c r="K554" i="2"/>
  <c r="J554" i="2"/>
  <c r="U553" i="2"/>
  <c r="S553" i="2"/>
  <c r="R553" i="2"/>
  <c r="Q553" i="2"/>
  <c r="P553" i="2"/>
  <c r="O553" i="2"/>
  <c r="N553" i="2"/>
  <c r="M553" i="2"/>
  <c r="L553" i="2"/>
  <c r="T553" i="2" s="1"/>
  <c r="K553" i="2"/>
  <c r="J553" i="2"/>
  <c r="U552" i="2"/>
  <c r="S552" i="2"/>
  <c r="R552" i="2"/>
  <c r="Q552" i="2"/>
  <c r="P552" i="2"/>
  <c r="O552" i="2"/>
  <c r="N552" i="2"/>
  <c r="M552" i="2"/>
  <c r="L552" i="2"/>
  <c r="T552" i="2" s="1"/>
  <c r="K552" i="2"/>
  <c r="J552" i="2"/>
  <c r="U551" i="2"/>
  <c r="S551" i="2"/>
  <c r="R551" i="2"/>
  <c r="Q551" i="2"/>
  <c r="P551" i="2"/>
  <c r="O551" i="2"/>
  <c r="N551" i="2"/>
  <c r="M551" i="2"/>
  <c r="L551" i="2"/>
  <c r="T551" i="2" s="1"/>
  <c r="K551" i="2"/>
  <c r="J551" i="2"/>
  <c r="U550" i="2"/>
  <c r="S550" i="2"/>
  <c r="R550" i="2"/>
  <c r="Q550" i="2"/>
  <c r="P550" i="2"/>
  <c r="O550" i="2"/>
  <c r="N550" i="2"/>
  <c r="M550" i="2"/>
  <c r="L550" i="2"/>
  <c r="T550" i="2" s="1"/>
  <c r="K550" i="2"/>
  <c r="J550" i="2"/>
  <c r="U549" i="2"/>
  <c r="S549" i="2"/>
  <c r="R549" i="2"/>
  <c r="Q549" i="2"/>
  <c r="P549" i="2"/>
  <c r="O549" i="2"/>
  <c r="N549" i="2"/>
  <c r="M549" i="2"/>
  <c r="L549" i="2"/>
  <c r="T549" i="2" s="1"/>
  <c r="K549" i="2"/>
  <c r="J549" i="2"/>
  <c r="U548" i="2"/>
  <c r="S548" i="2"/>
  <c r="R548" i="2"/>
  <c r="Q548" i="2"/>
  <c r="P548" i="2"/>
  <c r="O548" i="2"/>
  <c r="N548" i="2"/>
  <c r="M548" i="2"/>
  <c r="L548" i="2"/>
  <c r="T548" i="2" s="1"/>
  <c r="K548" i="2"/>
  <c r="J548" i="2"/>
  <c r="U547" i="2"/>
  <c r="S547" i="2"/>
  <c r="R547" i="2"/>
  <c r="Q547" i="2"/>
  <c r="P547" i="2"/>
  <c r="O547" i="2"/>
  <c r="N547" i="2"/>
  <c r="M547" i="2"/>
  <c r="L547" i="2"/>
  <c r="T547" i="2" s="1"/>
  <c r="K547" i="2"/>
  <c r="J547" i="2"/>
  <c r="U546" i="2"/>
  <c r="S546" i="2"/>
  <c r="R546" i="2"/>
  <c r="Q546" i="2"/>
  <c r="P546" i="2"/>
  <c r="O546" i="2"/>
  <c r="N546" i="2"/>
  <c r="M546" i="2"/>
  <c r="L546" i="2"/>
  <c r="T546" i="2" s="1"/>
  <c r="K546" i="2"/>
  <c r="J546" i="2"/>
  <c r="U545" i="2"/>
  <c r="S545" i="2"/>
  <c r="R545" i="2"/>
  <c r="Q545" i="2"/>
  <c r="P545" i="2"/>
  <c r="O545" i="2"/>
  <c r="N545" i="2"/>
  <c r="M545" i="2"/>
  <c r="L545" i="2"/>
  <c r="T545" i="2" s="1"/>
  <c r="K545" i="2"/>
  <c r="J545" i="2"/>
  <c r="U544" i="2"/>
  <c r="S544" i="2"/>
  <c r="R544" i="2"/>
  <c r="Q544" i="2"/>
  <c r="P544" i="2"/>
  <c r="O544" i="2"/>
  <c r="N544" i="2"/>
  <c r="M544" i="2"/>
  <c r="L544" i="2"/>
  <c r="T544" i="2" s="1"/>
  <c r="K544" i="2"/>
  <c r="J544" i="2"/>
  <c r="U543" i="2"/>
  <c r="S543" i="2"/>
  <c r="R543" i="2"/>
  <c r="Q543" i="2"/>
  <c r="P543" i="2"/>
  <c r="O543" i="2"/>
  <c r="N543" i="2"/>
  <c r="M543" i="2"/>
  <c r="L543" i="2"/>
  <c r="T543" i="2" s="1"/>
  <c r="K543" i="2"/>
  <c r="J543" i="2"/>
  <c r="U542" i="2"/>
  <c r="S542" i="2"/>
  <c r="R542" i="2"/>
  <c r="Q542" i="2"/>
  <c r="P542" i="2"/>
  <c r="O542" i="2"/>
  <c r="N542" i="2"/>
  <c r="M542" i="2"/>
  <c r="L542" i="2"/>
  <c r="T542" i="2" s="1"/>
  <c r="K542" i="2"/>
  <c r="J542" i="2"/>
  <c r="U541" i="2"/>
  <c r="S541" i="2"/>
  <c r="R541" i="2"/>
  <c r="Q541" i="2"/>
  <c r="P541" i="2"/>
  <c r="O541" i="2"/>
  <c r="N541" i="2"/>
  <c r="M541" i="2"/>
  <c r="L541" i="2"/>
  <c r="T541" i="2" s="1"/>
  <c r="K541" i="2"/>
  <c r="J541" i="2"/>
  <c r="U540" i="2"/>
  <c r="S540" i="2"/>
  <c r="R540" i="2"/>
  <c r="Q540" i="2"/>
  <c r="P540" i="2"/>
  <c r="O540" i="2"/>
  <c r="N540" i="2"/>
  <c r="M540" i="2"/>
  <c r="L540" i="2"/>
  <c r="T540" i="2" s="1"/>
  <c r="K540" i="2"/>
  <c r="J540" i="2"/>
  <c r="U539" i="2"/>
  <c r="S539" i="2"/>
  <c r="R539" i="2"/>
  <c r="Q539" i="2"/>
  <c r="P539" i="2"/>
  <c r="O539" i="2"/>
  <c r="N539" i="2"/>
  <c r="M539" i="2"/>
  <c r="L539" i="2"/>
  <c r="T539" i="2" s="1"/>
  <c r="K539" i="2"/>
  <c r="J539" i="2"/>
  <c r="U537" i="2"/>
  <c r="S537" i="2"/>
  <c r="R537" i="2"/>
  <c r="Q537" i="2"/>
  <c r="P537" i="2"/>
  <c r="O537" i="2"/>
  <c r="N537" i="2"/>
  <c r="M537" i="2"/>
  <c r="L537" i="2"/>
  <c r="T537" i="2" s="1"/>
  <c r="K537" i="2"/>
  <c r="J537" i="2"/>
  <c r="U536" i="2"/>
  <c r="S536" i="2"/>
  <c r="R536" i="2"/>
  <c r="Q536" i="2"/>
  <c r="P536" i="2"/>
  <c r="O536" i="2"/>
  <c r="N536" i="2"/>
  <c r="M536" i="2"/>
  <c r="L536" i="2"/>
  <c r="T536" i="2" s="1"/>
  <c r="K536" i="2"/>
  <c r="J536" i="2"/>
  <c r="U535" i="2"/>
  <c r="S535" i="2"/>
  <c r="R535" i="2"/>
  <c r="Q535" i="2"/>
  <c r="P535" i="2"/>
  <c r="O535" i="2"/>
  <c r="N535" i="2"/>
  <c r="M535" i="2"/>
  <c r="L535" i="2"/>
  <c r="T535" i="2" s="1"/>
  <c r="K535" i="2"/>
  <c r="J535" i="2"/>
  <c r="U534" i="2"/>
  <c r="S534" i="2"/>
  <c r="R534" i="2"/>
  <c r="Q534" i="2"/>
  <c r="P534" i="2"/>
  <c r="O534" i="2"/>
  <c r="N534" i="2"/>
  <c r="M534" i="2"/>
  <c r="L534" i="2"/>
  <c r="T534" i="2" s="1"/>
  <c r="K534" i="2"/>
  <c r="J534" i="2"/>
  <c r="U533" i="2"/>
  <c r="S533" i="2"/>
  <c r="R533" i="2"/>
  <c r="Q533" i="2"/>
  <c r="P533" i="2"/>
  <c r="O533" i="2"/>
  <c r="N533" i="2"/>
  <c r="M533" i="2"/>
  <c r="L533" i="2"/>
  <c r="T533" i="2" s="1"/>
  <c r="K533" i="2"/>
  <c r="J533" i="2"/>
  <c r="U532" i="2"/>
  <c r="S532" i="2"/>
  <c r="R532" i="2"/>
  <c r="Q532" i="2"/>
  <c r="P532" i="2"/>
  <c r="O532" i="2"/>
  <c r="N532" i="2"/>
  <c r="M532" i="2"/>
  <c r="L532" i="2"/>
  <c r="T532" i="2" s="1"/>
  <c r="K532" i="2"/>
  <c r="J532" i="2"/>
  <c r="U531" i="2"/>
  <c r="S531" i="2"/>
  <c r="R531" i="2"/>
  <c r="Q531" i="2"/>
  <c r="P531" i="2"/>
  <c r="O531" i="2"/>
  <c r="N531" i="2"/>
  <c r="M531" i="2"/>
  <c r="L531" i="2"/>
  <c r="T531" i="2" s="1"/>
  <c r="K531" i="2"/>
  <c r="J531" i="2"/>
  <c r="U530" i="2"/>
  <c r="S530" i="2"/>
  <c r="R530" i="2"/>
  <c r="Q530" i="2"/>
  <c r="P530" i="2"/>
  <c r="O530" i="2"/>
  <c r="N530" i="2"/>
  <c r="M530" i="2"/>
  <c r="L530" i="2"/>
  <c r="T530" i="2" s="1"/>
  <c r="K530" i="2"/>
  <c r="J530" i="2"/>
  <c r="U529" i="2"/>
  <c r="S529" i="2"/>
  <c r="R529" i="2"/>
  <c r="Q529" i="2"/>
  <c r="P529" i="2"/>
  <c r="O529" i="2"/>
  <c r="N529" i="2"/>
  <c r="M529" i="2"/>
  <c r="L529" i="2"/>
  <c r="T529" i="2" s="1"/>
  <c r="K529" i="2"/>
  <c r="J529" i="2"/>
  <c r="U528" i="2"/>
  <c r="S528" i="2"/>
  <c r="R528" i="2"/>
  <c r="Q528" i="2"/>
  <c r="P528" i="2"/>
  <c r="O528" i="2"/>
  <c r="N528" i="2"/>
  <c r="M528" i="2"/>
  <c r="L528" i="2"/>
  <c r="T528" i="2" s="1"/>
  <c r="K528" i="2"/>
  <c r="J528" i="2"/>
  <c r="U527" i="2"/>
  <c r="S527" i="2"/>
  <c r="R527" i="2"/>
  <c r="Q527" i="2"/>
  <c r="P527" i="2"/>
  <c r="O527" i="2"/>
  <c r="N527" i="2"/>
  <c r="M527" i="2"/>
  <c r="L527" i="2"/>
  <c r="T527" i="2" s="1"/>
  <c r="K527" i="2"/>
  <c r="J527" i="2"/>
  <c r="U526" i="2"/>
  <c r="S526" i="2"/>
  <c r="R526" i="2"/>
  <c r="Q526" i="2"/>
  <c r="P526" i="2"/>
  <c r="O526" i="2"/>
  <c r="N526" i="2"/>
  <c r="M526" i="2"/>
  <c r="L526" i="2"/>
  <c r="T526" i="2" s="1"/>
  <c r="K526" i="2"/>
  <c r="J526" i="2"/>
  <c r="U525" i="2"/>
  <c r="S525" i="2"/>
  <c r="R525" i="2"/>
  <c r="Q525" i="2"/>
  <c r="P525" i="2"/>
  <c r="O525" i="2"/>
  <c r="N525" i="2"/>
  <c r="M525" i="2"/>
  <c r="L525" i="2"/>
  <c r="T525" i="2" s="1"/>
  <c r="K525" i="2"/>
  <c r="J525" i="2"/>
  <c r="U524" i="2"/>
  <c r="S524" i="2"/>
  <c r="R524" i="2"/>
  <c r="Q524" i="2"/>
  <c r="P524" i="2"/>
  <c r="O524" i="2"/>
  <c r="N524" i="2"/>
  <c r="M524" i="2"/>
  <c r="L524" i="2"/>
  <c r="T524" i="2" s="1"/>
  <c r="K524" i="2"/>
  <c r="J524" i="2"/>
  <c r="U523" i="2"/>
  <c r="S523" i="2"/>
  <c r="R523" i="2"/>
  <c r="Q523" i="2"/>
  <c r="P523" i="2"/>
  <c r="O523" i="2"/>
  <c r="N523" i="2"/>
  <c r="M523" i="2"/>
  <c r="L523" i="2"/>
  <c r="T523" i="2" s="1"/>
  <c r="K523" i="2"/>
  <c r="J523" i="2"/>
  <c r="U522" i="2"/>
  <c r="S522" i="2"/>
  <c r="R522" i="2"/>
  <c r="Q522" i="2"/>
  <c r="P522" i="2"/>
  <c r="O522" i="2"/>
  <c r="N522" i="2"/>
  <c r="M522" i="2"/>
  <c r="L522" i="2"/>
  <c r="T522" i="2" s="1"/>
  <c r="K522" i="2"/>
  <c r="J522" i="2"/>
  <c r="U521" i="2"/>
  <c r="S521" i="2"/>
  <c r="R521" i="2"/>
  <c r="Q521" i="2"/>
  <c r="P521" i="2"/>
  <c r="O521" i="2"/>
  <c r="N521" i="2"/>
  <c r="M521" i="2"/>
  <c r="L521" i="2"/>
  <c r="T521" i="2" s="1"/>
  <c r="K521" i="2"/>
  <c r="J521" i="2"/>
  <c r="U520" i="2"/>
  <c r="S520" i="2"/>
  <c r="R520" i="2"/>
  <c r="Q520" i="2"/>
  <c r="P520" i="2"/>
  <c r="O520" i="2"/>
  <c r="N520" i="2"/>
  <c r="M520" i="2"/>
  <c r="L520" i="2"/>
  <c r="T520" i="2" s="1"/>
  <c r="K520" i="2"/>
  <c r="J520" i="2"/>
  <c r="U519" i="2"/>
  <c r="S519" i="2"/>
  <c r="R519" i="2"/>
  <c r="Q519" i="2"/>
  <c r="P519" i="2"/>
  <c r="O519" i="2"/>
  <c r="N519" i="2"/>
  <c r="M519" i="2"/>
  <c r="L519" i="2"/>
  <c r="T519" i="2" s="1"/>
  <c r="K519" i="2"/>
  <c r="J519" i="2"/>
  <c r="U518" i="2"/>
  <c r="S518" i="2"/>
  <c r="R518" i="2"/>
  <c r="Q518" i="2"/>
  <c r="P518" i="2"/>
  <c r="O518" i="2"/>
  <c r="N518" i="2"/>
  <c r="M518" i="2"/>
  <c r="L518" i="2"/>
  <c r="T518" i="2" s="1"/>
  <c r="K518" i="2"/>
  <c r="J518" i="2"/>
  <c r="U517" i="2"/>
  <c r="S517" i="2"/>
  <c r="R517" i="2"/>
  <c r="Q517" i="2"/>
  <c r="P517" i="2"/>
  <c r="O517" i="2"/>
  <c r="N517" i="2"/>
  <c r="M517" i="2"/>
  <c r="L517" i="2"/>
  <c r="T517" i="2" s="1"/>
  <c r="K517" i="2"/>
  <c r="J517" i="2"/>
  <c r="U516" i="2"/>
  <c r="S516" i="2"/>
  <c r="R516" i="2"/>
  <c r="Q516" i="2"/>
  <c r="P516" i="2"/>
  <c r="O516" i="2"/>
  <c r="N516" i="2"/>
  <c r="M516" i="2"/>
  <c r="L516" i="2"/>
  <c r="T516" i="2" s="1"/>
  <c r="K516" i="2"/>
  <c r="J516" i="2"/>
  <c r="U515" i="2"/>
  <c r="S515" i="2"/>
  <c r="R515" i="2"/>
  <c r="Q515" i="2"/>
  <c r="P515" i="2"/>
  <c r="O515" i="2"/>
  <c r="N515" i="2"/>
  <c r="M515" i="2"/>
  <c r="L515" i="2"/>
  <c r="T515" i="2" s="1"/>
  <c r="K515" i="2"/>
  <c r="J515" i="2"/>
  <c r="U514" i="2"/>
  <c r="S514" i="2"/>
  <c r="R514" i="2"/>
  <c r="Q514" i="2"/>
  <c r="P514" i="2"/>
  <c r="O514" i="2"/>
  <c r="N514" i="2"/>
  <c r="M514" i="2"/>
  <c r="L514" i="2"/>
  <c r="T514" i="2" s="1"/>
  <c r="K514" i="2"/>
  <c r="J514" i="2"/>
  <c r="U513" i="2"/>
  <c r="S513" i="2"/>
  <c r="R513" i="2"/>
  <c r="Q513" i="2"/>
  <c r="P513" i="2"/>
  <c r="O513" i="2"/>
  <c r="N513" i="2"/>
  <c r="M513" i="2"/>
  <c r="L513" i="2"/>
  <c r="T513" i="2" s="1"/>
  <c r="K513" i="2"/>
  <c r="J513" i="2"/>
  <c r="U512" i="2"/>
  <c r="S512" i="2"/>
  <c r="R512" i="2"/>
  <c r="Q512" i="2"/>
  <c r="P512" i="2"/>
  <c r="O512" i="2"/>
  <c r="N512" i="2"/>
  <c r="M512" i="2"/>
  <c r="L512" i="2"/>
  <c r="T512" i="2" s="1"/>
  <c r="K512" i="2"/>
  <c r="J512" i="2"/>
  <c r="U511" i="2"/>
  <c r="S511" i="2"/>
  <c r="R511" i="2"/>
  <c r="Q511" i="2"/>
  <c r="P511" i="2"/>
  <c r="O511" i="2"/>
  <c r="N511" i="2"/>
  <c r="M511" i="2"/>
  <c r="L511" i="2"/>
  <c r="T511" i="2" s="1"/>
  <c r="K511" i="2"/>
  <c r="J511" i="2"/>
  <c r="U510" i="2"/>
  <c r="S510" i="2"/>
  <c r="R510" i="2"/>
  <c r="Q510" i="2"/>
  <c r="P510" i="2"/>
  <c r="O510" i="2"/>
  <c r="N510" i="2"/>
  <c r="M510" i="2"/>
  <c r="L510" i="2"/>
  <c r="T510" i="2" s="1"/>
  <c r="K510" i="2"/>
  <c r="J510" i="2"/>
  <c r="U509" i="2"/>
  <c r="S509" i="2"/>
  <c r="R509" i="2"/>
  <c r="Q509" i="2"/>
  <c r="P509" i="2"/>
  <c r="O509" i="2"/>
  <c r="N509" i="2"/>
  <c r="M509" i="2"/>
  <c r="L509" i="2"/>
  <c r="T509" i="2" s="1"/>
  <c r="K509" i="2"/>
  <c r="J509" i="2"/>
  <c r="U508" i="2"/>
  <c r="S508" i="2"/>
  <c r="R508" i="2"/>
  <c r="Q508" i="2"/>
  <c r="P508" i="2"/>
  <c r="O508" i="2"/>
  <c r="N508" i="2"/>
  <c r="M508" i="2"/>
  <c r="L508" i="2"/>
  <c r="T508" i="2" s="1"/>
  <c r="K508" i="2"/>
  <c r="J508" i="2"/>
  <c r="U507" i="2"/>
  <c r="S507" i="2"/>
  <c r="R507" i="2"/>
  <c r="Q507" i="2"/>
  <c r="P507" i="2"/>
  <c r="O507" i="2"/>
  <c r="N507" i="2"/>
  <c r="M507" i="2"/>
  <c r="L507" i="2"/>
  <c r="T507" i="2" s="1"/>
  <c r="K507" i="2"/>
  <c r="J507" i="2"/>
  <c r="U506" i="2"/>
  <c r="S506" i="2"/>
  <c r="R506" i="2"/>
  <c r="Q506" i="2"/>
  <c r="P506" i="2"/>
  <c r="O506" i="2"/>
  <c r="N506" i="2"/>
  <c r="M506" i="2"/>
  <c r="L506" i="2"/>
  <c r="T506" i="2" s="1"/>
  <c r="K506" i="2"/>
  <c r="J506" i="2"/>
  <c r="U505" i="2"/>
  <c r="S505" i="2"/>
  <c r="R505" i="2"/>
  <c r="Q505" i="2"/>
  <c r="P505" i="2"/>
  <c r="O505" i="2"/>
  <c r="N505" i="2"/>
  <c r="M505" i="2"/>
  <c r="L505" i="2"/>
  <c r="T505" i="2" s="1"/>
  <c r="K505" i="2"/>
  <c r="J505" i="2"/>
  <c r="U504" i="2"/>
  <c r="S504" i="2"/>
  <c r="R504" i="2"/>
  <c r="Q504" i="2"/>
  <c r="P504" i="2"/>
  <c r="O504" i="2"/>
  <c r="N504" i="2"/>
  <c r="M504" i="2"/>
  <c r="L504" i="2"/>
  <c r="T504" i="2" s="1"/>
  <c r="K504" i="2"/>
  <c r="J504" i="2"/>
  <c r="U503" i="2"/>
  <c r="S503" i="2"/>
  <c r="R503" i="2"/>
  <c r="Q503" i="2"/>
  <c r="P503" i="2"/>
  <c r="O503" i="2"/>
  <c r="N503" i="2"/>
  <c r="M503" i="2"/>
  <c r="L503" i="2"/>
  <c r="T503" i="2" s="1"/>
  <c r="K503" i="2"/>
  <c r="J503" i="2"/>
  <c r="U502" i="2"/>
  <c r="S502" i="2"/>
  <c r="R502" i="2"/>
  <c r="Q502" i="2"/>
  <c r="P502" i="2"/>
  <c r="O502" i="2"/>
  <c r="N502" i="2"/>
  <c r="M502" i="2"/>
  <c r="L502" i="2"/>
  <c r="T502" i="2" s="1"/>
  <c r="K502" i="2"/>
  <c r="J502" i="2"/>
  <c r="U501" i="2"/>
  <c r="S501" i="2"/>
  <c r="R501" i="2"/>
  <c r="Q501" i="2"/>
  <c r="P501" i="2"/>
  <c r="O501" i="2"/>
  <c r="N501" i="2"/>
  <c r="M501" i="2"/>
  <c r="L501" i="2"/>
  <c r="T501" i="2" s="1"/>
  <c r="K501" i="2"/>
  <c r="J501" i="2"/>
  <c r="U500" i="2"/>
  <c r="S500" i="2"/>
  <c r="R500" i="2"/>
  <c r="Q500" i="2"/>
  <c r="P500" i="2"/>
  <c r="O500" i="2"/>
  <c r="N500" i="2"/>
  <c r="M500" i="2"/>
  <c r="L500" i="2"/>
  <c r="T500" i="2" s="1"/>
  <c r="K500" i="2"/>
  <c r="J500" i="2"/>
  <c r="U499" i="2"/>
  <c r="S499" i="2"/>
  <c r="R499" i="2"/>
  <c r="Q499" i="2"/>
  <c r="P499" i="2"/>
  <c r="O499" i="2"/>
  <c r="N499" i="2"/>
  <c r="M499" i="2"/>
  <c r="L499" i="2"/>
  <c r="T499" i="2" s="1"/>
  <c r="K499" i="2"/>
  <c r="J499" i="2"/>
  <c r="U498" i="2"/>
  <c r="S498" i="2"/>
  <c r="R498" i="2"/>
  <c r="Q498" i="2"/>
  <c r="P498" i="2"/>
  <c r="O498" i="2"/>
  <c r="N498" i="2"/>
  <c r="M498" i="2"/>
  <c r="L498" i="2"/>
  <c r="T498" i="2" s="1"/>
  <c r="K498" i="2"/>
  <c r="J498" i="2"/>
  <c r="U497" i="2"/>
  <c r="S497" i="2"/>
  <c r="R497" i="2"/>
  <c r="Q497" i="2"/>
  <c r="P497" i="2"/>
  <c r="O497" i="2"/>
  <c r="N497" i="2"/>
  <c r="M497" i="2"/>
  <c r="L497" i="2"/>
  <c r="T497" i="2" s="1"/>
  <c r="K497" i="2"/>
  <c r="J497" i="2"/>
  <c r="U496" i="2"/>
  <c r="S496" i="2"/>
  <c r="R496" i="2"/>
  <c r="Q496" i="2"/>
  <c r="P496" i="2"/>
  <c r="O496" i="2"/>
  <c r="N496" i="2"/>
  <c r="M496" i="2"/>
  <c r="L496" i="2"/>
  <c r="T496" i="2" s="1"/>
  <c r="K496" i="2"/>
  <c r="J496" i="2"/>
  <c r="U495" i="2"/>
  <c r="S495" i="2"/>
  <c r="R495" i="2"/>
  <c r="Q495" i="2"/>
  <c r="P495" i="2"/>
  <c r="O495" i="2"/>
  <c r="N495" i="2"/>
  <c r="M495" i="2"/>
  <c r="L495" i="2"/>
  <c r="T495" i="2" s="1"/>
  <c r="K495" i="2"/>
  <c r="J495" i="2"/>
  <c r="U494" i="2"/>
  <c r="S494" i="2"/>
  <c r="R494" i="2"/>
  <c r="Q494" i="2"/>
  <c r="P494" i="2"/>
  <c r="O494" i="2"/>
  <c r="N494" i="2"/>
  <c r="M494" i="2"/>
  <c r="L494" i="2"/>
  <c r="T494" i="2" s="1"/>
  <c r="K494" i="2"/>
  <c r="J494" i="2"/>
  <c r="U493" i="2"/>
  <c r="S493" i="2"/>
  <c r="R493" i="2"/>
  <c r="Q493" i="2"/>
  <c r="P493" i="2"/>
  <c r="O493" i="2"/>
  <c r="N493" i="2"/>
  <c r="M493" i="2"/>
  <c r="L493" i="2"/>
  <c r="T493" i="2" s="1"/>
  <c r="K493" i="2"/>
  <c r="J493" i="2"/>
  <c r="U492" i="2"/>
  <c r="S492" i="2"/>
  <c r="R492" i="2"/>
  <c r="Q492" i="2"/>
  <c r="P492" i="2"/>
  <c r="O492" i="2"/>
  <c r="N492" i="2"/>
  <c r="M492" i="2"/>
  <c r="L492" i="2"/>
  <c r="T492" i="2" s="1"/>
  <c r="K492" i="2"/>
  <c r="J492" i="2"/>
  <c r="U491" i="2"/>
  <c r="S491" i="2"/>
  <c r="R491" i="2"/>
  <c r="Q491" i="2"/>
  <c r="P491" i="2"/>
  <c r="O491" i="2"/>
  <c r="N491" i="2"/>
  <c r="M491" i="2"/>
  <c r="L491" i="2"/>
  <c r="T491" i="2" s="1"/>
  <c r="K491" i="2"/>
  <c r="J491" i="2"/>
  <c r="U490" i="2"/>
  <c r="S490" i="2"/>
  <c r="R490" i="2"/>
  <c r="Q490" i="2"/>
  <c r="P490" i="2"/>
  <c r="O490" i="2"/>
  <c r="N490" i="2"/>
  <c r="M490" i="2"/>
  <c r="L490" i="2"/>
  <c r="T490" i="2" s="1"/>
  <c r="K490" i="2"/>
  <c r="J490" i="2"/>
  <c r="U489" i="2"/>
  <c r="S489" i="2"/>
  <c r="R489" i="2"/>
  <c r="Q489" i="2"/>
  <c r="P489" i="2"/>
  <c r="O489" i="2"/>
  <c r="N489" i="2"/>
  <c r="M489" i="2"/>
  <c r="L489" i="2"/>
  <c r="T489" i="2" s="1"/>
  <c r="K489" i="2"/>
  <c r="J489" i="2"/>
  <c r="U488" i="2"/>
  <c r="S488" i="2"/>
  <c r="R488" i="2"/>
  <c r="Q488" i="2"/>
  <c r="P488" i="2"/>
  <c r="O488" i="2"/>
  <c r="N488" i="2"/>
  <c r="M488" i="2"/>
  <c r="L488" i="2"/>
  <c r="T488" i="2" s="1"/>
  <c r="K488" i="2"/>
  <c r="J488" i="2"/>
  <c r="U487" i="2"/>
  <c r="S487" i="2"/>
  <c r="R487" i="2"/>
  <c r="Q487" i="2"/>
  <c r="P487" i="2"/>
  <c r="O487" i="2"/>
  <c r="N487" i="2"/>
  <c r="M487" i="2"/>
  <c r="L487" i="2"/>
  <c r="T487" i="2" s="1"/>
  <c r="K487" i="2"/>
  <c r="J487" i="2"/>
  <c r="U486" i="2"/>
  <c r="S486" i="2"/>
  <c r="R486" i="2"/>
  <c r="Q486" i="2"/>
  <c r="P486" i="2"/>
  <c r="O486" i="2"/>
  <c r="N486" i="2"/>
  <c r="M486" i="2"/>
  <c r="L486" i="2"/>
  <c r="T486" i="2" s="1"/>
  <c r="K486" i="2"/>
  <c r="J486" i="2"/>
  <c r="U485" i="2"/>
  <c r="S485" i="2"/>
  <c r="R485" i="2"/>
  <c r="Q485" i="2"/>
  <c r="P485" i="2"/>
  <c r="O485" i="2"/>
  <c r="N485" i="2"/>
  <c r="M485" i="2"/>
  <c r="L485" i="2"/>
  <c r="T485" i="2" s="1"/>
  <c r="K485" i="2"/>
  <c r="J485" i="2"/>
  <c r="U484" i="2"/>
  <c r="S484" i="2"/>
  <c r="R484" i="2"/>
  <c r="Q484" i="2"/>
  <c r="P484" i="2"/>
  <c r="O484" i="2"/>
  <c r="N484" i="2"/>
  <c r="M484" i="2"/>
  <c r="L484" i="2"/>
  <c r="T484" i="2" s="1"/>
  <c r="K484" i="2"/>
  <c r="J484" i="2"/>
  <c r="U483" i="2"/>
  <c r="S483" i="2"/>
  <c r="R483" i="2"/>
  <c r="Q483" i="2"/>
  <c r="P483" i="2"/>
  <c r="O483" i="2"/>
  <c r="N483" i="2"/>
  <c r="M483" i="2"/>
  <c r="L483" i="2"/>
  <c r="T483" i="2" s="1"/>
  <c r="K483" i="2"/>
  <c r="J483" i="2"/>
  <c r="U482" i="2"/>
  <c r="S482" i="2"/>
  <c r="R482" i="2"/>
  <c r="Q482" i="2"/>
  <c r="P482" i="2"/>
  <c r="O482" i="2"/>
  <c r="N482" i="2"/>
  <c r="M482" i="2"/>
  <c r="L482" i="2"/>
  <c r="T482" i="2" s="1"/>
  <c r="K482" i="2"/>
  <c r="J482" i="2"/>
  <c r="U481" i="2"/>
  <c r="S481" i="2"/>
  <c r="R481" i="2"/>
  <c r="Q481" i="2"/>
  <c r="P481" i="2"/>
  <c r="O481" i="2"/>
  <c r="N481" i="2"/>
  <c r="M481" i="2"/>
  <c r="L481" i="2"/>
  <c r="T481" i="2" s="1"/>
  <c r="K481" i="2"/>
  <c r="J481" i="2"/>
  <c r="U480" i="2"/>
  <c r="S480" i="2"/>
  <c r="R480" i="2"/>
  <c r="Q480" i="2"/>
  <c r="P480" i="2"/>
  <c r="O480" i="2"/>
  <c r="N480" i="2"/>
  <c r="M480" i="2"/>
  <c r="L480" i="2"/>
  <c r="T480" i="2" s="1"/>
  <c r="K480" i="2"/>
  <c r="J480" i="2"/>
  <c r="U479" i="2"/>
  <c r="S479" i="2"/>
  <c r="R479" i="2"/>
  <c r="Q479" i="2"/>
  <c r="P479" i="2"/>
  <c r="O479" i="2"/>
  <c r="N479" i="2"/>
  <c r="M479" i="2"/>
  <c r="L479" i="2"/>
  <c r="T479" i="2" s="1"/>
  <c r="K479" i="2"/>
  <c r="J479" i="2"/>
  <c r="U478" i="2"/>
  <c r="S478" i="2"/>
  <c r="R478" i="2"/>
  <c r="Q478" i="2"/>
  <c r="P478" i="2"/>
  <c r="O478" i="2"/>
  <c r="N478" i="2"/>
  <c r="M478" i="2"/>
  <c r="L478" i="2"/>
  <c r="T478" i="2" s="1"/>
  <c r="K478" i="2"/>
  <c r="J478" i="2"/>
  <c r="U477" i="2"/>
  <c r="S477" i="2"/>
  <c r="R477" i="2"/>
  <c r="Q477" i="2"/>
  <c r="P477" i="2"/>
  <c r="O477" i="2"/>
  <c r="N477" i="2"/>
  <c r="M477" i="2"/>
  <c r="L477" i="2"/>
  <c r="T477" i="2" s="1"/>
  <c r="K477" i="2"/>
  <c r="J477" i="2"/>
  <c r="U476" i="2"/>
  <c r="S476" i="2"/>
  <c r="R476" i="2"/>
  <c r="Q476" i="2"/>
  <c r="P476" i="2"/>
  <c r="O476" i="2"/>
  <c r="N476" i="2"/>
  <c r="M476" i="2"/>
  <c r="L476" i="2"/>
  <c r="T476" i="2" s="1"/>
  <c r="K476" i="2"/>
  <c r="J476" i="2"/>
  <c r="U475" i="2"/>
  <c r="S475" i="2"/>
  <c r="R475" i="2"/>
  <c r="Q475" i="2"/>
  <c r="P475" i="2"/>
  <c r="O475" i="2"/>
  <c r="N475" i="2"/>
  <c r="M475" i="2"/>
  <c r="L475" i="2"/>
  <c r="T475" i="2" s="1"/>
  <c r="K475" i="2"/>
  <c r="J475" i="2"/>
  <c r="U474" i="2"/>
  <c r="S474" i="2"/>
  <c r="R474" i="2"/>
  <c r="Q474" i="2"/>
  <c r="P474" i="2"/>
  <c r="O474" i="2"/>
  <c r="N474" i="2"/>
  <c r="M474" i="2"/>
  <c r="L474" i="2"/>
  <c r="T474" i="2" s="1"/>
  <c r="K474" i="2"/>
  <c r="J474" i="2"/>
  <c r="U473" i="2"/>
  <c r="S473" i="2"/>
  <c r="R473" i="2"/>
  <c r="Q473" i="2"/>
  <c r="P473" i="2"/>
  <c r="O473" i="2"/>
  <c r="N473" i="2"/>
  <c r="M473" i="2"/>
  <c r="L473" i="2"/>
  <c r="T473" i="2" s="1"/>
  <c r="K473" i="2"/>
  <c r="J473" i="2"/>
  <c r="U472" i="2"/>
  <c r="S472" i="2"/>
  <c r="R472" i="2"/>
  <c r="Q472" i="2"/>
  <c r="P472" i="2"/>
  <c r="O472" i="2"/>
  <c r="N472" i="2"/>
  <c r="M472" i="2"/>
  <c r="L472" i="2"/>
  <c r="T472" i="2" s="1"/>
  <c r="K472" i="2"/>
  <c r="J472" i="2"/>
  <c r="U471" i="2"/>
  <c r="S471" i="2"/>
  <c r="R471" i="2"/>
  <c r="Q471" i="2"/>
  <c r="P471" i="2"/>
  <c r="O471" i="2"/>
  <c r="N471" i="2"/>
  <c r="M471" i="2"/>
  <c r="L471" i="2"/>
  <c r="T471" i="2" s="1"/>
  <c r="K471" i="2"/>
  <c r="J471" i="2"/>
  <c r="U470" i="2"/>
  <c r="S470" i="2"/>
  <c r="R470" i="2"/>
  <c r="Q470" i="2"/>
  <c r="P470" i="2"/>
  <c r="O470" i="2"/>
  <c r="N470" i="2"/>
  <c r="M470" i="2"/>
  <c r="L470" i="2"/>
  <c r="T470" i="2" s="1"/>
  <c r="K470" i="2"/>
  <c r="J470" i="2"/>
  <c r="U469" i="2"/>
  <c r="S469" i="2"/>
  <c r="R469" i="2"/>
  <c r="Q469" i="2"/>
  <c r="P469" i="2"/>
  <c r="O469" i="2"/>
  <c r="N469" i="2"/>
  <c r="M469" i="2"/>
  <c r="L469" i="2"/>
  <c r="T469" i="2" s="1"/>
  <c r="K469" i="2"/>
  <c r="J469" i="2"/>
  <c r="U468" i="2"/>
  <c r="S468" i="2"/>
  <c r="R468" i="2"/>
  <c r="Q468" i="2"/>
  <c r="P468" i="2"/>
  <c r="O468" i="2"/>
  <c r="N468" i="2"/>
  <c r="M468" i="2"/>
  <c r="L468" i="2"/>
  <c r="T468" i="2" s="1"/>
  <c r="K468" i="2"/>
  <c r="J468" i="2"/>
  <c r="U467" i="2"/>
  <c r="S467" i="2"/>
  <c r="R467" i="2"/>
  <c r="Q467" i="2"/>
  <c r="P467" i="2"/>
  <c r="O467" i="2"/>
  <c r="N467" i="2"/>
  <c r="M467" i="2"/>
  <c r="L467" i="2"/>
  <c r="T467" i="2" s="1"/>
  <c r="K467" i="2"/>
  <c r="J467" i="2"/>
  <c r="U466" i="2"/>
  <c r="S466" i="2"/>
  <c r="R466" i="2"/>
  <c r="Q466" i="2"/>
  <c r="P466" i="2"/>
  <c r="O466" i="2"/>
  <c r="N466" i="2"/>
  <c r="M466" i="2"/>
  <c r="L466" i="2"/>
  <c r="T466" i="2" s="1"/>
  <c r="K466" i="2"/>
  <c r="J466" i="2"/>
  <c r="U465" i="2"/>
  <c r="S465" i="2"/>
  <c r="R465" i="2"/>
  <c r="Q465" i="2"/>
  <c r="P465" i="2"/>
  <c r="O465" i="2"/>
  <c r="N465" i="2"/>
  <c r="M465" i="2"/>
  <c r="L465" i="2"/>
  <c r="T465" i="2" s="1"/>
  <c r="K465" i="2"/>
  <c r="J465" i="2"/>
  <c r="U464" i="2"/>
  <c r="S464" i="2"/>
  <c r="R464" i="2"/>
  <c r="Q464" i="2"/>
  <c r="P464" i="2"/>
  <c r="O464" i="2"/>
  <c r="N464" i="2"/>
  <c r="M464" i="2"/>
  <c r="L464" i="2"/>
  <c r="T464" i="2" s="1"/>
  <c r="K464" i="2"/>
  <c r="J464" i="2"/>
  <c r="U463" i="2"/>
  <c r="S463" i="2"/>
  <c r="R463" i="2"/>
  <c r="Q463" i="2"/>
  <c r="P463" i="2"/>
  <c r="O463" i="2"/>
  <c r="N463" i="2"/>
  <c r="M463" i="2"/>
  <c r="L463" i="2"/>
  <c r="T463" i="2" s="1"/>
  <c r="K463" i="2"/>
  <c r="J463" i="2"/>
  <c r="U462" i="2"/>
  <c r="S462" i="2"/>
  <c r="R462" i="2"/>
  <c r="Q462" i="2"/>
  <c r="P462" i="2"/>
  <c r="O462" i="2"/>
  <c r="N462" i="2"/>
  <c r="M462" i="2"/>
  <c r="L462" i="2"/>
  <c r="T462" i="2" s="1"/>
  <c r="K462" i="2"/>
  <c r="J462" i="2"/>
  <c r="U461" i="2"/>
  <c r="S461" i="2"/>
  <c r="R461" i="2"/>
  <c r="Q461" i="2"/>
  <c r="P461" i="2"/>
  <c r="O461" i="2"/>
  <c r="N461" i="2"/>
  <c r="M461" i="2"/>
  <c r="L461" i="2"/>
  <c r="T461" i="2" s="1"/>
  <c r="K461" i="2"/>
  <c r="J461" i="2"/>
  <c r="U460" i="2"/>
  <c r="S460" i="2"/>
  <c r="R460" i="2"/>
  <c r="Q460" i="2"/>
  <c r="P460" i="2"/>
  <c r="O460" i="2"/>
  <c r="N460" i="2"/>
  <c r="M460" i="2"/>
  <c r="L460" i="2"/>
  <c r="T460" i="2" s="1"/>
  <c r="K460" i="2"/>
  <c r="J460" i="2"/>
  <c r="U459" i="2"/>
  <c r="S459" i="2"/>
  <c r="R459" i="2"/>
  <c r="Q459" i="2"/>
  <c r="P459" i="2"/>
  <c r="O459" i="2"/>
  <c r="N459" i="2"/>
  <c r="M459" i="2"/>
  <c r="L459" i="2"/>
  <c r="T459" i="2" s="1"/>
  <c r="K459" i="2"/>
  <c r="J459" i="2"/>
  <c r="U458" i="2"/>
  <c r="S458" i="2"/>
  <c r="R458" i="2"/>
  <c r="Q458" i="2"/>
  <c r="P458" i="2"/>
  <c r="O458" i="2"/>
  <c r="N458" i="2"/>
  <c r="M458" i="2"/>
  <c r="L458" i="2"/>
  <c r="T458" i="2" s="1"/>
  <c r="K458" i="2"/>
  <c r="J458" i="2"/>
  <c r="U457" i="2"/>
  <c r="S457" i="2"/>
  <c r="R457" i="2"/>
  <c r="Q457" i="2"/>
  <c r="P457" i="2"/>
  <c r="O457" i="2"/>
  <c r="N457" i="2"/>
  <c r="M457" i="2"/>
  <c r="L457" i="2"/>
  <c r="T457" i="2" s="1"/>
  <c r="K457" i="2"/>
  <c r="J457" i="2"/>
  <c r="U456" i="2"/>
  <c r="S456" i="2"/>
  <c r="R456" i="2"/>
  <c r="Q456" i="2"/>
  <c r="P456" i="2"/>
  <c r="O456" i="2"/>
  <c r="N456" i="2"/>
  <c r="M456" i="2"/>
  <c r="L456" i="2"/>
  <c r="T456" i="2" s="1"/>
  <c r="K456" i="2"/>
  <c r="J456" i="2"/>
  <c r="U455" i="2"/>
  <c r="S455" i="2"/>
  <c r="R455" i="2"/>
  <c r="Q455" i="2"/>
  <c r="P455" i="2"/>
  <c r="O455" i="2"/>
  <c r="N455" i="2"/>
  <c r="M455" i="2"/>
  <c r="L455" i="2"/>
  <c r="T455" i="2" s="1"/>
  <c r="K455" i="2"/>
  <c r="J455" i="2"/>
  <c r="U454" i="2"/>
  <c r="S454" i="2"/>
  <c r="R454" i="2"/>
  <c r="Q454" i="2"/>
  <c r="P454" i="2"/>
  <c r="O454" i="2"/>
  <c r="N454" i="2"/>
  <c r="M454" i="2"/>
  <c r="L454" i="2"/>
  <c r="T454" i="2" s="1"/>
  <c r="K454" i="2"/>
  <c r="J454" i="2"/>
  <c r="U453" i="2"/>
  <c r="S453" i="2"/>
  <c r="R453" i="2"/>
  <c r="Q453" i="2"/>
  <c r="P453" i="2"/>
  <c r="O453" i="2"/>
  <c r="N453" i="2"/>
  <c r="M453" i="2"/>
  <c r="L453" i="2"/>
  <c r="T453" i="2" s="1"/>
  <c r="K453" i="2"/>
  <c r="J453" i="2"/>
  <c r="U452" i="2"/>
  <c r="S452" i="2"/>
  <c r="R452" i="2"/>
  <c r="Q452" i="2"/>
  <c r="P452" i="2"/>
  <c r="O452" i="2"/>
  <c r="N452" i="2"/>
  <c r="M452" i="2"/>
  <c r="L452" i="2"/>
  <c r="T452" i="2" s="1"/>
  <c r="K452" i="2"/>
  <c r="J452" i="2"/>
  <c r="U451" i="2"/>
  <c r="S451" i="2"/>
  <c r="R451" i="2"/>
  <c r="Q451" i="2"/>
  <c r="P451" i="2"/>
  <c r="O451" i="2"/>
  <c r="N451" i="2"/>
  <c r="M451" i="2"/>
  <c r="L451" i="2"/>
  <c r="T451" i="2" s="1"/>
  <c r="K451" i="2"/>
  <c r="J451" i="2"/>
  <c r="U450" i="2"/>
  <c r="S450" i="2"/>
  <c r="R450" i="2"/>
  <c r="Q450" i="2"/>
  <c r="P450" i="2"/>
  <c r="O450" i="2"/>
  <c r="N450" i="2"/>
  <c r="M450" i="2"/>
  <c r="L450" i="2"/>
  <c r="T450" i="2" s="1"/>
  <c r="K450" i="2"/>
  <c r="J450" i="2"/>
  <c r="U449" i="2"/>
  <c r="S449" i="2"/>
  <c r="R449" i="2"/>
  <c r="Q449" i="2"/>
  <c r="P449" i="2"/>
  <c r="O449" i="2"/>
  <c r="N449" i="2"/>
  <c r="M449" i="2"/>
  <c r="L449" i="2"/>
  <c r="T449" i="2" s="1"/>
  <c r="K449" i="2"/>
  <c r="J449" i="2"/>
  <c r="U448" i="2"/>
  <c r="S448" i="2"/>
  <c r="R448" i="2"/>
  <c r="Q448" i="2"/>
  <c r="P448" i="2"/>
  <c r="O448" i="2"/>
  <c r="N448" i="2"/>
  <c r="M448" i="2"/>
  <c r="L448" i="2"/>
  <c r="T448" i="2" s="1"/>
  <c r="K448" i="2"/>
  <c r="J448" i="2"/>
  <c r="U447" i="2"/>
  <c r="S447" i="2"/>
  <c r="R447" i="2"/>
  <c r="Q447" i="2"/>
  <c r="P447" i="2"/>
  <c r="O447" i="2"/>
  <c r="N447" i="2"/>
  <c r="M447" i="2"/>
  <c r="L447" i="2"/>
  <c r="T447" i="2" s="1"/>
  <c r="K447" i="2"/>
  <c r="J447" i="2"/>
  <c r="U446" i="2"/>
  <c r="S446" i="2"/>
  <c r="R446" i="2"/>
  <c r="Q446" i="2"/>
  <c r="P446" i="2"/>
  <c r="O446" i="2"/>
  <c r="N446" i="2"/>
  <c r="M446" i="2"/>
  <c r="L446" i="2"/>
  <c r="T446" i="2" s="1"/>
  <c r="K446" i="2"/>
  <c r="J446" i="2"/>
  <c r="U445" i="2"/>
  <c r="S445" i="2"/>
  <c r="R445" i="2"/>
  <c r="Q445" i="2"/>
  <c r="P445" i="2"/>
  <c r="O445" i="2"/>
  <c r="N445" i="2"/>
  <c r="M445" i="2"/>
  <c r="L445" i="2"/>
  <c r="T445" i="2" s="1"/>
  <c r="K445" i="2"/>
  <c r="J445" i="2"/>
  <c r="U444" i="2"/>
  <c r="S444" i="2"/>
  <c r="R444" i="2"/>
  <c r="Q444" i="2"/>
  <c r="P444" i="2"/>
  <c r="O444" i="2"/>
  <c r="N444" i="2"/>
  <c r="M444" i="2"/>
  <c r="L444" i="2"/>
  <c r="T444" i="2" s="1"/>
  <c r="K444" i="2"/>
  <c r="J444" i="2"/>
  <c r="U443" i="2"/>
  <c r="S443" i="2"/>
  <c r="R443" i="2"/>
  <c r="Q443" i="2"/>
  <c r="P443" i="2"/>
  <c r="O443" i="2"/>
  <c r="N443" i="2"/>
  <c r="M443" i="2"/>
  <c r="L443" i="2"/>
  <c r="T443" i="2" s="1"/>
  <c r="K443" i="2"/>
  <c r="J443" i="2"/>
  <c r="U442" i="2"/>
  <c r="S442" i="2"/>
  <c r="R442" i="2"/>
  <c r="Q442" i="2"/>
  <c r="P442" i="2"/>
  <c r="O442" i="2"/>
  <c r="N442" i="2"/>
  <c r="M442" i="2"/>
  <c r="L442" i="2"/>
  <c r="T442" i="2" s="1"/>
  <c r="K442" i="2"/>
  <c r="J442" i="2"/>
  <c r="U441" i="2"/>
  <c r="S441" i="2"/>
  <c r="R441" i="2"/>
  <c r="Q441" i="2"/>
  <c r="P441" i="2"/>
  <c r="O441" i="2"/>
  <c r="N441" i="2"/>
  <c r="M441" i="2"/>
  <c r="L441" i="2"/>
  <c r="T441" i="2" s="1"/>
  <c r="K441" i="2"/>
  <c r="J441" i="2"/>
  <c r="U440" i="2"/>
  <c r="S440" i="2"/>
  <c r="R440" i="2"/>
  <c r="Q440" i="2"/>
  <c r="P440" i="2"/>
  <c r="O440" i="2"/>
  <c r="N440" i="2"/>
  <c r="M440" i="2"/>
  <c r="L440" i="2"/>
  <c r="T440" i="2" s="1"/>
  <c r="K440" i="2"/>
  <c r="J440" i="2"/>
  <c r="U439" i="2"/>
  <c r="S439" i="2"/>
  <c r="R439" i="2"/>
  <c r="Q439" i="2"/>
  <c r="P439" i="2"/>
  <c r="O439" i="2"/>
  <c r="N439" i="2"/>
  <c r="M439" i="2"/>
  <c r="L439" i="2"/>
  <c r="T439" i="2" s="1"/>
  <c r="K439" i="2"/>
  <c r="J439" i="2"/>
  <c r="U438" i="2"/>
  <c r="S438" i="2"/>
  <c r="R438" i="2"/>
  <c r="Q438" i="2"/>
  <c r="P438" i="2"/>
  <c r="O438" i="2"/>
  <c r="N438" i="2"/>
  <c r="M438" i="2"/>
  <c r="L438" i="2"/>
  <c r="T438" i="2" s="1"/>
  <c r="K438" i="2"/>
  <c r="J438" i="2"/>
  <c r="U437" i="2"/>
  <c r="S437" i="2"/>
  <c r="R437" i="2"/>
  <c r="Q437" i="2"/>
  <c r="P437" i="2"/>
  <c r="O437" i="2"/>
  <c r="N437" i="2"/>
  <c r="M437" i="2"/>
  <c r="L437" i="2"/>
  <c r="T437" i="2" s="1"/>
  <c r="K437" i="2"/>
  <c r="J437" i="2"/>
  <c r="U436" i="2"/>
  <c r="S436" i="2"/>
  <c r="R436" i="2"/>
  <c r="Q436" i="2"/>
  <c r="P436" i="2"/>
  <c r="O436" i="2"/>
  <c r="N436" i="2"/>
  <c r="M436" i="2"/>
  <c r="L436" i="2"/>
  <c r="T436" i="2" s="1"/>
  <c r="K436" i="2"/>
  <c r="J436" i="2"/>
  <c r="U435" i="2"/>
  <c r="S435" i="2"/>
  <c r="R435" i="2"/>
  <c r="Q435" i="2"/>
  <c r="P435" i="2"/>
  <c r="O435" i="2"/>
  <c r="N435" i="2"/>
  <c r="M435" i="2"/>
  <c r="L435" i="2"/>
  <c r="T435" i="2" s="1"/>
  <c r="K435" i="2"/>
  <c r="J435" i="2"/>
  <c r="U434" i="2"/>
  <c r="S434" i="2"/>
  <c r="R434" i="2"/>
  <c r="Q434" i="2"/>
  <c r="P434" i="2"/>
  <c r="O434" i="2"/>
  <c r="N434" i="2"/>
  <c r="M434" i="2"/>
  <c r="L434" i="2"/>
  <c r="T434" i="2" s="1"/>
  <c r="K434" i="2"/>
  <c r="J434" i="2"/>
  <c r="U433" i="2"/>
  <c r="S433" i="2"/>
  <c r="R433" i="2"/>
  <c r="Q433" i="2"/>
  <c r="P433" i="2"/>
  <c r="O433" i="2"/>
  <c r="N433" i="2"/>
  <c r="M433" i="2"/>
  <c r="L433" i="2"/>
  <c r="T433" i="2" s="1"/>
  <c r="K433" i="2"/>
  <c r="J433" i="2"/>
  <c r="U432" i="2"/>
  <c r="S432" i="2"/>
  <c r="R432" i="2"/>
  <c r="Q432" i="2"/>
  <c r="P432" i="2"/>
  <c r="O432" i="2"/>
  <c r="N432" i="2"/>
  <c r="M432" i="2"/>
  <c r="L432" i="2"/>
  <c r="T432" i="2" s="1"/>
  <c r="K432" i="2"/>
  <c r="J432" i="2"/>
  <c r="U431" i="2"/>
  <c r="S431" i="2"/>
  <c r="R431" i="2"/>
  <c r="Q431" i="2"/>
  <c r="P431" i="2"/>
  <c r="O431" i="2"/>
  <c r="N431" i="2"/>
  <c r="M431" i="2"/>
  <c r="L431" i="2"/>
  <c r="T431" i="2" s="1"/>
  <c r="K431" i="2"/>
  <c r="J431" i="2"/>
  <c r="U430" i="2"/>
  <c r="S430" i="2"/>
  <c r="R430" i="2"/>
  <c r="Q430" i="2"/>
  <c r="P430" i="2"/>
  <c r="O430" i="2"/>
  <c r="N430" i="2"/>
  <c r="M430" i="2"/>
  <c r="L430" i="2"/>
  <c r="T430" i="2" s="1"/>
  <c r="K430" i="2"/>
  <c r="J430" i="2"/>
  <c r="U429" i="2"/>
  <c r="S429" i="2"/>
  <c r="R429" i="2"/>
  <c r="Q429" i="2"/>
  <c r="P429" i="2"/>
  <c r="O429" i="2"/>
  <c r="N429" i="2"/>
  <c r="M429" i="2"/>
  <c r="L429" i="2"/>
  <c r="T429" i="2" s="1"/>
  <c r="K429" i="2"/>
  <c r="J429" i="2"/>
  <c r="U428" i="2"/>
  <c r="S428" i="2"/>
  <c r="R428" i="2"/>
  <c r="Q428" i="2"/>
  <c r="P428" i="2"/>
  <c r="O428" i="2"/>
  <c r="N428" i="2"/>
  <c r="M428" i="2"/>
  <c r="L428" i="2"/>
  <c r="T428" i="2" s="1"/>
  <c r="K428" i="2"/>
  <c r="J428" i="2"/>
  <c r="U427" i="2"/>
  <c r="S427" i="2"/>
  <c r="R427" i="2"/>
  <c r="Q427" i="2"/>
  <c r="P427" i="2"/>
  <c r="O427" i="2"/>
  <c r="N427" i="2"/>
  <c r="M427" i="2"/>
  <c r="L427" i="2"/>
  <c r="T427" i="2" s="1"/>
  <c r="K427" i="2"/>
  <c r="J427" i="2"/>
  <c r="U426" i="2"/>
  <c r="S426" i="2"/>
  <c r="R426" i="2"/>
  <c r="Q426" i="2"/>
  <c r="P426" i="2"/>
  <c r="O426" i="2"/>
  <c r="N426" i="2"/>
  <c r="M426" i="2"/>
  <c r="L426" i="2"/>
  <c r="T426" i="2" s="1"/>
  <c r="K426" i="2"/>
  <c r="J426" i="2"/>
  <c r="U425" i="2"/>
  <c r="S425" i="2"/>
  <c r="R425" i="2"/>
  <c r="Q425" i="2"/>
  <c r="P425" i="2"/>
  <c r="O425" i="2"/>
  <c r="N425" i="2"/>
  <c r="M425" i="2"/>
  <c r="L425" i="2"/>
  <c r="T425" i="2" s="1"/>
  <c r="K425" i="2"/>
  <c r="J425" i="2"/>
  <c r="U424" i="2"/>
  <c r="S424" i="2"/>
  <c r="R424" i="2"/>
  <c r="Q424" i="2"/>
  <c r="P424" i="2"/>
  <c r="O424" i="2"/>
  <c r="N424" i="2"/>
  <c r="M424" i="2"/>
  <c r="L424" i="2"/>
  <c r="T424" i="2" s="1"/>
  <c r="K424" i="2"/>
  <c r="J424" i="2"/>
  <c r="U423" i="2"/>
  <c r="S423" i="2"/>
  <c r="R423" i="2"/>
  <c r="Q423" i="2"/>
  <c r="P423" i="2"/>
  <c r="O423" i="2"/>
  <c r="N423" i="2"/>
  <c r="M423" i="2"/>
  <c r="L423" i="2"/>
  <c r="T423" i="2" s="1"/>
  <c r="K423" i="2"/>
  <c r="J423" i="2"/>
  <c r="U422" i="2"/>
  <c r="S422" i="2"/>
  <c r="R422" i="2"/>
  <c r="Q422" i="2"/>
  <c r="P422" i="2"/>
  <c r="O422" i="2"/>
  <c r="N422" i="2"/>
  <c r="M422" i="2"/>
  <c r="L422" i="2"/>
  <c r="T422" i="2" s="1"/>
  <c r="K422" i="2"/>
  <c r="J422" i="2"/>
  <c r="U421" i="2"/>
  <c r="S421" i="2"/>
  <c r="R421" i="2"/>
  <c r="Q421" i="2"/>
  <c r="P421" i="2"/>
  <c r="O421" i="2"/>
  <c r="N421" i="2"/>
  <c r="M421" i="2"/>
  <c r="L421" i="2"/>
  <c r="T421" i="2" s="1"/>
  <c r="K421" i="2"/>
  <c r="J421" i="2"/>
  <c r="U420" i="2"/>
  <c r="S420" i="2"/>
  <c r="R420" i="2"/>
  <c r="Q420" i="2"/>
  <c r="P420" i="2"/>
  <c r="O420" i="2"/>
  <c r="N420" i="2"/>
  <c r="M420" i="2"/>
  <c r="L420" i="2"/>
  <c r="T420" i="2" s="1"/>
  <c r="K420" i="2"/>
  <c r="J420" i="2"/>
  <c r="U419" i="2"/>
  <c r="S419" i="2"/>
  <c r="R419" i="2"/>
  <c r="Q419" i="2"/>
  <c r="P419" i="2"/>
  <c r="O419" i="2"/>
  <c r="N419" i="2"/>
  <c r="M419" i="2"/>
  <c r="L419" i="2"/>
  <c r="T419" i="2" s="1"/>
  <c r="K419" i="2"/>
  <c r="J419" i="2"/>
  <c r="U418" i="2"/>
  <c r="S418" i="2"/>
  <c r="R418" i="2"/>
  <c r="Q418" i="2"/>
  <c r="P418" i="2"/>
  <c r="O418" i="2"/>
  <c r="N418" i="2"/>
  <c r="M418" i="2"/>
  <c r="L418" i="2"/>
  <c r="T418" i="2" s="1"/>
  <c r="K418" i="2"/>
  <c r="J418" i="2"/>
  <c r="U417" i="2"/>
  <c r="S417" i="2"/>
  <c r="R417" i="2"/>
  <c r="Q417" i="2"/>
  <c r="P417" i="2"/>
  <c r="O417" i="2"/>
  <c r="N417" i="2"/>
  <c r="M417" i="2"/>
  <c r="L417" i="2"/>
  <c r="T417" i="2" s="1"/>
  <c r="K417" i="2"/>
  <c r="J417" i="2"/>
  <c r="U416" i="2"/>
  <c r="S416" i="2"/>
  <c r="R416" i="2"/>
  <c r="Q416" i="2"/>
  <c r="P416" i="2"/>
  <c r="O416" i="2"/>
  <c r="N416" i="2"/>
  <c r="M416" i="2"/>
  <c r="L416" i="2"/>
  <c r="T416" i="2" s="1"/>
  <c r="K416" i="2"/>
  <c r="J416" i="2"/>
  <c r="U415" i="2"/>
  <c r="S415" i="2"/>
  <c r="R415" i="2"/>
  <c r="Q415" i="2"/>
  <c r="P415" i="2"/>
  <c r="O415" i="2"/>
  <c r="N415" i="2"/>
  <c r="M415" i="2"/>
  <c r="L415" i="2"/>
  <c r="T415" i="2" s="1"/>
  <c r="K415" i="2"/>
  <c r="J415" i="2"/>
  <c r="U414" i="2"/>
  <c r="S414" i="2"/>
  <c r="R414" i="2"/>
  <c r="Q414" i="2"/>
  <c r="P414" i="2"/>
  <c r="O414" i="2"/>
  <c r="N414" i="2"/>
  <c r="M414" i="2"/>
  <c r="L414" i="2"/>
  <c r="T414" i="2" s="1"/>
  <c r="K414" i="2"/>
  <c r="J414" i="2"/>
  <c r="U413" i="2"/>
  <c r="S413" i="2"/>
  <c r="R413" i="2"/>
  <c r="Q413" i="2"/>
  <c r="P413" i="2"/>
  <c r="O413" i="2"/>
  <c r="N413" i="2"/>
  <c r="M413" i="2"/>
  <c r="L413" i="2"/>
  <c r="T413" i="2" s="1"/>
  <c r="K413" i="2"/>
  <c r="J413" i="2"/>
  <c r="U412" i="2"/>
  <c r="S412" i="2"/>
  <c r="R412" i="2"/>
  <c r="Q412" i="2"/>
  <c r="P412" i="2"/>
  <c r="O412" i="2"/>
  <c r="N412" i="2"/>
  <c r="M412" i="2"/>
  <c r="L412" i="2"/>
  <c r="T412" i="2" s="1"/>
  <c r="K412" i="2"/>
  <c r="J412" i="2"/>
  <c r="U411" i="2"/>
  <c r="S411" i="2"/>
  <c r="R411" i="2"/>
  <c r="Q411" i="2"/>
  <c r="P411" i="2"/>
  <c r="O411" i="2"/>
  <c r="N411" i="2"/>
  <c r="M411" i="2"/>
  <c r="L411" i="2"/>
  <c r="T411" i="2" s="1"/>
  <c r="K411" i="2"/>
  <c r="J411" i="2"/>
  <c r="U410" i="2"/>
  <c r="S410" i="2"/>
  <c r="R410" i="2"/>
  <c r="Q410" i="2"/>
  <c r="P410" i="2"/>
  <c r="O410" i="2"/>
  <c r="N410" i="2"/>
  <c r="M410" i="2"/>
  <c r="L410" i="2"/>
  <c r="T410" i="2" s="1"/>
  <c r="K410" i="2"/>
  <c r="J410" i="2"/>
  <c r="U409" i="2"/>
  <c r="S409" i="2"/>
  <c r="R409" i="2"/>
  <c r="Q409" i="2"/>
  <c r="P409" i="2"/>
  <c r="O409" i="2"/>
  <c r="N409" i="2"/>
  <c r="M409" i="2"/>
  <c r="L409" i="2"/>
  <c r="T409" i="2" s="1"/>
  <c r="K409" i="2"/>
  <c r="J409" i="2"/>
  <c r="U408" i="2"/>
  <c r="S408" i="2"/>
  <c r="R408" i="2"/>
  <c r="Q408" i="2"/>
  <c r="P408" i="2"/>
  <c r="O408" i="2"/>
  <c r="N408" i="2"/>
  <c r="M408" i="2"/>
  <c r="L408" i="2"/>
  <c r="T408" i="2" s="1"/>
  <c r="K408" i="2"/>
  <c r="J408" i="2"/>
  <c r="U407" i="2"/>
  <c r="S407" i="2"/>
  <c r="R407" i="2"/>
  <c r="Q407" i="2"/>
  <c r="P407" i="2"/>
  <c r="O407" i="2"/>
  <c r="N407" i="2"/>
  <c r="M407" i="2"/>
  <c r="L407" i="2"/>
  <c r="T407" i="2" s="1"/>
  <c r="K407" i="2"/>
  <c r="J407" i="2"/>
  <c r="U406" i="2"/>
  <c r="S406" i="2"/>
  <c r="R406" i="2"/>
  <c r="Q406" i="2"/>
  <c r="P406" i="2"/>
  <c r="O406" i="2"/>
  <c r="N406" i="2"/>
  <c r="M406" i="2"/>
  <c r="L406" i="2"/>
  <c r="T406" i="2" s="1"/>
  <c r="K406" i="2"/>
  <c r="J406" i="2"/>
  <c r="U405" i="2"/>
  <c r="S405" i="2"/>
  <c r="R405" i="2"/>
  <c r="Q405" i="2"/>
  <c r="P405" i="2"/>
  <c r="O405" i="2"/>
  <c r="N405" i="2"/>
  <c r="M405" i="2"/>
  <c r="L405" i="2"/>
  <c r="T405" i="2" s="1"/>
  <c r="K405" i="2"/>
  <c r="J405" i="2"/>
  <c r="U404" i="2"/>
  <c r="S404" i="2"/>
  <c r="R404" i="2"/>
  <c r="Q404" i="2"/>
  <c r="P404" i="2"/>
  <c r="O404" i="2"/>
  <c r="N404" i="2"/>
  <c r="M404" i="2"/>
  <c r="L404" i="2"/>
  <c r="T404" i="2" s="1"/>
  <c r="K404" i="2"/>
  <c r="J404" i="2"/>
  <c r="U403" i="2"/>
  <c r="S403" i="2"/>
  <c r="R403" i="2"/>
  <c r="Q403" i="2"/>
  <c r="P403" i="2"/>
  <c r="O403" i="2"/>
  <c r="N403" i="2"/>
  <c r="M403" i="2"/>
  <c r="L403" i="2"/>
  <c r="T403" i="2" s="1"/>
  <c r="K403" i="2"/>
  <c r="J403" i="2"/>
  <c r="U402" i="2"/>
  <c r="S402" i="2"/>
  <c r="R402" i="2"/>
  <c r="Q402" i="2"/>
  <c r="P402" i="2"/>
  <c r="O402" i="2"/>
  <c r="N402" i="2"/>
  <c r="M402" i="2"/>
  <c r="L402" i="2"/>
  <c r="T402" i="2" s="1"/>
  <c r="K402" i="2"/>
  <c r="J402" i="2"/>
  <c r="U401" i="2"/>
  <c r="S401" i="2"/>
  <c r="R401" i="2"/>
  <c r="Q401" i="2"/>
  <c r="P401" i="2"/>
  <c r="O401" i="2"/>
  <c r="N401" i="2"/>
  <c r="M401" i="2"/>
  <c r="L401" i="2"/>
  <c r="T401" i="2" s="1"/>
  <c r="K401" i="2"/>
  <c r="J401" i="2"/>
  <c r="U400" i="2"/>
  <c r="S400" i="2"/>
  <c r="R400" i="2"/>
  <c r="Q400" i="2"/>
  <c r="P400" i="2"/>
  <c r="O400" i="2"/>
  <c r="N400" i="2"/>
  <c r="M400" i="2"/>
  <c r="L400" i="2"/>
  <c r="T400" i="2" s="1"/>
  <c r="K400" i="2"/>
  <c r="J400" i="2"/>
  <c r="U399" i="2"/>
  <c r="S399" i="2"/>
  <c r="R399" i="2"/>
  <c r="Q399" i="2"/>
  <c r="P399" i="2"/>
  <c r="O399" i="2"/>
  <c r="N399" i="2"/>
  <c r="M399" i="2"/>
  <c r="L399" i="2"/>
  <c r="T399" i="2" s="1"/>
  <c r="K399" i="2"/>
  <c r="J399" i="2"/>
  <c r="U398" i="2"/>
  <c r="S398" i="2"/>
  <c r="R398" i="2"/>
  <c r="Q398" i="2"/>
  <c r="P398" i="2"/>
  <c r="O398" i="2"/>
  <c r="N398" i="2"/>
  <c r="M398" i="2"/>
  <c r="L398" i="2"/>
  <c r="T398" i="2" s="1"/>
  <c r="K398" i="2"/>
  <c r="J398" i="2"/>
  <c r="U397" i="2"/>
  <c r="S397" i="2"/>
  <c r="R397" i="2"/>
  <c r="Q397" i="2"/>
  <c r="P397" i="2"/>
  <c r="O397" i="2"/>
  <c r="N397" i="2"/>
  <c r="M397" i="2"/>
  <c r="L397" i="2"/>
  <c r="T397" i="2" s="1"/>
  <c r="K397" i="2"/>
  <c r="J397" i="2"/>
  <c r="U396" i="2"/>
  <c r="S396" i="2"/>
  <c r="R396" i="2"/>
  <c r="Q396" i="2"/>
  <c r="P396" i="2"/>
  <c r="O396" i="2"/>
  <c r="N396" i="2"/>
  <c r="M396" i="2"/>
  <c r="L396" i="2"/>
  <c r="T396" i="2" s="1"/>
  <c r="K396" i="2"/>
  <c r="J396" i="2"/>
  <c r="U395" i="2"/>
  <c r="S395" i="2"/>
  <c r="R395" i="2"/>
  <c r="Q395" i="2"/>
  <c r="P395" i="2"/>
  <c r="O395" i="2"/>
  <c r="N395" i="2"/>
  <c r="M395" i="2"/>
  <c r="L395" i="2"/>
  <c r="T395" i="2" s="1"/>
  <c r="K395" i="2"/>
  <c r="J395" i="2"/>
  <c r="U394" i="2"/>
  <c r="S394" i="2"/>
  <c r="R394" i="2"/>
  <c r="Q394" i="2"/>
  <c r="P394" i="2"/>
  <c r="O394" i="2"/>
  <c r="N394" i="2"/>
  <c r="M394" i="2"/>
  <c r="L394" i="2"/>
  <c r="T394" i="2" s="1"/>
  <c r="K394" i="2"/>
  <c r="J394" i="2"/>
  <c r="U393" i="2"/>
  <c r="S393" i="2"/>
  <c r="R393" i="2"/>
  <c r="Q393" i="2"/>
  <c r="P393" i="2"/>
  <c r="O393" i="2"/>
  <c r="N393" i="2"/>
  <c r="M393" i="2"/>
  <c r="L393" i="2"/>
  <c r="T393" i="2" s="1"/>
  <c r="K393" i="2"/>
  <c r="J393" i="2"/>
  <c r="U392" i="2"/>
  <c r="S392" i="2"/>
  <c r="R392" i="2"/>
  <c r="Q392" i="2"/>
  <c r="P392" i="2"/>
  <c r="O392" i="2"/>
  <c r="N392" i="2"/>
  <c r="M392" i="2"/>
  <c r="L392" i="2"/>
  <c r="T392" i="2" s="1"/>
  <c r="K392" i="2"/>
  <c r="J392" i="2"/>
  <c r="U391" i="2"/>
  <c r="S391" i="2"/>
  <c r="R391" i="2"/>
  <c r="Q391" i="2"/>
  <c r="P391" i="2"/>
  <c r="O391" i="2"/>
  <c r="N391" i="2"/>
  <c r="M391" i="2"/>
  <c r="L391" i="2"/>
  <c r="T391" i="2" s="1"/>
  <c r="K391" i="2"/>
  <c r="J391" i="2"/>
  <c r="U390" i="2"/>
  <c r="S390" i="2"/>
  <c r="R390" i="2"/>
  <c r="Q390" i="2"/>
  <c r="P390" i="2"/>
  <c r="O390" i="2"/>
  <c r="N390" i="2"/>
  <c r="M390" i="2"/>
  <c r="L390" i="2"/>
  <c r="T390" i="2" s="1"/>
  <c r="K390" i="2"/>
  <c r="J390" i="2"/>
  <c r="U389" i="2"/>
  <c r="S389" i="2"/>
  <c r="R389" i="2"/>
  <c r="Q389" i="2"/>
  <c r="P389" i="2"/>
  <c r="O389" i="2"/>
  <c r="N389" i="2"/>
  <c r="M389" i="2"/>
  <c r="L389" i="2"/>
  <c r="T389" i="2" s="1"/>
  <c r="K389" i="2"/>
  <c r="J389" i="2"/>
  <c r="U388" i="2"/>
  <c r="S388" i="2"/>
  <c r="R388" i="2"/>
  <c r="Q388" i="2"/>
  <c r="P388" i="2"/>
  <c r="O388" i="2"/>
  <c r="N388" i="2"/>
  <c r="M388" i="2"/>
  <c r="L388" i="2"/>
  <c r="T388" i="2" s="1"/>
  <c r="K388" i="2"/>
  <c r="J388" i="2"/>
  <c r="U387" i="2"/>
  <c r="S387" i="2"/>
  <c r="R387" i="2"/>
  <c r="Q387" i="2"/>
  <c r="P387" i="2"/>
  <c r="O387" i="2"/>
  <c r="N387" i="2"/>
  <c r="M387" i="2"/>
  <c r="L387" i="2"/>
  <c r="T387" i="2" s="1"/>
  <c r="K387" i="2"/>
  <c r="J387" i="2"/>
  <c r="U386" i="2"/>
  <c r="S386" i="2"/>
  <c r="R386" i="2"/>
  <c r="Q386" i="2"/>
  <c r="P386" i="2"/>
  <c r="O386" i="2"/>
  <c r="N386" i="2"/>
  <c r="M386" i="2"/>
  <c r="L386" i="2"/>
  <c r="T386" i="2" s="1"/>
  <c r="K386" i="2"/>
  <c r="J386" i="2"/>
  <c r="U385" i="2"/>
  <c r="S385" i="2"/>
  <c r="R385" i="2"/>
  <c r="Q385" i="2"/>
  <c r="P385" i="2"/>
  <c r="O385" i="2"/>
  <c r="N385" i="2"/>
  <c r="M385" i="2"/>
  <c r="L385" i="2"/>
  <c r="T385" i="2" s="1"/>
  <c r="K385" i="2"/>
  <c r="J385" i="2"/>
  <c r="U384" i="2"/>
  <c r="S384" i="2"/>
  <c r="R384" i="2"/>
  <c r="Q384" i="2"/>
  <c r="P384" i="2"/>
  <c r="O384" i="2"/>
  <c r="N384" i="2"/>
  <c r="M384" i="2"/>
  <c r="L384" i="2"/>
  <c r="T384" i="2" s="1"/>
  <c r="K384" i="2"/>
  <c r="J384" i="2"/>
  <c r="U383" i="2"/>
  <c r="S383" i="2"/>
  <c r="R383" i="2"/>
  <c r="Q383" i="2"/>
  <c r="P383" i="2"/>
  <c r="O383" i="2"/>
  <c r="N383" i="2"/>
  <c r="M383" i="2"/>
  <c r="L383" i="2"/>
  <c r="T383" i="2" s="1"/>
  <c r="K383" i="2"/>
  <c r="J383" i="2"/>
  <c r="U382" i="2"/>
  <c r="S382" i="2"/>
  <c r="R382" i="2"/>
  <c r="Q382" i="2"/>
  <c r="P382" i="2"/>
  <c r="O382" i="2"/>
  <c r="N382" i="2"/>
  <c r="M382" i="2"/>
  <c r="L382" i="2"/>
  <c r="T382" i="2" s="1"/>
  <c r="K382" i="2"/>
  <c r="J382" i="2"/>
  <c r="U381" i="2"/>
  <c r="S381" i="2"/>
  <c r="R381" i="2"/>
  <c r="Q381" i="2"/>
  <c r="P381" i="2"/>
  <c r="O381" i="2"/>
  <c r="N381" i="2"/>
  <c r="M381" i="2"/>
  <c r="L381" i="2"/>
  <c r="T381" i="2" s="1"/>
  <c r="K381" i="2"/>
  <c r="J381" i="2"/>
  <c r="U380" i="2"/>
  <c r="S380" i="2"/>
  <c r="R380" i="2"/>
  <c r="Q380" i="2"/>
  <c r="P380" i="2"/>
  <c r="O380" i="2"/>
  <c r="N380" i="2"/>
  <c r="M380" i="2"/>
  <c r="L380" i="2"/>
  <c r="T380" i="2" s="1"/>
  <c r="K380" i="2"/>
  <c r="J380" i="2"/>
  <c r="U379" i="2"/>
  <c r="S379" i="2"/>
  <c r="R379" i="2"/>
  <c r="Q379" i="2"/>
  <c r="P379" i="2"/>
  <c r="O379" i="2"/>
  <c r="N379" i="2"/>
  <c r="M379" i="2"/>
  <c r="L379" i="2"/>
  <c r="T379" i="2" s="1"/>
  <c r="K379" i="2"/>
  <c r="J379" i="2"/>
  <c r="U378" i="2"/>
  <c r="S378" i="2"/>
  <c r="R378" i="2"/>
  <c r="Q378" i="2"/>
  <c r="P378" i="2"/>
  <c r="O378" i="2"/>
  <c r="N378" i="2"/>
  <c r="M378" i="2"/>
  <c r="L378" i="2"/>
  <c r="T378" i="2" s="1"/>
  <c r="K378" i="2"/>
  <c r="J378" i="2"/>
  <c r="U377" i="2"/>
  <c r="S377" i="2"/>
  <c r="R377" i="2"/>
  <c r="Q377" i="2"/>
  <c r="P377" i="2"/>
  <c r="O377" i="2"/>
  <c r="N377" i="2"/>
  <c r="M377" i="2"/>
  <c r="L377" i="2"/>
  <c r="T377" i="2" s="1"/>
  <c r="K377" i="2"/>
  <c r="J377" i="2"/>
  <c r="U376" i="2"/>
  <c r="S376" i="2"/>
  <c r="R376" i="2"/>
  <c r="Q376" i="2"/>
  <c r="P376" i="2"/>
  <c r="O376" i="2"/>
  <c r="N376" i="2"/>
  <c r="M376" i="2"/>
  <c r="L376" i="2"/>
  <c r="T376" i="2" s="1"/>
  <c r="K376" i="2"/>
  <c r="J376" i="2"/>
  <c r="U375" i="2"/>
  <c r="S375" i="2"/>
  <c r="R375" i="2"/>
  <c r="Q375" i="2"/>
  <c r="P375" i="2"/>
  <c r="O375" i="2"/>
  <c r="N375" i="2"/>
  <c r="M375" i="2"/>
  <c r="L375" i="2"/>
  <c r="T375" i="2" s="1"/>
  <c r="K375" i="2"/>
  <c r="J375" i="2"/>
  <c r="U374" i="2"/>
  <c r="S374" i="2"/>
  <c r="R374" i="2"/>
  <c r="Q374" i="2"/>
  <c r="P374" i="2"/>
  <c r="O374" i="2"/>
  <c r="N374" i="2"/>
  <c r="M374" i="2"/>
  <c r="L374" i="2"/>
  <c r="T374" i="2" s="1"/>
  <c r="K374" i="2"/>
  <c r="J374" i="2"/>
  <c r="U373" i="2"/>
  <c r="S373" i="2"/>
  <c r="R373" i="2"/>
  <c r="Q373" i="2"/>
  <c r="P373" i="2"/>
  <c r="O373" i="2"/>
  <c r="N373" i="2"/>
  <c r="M373" i="2"/>
  <c r="L373" i="2"/>
  <c r="T373" i="2" s="1"/>
  <c r="K373" i="2"/>
  <c r="J373" i="2"/>
  <c r="U372" i="2"/>
  <c r="S372" i="2"/>
  <c r="R372" i="2"/>
  <c r="Q372" i="2"/>
  <c r="P372" i="2"/>
  <c r="O372" i="2"/>
  <c r="N372" i="2"/>
  <c r="M372" i="2"/>
  <c r="L372" i="2"/>
  <c r="T372" i="2" s="1"/>
  <c r="K372" i="2"/>
  <c r="J372" i="2"/>
  <c r="U371" i="2"/>
  <c r="S371" i="2"/>
  <c r="R371" i="2"/>
  <c r="Q371" i="2"/>
  <c r="P371" i="2"/>
  <c r="O371" i="2"/>
  <c r="N371" i="2"/>
  <c r="M371" i="2"/>
  <c r="L371" i="2"/>
  <c r="T371" i="2" s="1"/>
  <c r="K371" i="2"/>
  <c r="J371" i="2"/>
  <c r="U370" i="2"/>
  <c r="S370" i="2"/>
  <c r="R370" i="2"/>
  <c r="Q370" i="2"/>
  <c r="P370" i="2"/>
  <c r="O370" i="2"/>
  <c r="N370" i="2"/>
  <c r="M370" i="2"/>
  <c r="L370" i="2"/>
  <c r="T370" i="2" s="1"/>
  <c r="K370" i="2"/>
  <c r="J370" i="2"/>
  <c r="U369" i="2"/>
  <c r="S369" i="2"/>
  <c r="R369" i="2"/>
  <c r="Q369" i="2"/>
  <c r="P369" i="2"/>
  <c r="O369" i="2"/>
  <c r="N369" i="2"/>
  <c r="M369" i="2"/>
  <c r="L369" i="2"/>
  <c r="T369" i="2" s="1"/>
  <c r="K369" i="2"/>
  <c r="J369" i="2"/>
  <c r="U368" i="2"/>
  <c r="S368" i="2"/>
  <c r="R368" i="2"/>
  <c r="Q368" i="2"/>
  <c r="P368" i="2"/>
  <c r="O368" i="2"/>
  <c r="N368" i="2"/>
  <c r="M368" i="2"/>
  <c r="L368" i="2"/>
  <c r="T368" i="2" s="1"/>
  <c r="K368" i="2"/>
  <c r="J368" i="2"/>
  <c r="U367" i="2"/>
  <c r="S367" i="2"/>
  <c r="R367" i="2"/>
  <c r="Q367" i="2"/>
  <c r="P367" i="2"/>
  <c r="O367" i="2"/>
  <c r="N367" i="2"/>
  <c r="M367" i="2"/>
  <c r="L367" i="2"/>
  <c r="T367" i="2" s="1"/>
  <c r="K367" i="2"/>
  <c r="J367" i="2"/>
  <c r="U366" i="2"/>
  <c r="S366" i="2"/>
  <c r="R366" i="2"/>
  <c r="Q366" i="2"/>
  <c r="P366" i="2"/>
  <c r="O366" i="2"/>
  <c r="N366" i="2"/>
  <c r="M366" i="2"/>
  <c r="L366" i="2"/>
  <c r="T366" i="2" s="1"/>
  <c r="K366" i="2"/>
  <c r="J366" i="2"/>
  <c r="U365" i="2"/>
  <c r="S365" i="2"/>
  <c r="R365" i="2"/>
  <c r="Q365" i="2"/>
  <c r="P365" i="2"/>
  <c r="O365" i="2"/>
  <c r="N365" i="2"/>
  <c r="M365" i="2"/>
  <c r="L365" i="2"/>
  <c r="T365" i="2" s="1"/>
  <c r="K365" i="2"/>
  <c r="J365" i="2"/>
  <c r="U364" i="2"/>
  <c r="S364" i="2"/>
  <c r="R364" i="2"/>
  <c r="Q364" i="2"/>
  <c r="P364" i="2"/>
  <c r="O364" i="2"/>
  <c r="N364" i="2"/>
  <c r="M364" i="2"/>
  <c r="L364" i="2"/>
  <c r="T364" i="2" s="1"/>
  <c r="K364" i="2"/>
  <c r="J364" i="2"/>
  <c r="U363" i="2"/>
  <c r="S363" i="2"/>
  <c r="R363" i="2"/>
  <c r="Q363" i="2"/>
  <c r="P363" i="2"/>
  <c r="O363" i="2"/>
  <c r="N363" i="2"/>
  <c r="M363" i="2"/>
  <c r="L363" i="2"/>
  <c r="T363" i="2" s="1"/>
  <c r="K363" i="2"/>
  <c r="J363" i="2"/>
  <c r="U362" i="2"/>
  <c r="S362" i="2"/>
  <c r="R362" i="2"/>
  <c r="Q362" i="2"/>
  <c r="P362" i="2"/>
  <c r="O362" i="2"/>
  <c r="N362" i="2"/>
  <c r="M362" i="2"/>
  <c r="L362" i="2"/>
  <c r="T362" i="2" s="1"/>
  <c r="K362" i="2"/>
  <c r="J362" i="2"/>
  <c r="U361" i="2"/>
  <c r="S361" i="2"/>
  <c r="R361" i="2"/>
  <c r="Q361" i="2"/>
  <c r="P361" i="2"/>
  <c r="O361" i="2"/>
  <c r="N361" i="2"/>
  <c r="M361" i="2"/>
  <c r="L361" i="2"/>
  <c r="T361" i="2" s="1"/>
  <c r="K361" i="2"/>
  <c r="J361" i="2"/>
  <c r="U360" i="2"/>
  <c r="S360" i="2"/>
  <c r="R360" i="2"/>
  <c r="Q360" i="2"/>
  <c r="P360" i="2"/>
  <c r="O360" i="2"/>
  <c r="N360" i="2"/>
  <c r="M360" i="2"/>
  <c r="L360" i="2"/>
  <c r="T360" i="2" s="1"/>
  <c r="K360" i="2"/>
  <c r="J360" i="2"/>
  <c r="U359" i="2"/>
  <c r="S359" i="2"/>
  <c r="R359" i="2"/>
  <c r="Q359" i="2"/>
  <c r="P359" i="2"/>
  <c r="O359" i="2"/>
  <c r="N359" i="2"/>
  <c r="M359" i="2"/>
  <c r="L359" i="2"/>
  <c r="T359" i="2" s="1"/>
  <c r="K359" i="2"/>
  <c r="J359" i="2"/>
  <c r="U358" i="2"/>
  <c r="S358" i="2"/>
  <c r="R358" i="2"/>
  <c r="Q358" i="2"/>
  <c r="P358" i="2"/>
  <c r="O358" i="2"/>
  <c r="N358" i="2"/>
  <c r="M358" i="2"/>
  <c r="L358" i="2"/>
  <c r="T358" i="2" s="1"/>
  <c r="K358" i="2"/>
  <c r="J358" i="2"/>
  <c r="U357" i="2"/>
  <c r="S357" i="2"/>
  <c r="R357" i="2"/>
  <c r="Q357" i="2"/>
  <c r="P357" i="2"/>
  <c r="O357" i="2"/>
  <c r="N357" i="2"/>
  <c r="M357" i="2"/>
  <c r="L357" i="2"/>
  <c r="T357" i="2" s="1"/>
  <c r="K357" i="2"/>
  <c r="J357" i="2"/>
  <c r="U356" i="2"/>
  <c r="S356" i="2"/>
  <c r="R356" i="2"/>
  <c r="Q356" i="2"/>
  <c r="P356" i="2"/>
  <c r="O356" i="2"/>
  <c r="N356" i="2"/>
  <c r="M356" i="2"/>
  <c r="L356" i="2"/>
  <c r="T356" i="2" s="1"/>
  <c r="K356" i="2"/>
  <c r="J356" i="2"/>
  <c r="U355" i="2"/>
  <c r="S355" i="2"/>
  <c r="R355" i="2"/>
  <c r="Q355" i="2"/>
  <c r="P355" i="2"/>
  <c r="O355" i="2"/>
  <c r="N355" i="2"/>
  <c r="M355" i="2"/>
  <c r="L355" i="2"/>
  <c r="T355" i="2" s="1"/>
  <c r="K355" i="2"/>
  <c r="J355" i="2"/>
  <c r="U354" i="2"/>
  <c r="S354" i="2"/>
  <c r="R354" i="2"/>
  <c r="Q354" i="2"/>
  <c r="P354" i="2"/>
  <c r="O354" i="2"/>
  <c r="N354" i="2"/>
  <c r="M354" i="2"/>
  <c r="L354" i="2"/>
  <c r="T354" i="2" s="1"/>
  <c r="K354" i="2"/>
  <c r="J354" i="2"/>
  <c r="U353" i="2"/>
  <c r="S353" i="2"/>
  <c r="R353" i="2"/>
  <c r="Q353" i="2"/>
  <c r="P353" i="2"/>
  <c r="O353" i="2"/>
  <c r="N353" i="2"/>
  <c r="M353" i="2"/>
  <c r="L353" i="2"/>
  <c r="T353" i="2" s="1"/>
  <c r="K353" i="2"/>
  <c r="J353" i="2"/>
  <c r="U352" i="2"/>
  <c r="S352" i="2"/>
  <c r="R352" i="2"/>
  <c r="Q352" i="2"/>
  <c r="P352" i="2"/>
  <c r="O352" i="2"/>
  <c r="N352" i="2"/>
  <c r="M352" i="2"/>
  <c r="L352" i="2"/>
  <c r="T352" i="2" s="1"/>
  <c r="K352" i="2"/>
  <c r="J352" i="2"/>
  <c r="U351" i="2"/>
  <c r="S351" i="2"/>
  <c r="R351" i="2"/>
  <c r="Q351" i="2"/>
  <c r="P351" i="2"/>
  <c r="O351" i="2"/>
  <c r="N351" i="2"/>
  <c r="M351" i="2"/>
  <c r="L351" i="2"/>
  <c r="T351" i="2" s="1"/>
  <c r="K351" i="2"/>
  <c r="J351" i="2"/>
  <c r="U350" i="2"/>
  <c r="S350" i="2"/>
  <c r="R350" i="2"/>
  <c r="Q350" i="2"/>
  <c r="P350" i="2"/>
  <c r="O350" i="2"/>
  <c r="N350" i="2"/>
  <c r="M350" i="2"/>
  <c r="L350" i="2"/>
  <c r="T350" i="2" s="1"/>
  <c r="K350" i="2"/>
  <c r="J350" i="2"/>
  <c r="U349" i="2"/>
  <c r="S349" i="2"/>
  <c r="R349" i="2"/>
  <c r="Q349" i="2"/>
  <c r="P349" i="2"/>
  <c r="O349" i="2"/>
  <c r="N349" i="2"/>
  <c r="M349" i="2"/>
  <c r="L349" i="2"/>
  <c r="T349" i="2" s="1"/>
  <c r="K349" i="2"/>
  <c r="J349" i="2"/>
  <c r="U348" i="2"/>
  <c r="S348" i="2"/>
  <c r="R348" i="2"/>
  <c r="Q348" i="2"/>
  <c r="P348" i="2"/>
  <c r="O348" i="2"/>
  <c r="N348" i="2"/>
  <c r="M348" i="2"/>
  <c r="L348" i="2"/>
  <c r="T348" i="2" s="1"/>
  <c r="K348" i="2"/>
  <c r="J348" i="2"/>
  <c r="U347" i="2"/>
  <c r="S347" i="2"/>
  <c r="R347" i="2"/>
  <c r="Q347" i="2"/>
  <c r="P347" i="2"/>
  <c r="O347" i="2"/>
  <c r="N347" i="2"/>
  <c r="M347" i="2"/>
  <c r="L347" i="2"/>
  <c r="T347" i="2" s="1"/>
  <c r="K347" i="2"/>
  <c r="J347" i="2"/>
  <c r="U346" i="2"/>
  <c r="S346" i="2"/>
  <c r="R346" i="2"/>
  <c r="Q346" i="2"/>
  <c r="P346" i="2"/>
  <c r="O346" i="2"/>
  <c r="N346" i="2"/>
  <c r="M346" i="2"/>
  <c r="L346" i="2"/>
  <c r="T346" i="2" s="1"/>
  <c r="K346" i="2"/>
  <c r="J346" i="2"/>
  <c r="U345" i="2"/>
  <c r="S345" i="2"/>
  <c r="R345" i="2"/>
  <c r="Q345" i="2"/>
  <c r="P345" i="2"/>
  <c r="O345" i="2"/>
  <c r="N345" i="2"/>
  <c r="M345" i="2"/>
  <c r="L345" i="2"/>
  <c r="T345" i="2" s="1"/>
  <c r="K345" i="2"/>
  <c r="J345" i="2"/>
  <c r="U344" i="2"/>
  <c r="S344" i="2"/>
  <c r="R344" i="2"/>
  <c r="Q344" i="2"/>
  <c r="P344" i="2"/>
  <c r="O344" i="2"/>
  <c r="N344" i="2"/>
  <c r="M344" i="2"/>
  <c r="L344" i="2"/>
  <c r="T344" i="2" s="1"/>
  <c r="K344" i="2"/>
  <c r="J344" i="2"/>
  <c r="U343" i="2"/>
  <c r="S343" i="2"/>
  <c r="R343" i="2"/>
  <c r="Q343" i="2"/>
  <c r="P343" i="2"/>
  <c r="O343" i="2"/>
  <c r="N343" i="2"/>
  <c r="M343" i="2"/>
  <c r="L343" i="2"/>
  <c r="T343" i="2" s="1"/>
  <c r="K343" i="2"/>
  <c r="J343" i="2"/>
  <c r="U342" i="2"/>
  <c r="S342" i="2"/>
  <c r="R342" i="2"/>
  <c r="Q342" i="2"/>
  <c r="P342" i="2"/>
  <c r="O342" i="2"/>
  <c r="N342" i="2"/>
  <c r="M342" i="2"/>
  <c r="L342" i="2"/>
  <c r="T342" i="2" s="1"/>
  <c r="K342" i="2"/>
  <c r="J342" i="2"/>
  <c r="U341" i="2"/>
  <c r="S341" i="2"/>
  <c r="R341" i="2"/>
  <c r="Q341" i="2"/>
  <c r="P341" i="2"/>
  <c r="O341" i="2"/>
  <c r="N341" i="2"/>
  <c r="M341" i="2"/>
  <c r="L341" i="2"/>
  <c r="T341" i="2" s="1"/>
  <c r="K341" i="2"/>
  <c r="J341" i="2"/>
  <c r="U340" i="2"/>
  <c r="S340" i="2"/>
  <c r="R340" i="2"/>
  <c r="Q340" i="2"/>
  <c r="P340" i="2"/>
  <c r="O340" i="2"/>
  <c r="N340" i="2"/>
  <c r="M340" i="2"/>
  <c r="L340" i="2"/>
  <c r="T340" i="2" s="1"/>
  <c r="K340" i="2"/>
  <c r="J340" i="2"/>
  <c r="U339" i="2"/>
  <c r="S339" i="2"/>
  <c r="R339" i="2"/>
  <c r="Q339" i="2"/>
  <c r="P339" i="2"/>
  <c r="O339" i="2"/>
  <c r="N339" i="2"/>
  <c r="M339" i="2"/>
  <c r="L339" i="2"/>
  <c r="T339" i="2" s="1"/>
  <c r="K339" i="2"/>
  <c r="J339" i="2"/>
  <c r="U338" i="2"/>
  <c r="S338" i="2"/>
  <c r="R338" i="2"/>
  <c r="Q338" i="2"/>
  <c r="P338" i="2"/>
  <c r="O338" i="2"/>
  <c r="N338" i="2"/>
  <c r="M338" i="2"/>
  <c r="L338" i="2"/>
  <c r="T338" i="2" s="1"/>
  <c r="K338" i="2"/>
  <c r="J338" i="2"/>
  <c r="U337" i="2"/>
  <c r="S337" i="2"/>
  <c r="R337" i="2"/>
  <c r="Q337" i="2"/>
  <c r="P337" i="2"/>
  <c r="O337" i="2"/>
  <c r="N337" i="2"/>
  <c r="M337" i="2"/>
  <c r="L337" i="2"/>
  <c r="T337" i="2" s="1"/>
  <c r="K337" i="2"/>
  <c r="J337" i="2"/>
  <c r="U336" i="2"/>
  <c r="S336" i="2"/>
  <c r="R336" i="2"/>
  <c r="Q336" i="2"/>
  <c r="P336" i="2"/>
  <c r="O336" i="2"/>
  <c r="N336" i="2"/>
  <c r="M336" i="2"/>
  <c r="L336" i="2"/>
  <c r="T336" i="2" s="1"/>
  <c r="K336" i="2"/>
  <c r="J336" i="2"/>
  <c r="U335" i="2"/>
  <c r="S335" i="2"/>
  <c r="R335" i="2"/>
  <c r="Q335" i="2"/>
  <c r="P335" i="2"/>
  <c r="O335" i="2"/>
  <c r="N335" i="2"/>
  <c r="M335" i="2"/>
  <c r="L335" i="2"/>
  <c r="T335" i="2" s="1"/>
  <c r="K335" i="2"/>
  <c r="J335" i="2"/>
  <c r="U334" i="2"/>
  <c r="S334" i="2"/>
  <c r="R334" i="2"/>
  <c r="Q334" i="2"/>
  <c r="P334" i="2"/>
  <c r="O334" i="2"/>
  <c r="N334" i="2"/>
  <c r="M334" i="2"/>
  <c r="L334" i="2"/>
  <c r="T334" i="2" s="1"/>
  <c r="K334" i="2"/>
  <c r="J334" i="2"/>
  <c r="U333" i="2"/>
  <c r="S333" i="2"/>
  <c r="R333" i="2"/>
  <c r="Q333" i="2"/>
  <c r="P333" i="2"/>
  <c r="O333" i="2"/>
  <c r="N333" i="2"/>
  <c r="M333" i="2"/>
  <c r="L333" i="2"/>
  <c r="T333" i="2" s="1"/>
  <c r="K333" i="2"/>
  <c r="J333" i="2"/>
  <c r="U332" i="2"/>
  <c r="S332" i="2"/>
  <c r="R332" i="2"/>
  <c r="Q332" i="2"/>
  <c r="P332" i="2"/>
  <c r="O332" i="2"/>
  <c r="N332" i="2"/>
  <c r="M332" i="2"/>
  <c r="L332" i="2"/>
  <c r="T332" i="2" s="1"/>
  <c r="K332" i="2"/>
  <c r="J332" i="2"/>
  <c r="U331" i="2"/>
  <c r="S331" i="2"/>
  <c r="R331" i="2"/>
  <c r="Q331" i="2"/>
  <c r="P331" i="2"/>
  <c r="O331" i="2"/>
  <c r="N331" i="2"/>
  <c r="M331" i="2"/>
  <c r="L331" i="2"/>
  <c r="T331" i="2" s="1"/>
  <c r="K331" i="2"/>
  <c r="J331" i="2"/>
  <c r="U330" i="2"/>
  <c r="S330" i="2"/>
  <c r="R330" i="2"/>
  <c r="Q330" i="2"/>
  <c r="P330" i="2"/>
  <c r="O330" i="2"/>
  <c r="N330" i="2"/>
  <c r="M330" i="2"/>
  <c r="L330" i="2"/>
  <c r="T330" i="2" s="1"/>
  <c r="K330" i="2"/>
  <c r="J330" i="2"/>
  <c r="U329" i="2"/>
  <c r="S329" i="2"/>
  <c r="R329" i="2"/>
  <c r="Q329" i="2"/>
  <c r="P329" i="2"/>
  <c r="O329" i="2"/>
  <c r="N329" i="2"/>
  <c r="M329" i="2"/>
  <c r="L329" i="2"/>
  <c r="T329" i="2" s="1"/>
  <c r="K329" i="2"/>
  <c r="J329" i="2"/>
  <c r="U328" i="2"/>
  <c r="S328" i="2"/>
  <c r="R328" i="2"/>
  <c r="Q328" i="2"/>
  <c r="P328" i="2"/>
  <c r="O328" i="2"/>
  <c r="N328" i="2"/>
  <c r="M328" i="2"/>
  <c r="L328" i="2"/>
  <c r="T328" i="2" s="1"/>
  <c r="K328" i="2"/>
  <c r="J328" i="2"/>
  <c r="U327" i="2"/>
  <c r="S327" i="2"/>
  <c r="R327" i="2"/>
  <c r="Q327" i="2"/>
  <c r="P327" i="2"/>
  <c r="O327" i="2"/>
  <c r="N327" i="2"/>
  <c r="M327" i="2"/>
  <c r="L327" i="2"/>
  <c r="T327" i="2" s="1"/>
  <c r="K327" i="2"/>
  <c r="J327" i="2"/>
  <c r="U326" i="2"/>
  <c r="S326" i="2"/>
  <c r="R326" i="2"/>
  <c r="Q326" i="2"/>
  <c r="P326" i="2"/>
  <c r="O326" i="2"/>
  <c r="N326" i="2"/>
  <c r="M326" i="2"/>
  <c r="L326" i="2"/>
  <c r="T326" i="2" s="1"/>
  <c r="K326" i="2"/>
  <c r="J326" i="2"/>
  <c r="U325" i="2"/>
  <c r="S325" i="2"/>
  <c r="R325" i="2"/>
  <c r="Q325" i="2"/>
  <c r="P325" i="2"/>
  <c r="O325" i="2"/>
  <c r="N325" i="2"/>
  <c r="M325" i="2"/>
  <c r="L325" i="2"/>
  <c r="T325" i="2" s="1"/>
  <c r="K325" i="2"/>
  <c r="J325" i="2"/>
  <c r="U324" i="2"/>
  <c r="S324" i="2"/>
  <c r="R324" i="2"/>
  <c r="Q324" i="2"/>
  <c r="P324" i="2"/>
  <c r="O324" i="2"/>
  <c r="N324" i="2"/>
  <c r="M324" i="2"/>
  <c r="L324" i="2"/>
  <c r="T324" i="2" s="1"/>
  <c r="K324" i="2"/>
  <c r="J324" i="2"/>
  <c r="U323" i="2"/>
  <c r="S323" i="2"/>
  <c r="R323" i="2"/>
  <c r="Q323" i="2"/>
  <c r="P323" i="2"/>
  <c r="O323" i="2"/>
  <c r="N323" i="2"/>
  <c r="M323" i="2"/>
  <c r="L323" i="2"/>
  <c r="T323" i="2" s="1"/>
  <c r="K323" i="2"/>
  <c r="J323" i="2"/>
  <c r="U322" i="2"/>
  <c r="S322" i="2"/>
  <c r="R322" i="2"/>
  <c r="Q322" i="2"/>
  <c r="P322" i="2"/>
  <c r="O322" i="2"/>
  <c r="N322" i="2"/>
  <c r="M322" i="2"/>
  <c r="L322" i="2"/>
  <c r="T322" i="2" s="1"/>
  <c r="K322" i="2"/>
  <c r="J322" i="2"/>
  <c r="U321" i="2"/>
  <c r="S321" i="2"/>
  <c r="R321" i="2"/>
  <c r="Q321" i="2"/>
  <c r="P321" i="2"/>
  <c r="O321" i="2"/>
  <c r="N321" i="2"/>
  <c r="M321" i="2"/>
  <c r="L321" i="2"/>
  <c r="T321" i="2" s="1"/>
  <c r="K321" i="2"/>
  <c r="J321" i="2"/>
  <c r="U320" i="2"/>
  <c r="S320" i="2"/>
  <c r="R320" i="2"/>
  <c r="Q320" i="2"/>
  <c r="P320" i="2"/>
  <c r="O320" i="2"/>
  <c r="N320" i="2"/>
  <c r="M320" i="2"/>
  <c r="L320" i="2"/>
  <c r="T320" i="2" s="1"/>
  <c r="K320" i="2"/>
  <c r="J320" i="2"/>
  <c r="U319" i="2"/>
  <c r="S319" i="2"/>
  <c r="R319" i="2"/>
  <c r="Q319" i="2"/>
  <c r="P319" i="2"/>
  <c r="O319" i="2"/>
  <c r="N319" i="2"/>
  <c r="M319" i="2"/>
  <c r="L319" i="2"/>
  <c r="T319" i="2" s="1"/>
  <c r="K319" i="2"/>
  <c r="J319" i="2"/>
  <c r="U318" i="2"/>
  <c r="S318" i="2"/>
  <c r="R318" i="2"/>
  <c r="Q318" i="2"/>
  <c r="P318" i="2"/>
  <c r="O318" i="2"/>
  <c r="N318" i="2"/>
  <c r="M318" i="2"/>
  <c r="L318" i="2"/>
  <c r="T318" i="2" s="1"/>
  <c r="K318" i="2"/>
  <c r="J318" i="2"/>
  <c r="U317" i="2"/>
  <c r="S317" i="2"/>
  <c r="R317" i="2"/>
  <c r="Q317" i="2"/>
  <c r="P317" i="2"/>
  <c r="O317" i="2"/>
  <c r="N317" i="2"/>
  <c r="M317" i="2"/>
  <c r="L317" i="2"/>
  <c r="T317" i="2" s="1"/>
  <c r="K317" i="2"/>
  <c r="J317" i="2"/>
  <c r="U316" i="2"/>
  <c r="S316" i="2"/>
  <c r="R316" i="2"/>
  <c r="Q316" i="2"/>
  <c r="P316" i="2"/>
  <c r="O316" i="2"/>
  <c r="N316" i="2"/>
  <c r="M316" i="2"/>
  <c r="L316" i="2"/>
  <c r="T316" i="2" s="1"/>
  <c r="K316" i="2"/>
  <c r="J316" i="2"/>
  <c r="U315" i="2"/>
  <c r="S315" i="2"/>
  <c r="R315" i="2"/>
  <c r="Q315" i="2"/>
  <c r="P315" i="2"/>
  <c r="O315" i="2"/>
  <c r="N315" i="2"/>
  <c r="M315" i="2"/>
  <c r="L315" i="2"/>
  <c r="T315" i="2" s="1"/>
  <c r="K315" i="2"/>
  <c r="J315" i="2"/>
  <c r="U314" i="2"/>
  <c r="S314" i="2"/>
  <c r="R314" i="2"/>
  <c r="Q314" i="2"/>
  <c r="P314" i="2"/>
  <c r="O314" i="2"/>
  <c r="N314" i="2"/>
  <c r="M314" i="2"/>
  <c r="L314" i="2"/>
  <c r="T314" i="2" s="1"/>
  <c r="K314" i="2"/>
  <c r="J314" i="2"/>
  <c r="U313" i="2"/>
  <c r="S313" i="2"/>
  <c r="R313" i="2"/>
  <c r="Q313" i="2"/>
  <c r="P313" i="2"/>
  <c r="O313" i="2"/>
  <c r="N313" i="2"/>
  <c r="M313" i="2"/>
  <c r="L313" i="2"/>
  <c r="T313" i="2" s="1"/>
  <c r="K313" i="2"/>
  <c r="J313" i="2"/>
  <c r="U312" i="2"/>
  <c r="S312" i="2"/>
  <c r="R312" i="2"/>
  <c r="Q312" i="2"/>
  <c r="P312" i="2"/>
  <c r="O312" i="2"/>
  <c r="N312" i="2"/>
  <c r="M312" i="2"/>
  <c r="L312" i="2"/>
  <c r="T312" i="2" s="1"/>
  <c r="K312" i="2"/>
  <c r="J312" i="2"/>
  <c r="U311" i="2"/>
  <c r="S311" i="2"/>
  <c r="R311" i="2"/>
  <c r="Q311" i="2"/>
  <c r="P311" i="2"/>
  <c r="O311" i="2"/>
  <c r="N311" i="2"/>
  <c r="M311" i="2"/>
  <c r="L311" i="2"/>
  <c r="T311" i="2" s="1"/>
  <c r="K311" i="2"/>
  <c r="J311" i="2"/>
  <c r="U310" i="2"/>
  <c r="S310" i="2"/>
  <c r="R310" i="2"/>
  <c r="Q310" i="2"/>
  <c r="P310" i="2"/>
  <c r="O310" i="2"/>
  <c r="N310" i="2"/>
  <c r="M310" i="2"/>
  <c r="L310" i="2"/>
  <c r="T310" i="2" s="1"/>
  <c r="K310" i="2"/>
  <c r="J310" i="2"/>
  <c r="U309" i="2"/>
  <c r="S309" i="2"/>
  <c r="R309" i="2"/>
  <c r="Q309" i="2"/>
  <c r="P309" i="2"/>
  <c r="O309" i="2"/>
  <c r="N309" i="2"/>
  <c r="M309" i="2"/>
  <c r="L309" i="2"/>
  <c r="T309" i="2" s="1"/>
  <c r="K309" i="2"/>
  <c r="J309" i="2"/>
  <c r="U308" i="2"/>
  <c r="S308" i="2"/>
  <c r="R308" i="2"/>
  <c r="Q308" i="2"/>
  <c r="P308" i="2"/>
  <c r="O308" i="2"/>
  <c r="N308" i="2"/>
  <c r="M308" i="2"/>
  <c r="L308" i="2"/>
  <c r="T308" i="2" s="1"/>
  <c r="K308" i="2"/>
  <c r="J308" i="2"/>
  <c r="U307" i="2"/>
  <c r="S307" i="2"/>
  <c r="R307" i="2"/>
  <c r="Q307" i="2"/>
  <c r="P307" i="2"/>
  <c r="O307" i="2"/>
  <c r="N307" i="2"/>
  <c r="M307" i="2"/>
  <c r="L307" i="2"/>
  <c r="T307" i="2" s="1"/>
  <c r="K307" i="2"/>
  <c r="J307" i="2"/>
  <c r="U306" i="2"/>
  <c r="S306" i="2"/>
  <c r="R306" i="2"/>
  <c r="Q306" i="2"/>
  <c r="P306" i="2"/>
  <c r="O306" i="2"/>
  <c r="N306" i="2"/>
  <c r="M306" i="2"/>
  <c r="L306" i="2"/>
  <c r="T306" i="2" s="1"/>
  <c r="K306" i="2"/>
  <c r="J306" i="2"/>
  <c r="U305" i="2"/>
  <c r="S305" i="2"/>
  <c r="R305" i="2"/>
  <c r="Q305" i="2"/>
  <c r="P305" i="2"/>
  <c r="O305" i="2"/>
  <c r="N305" i="2"/>
  <c r="M305" i="2"/>
  <c r="L305" i="2"/>
  <c r="T305" i="2" s="1"/>
  <c r="K305" i="2"/>
  <c r="J305" i="2"/>
  <c r="U304" i="2"/>
  <c r="S304" i="2"/>
  <c r="R304" i="2"/>
  <c r="Q304" i="2"/>
  <c r="P304" i="2"/>
  <c r="O304" i="2"/>
  <c r="N304" i="2"/>
  <c r="M304" i="2"/>
  <c r="L304" i="2"/>
  <c r="T304" i="2" s="1"/>
  <c r="K304" i="2"/>
  <c r="J304" i="2"/>
  <c r="U303" i="2"/>
  <c r="S303" i="2"/>
  <c r="R303" i="2"/>
  <c r="Q303" i="2"/>
  <c r="P303" i="2"/>
  <c r="O303" i="2"/>
  <c r="N303" i="2"/>
  <c r="M303" i="2"/>
  <c r="L303" i="2"/>
  <c r="T303" i="2" s="1"/>
  <c r="K303" i="2"/>
  <c r="J303" i="2"/>
  <c r="U302" i="2"/>
  <c r="S302" i="2"/>
  <c r="R302" i="2"/>
  <c r="Q302" i="2"/>
  <c r="P302" i="2"/>
  <c r="O302" i="2"/>
  <c r="N302" i="2"/>
  <c r="M302" i="2"/>
  <c r="L302" i="2"/>
  <c r="T302" i="2" s="1"/>
  <c r="K302" i="2"/>
  <c r="J302" i="2"/>
  <c r="U301" i="2"/>
  <c r="S301" i="2"/>
  <c r="R301" i="2"/>
  <c r="Q301" i="2"/>
  <c r="P301" i="2"/>
  <c r="O301" i="2"/>
  <c r="N301" i="2"/>
  <c r="M301" i="2"/>
  <c r="L301" i="2"/>
  <c r="T301" i="2" s="1"/>
  <c r="K301" i="2"/>
  <c r="J301" i="2"/>
  <c r="U300" i="2"/>
  <c r="S300" i="2"/>
  <c r="R300" i="2"/>
  <c r="Q300" i="2"/>
  <c r="P300" i="2"/>
  <c r="O300" i="2"/>
  <c r="N300" i="2"/>
  <c r="M300" i="2"/>
  <c r="L300" i="2"/>
  <c r="T300" i="2" s="1"/>
  <c r="K300" i="2"/>
  <c r="J300" i="2"/>
  <c r="U299" i="2"/>
  <c r="S299" i="2"/>
  <c r="R299" i="2"/>
  <c r="Q299" i="2"/>
  <c r="P299" i="2"/>
  <c r="O299" i="2"/>
  <c r="N299" i="2"/>
  <c r="M299" i="2"/>
  <c r="L299" i="2"/>
  <c r="T299" i="2" s="1"/>
  <c r="K299" i="2"/>
  <c r="J299" i="2"/>
  <c r="U298" i="2"/>
  <c r="S298" i="2"/>
  <c r="R298" i="2"/>
  <c r="Q298" i="2"/>
  <c r="P298" i="2"/>
  <c r="O298" i="2"/>
  <c r="N298" i="2"/>
  <c r="M298" i="2"/>
  <c r="L298" i="2"/>
  <c r="T298" i="2" s="1"/>
  <c r="K298" i="2"/>
  <c r="J298" i="2"/>
  <c r="U297" i="2"/>
  <c r="S297" i="2"/>
  <c r="R297" i="2"/>
  <c r="Q297" i="2"/>
  <c r="P297" i="2"/>
  <c r="O297" i="2"/>
  <c r="N297" i="2"/>
  <c r="M297" i="2"/>
  <c r="L297" i="2"/>
  <c r="T297" i="2" s="1"/>
  <c r="K297" i="2"/>
  <c r="J297" i="2"/>
  <c r="U296" i="2"/>
  <c r="S296" i="2"/>
  <c r="R296" i="2"/>
  <c r="Q296" i="2"/>
  <c r="P296" i="2"/>
  <c r="O296" i="2"/>
  <c r="N296" i="2"/>
  <c r="M296" i="2"/>
  <c r="L296" i="2"/>
  <c r="T296" i="2" s="1"/>
  <c r="K296" i="2"/>
  <c r="J296" i="2"/>
  <c r="U295" i="2"/>
  <c r="S295" i="2"/>
  <c r="R295" i="2"/>
  <c r="Q295" i="2"/>
  <c r="P295" i="2"/>
  <c r="O295" i="2"/>
  <c r="N295" i="2"/>
  <c r="M295" i="2"/>
  <c r="L295" i="2"/>
  <c r="T295" i="2" s="1"/>
  <c r="K295" i="2"/>
  <c r="J295" i="2"/>
  <c r="U294" i="2"/>
  <c r="S294" i="2"/>
  <c r="R294" i="2"/>
  <c r="Q294" i="2"/>
  <c r="P294" i="2"/>
  <c r="O294" i="2"/>
  <c r="N294" i="2"/>
  <c r="M294" i="2"/>
  <c r="L294" i="2"/>
  <c r="T294" i="2" s="1"/>
  <c r="K294" i="2"/>
  <c r="J294" i="2"/>
  <c r="U293" i="2"/>
  <c r="S293" i="2"/>
  <c r="R293" i="2"/>
  <c r="Q293" i="2"/>
  <c r="P293" i="2"/>
  <c r="O293" i="2"/>
  <c r="N293" i="2"/>
  <c r="M293" i="2"/>
  <c r="L293" i="2"/>
  <c r="T293" i="2" s="1"/>
  <c r="K293" i="2"/>
  <c r="J293" i="2"/>
  <c r="U292" i="2"/>
  <c r="S292" i="2"/>
  <c r="R292" i="2"/>
  <c r="Q292" i="2"/>
  <c r="P292" i="2"/>
  <c r="O292" i="2"/>
  <c r="N292" i="2"/>
  <c r="M292" i="2"/>
  <c r="L292" i="2"/>
  <c r="T292" i="2" s="1"/>
  <c r="K292" i="2"/>
  <c r="J292" i="2"/>
  <c r="U291" i="2"/>
  <c r="S291" i="2"/>
  <c r="R291" i="2"/>
  <c r="Q291" i="2"/>
  <c r="P291" i="2"/>
  <c r="O291" i="2"/>
  <c r="N291" i="2"/>
  <c r="M291" i="2"/>
  <c r="L291" i="2"/>
  <c r="T291" i="2" s="1"/>
  <c r="K291" i="2"/>
  <c r="J291" i="2"/>
  <c r="U290" i="2"/>
  <c r="S290" i="2"/>
  <c r="R290" i="2"/>
  <c r="Q290" i="2"/>
  <c r="P290" i="2"/>
  <c r="O290" i="2"/>
  <c r="N290" i="2"/>
  <c r="M290" i="2"/>
  <c r="L290" i="2"/>
  <c r="T290" i="2" s="1"/>
  <c r="K290" i="2"/>
  <c r="J290" i="2"/>
  <c r="U289" i="2"/>
  <c r="S289" i="2"/>
  <c r="R289" i="2"/>
  <c r="Q289" i="2"/>
  <c r="P289" i="2"/>
  <c r="O289" i="2"/>
  <c r="N289" i="2"/>
  <c r="M289" i="2"/>
  <c r="L289" i="2"/>
  <c r="T289" i="2" s="1"/>
  <c r="K289" i="2"/>
  <c r="J289" i="2"/>
  <c r="U288" i="2"/>
  <c r="S288" i="2"/>
  <c r="R288" i="2"/>
  <c r="Q288" i="2"/>
  <c r="P288" i="2"/>
  <c r="O288" i="2"/>
  <c r="N288" i="2"/>
  <c r="M288" i="2"/>
  <c r="L288" i="2"/>
  <c r="T288" i="2" s="1"/>
  <c r="K288" i="2"/>
  <c r="J288" i="2"/>
  <c r="U287" i="2"/>
  <c r="S287" i="2"/>
  <c r="R287" i="2"/>
  <c r="Q287" i="2"/>
  <c r="P287" i="2"/>
  <c r="O287" i="2"/>
  <c r="N287" i="2"/>
  <c r="M287" i="2"/>
  <c r="L287" i="2"/>
  <c r="T287" i="2" s="1"/>
  <c r="K287" i="2"/>
  <c r="J287" i="2"/>
  <c r="U286" i="2"/>
  <c r="S286" i="2"/>
  <c r="R286" i="2"/>
  <c r="Q286" i="2"/>
  <c r="P286" i="2"/>
  <c r="O286" i="2"/>
  <c r="N286" i="2"/>
  <c r="M286" i="2"/>
  <c r="L286" i="2"/>
  <c r="T286" i="2" s="1"/>
  <c r="K286" i="2"/>
  <c r="J286" i="2"/>
  <c r="U285" i="2"/>
  <c r="S285" i="2"/>
  <c r="R285" i="2"/>
  <c r="Q285" i="2"/>
  <c r="P285" i="2"/>
  <c r="O285" i="2"/>
  <c r="N285" i="2"/>
  <c r="M285" i="2"/>
  <c r="L285" i="2"/>
  <c r="T285" i="2" s="1"/>
  <c r="K285" i="2"/>
  <c r="J285" i="2"/>
  <c r="U284" i="2"/>
  <c r="S284" i="2"/>
  <c r="R284" i="2"/>
  <c r="Q284" i="2"/>
  <c r="P284" i="2"/>
  <c r="O284" i="2"/>
  <c r="N284" i="2"/>
  <c r="M284" i="2"/>
  <c r="L284" i="2"/>
  <c r="T284" i="2" s="1"/>
  <c r="K284" i="2"/>
  <c r="J284" i="2"/>
  <c r="U283" i="2"/>
  <c r="S283" i="2"/>
  <c r="R283" i="2"/>
  <c r="Q283" i="2"/>
  <c r="P283" i="2"/>
  <c r="O283" i="2"/>
  <c r="N283" i="2"/>
  <c r="M283" i="2"/>
  <c r="L283" i="2"/>
  <c r="T283" i="2" s="1"/>
  <c r="K283" i="2"/>
  <c r="J283" i="2"/>
  <c r="U282" i="2"/>
  <c r="S282" i="2"/>
  <c r="R282" i="2"/>
  <c r="Q282" i="2"/>
  <c r="P282" i="2"/>
  <c r="O282" i="2"/>
  <c r="N282" i="2"/>
  <c r="M282" i="2"/>
  <c r="L282" i="2"/>
  <c r="T282" i="2" s="1"/>
  <c r="K282" i="2"/>
  <c r="J282" i="2"/>
  <c r="U281" i="2"/>
  <c r="S281" i="2"/>
  <c r="R281" i="2"/>
  <c r="Q281" i="2"/>
  <c r="P281" i="2"/>
  <c r="O281" i="2"/>
  <c r="N281" i="2"/>
  <c r="M281" i="2"/>
  <c r="L281" i="2"/>
  <c r="T281" i="2" s="1"/>
  <c r="K281" i="2"/>
  <c r="J281" i="2"/>
  <c r="U280" i="2"/>
  <c r="S280" i="2"/>
  <c r="R280" i="2"/>
  <c r="Q280" i="2"/>
  <c r="P280" i="2"/>
  <c r="O280" i="2"/>
  <c r="N280" i="2"/>
  <c r="M280" i="2"/>
  <c r="L280" i="2"/>
  <c r="T280" i="2" s="1"/>
  <c r="K280" i="2"/>
  <c r="J280" i="2"/>
  <c r="U279" i="2"/>
  <c r="S279" i="2"/>
  <c r="R279" i="2"/>
  <c r="Q279" i="2"/>
  <c r="P279" i="2"/>
  <c r="O279" i="2"/>
  <c r="N279" i="2"/>
  <c r="M279" i="2"/>
  <c r="L279" i="2"/>
  <c r="T279" i="2" s="1"/>
  <c r="K279" i="2"/>
  <c r="J279" i="2"/>
  <c r="U278" i="2"/>
  <c r="S278" i="2"/>
  <c r="R278" i="2"/>
  <c r="Q278" i="2"/>
  <c r="P278" i="2"/>
  <c r="O278" i="2"/>
  <c r="N278" i="2"/>
  <c r="M278" i="2"/>
  <c r="L278" i="2"/>
  <c r="T278" i="2" s="1"/>
  <c r="K278" i="2"/>
  <c r="J278" i="2"/>
  <c r="U277" i="2"/>
  <c r="S277" i="2"/>
  <c r="R277" i="2"/>
  <c r="Q277" i="2"/>
  <c r="P277" i="2"/>
  <c r="O277" i="2"/>
  <c r="N277" i="2"/>
  <c r="M277" i="2"/>
  <c r="L277" i="2"/>
  <c r="T277" i="2" s="1"/>
  <c r="K277" i="2"/>
  <c r="J277" i="2"/>
  <c r="U276" i="2"/>
  <c r="S276" i="2"/>
  <c r="R276" i="2"/>
  <c r="Q276" i="2"/>
  <c r="P276" i="2"/>
  <c r="O276" i="2"/>
  <c r="N276" i="2"/>
  <c r="M276" i="2"/>
  <c r="L276" i="2"/>
  <c r="T276" i="2" s="1"/>
  <c r="K276" i="2"/>
  <c r="J276" i="2"/>
  <c r="U275" i="2"/>
  <c r="S275" i="2"/>
  <c r="R275" i="2"/>
  <c r="Q275" i="2"/>
  <c r="P275" i="2"/>
  <c r="O275" i="2"/>
  <c r="N275" i="2"/>
  <c r="M275" i="2"/>
  <c r="L275" i="2"/>
  <c r="T275" i="2" s="1"/>
  <c r="K275" i="2"/>
  <c r="J275" i="2"/>
  <c r="U274" i="2"/>
  <c r="S274" i="2"/>
  <c r="R274" i="2"/>
  <c r="Q274" i="2"/>
  <c r="P274" i="2"/>
  <c r="O274" i="2"/>
  <c r="N274" i="2"/>
  <c r="M274" i="2"/>
  <c r="L274" i="2"/>
  <c r="T274" i="2" s="1"/>
  <c r="K274" i="2"/>
  <c r="J274" i="2"/>
  <c r="U273" i="2"/>
  <c r="S273" i="2"/>
  <c r="R273" i="2"/>
  <c r="Q273" i="2"/>
  <c r="P273" i="2"/>
  <c r="O273" i="2"/>
  <c r="N273" i="2"/>
  <c r="M273" i="2"/>
  <c r="L273" i="2"/>
  <c r="T273" i="2" s="1"/>
  <c r="K273" i="2"/>
  <c r="J273" i="2"/>
  <c r="U272" i="2"/>
  <c r="S272" i="2"/>
  <c r="R272" i="2"/>
  <c r="Q272" i="2"/>
  <c r="P272" i="2"/>
  <c r="O272" i="2"/>
  <c r="N272" i="2"/>
  <c r="M272" i="2"/>
  <c r="L272" i="2"/>
  <c r="T272" i="2" s="1"/>
  <c r="K272" i="2"/>
  <c r="J272" i="2"/>
  <c r="U271" i="2"/>
  <c r="S271" i="2"/>
  <c r="R271" i="2"/>
  <c r="Q271" i="2"/>
  <c r="P271" i="2"/>
  <c r="O271" i="2"/>
  <c r="N271" i="2"/>
  <c r="M271" i="2"/>
  <c r="L271" i="2"/>
  <c r="T271" i="2" s="1"/>
  <c r="K271" i="2"/>
  <c r="J271" i="2"/>
  <c r="U270" i="2"/>
  <c r="S270" i="2"/>
  <c r="R270" i="2"/>
  <c r="Q270" i="2"/>
  <c r="P270" i="2"/>
  <c r="O270" i="2"/>
  <c r="N270" i="2"/>
  <c r="M270" i="2"/>
  <c r="L270" i="2"/>
  <c r="T270" i="2" s="1"/>
  <c r="K270" i="2"/>
  <c r="J270" i="2"/>
  <c r="U269" i="2"/>
  <c r="S269" i="2"/>
  <c r="R269" i="2"/>
  <c r="Q269" i="2"/>
  <c r="P269" i="2"/>
  <c r="O269" i="2"/>
  <c r="N269" i="2"/>
  <c r="M269" i="2"/>
  <c r="L269" i="2"/>
  <c r="T269" i="2" s="1"/>
  <c r="K269" i="2"/>
  <c r="J269" i="2"/>
  <c r="U268" i="2"/>
  <c r="S268" i="2"/>
  <c r="R268" i="2"/>
  <c r="Q268" i="2"/>
  <c r="P268" i="2"/>
  <c r="O268" i="2"/>
  <c r="N268" i="2"/>
  <c r="M268" i="2"/>
  <c r="L268" i="2"/>
  <c r="T268" i="2" s="1"/>
  <c r="K268" i="2"/>
  <c r="J268" i="2"/>
  <c r="U267" i="2"/>
  <c r="S267" i="2"/>
  <c r="R267" i="2"/>
  <c r="Q267" i="2"/>
  <c r="P267" i="2"/>
  <c r="O267" i="2"/>
  <c r="N267" i="2"/>
  <c r="M267" i="2"/>
  <c r="L267" i="2"/>
  <c r="T267" i="2" s="1"/>
  <c r="K267" i="2"/>
  <c r="J267" i="2"/>
  <c r="U266" i="2"/>
  <c r="S266" i="2"/>
  <c r="R266" i="2"/>
  <c r="Q266" i="2"/>
  <c r="P266" i="2"/>
  <c r="O266" i="2"/>
  <c r="N266" i="2"/>
  <c r="M266" i="2"/>
  <c r="L266" i="2"/>
  <c r="T266" i="2" s="1"/>
  <c r="K266" i="2"/>
  <c r="J266" i="2"/>
  <c r="U265" i="2"/>
  <c r="S265" i="2"/>
  <c r="R265" i="2"/>
  <c r="Q265" i="2"/>
  <c r="P265" i="2"/>
  <c r="O265" i="2"/>
  <c r="N265" i="2"/>
  <c r="M265" i="2"/>
  <c r="L265" i="2"/>
  <c r="T265" i="2" s="1"/>
  <c r="K265" i="2"/>
  <c r="J265" i="2"/>
  <c r="U264" i="2"/>
  <c r="S264" i="2"/>
  <c r="R264" i="2"/>
  <c r="Q264" i="2"/>
  <c r="P264" i="2"/>
  <c r="O264" i="2"/>
  <c r="N264" i="2"/>
  <c r="M264" i="2"/>
  <c r="L264" i="2"/>
  <c r="T264" i="2" s="1"/>
  <c r="K264" i="2"/>
  <c r="J264" i="2"/>
  <c r="U263" i="2"/>
  <c r="S263" i="2"/>
  <c r="R263" i="2"/>
  <c r="Q263" i="2"/>
  <c r="P263" i="2"/>
  <c r="O263" i="2"/>
  <c r="N263" i="2"/>
  <c r="M263" i="2"/>
  <c r="L263" i="2"/>
  <c r="T263" i="2" s="1"/>
  <c r="K263" i="2"/>
  <c r="J263" i="2"/>
  <c r="U262" i="2"/>
  <c r="S262" i="2"/>
  <c r="R262" i="2"/>
  <c r="Q262" i="2"/>
  <c r="P262" i="2"/>
  <c r="O262" i="2"/>
  <c r="N262" i="2"/>
  <c r="M262" i="2"/>
  <c r="L262" i="2"/>
  <c r="T262" i="2" s="1"/>
  <c r="K262" i="2"/>
  <c r="J262" i="2"/>
  <c r="U261" i="2"/>
  <c r="S261" i="2"/>
  <c r="R261" i="2"/>
  <c r="Q261" i="2"/>
  <c r="P261" i="2"/>
  <c r="O261" i="2"/>
  <c r="N261" i="2"/>
  <c r="M261" i="2"/>
  <c r="L261" i="2"/>
  <c r="T261" i="2" s="1"/>
  <c r="K261" i="2"/>
  <c r="J261" i="2"/>
  <c r="U260" i="2"/>
  <c r="S260" i="2"/>
  <c r="R260" i="2"/>
  <c r="Q260" i="2"/>
  <c r="P260" i="2"/>
  <c r="O260" i="2"/>
  <c r="N260" i="2"/>
  <c r="M260" i="2"/>
  <c r="L260" i="2"/>
  <c r="T260" i="2" s="1"/>
  <c r="K260" i="2"/>
  <c r="J260" i="2"/>
  <c r="U259" i="2"/>
  <c r="S259" i="2"/>
  <c r="R259" i="2"/>
  <c r="Q259" i="2"/>
  <c r="P259" i="2"/>
  <c r="O259" i="2"/>
  <c r="N259" i="2"/>
  <c r="M259" i="2"/>
  <c r="L259" i="2"/>
  <c r="T259" i="2" s="1"/>
  <c r="K259" i="2"/>
  <c r="J259" i="2"/>
  <c r="U258" i="2"/>
  <c r="S258" i="2"/>
  <c r="R258" i="2"/>
  <c r="Q258" i="2"/>
  <c r="P258" i="2"/>
  <c r="O258" i="2"/>
  <c r="N258" i="2"/>
  <c r="M258" i="2"/>
  <c r="L258" i="2"/>
  <c r="T258" i="2" s="1"/>
  <c r="K258" i="2"/>
  <c r="J258" i="2"/>
  <c r="U257" i="2"/>
  <c r="S257" i="2"/>
  <c r="R257" i="2"/>
  <c r="Q257" i="2"/>
  <c r="P257" i="2"/>
  <c r="O257" i="2"/>
  <c r="N257" i="2"/>
  <c r="M257" i="2"/>
  <c r="L257" i="2"/>
  <c r="T257" i="2" s="1"/>
  <c r="K257" i="2"/>
  <c r="J257" i="2"/>
  <c r="U256" i="2"/>
  <c r="S256" i="2"/>
  <c r="R256" i="2"/>
  <c r="Q256" i="2"/>
  <c r="P256" i="2"/>
  <c r="O256" i="2"/>
  <c r="N256" i="2"/>
  <c r="M256" i="2"/>
  <c r="L256" i="2"/>
  <c r="T256" i="2" s="1"/>
  <c r="K256" i="2"/>
  <c r="J256" i="2"/>
  <c r="U255" i="2"/>
  <c r="S255" i="2"/>
  <c r="R255" i="2"/>
  <c r="Q255" i="2"/>
  <c r="P255" i="2"/>
  <c r="O255" i="2"/>
  <c r="N255" i="2"/>
  <c r="M255" i="2"/>
  <c r="L255" i="2"/>
  <c r="T255" i="2" s="1"/>
  <c r="K255" i="2"/>
  <c r="J255" i="2"/>
  <c r="U254" i="2"/>
  <c r="S254" i="2"/>
  <c r="R254" i="2"/>
  <c r="Q254" i="2"/>
  <c r="P254" i="2"/>
  <c r="O254" i="2"/>
  <c r="N254" i="2"/>
  <c r="M254" i="2"/>
  <c r="L254" i="2"/>
  <c r="T254" i="2" s="1"/>
  <c r="K254" i="2"/>
  <c r="J254" i="2"/>
  <c r="U253" i="2"/>
  <c r="S253" i="2"/>
  <c r="R253" i="2"/>
  <c r="Q253" i="2"/>
  <c r="P253" i="2"/>
  <c r="O253" i="2"/>
  <c r="N253" i="2"/>
  <c r="M253" i="2"/>
  <c r="L253" i="2"/>
  <c r="T253" i="2" s="1"/>
  <c r="K253" i="2"/>
  <c r="J253" i="2"/>
  <c r="U252" i="2"/>
  <c r="S252" i="2"/>
  <c r="R252" i="2"/>
  <c r="Q252" i="2"/>
  <c r="P252" i="2"/>
  <c r="O252" i="2"/>
  <c r="N252" i="2"/>
  <c r="M252" i="2"/>
  <c r="L252" i="2"/>
  <c r="T252" i="2" s="1"/>
  <c r="K252" i="2"/>
  <c r="J252" i="2"/>
  <c r="U251" i="2"/>
  <c r="S251" i="2"/>
  <c r="R251" i="2"/>
  <c r="Q251" i="2"/>
  <c r="P251" i="2"/>
  <c r="O251" i="2"/>
  <c r="N251" i="2"/>
  <c r="M251" i="2"/>
  <c r="L251" i="2"/>
  <c r="T251" i="2" s="1"/>
  <c r="K251" i="2"/>
  <c r="J251" i="2"/>
  <c r="U250" i="2"/>
  <c r="S250" i="2"/>
  <c r="R250" i="2"/>
  <c r="Q250" i="2"/>
  <c r="P250" i="2"/>
  <c r="O250" i="2"/>
  <c r="N250" i="2"/>
  <c r="M250" i="2"/>
  <c r="L250" i="2"/>
  <c r="T250" i="2" s="1"/>
  <c r="K250" i="2"/>
  <c r="J250" i="2"/>
  <c r="U249" i="2"/>
  <c r="S249" i="2"/>
  <c r="R249" i="2"/>
  <c r="Q249" i="2"/>
  <c r="P249" i="2"/>
  <c r="O249" i="2"/>
  <c r="N249" i="2"/>
  <c r="M249" i="2"/>
  <c r="L249" i="2"/>
  <c r="T249" i="2" s="1"/>
  <c r="K249" i="2"/>
  <c r="J249" i="2"/>
  <c r="U248" i="2"/>
  <c r="S248" i="2"/>
  <c r="R248" i="2"/>
  <c r="Q248" i="2"/>
  <c r="P248" i="2"/>
  <c r="O248" i="2"/>
  <c r="N248" i="2"/>
  <c r="M248" i="2"/>
  <c r="L248" i="2"/>
  <c r="T248" i="2" s="1"/>
  <c r="K248" i="2"/>
  <c r="J248" i="2"/>
  <c r="U247" i="2"/>
  <c r="S247" i="2"/>
  <c r="R247" i="2"/>
  <c r="Q247" i="2"/>
  <c r="P247" i="2"/>
  <c r="O247" i="2"/>
  <c r="N247" i="2"/>
  <c r="M247" i="2"/>
  <c r="L247" i="2"/>
  <c r="T247" i="2" s="1"/>
  <c r="K247" i="2"/>
  <c r="J247" i="2"/>
  <c r="U246" i="2"/>
  <c r="S246" i="2"/>
  <c r="R246" i="2"/>
  <c r="Q246" i="2"/>
  <c r="P246" i="2"/>
  <c r="O246" i="2"/>
  <c r="N246" i="2"/>
  <c r="M246" i="2"/>
  <c r="L246" i="2"/>
  <c r="T246" i="2" s="1"/>
  <c r="K246" i="2"/>
  <c r="J246" i="2"/>
  <c r="U245" i="2"/>
  <c r="S245" i="2"/>
  <c r="R245" i="2"/>
  <c r="Q245" i="2"/>
  <c r="P245" i="2"/>
  <c r="O245" i="2"/>
  <c r="N245" i="2"/>
  <c r="M245" i="2"/>
  <c r="L245" i="2"/>
  <c r="T245" i="2" s="1"/>
  <c r="K245" i="2"/>
  <c r="J245" i="2"/>
  <c r="U244" i="2"/>
  <c r="S244" i="2"/>
  <c r="R244" i="2"/>
  <c r="Q244" i="2"/>
  <c r="P244" i="2"/>
  <c r="O244" i="2"/>
  <c r="N244" i="2"/>
  <c r="M244" i="2"/>
  <c r="L244" i="2"/>
  <c r="T244" i="2" s="1"/>
  <c r="K244" i="2"/>
  <c r="J244" i="2"/>
  <c r="U243" i="2"/>
  <c r="S243" i="2"/>
  <c r="R243" i="2"/>
  <c r="Q243" i="2"/>
  <c r="P243" i="2"/>
  <c r="O243" i="2"/>
  <c r="N243" i="2"/>
  <c r="M243" i="2"/>
  <c r="L243" i="2"/>
  <c r="T243" i="2" s="1"/>
  <c r="K243" i="2"/>
  <c r="J243" i="2"/>
  <c r="U242" i="2"/>
  <c r="S242" i="2"/>
  <c r="R242" i="2"/>
  <c r="Q242" i="2"/>
  <c r="P242" i="2"/>
  <c r="O242" i="2"/>
  <c r="N242" i="2"/>
  <c r="M242" i="2"/>
  <c r="L242" i="2"/>
  <c r="T242" i="2" s="1"/>
  <c r="K242" i="2"/>
  <c r="J242" i="2"/>
  <c r="U241" i="2"/>
  <c r="S241" i="2"/>
  <c r="R241" i="2"/>
  <c r="Q241" i="2"/>
  <c r="P241" i="2"/>
  <c r="O241" i="2"/>
  <c r="N241" i="2"/>
  <c r="M241" i="2"/>
  <c r="L241" i="2"/>
  <c r="T241" i="2" s="1"/>
  <c r="K241" i="2"/>
  <c r="J241" i="2"/>
  <c r="U240" i="2"/>
  <c r="S240" i="2"/>
  <c r="R240" i="2"/>
  <c r="Q240" i="2"/>
  <c r="P240" i="2"/>
  <c r="O240" i="2"/>
  <c r="N240" i="2"/>
  <c r="M240" i="2"/>
  <c r="L240" i="2"/>
  <c r="T240" i="2" s="1"/>
  <c r="K240" i="2"/>
  <c r="J240" i="2"/>
  <c r="U239" i="2"/>
  <c r="S239" i="2"/>
  <c r="R239" i="2"/>
  <c r="Q239" i="2"/>
  <c r="P239" i="2"/>
  <c r="O239" i="2"/>
  <c r="N239" i="2"/>
  <c r="M239" i="2"/>
  <c r="L239" i="2"/>
  <c r="T239" i="2" s="1"/>
  <c r="K239" i="2"/>
  <c r="J239" i="2"/>
  <c r="U238" i="2"/>
  <c r="S238" i="2"/>
  <c r="R238" i="2"/>
  <c r="Q238" i="2"/>
  <c r="P238" i="2"/>
  <c r="O238" i="2"/>
  <c r="N238" i="2"/>
  <c r="M238" i="2"/>
  <c r="L238" i="2"/>
  <c r="T238" i="2" s="1"/>
  <c r="K238" i="2"/>
  <c r="J238" i="2"/>
  <c r="U237" i="2"/>
  <c r="S237" i="2"/>
  <c r="R237" i="2"/>
  <c r="Q237" i="2"/>
  <c r="P237" i="2"/>
  <c r="O237" i="2"/>
  <c r="N237" i="2"/>
  <c r="M237" i="2"/>
  <c r="L237" i="2"/>
  <c r="T237" i="2" s="1"/>
  <c r="K237" i="2"/>
  <c r="J237" i="2"/>
  <c r="U236" i="2"/>
  <c r="S236" i="2"/>
  <c r="R236" i="2"/>
  <c r="Q236" i="2"/>
  <c r="P236" i="2"/>
  <c r="O236" i="2"/>
  <c r="N236" i="2"/>
  <c r="M236" i="2"/>
  <c r="L236" i="2"/>
  <c r="T236" i="2" s="1"/>
  <c r="K236" i="2"/>
  <c r="J236" i="2"/>
  <c r="U235" i="2"/>
  <c r="S235" i="2"/>
  <c r="R235" i="2"/>
  <c r="Q235" i="2"/>
  <c r="P235" i="2"/>
  <c r="O235" i="2"/>
  <c r="N235" i="2"/>
  <c r="M235" i="2"/>
  <c r="L235" i="2"/>
  <c r="T235" i="2" s="1"/>
  <c r="K235" i="2"/>
  <c r="J235" i="2"/>
  <c r="U234" i="2"/>
  <c r="S234" i="2"/>
  <c r="R234" i="2"/>
  <c r="Q234" i="2"/>
  <c r="P234" i="2"/>
  <c r="O234" i="2"/>
  <c r="N234" i="2"/>
  <c r="M234" i="2"/>
  <c r="L234" i="2"/>
  <c r="T234" i="2" s="1"/>
  <c r="K234" i="2"/>
  <c r="J234" i="2"/>
  <c r="U233" i="2"/>
  <c r="S233" i="2"/>
  <c r="R233" i="2"/>
  <c r="Q233" i="2"/>
  <c r="P233" i="2"/>
  <c r="O233" i="2"/>
  <c r="N233" i="2"/>
  <c r="M233" i="2"/>
  <c r="L233" i="2"/>
  <c r="T233" i="2" s="1"/>
  <c r="K233" i="2"/>
  <c r="J233" i="2"/>
  <c r="U232" i="2"/>
  <c r="S232" i="2"/>
  <c r="R232" i="2"/>
  <c r="Q232" i="2"/>
  <c r="P232" i="2"/>
  <c r="O232" i="2"/>
  <c r="N232" i="2"/>
  <c r="M232" i="2"/>
  <c r="L232" i="2"/>
  <c r="T232" i="2" s="1"/>
  <c r="K232" i="2"/>
  <c r="J232" i="2"/>
  <c r="U231" i="2"/>
  <c r="S231" i="2"/>
  <c r="R231" i="2"/>
  <c r="Q231" i="2"/>
  <c r="P231" i="2"/>
  <c r="O231" i="2"/>
  <c r="N231" i="2"/>
  <c r="M231" i="2"/>
  <c r="L231" i="2"/>
  <c r="T231" i="2" s="1"/>
  <c r="K231" i="2"/>
  <c r="J231" i="2"/>
  <c r="U230" i="2"/>
  <c r="S230" i="2"/>
  <c r="R230" i="2"/>
  <c r="Q230" i="2"/>
  <c r="P230" i="2"/>
  <c r="O230" i="2"/>
  <c r="N230" i="2"/>
  <c r="M230" i="2"/>
  <c r="L230" i="2"/>
  <c r="T230" i="2" s="1"/>
  <c r="K230" i="2"/>
  <c r="J230" i="2"/>
  <c r="U229" i="2"/>
  <c r="S229" i="2"/>
  <c r="R229" i="2"/>
  <c r="Q229" i="2"/>
  <c r="P229" i="2"/>
  <c r="O229" i="2"/>
  <c r="N229" i="2"/>
  <c r="M229" i="2"/>
  <c r="L229" i="2"/>
  <c r="T229" i="2" s="1"/>
  <c r="K229" i="2"/>
  <c r="J229" i="2"/>
  <c r="U228" i="2"/>
  <c r="S228" i="2"/>
  <c r="R228" i="2"/>
  <c r="Q228" i="2"/>
  <c r="P228" i="2"/>
  <c r="O228" i="2"/>
  <c r="N228" i="2"/>
  <c r="M228" i="2"/>
  <c r="L228" i="2"/>
  <c r="T228" i="2" s="1"/>
  <c r="K228" i="2"/>
  <c r="J228" i="2"/>
  <c r="U227" i="2"/>
  <c r="S227" i="2"/>
  <c r="R227" i="2"/>
  <c r="Q227" i="2"/>
  <c r="P227" i="2"/>
  <c r="O227" i="2"/>
  <c r="N227" i="2"/>
  <c r="M227" i="2"/>
  <c r="L227" i="2"/>
  <c r="T227" i="2" s="1"/>
  <c r="K227" i="2"/>
  <c r="J227" i="2"/>
  <c r="U226" i="2"/>
  <c r="S226" i="2"/>
  <c r="R226" i="2"/>
  <c r="Q226" i="2"/>
  <c r="P226" i="2"/>
  <c r="O226" i="2"/>
  <c r="N226" i="2"/>
  <c r="M226" i="2"/>
  <c r="L226" i="2"/>
  <c r="T226" i="2" s="1"/>
  <c r="K226" i="2"/>
  <c r="J226" i="2"/>
  <c r="U225" i="2"/>
  <c r="S225" i="2"/>
  <c r="R225" i="2"/>
  <c r="Q225" i="2"/>
  <c r="P225" i="2"/>
  <c r="O225" i="2"/>
  <c r="N225" i="2"/>
  <c r="M225" i="2"/>
  <c r="L225" i="2"/>
  <c r="T225" i="2" s="1"/>
  <c r="K225" i="2"/>
  <c r="J225" i="2"/>
  <c r="U224" i="2"/>
  <c r="S224" i="2"/>
  <c r="R224" i="2"/>
  <c r="Q224" i="2"/>
  <c r="P224" i="2"/>
  <c r="O224" i="2"/>
  <c r="N224" i="2"/>
  <c r="M224" i="2"/>
  <c r="L224" i="2"/>
  <c r="T224" i="2" s="1"/>
  <c r="K224" i="2"/>
  <c r="J224" i="2"/>
  <c r="U223" i="2"/>
  <c r="S223" i="2"/>
  <c r="R223" i="2"/>
  <c r="Q223" i="2"/>
  <c r="P223" i="2"/>
  <c r="O223" i="2"/>
  <c r="N223" i="2"/>
  <c r="M223" i="2"/>
  <c r="L223" i="2"/>
  <c r="T223" i="2" s="1"/>
  <c r="K223" i="2"/>
  <c r="J223" i="2"/>
  <c r="U222" i="2"/>
  <c r="S222" i="2"/>
  <c r="R222" i="2"/>
  <c r="Q222" i="2"/>
  <c r="P222" i="2"/>
  <c r="O222" i="2"/>
  <c r="N222" i="2"/>
  <c r="M222" i="2"/>
  <c r="L222" i="2"/>
  <c r="T222" i="2" s="1"/>
  <c r="K222" i="2"/>
  <c r="J222" i="2"/>
  <c r="U221" i="2"/>
  <c r="S221" i="2"/>
  <c r="R221" i="2"/>
  <c r="Q221" i="2"/>
  <c r="P221" i="2"/>
  <c r="O221" i="2"/>
  <c r="N221" i="2"/>
  <c r="M221" i="2"/>
  <c r="L221" i="2"/>
  <c r="T221" i="2" s="1"/>
  <c r="K221" i="2"/>
  <c r="J221" i="2"/>
  <c r="U220" i="2"/>
  <c r="S220" i="2"/>
  <c r="R220" i="2"/>
  <c r="Q220" i="2"/>
  <c r="P220" i="2"/>
  <c r="O220" i="2"/>
  <c r="N220" i="2"/>
  <c r="M220" i="2"/>
  <c r="L220" i="2"/>
  <c r="T220" i="2" s="1"/>
  <c r="K220" i="2"/>
  <c r="J220" i="2"/>
  <c r="U219" i="2"/>
  <c r="S219" i="2"/>
  <c r="R219" i="2"/>
  <c r="Q219" i="2"/>
  <c r="P219" i="2"/>
  <c r="O219" i="2"/>
  <c r="N219" i="2"/>
  <c r="M219" i="2"/>
  <c r="L219" i="2"/>
  <c r="T219" i="2" s="1"/>
  <c r="K219" i="2"/>
  <c r="J219" i="2"/>
  <c r="U218" i="2"/>
  <c r="S218" i="2"/>
  <c r="R218" i="2"/>
  <c r="Q218" i="2"/>
  <c r="P218" i="2"/>
  <c r="O218" i="2"/>
  <c r="N218" i="2"/>
  <c r="M218" i="2"/>
  <c r="L218" i="2"/>
  <c r="T218" i="2" s="1"/>
  <c r="K218" i="2"/>
  <c r="J218" i="2"/>
  <c r="X217" i="2"/>
  <c r="W217" i="2"/>
  <c r="V217" i="2"/>
  <c r="T217" i="2"/>
  <c r="U216" i="2"/>
  <c r="S216" i="2"/>
  <c r="R216" i="2"/>
  <c r="Q216" i="2"/>
  <c r="P216" i="2"/>
  <c r="O216" i="2"/>
  <c r="N216" i="2"/>
  <c r="M216" i="2"/>
  <c r="L216" i="2"/>
  <c r="T216" i="2" s="1"/>
  <c r="K216" i="2"/>
  <c r="J216" i="2"/>
  <c r="U215" i="2"/>
  <c r="S215" i="2"/>
  <c r="R215" i="2"/>
  <c r="Q215" i="2"/>
  <c r="P215" i="2"/>
  <c r="O215" i="2"/>
  <c r="N215" i="2"/>
  <c r="M215" i="2"/>
  <c r="L215" i="2"/>
  <c r="T215" i="2" s="1"/>
  <c r="K215" i="2"/>
  <c r="J215" i="2"/>
  <c r="U214" i="2"/>
  <c r="S214" i="2"/>
  <c r="R214" i="2"/>
  <c r="Q214" i="2"/>
  <c r="P214" i="2"/>
  <c r="O214" i="2"/>
  <c r="N214" i="2"/>
  <c r="M214" i="2"/>
  <c r="L214" i="2"/>
  <c r="T214" i="2" s="1"/>
  <c r="K214" i="2"/>
  <c r="J214" i="2"/>
  <c r="U213" i="2"/>
  <c r="S213" i="2"/>
  <c r="R213" i="2"/>
  <c r="Q213" i="2"/>
  <c r="P213" i="2"/>
  <c r="O213" i="2"/>
  <c r="N213" i="2"/>
  <c r="M213" i="2"/>
  <c r="L213" i="2"/>
  <c r="T213" i="2" s="1"/>
  <c r="K213" i="2"/>
  <c r="J213" i="2"/>
  <c r="U212" i="2"/>
  <c r="S212" i="2"/>
  <c r="R212" i="2"/>
  <c r="Q212" i="2"/>
  <c r="P212" i="2"/>
  <c r="O212" i="2"/>
  <c r="N212" i="2"/>
  <c r="M212" i="2"/>
  <c r="L212" i="2"/>
  <c r="T212" i="2" s="1"/>
  <c r="K212" i="2"/>
  <c r="J212" i="2"/>
  <c r="U211" i="2"/>
  <c r="S211" i="2"/>
  <c r="R211" i="2"/>
  <c r="Q211" i="2"/>
  <c r="P211" i="2"/>
  <c r="O211" i="2"/>
  <c r="N211" i="2"/>
  <c r="M211" i="2"/>
  <c r="L211" i="2"/>
  <c r="T211" i="2" s="1"/>
  <c r="K211" i="2"/>
  <c r="J211" i="2"/>
  <c r="U210" i="2"/>
  <c r="S210" i="2"/>
  <c r="R210" i="2"/>
  <c r="Q210" i="2"/>
  <c r="P210" i="2"/>
  <c r="O210" i="2"/>
  <c r="N210" i="2"/>
  <c r="M210" i="2"/>
  <c r="L210" i="2"/>
  <c r="T210" i="2" s="1"/>
  <c r="K210" i="2"/>
  <c r="J210" i="2"/>
  <c r="U209" i="2"/>
  <c r="S209" i="2"/>
  <c r="R209" i="2"/>
  <c r="Q209" i="2"/>
  <c r="P209" i="2"/>
  <c r="O209" i="2"/>
  <c r="N209" i="2"/>
  <c r="M209" i="2"/>
  <c r="L209" i="2"/>
  <c r="T209" i="2" s="1"/>
  <c r="K209" i="2"/>
  <c r="J209" i="2"/>
  <c r="U208" i="2"/>
  <c r="S208" i="2"/>
  <c r="R208" i="2"/>
  <c r="Q208" i="2"/>
  <c r="P208" i="2"/>
  <c r="O208" i="2"/>
  <c r="N208" i="2"/>
  <c r="M208" i="2"/>
  <c r="L208" i="2"/>
  <c r="T208" i="2" s="1"/>
  <c r="K208" i="2"/>
  <c r="J208" i="2"/>
  <c r="U207" i="2"/>
  <c r="S207" i="2"/>
  <c r="R207" i="2"/>
  <c r="Q207" i="2"/>
  <c r="P207" i="2"/>
  <c r="O207" i="2"/>
  <c r="N207" i="2"/>
  <c r="M207" i="2"/>
  <c r="L207" i="2"/>
  <c r="T207" i="2" s="1"/>
  <c r="K207" i="2"/>
  <c r="J207" i="2"/>
  <c r="U206" i="2"/>
  <c r="S206" i="2"/>
  <c r="R206" i="2"/>
  <c r="Q206" i="2"/>
  <c r="P206" i="2"/>
  <c r="O206" i="2"/>
  <c r="N206" i="2"/>
  <c r="M206" i="2"/>
  <c r="L206" i="2"/>
  <c r="T206" i="2" s="1"/>
  <c r="K206" i="2"/>
  <c r="J206" i="2"/>
  <c r="U205" i="2"/>
  <c r="S205" i="2"/>
  <c r="R205" i="2"/>
  <c r="Q205" i="2"/>
  <c r="P205" i="2"/>
  <c r="O205" i="2"/>
  <c r="N205" i="2"/>
  <c r="M205" i="2"/>
  <c r="L205" i="2"/>
  <c r="T205" i="2" s="1"/>
  <c r="K205" i="2"/>
  <c r="J205" i="2"/>
  <c r="U204" i="2"/>
  <c r="S204" i="2"/>
  <c r="R204" i="2"/>
  <c r="Q204" i="2"/>
  <c r="P204" i="2"/>
  <c r="O204" i="2"/>
  <c r="N204" i="2"/>
  <c r="M204" i="2"/>
  <c r="L204" i="2"/>
  <c r="T204" i="2" s="1"/>
  <c r="K204" i="2"/>
  <c r="J204" i="2"/>
  <c r="U203" i="2"/>
  <c r="S203" i="2"/>
  <c r="R203" i="2"/>
  <c r="Q203" i="2"/>
  <c r="P203" i="2"/>
  <c r="O203" i="2"/>
  <c r="N203" i="2"/>
  <c r="M203" i="2"/>
  <c r="L203" i="2"/>
  <c r="T203" i="2" s="1"/>
  <c r="K203" i="2"/>
  <c r="J203" i="2"/>
  <c r="X202" i="2"/>
  <c r="W202" i="2"/>
  <c r="V202" i="2"/>
  <c r="T202" i="2"/>
  <c r="X201" i="2"/>
  <c r="W201" i="2"/>
  <c r="V201" i="2"/>
  <c r="T201" i="2"/>
  <c r="X200" i="2"/>
  <c r="W200" i="2"/>
  <c r="V200" i="2"/>
  <c r="T200" i="2"/>
  <c r="X199" i="2"/>
  <c r="W199" i="2"/>
  <c r="V199" i="2"/>
  <c r="T199" i="2"/>
  <c r="X198" i="2"/>
  <c r="W198" i="2"/>
  <c r="V198" i="2"/>
  <c r="T198" i="2"/>
  <c r="X197" i="2"/>
  <c r="W197" i="2"/>
  <c r="V197" i="2"/>
  <c r="T197" i="2"/>
  <c r="X196" i="2"/>
  <c r="W196" i="2"/>
  <c r="V196" i="2"/>
  <c r="T196" i="2"/>
  <c r="X195" i="2"/>
  <c r="W195" i="2"/>
  <c r="V195" i="2"/>
  <c r="T195" i="2"/>
  <c r="X194" i="2"/>
  <c r="W194" i="2"/>
  <c r="V194" i="2"/>
  <c r="T194" i="2"/>
  <c r="X193" i="2"/>
  <c r="W193" i="2"/>
  <c r="V193" i="2"/>
  <c r="T193" i="2"/>
  <c r="X192" i="2"/>
  <c r="W192" i="2"/>
  <c r="V192" i="2"/>
  <c r="T192" i="2"/>
  <c r="X191" i="2"/>
  <c r="W191" i="2"/>
  <c r="V191" i="2"/>
  <c r="T191" i="2"/>
  <c r="X190" i="2"/>
  <c r="W190" i="2"/>
  <c r="V190" i="2"/>
  <c r="T190" i="2"/>
  <c r="X189" i="2"/>
  <c r="W189" i="2"/>
  <c r="V189" i="2"/>
  <c r="T189" i="2"/>
  <c r="X188" i="2"/>
  <c r="W188" i="2"/>
  <c r="V188" i="2"/>
  <c r="T188" i="2"/>
  <c r="X187" i="2"/>
  <c r="W187" i="2"/>
  <c r="V187" i="2"/>
  <c r="T187" i="2"/>
  <c r="X186" i="2"/>
  <c r="W186" i="2"/>
  <c r="V186" i="2"/>
  <c r="T186" i="2"/>
  <c r="X185" i="2"/>
  <c r="W185" i="2"/>
  <c r="V185" i="2"/>
  <c r="T185" i="2"/>
  <c r="X184" i="2"/>
  <c r="W184" i="2"/>
  <c r="V184" i="2"/>
  <c r="T184" i="2"/>
  <c r="X183" i="2"/>
  <c r="W183" i="2"/>
  <c r="V183" i="2"/>
  <c r="T183" i="2"/>
  <c r="X182" i="2"/>
  <c r="W182" i="2"/>
  <c r="V182" i="2"/>
  <c r="T182" i="2"/>
  <c r="X181" i="2"/>
  <c r="W181" i="2"/>
  <c r="V181" i="2"/>
  <c r="T181" i="2"/>
  <c r="X180" i="2"/>
  <c r="W180" i="2"/>
  <c r="V180" i="2"/>
  <c r="T180" i="2"/>
  <c r="X179" i="2"/>
  <c r="W179" i="2"/>
  <c r="V179" i="2"/>
  <c r="T179" i="2"/>
  <c r="X178" i="2"/>
  <c r="W178" i="2"/>
  <c r="V178" i="2"/>
  <c r="T178" i="2"/>
  <c r="X177" i="2"/>
  <c r="W177" i="2"/>
  <c r="V177" i="2"/>
  <c r="T177" i="2"/>
  <c r="X176" i="2"/>
  <c r="W176" i="2"/>
  <c r="V176" i="2"/>
  <c r="T176" i="2"/>
  <c r="X175" i="2"/>
  <c r="W175" i="2"/>
  <c r="V175" i="2"/>
  <c r="T175" i="2"/>
  <c r="X174" i="2"/>
  <c r="W174" i="2"/>
  <c r="V174" i="2"/>
  <c r="T174" i="2"/>
  <c r="X173" i="2"/>
  <c r="W173" i="2"/>
  <c r="V173" i="2"/>
  <c r="T173" i="2"/>
  <c r="X172" i="2"/>
  <c r="W172" i="2"/>
  <c r="V172" i="2"/>
  <c r="T172" i="2"/>
  <c r="X171" i="2"/>
  <c r="W171" i="2"/>
  <c r="V171" i="2"/>
  <c r="T171" i="2"/>
  <c r="X170" i="2"/>
  <c r="W170" i="2"/>
  <c r="V170" i="2"/>
  <c r="T170" i="2"/>
  <c r="X169" i="2"/>
  <c r="W169" i="2"/>
  <c r="V169" i="2"/>
  <c r="T169" i="2"/>
  <c r="X168" i="2"/>
  <c r="W168" i="2"/>
  <c r="V168" i="2"/>
  <c r="T168" i="2"/>
  <c r="X167" i="2"/>
  <c r="W167" i="2"/>
  <c r="V167" i="2"/>
  <c r="T167" i="2"/>
  <c r="X166" i="2"/>
  <c r="W166" i="2"/>
  <c r="V166" i="2"/>
  <c r="T166" i="2"/>
  <c r="X165" i="2"/>
  <c r="W165" i="2"/>
  <c r="V165" i="2"/>
  <c r="T165" i="2"/>
  <c r="X164" i="2"/>
  <c r="W164" i="2"/>
  <c r="V164" i="2"/>
  <c r="T164" i="2"/>
  <c r="X163" i="2"/>
  <c r="W163" i="2"/>
  <c r="V163" i="2"/>
  <c r="T163" i="2"/>
  <c r="X162" i="2"/>
  <c r="W162" i="2"/>
  <c r="V162" i="2"/>
  <c r="T162" i="2"/>
  <c r="X161" i="2"/>
  <c r="W161" i="2"/>
  <c r="V161" i="2"/>
  <c r="T161" i="2"/>
  <c r="X160" i="2"/>
  <c r="W160" i="2"/>
  <c r="V160" i="2"/>
  <c r="T160" i="2"/>
  <c r="X159" i="2"/>
  <c r="W159" i="2"/>
  <c r="V159" i="2"/>
  <c r="T159" i="2"/>
  <c r="X158" i="2"/>
  <c r="W158" i="2"/>
  <c r="V158" i="2"/>
  <c r="T158" i="2"/>
  <c r="X157" i="2"/>
  <c r="W157" i="2"/>
  <c r="V157" i="2"/>
  <c r="T157" i="2"/>
  <c r="X156" i="2"/>
  <c r="W156" i="2"/>
  <c r="V156" i="2"/>
  <c r="T156" i="2"/>
  <c r="X155" i="2"/>
  <c r="W155" i="2"/>
  <c r="V155" i="2"/>
  <c r="T155" i="2"/>
  <c r="X154" i="2"/>
  <c r="W154" i="2"/>
  <c r="V154" i="2"/>
  <c r="T154" i="2"/>
  <c r="X153" i="2"/>
  <c r="W153" i="2"/>
  <c r="V153" i="2"/>
  <c r="T153" i="2"/>
  <c r="X152" i="2"/>
  <c r="W152" i="2"/>
  <c r="V152" i="2"/>
  <c r="T152" i="2"/>
  <c r="X151" i="2"/>
  <c r="W151" i="2"/>
  <c r="V151" i="2"/>
  <c r="T151" i="2"/>
  <c r="X150" i="2"/>
  <c r="W150" i="2"/>
  <c r="V150" i="2"/>
  <c r="T150" i="2"/>
  <c r="X149" i="2"/>
  <c r="W149" i="2"/>
  <c r="V149" i="2"/>
  <c r="T149" i="2"/>
  <c r="X148" i="2"/>
  <c r="W148" i="2"/>
  <c r="V148" i="2"/>
  <c r="T148" i="2"/>
  <c r="X147" i="2"/>
  <c r="W147" i="2"/>
  <c r="V147" i="2"/>
  <c r="T147" i="2"/>
  <c r="X146" i="2"/>
  <c r="W146" i="2"/>
  <c r="V146" i="2"/>
  <c r="T146" i="2"/>
  <c r="X145" i="2"/>
  <c r="W145" i="2"/>
  <c r="V145" i="2"/>
  <c r="T145" i="2"/>
  <c r="X144" i="2"/>
  <c r="W144" i="2"/>
  <c r="V144" i="2"/>
  <c r="T144" i="2"/>
  <c r="X143" i="2"/>
  <c r="W143" i="2"/>
  <c r="V143" i="2"/>
  <c r="T143" i="2"/>
  <c r="X142" i="2"/>
  <c r="W142" i="2"/>
  <c r="V142" i="2"/>
  <c r="T142" i="2"/>
  <c r="X141" i="2"/>
  <c r="W141" i="2"/>
  <c r="V141" i="2"/>
  <c r="T141" i="2"/>
  <c r="X140" i="2"/>
  <c r="W140" i="2"/>
  <c r="V140" i="2"/>
  <c r="T140" i="2"/>
  <c r="X139" i="2"/>
  <c r="W139" i="2"/>
  <c r="V139" i="2"/>
  <c r="T139" i="2"/>
  <c r="X138" i="2"/>
  <c r="W138" i="2"/>
  <c r="V138" i="2"/>
  <c r="T138" i="2"/>
  <c r="X137" i="2"/>
  <c r="W137" i="2"/>
  <c r="V137" i="2"/>
  <c r="T137" i="2"/>
  <c r="X136" i="2"/>
  <c r="W136" i="2"/>
  <c r="V136" i="2"/>
  <c r="T136" i="2"/>
  <c r="X135" i="2"/>
  <c r="W135" i="2"/>
  <c r="V135" i="2"/>
  <c r="T135" i="2"/>
  <c r="X134" i="2"/>
  <c r="W134" i="2"/>
  <c r="V134" i="2"/>
  <c r="T134" i="2"/>
  <c r="X133" i="2"/>
  <c r="W133" i="2"/>
  <c r="V133" i="2"/>
  <c r="T133" i="2"/>
  <c r="X132" i="2"/>
  <c r="W132" i="2"/>
  <c r="V132" i="2"/>
  <c r="T132" i="2"/>
  <c r="X131" i="2"/>
  <c r="W131" i="2"/>
  <c r="V131" i="2"/>
  <c r="T131" i="2"/>
  <c r="X130" i="2"/>
  <c r="W130" i="2"/>
  <c r="V130" i="2"/>
  <c r="T130" i="2"/>
  <c r="X129" i="2"/>
  <c r="W129" i="2"/>
  <c r="V129" i="2"/>
  <c r="T129" i="2"/>
  <c r="X128" i="2"/>
  <c r="W128" i="2"/>
  <c r="V128" i="2"/>
  <c r="T128" i="2"/>
  <c r="X127" i="2"/>
  <c r="W127" i="2"/>
  <c r="V127" i="2"/>
  <c r="T127" i="2"/>
  <c r="X126" i="2"/>
  <c r="W126" i="2"/>
  <c r="V126" i="2"/>
  <c r="T126" i="2"/>
  <c r="X125" i="2"/>
  <c r="W125" i="2"/>
  <c r="V125" i="2"/>
  <c r="T125" i="2"/>
  <c r="U124" i="2"/>
  <c r="S124" i="2"/>
  <c r="R124" i="2"/>
  <c r="Q124" i="2"/>
  <c r="P124" i="2"/>
  <c r="O124" i="2"/>
  <c r="N124" i="2"/>
  <c r="M124" i="2"/>
  <c r="L124" i="2"/>
  <c r="T124" i="2" s="1"/>
  <c r="K124" i="2"/>
  <c r="J124" i="2"/>
  <c r="U123" i="2"/>
  <c r="S123" i="2"/>
  <c r="R123" i="2"/>
  <c r="Q123" i="2"/>
  <c r="P123" i="2"/>
  <c r="O123" i="2"/>
  <c r="N123" i="2"/>
  <c r="M123" i="2"/>
  <c r="L123" i="2"/>
  <c r="T123" i="2" s="1"/>
  <c r="K123" i="2"/>
  <c r="J123" i="2"/>
  <c r="U122" i="2"/>
  <c r="S122" i="2"/>
  <c r="R122" i="2"/>
  <c r="Q122" i="2"/>
  <c r="P122" i="2"/>
  <c r="O122" i="2"/>
  <c r="N122" i="2"/>
  <c r="M122" i="2"/>
  <c r="L122" i="2"/>
  <c r="T122" i="2" s="1"/>
  <c r="K122" i="2"/>
  <c r="J122" i="2"/>
  <c r="U121" i="2"/>
  <c r="S121" i="2"/>
  <c r="R121" i="2"/>
  <c r="Q121" i="2"/>
  <c r="P121" i="2"/>
  <c r="O121" i="2"/>
  <c r="N121" i="2"/>
  <c r="M121" i="2"/>
  <c r="L121" i="2"/>
  <c r="T121" i="2" s="1"/>
  <c r="K121" i="2"/>
  <c r="J121" i="2"/>
  <c r="U120" i="2"/>
  <c r="S120" i="2"/>
  <c r="R120" i="2"/>
  <c r="Q120" i="2"/>
  <c r="P120" i="2"/>
  <c r="O120" i="2"/>
  <c r="N120" i="2"/>
  <c r="M120" i="2"/>
  <c r="L120" i="2"/>
  <c r="T120" i="2" s="1"/>
  <c r="K120" i="2"/>
  <c r="J120" i="2"/>
  <c r="U119" i="2"/>
  <c r="S119" i="2"/>
  <c r="R119" i="2"/>
  <c r="Q119" i="2"/>
  <c r="P119" i="2"/>
  <c r="O119" i="2"/>
  <c r="N119" i="2"/>
  <c r="M119" i="2"/>
  <c r="L119" i="2"/>
  <c r="T119" i="2" s="1"/>
  <c r="K119" i="2"/>
  <c r="J119" i="2"/>
  <c r="U118" i="2"/>
  <c r="S118" i="2"/>
  <c r="R118" i="2"/>
  <c r="Q118" i="2"/>
  <c r="P118" i="2"/>
  <c r="O118" i="2"/>
  <c r="N118" i="2"/>
  <c r="M118" i="2"/>
  <c r="L118" i="2"/>
  <c r="T118" i="2" s="1"/>
  <c r="K118" i="2"/>
  <c r="J118" i="2"/>
  <c r="U117" i="2"/>
  <c r="S117" i="2"/>
  <c r="R117" i="2"/>
  <c r="Q117" i="2"/>
  <c r="P117" i="2"/>
  <c r="O117" i="2"/>
  <c r="N117" i="2"/>
  <c r="M117" i="2"/>
  <c r="L117" i="2"/>
  <c r="T117" i="2" s="1"/>
  <c r="K117" i="2"/>
  <c r="J117" i="2"/>
  <c r="U116" i="2"/>
  <c r="S116" i="2"/>
  <c r="R116" i="2"/>
  <c r="Q116" i="2"/>
  <c r="P116" i="2"/>
  <c r="O116" i="2"/>
  <c r="N116" i="2"/>
  <c r="M116" i="2"/>
  <c r="L116" i="2"/>
  <c r="T116" i="2" s="1"/>
  <c r="K116" i="2"/>
  <c r="J116" i="2"/>
  <c r="U115" i="2"/>
  <c r="S115" i="2"/>
  <c r="R115" i="2"/>
  <c r="Q115" i="2"/>
  <c r="P115" i="2"/>
  <c r="O115" i="2"/>
  <c r="N115" i="2"/>
  <c r="M115" i="2"/>
  <c r="L115" i="2"/>
  <c r="T115" i="2" s="1"/>
  <c r="K115" i="2"/>
  <c r="J115" i="2"/>
  <c r="U114" i="2"/>
  <c r="S114" i="2"/>
  <c r="R114" i="2"/>
  <c r="Q114" i="2"/>
  <c r="P114" i="2"/>
  <c r="O114" i="2"/>
  <c r="N114" i="2"/>
  <c r="M114" i="2"/>
  <c r="L114" i="2"/>
  <c r="T114" i="2" s="1"/>
  <c r="K114" i="2"/>
  <c r="J114" i="2"/>
  <c r="U113" i="2"/>
  <c r="S113" i="2"/>
  <c r="R113" i="2"/>
  <c r="Q113" i="2"/>
  <c r="P113" i="2"/>
  <c r="O113" i="2"/>
  <c r="N113" i="2"/>
  <c r="M113" i="2"/>
  <c r="L113" i="2"/>
  <c r="T113" i="2" s="1"/>
  <c r="K113" i="2"/>
  <c r="J113" i="2"/>
  <c r="U112" i="2"/>
  <c r="S112" i="2"/>
  <c r="R112" i="2"/>
  <c r="Q112" i="2"/>
  <c r="P112" i="2"/>
  <c r="O112" i="2"/>
  <c r="N112" i="2"/>
  <c r="M112" i="2"/>
  <c r="L112" i="2"/>
  <c r="T112" i="2" s="1"/>
  <c r="K112" i="2"/>
  <c r="J112" i="2"/>
  <c r="U111" i="2"/>
  <c r="S111" i="2"/>
  <c r="R111" i="2"/>
  <c r="Q111" i="2"/>
  <c r="P111" i="2"/>
  <c r="O111" i="2"/>
  <c r="N111" i="2"/>
  <c r="M111" i="2"/>
  <c r="L111" i="2"/>
  <c r="T111" i="2" s="1"/>
  <c r="K111" i="2"/>
  <c r="J111" i="2"/>
  <c r="U110" i="2"/>
  <c r="S110" i="2"/>
  <c r="R110" i="2"/>
  <c r="Q110" i="2"/>
  <c r="P110" i="2"/>
  <c r="O110" i="2"/>
  <c r="N110" i="2"/>
  <c r="M110" i="2"/>
  <c r="L110" i="2"/>
  <c r="T110" i="2" s="1"/>
  <c r="K110" i="2"/>
  <c r="J110" i="2"/>
  <c r="U109" i="2"/>
  <c r="S109" i="2"/>
  <c r="R109" i="2"/>
  <c r="Q109" i="2"/>
  <c r="P109" i="2"/>
  <c r="O109" i="2"/>
  <c r="N109" i="2"/>
  <c r="M109" i="2"/>
  <c r="L109" i="2"/>
  <c r="T109" i="2" s="1"/>
  <c r="K109" i="2"/>
  <c r="J109" i="2"/>
  <c r="U108" i="2"/>
  <c r="S108" i="2"/>
  <c r="R108" i="2"/>
  <c r="Q108" i="2"/>
  <c r="P108" i="2"/>
  <c r="O108" i="2"/>
  <c r="N108" i="2"/>
  <c r="M108" i="2"/>
  <c r="L108" i="2"/>
  <c r="T108" i="2" s="1"/>
  <c r="K108" i="2"/>
  <c r="J108" i="2"/>
  <c r="U107" i="2"/>
  <c r="S107" i="2"/>
  <c r="R107" i="2"/>
  <c r="Q107" i="2"/>
  <c r="P107" i="2"/>
  <c r="O107" i="2"/>
  <c r="N107" i="2"/>
  <c r="M107" i="2"/>
  <c r="L107" i="2"/>
  <c r="T107" i="2" s="1"/>
  <c r="K107" i="2"/>
  <c r="J107" i="2"/>
  <c r="U106" i="2"/>
  <c r="S106" i="2"/>
  <c r="R106" i="2"/>
  <c r="Q106" i="2"/>
  <c r="P106" i="2"/>
  <c r="O106" i="2"/>
  <c r="N106" i="2"/>
  <c r="M106" i="2"/>
  <c r="L106" i="2"/>
  <c r="T106" i="2" s="1"/>
  <c r="K106" i="2"/>
  <c r="J106" i="2"/>
  <c r="U105" i="2"/>
  <c r="S105" i="2"/>
  <c r="R105" i="2"/>
  <c r="Q105" i="2"/>
  <c r="P105" i="2"/>
  <c r="O105" i="2"/>
  <c r="N105" i="2"/>
  <c r="M105" i="2"/>
  <c r="L105" i="2"/>
  <c r="T105" i="2" s="1"/>
  <c r="K105" i="2"/>
  <c r="J105" i="2"/>
  <c r="U104" i="2"/>
  <c r="S104" i="2"/>
  <c r="R104" i="2"/>
  <c r="Q104" i="2"/>
  <c r="P104" i="2"/>
  <c r="O104" i="2"/>
  <c r="N104" i="2"/>
  <c r="M104" i="2"/>
  <c r="L104" i="2"/>
  <c r="T104" i="2" s="1"/>
  <c r="K104" i="2"/>
  <c r="J104" i="2"/>
  <c r="U103" i="2"/>
  <c r="S103" i="2"/>
  <c r="R103" i="2"/>
  <c r="Q103" i="2"/>
  <c r="P103" i="2"/>
  <c r="O103" i="2"/>
  <c r="N103" i="2"/>
  <c r="M103" i="2"/>
  <c r="L103" i="2"/>
  <c r="T103" i="2" s="1"/>
  <c r="K103" i="2"/>
  <c r="J103" i="2"/>
  <c r="U102" i="2"/>
  <c r="S102" i="2"/>
  <c r="R102" i="2"/>
  <c r="Q102" i="2"/>
  <c r="P102" i="2"/>
  <c r="O102" i="2"/>
  <c r="N102" i="2"/>
  <c r="M102" i="2"/>
  <c r="L102" i="2"/>
  <c r="T102" i="2" s="1"/>
  <c r="K102" i="2"/>
  <c r="J102" i="2"/>
  <c r="U101" i="2"/>
  <c r="S101" i="2"/>
  <c r="R101" i="2"/>
  <c r="Q101" i="2"/>
  <c r="P101" i="2"/>
  <c r="O101" i="2"/>
  <c r="N101" i="2"/>
  <c r="M101" i="2"/>
  <c r="L101" i="2"/>
  <c r="T101" i="2" s="1"/>
  <c r="K101" i="2"/>
  <c r="J101" i="2"/>
  <c r="U100" i="2"/>
  <c r="S100" i="2"/>
  <c r="R100" i="2"/>
  <c r="Q100" i="2"/>
  <c r="P100" i="2"/>
  <c r="O100" i="2"/>
  <c r="N100" i="2"/>
  <c r="M100" i="2"/>
  <c r="L100" i="2"/>
  <c r="T100" i="2" s="1"/>
  <c r="K100" i="2"/>
  <c r="J100" i="2"/>
  <c r="U99" i="2"/>
  <c r="S99" i="2"/>
  <c r="R99" i="2"/>
  <c r="Q99" i="2"/>
  <c r="P99" i="2"/>
  <c r="O99" i="2"/>
  <c r="N99" i="2"/>
  <c r="M99" i="2"/>
  <c r="L99" i="2"/>
  <c r="T99" i="2" s="1"/>
  <c r="K99" i="2"/>
  <c r="J99" i="2"/>
  <c r="U98" i="2"/>
  <c r="S98" i="2"/>
  <c r="R98" i="2"/>
  <c r="Q98" i="2"/>
  <c r="P98" i="2"/>
  <c r="O98" i="2"/>
  <c r="N98" i="2"/>
  <c r="M98" i="2"/>
  <c r="L98" i="2"/>
  <c r="T98" i="2" s="1"/>
  <c r="K98" i="2"/>
  <c r="J98" i="2"/>
  <c r="U97" i="2"/>
  <c r="S97" i="2"/>
  <c r="R97" i="2"/>
  <c r="Q97" i="2"/>
  <c r="P97" i="2"/>
  <c r="O97" i="2"/>
  <c r="N97" i="2"/>
  <c r="M97" i="2"/>
  <c r="L97" i="2"/>
  <c r="T97" i="2" s="1"/>
  <c r="K97" i="2"/>
  <c r="J97" i="2"/>
  <c r="U96" i="2"/>
  <c r="S96" i="2"/>
  <c r="R96" i="2"/>
  <c r="Q96" i="2"/>
  <c r="P96" i="2"/>
  <c r="O96" i="2"/>
  <c r="N96" i="2"/>
  <c r="M96" i="2"/>
  <c r="L96" i="2"/>
  <c r="T96" i="2" s="1"/>
  <c r="K96" i="2"/>
  <c r="J96" i="2"/>
  <c r="U95" i="2"/>
  <c r="S95" i="2"/>
  <c r="R95" i="2"/>
  <c r="Q95" i="2"/>
  <c r="P95" i="2"/>
  <c r="O95" i="2"/>
  <c r="N95" i="2"/>
  <c r="M95" i="2"/>
  <c r="L95" i="2"/>
  <c r="T95" i="2" s="1"/>
  <c r="K95" i="2"/>
  <c r="J95" i="2"/>
  <c r="U94" i="2"/>
  <c r="S94" i="2"/>
  <c r="R94" i="2"/>
  <c r="Q94" i="2"/>
  <c r="P94" i="2"/>
  <c r="O94" i="2"/>
  <c r="N94" i="2"/>
  <c r="M94" i="2"/>
  <c r="L94" i="2"/>
  <c r="T94" i="2" s="1"/>
  <c r="K94" i="2"/>
  <c r="J94" i="2"/>
  <c r="U93" i="2"/>
  <c r="S93" i="2"/>
  <c r="R93" i="2"/>
  <c r="Q93" i="2"/>
  <c r="P93" i="2"/>
  <c r="O93" i="2"/>
  <c r="N93" i="2"/>
  <c r="M93" i="2"/>
  <c r="L93" i="2"/>
  <c r="T93" i="2" s="1"/>
  <c r="K93" i="2"/>
  <c r="J93" i="2"/>
  <c r="U92" i="2"/>
  <c r="S92" i="2"/>
  <c r="R92" i="2"/>
  <c r="Q92" i="2"/>
  <c r="P92" i="2"/>
  <c r="O92" i="2"/>
  <c r="N92" i="2"/>
  <c r="M92" i="2"/>
  <c r="L92" i="2"/>
  <c r="T92" i="2" s="1"/>
  <c r="K92" i="2"/>
  <c r="J92" i="2"/>
  <c r="U91" i="2"/>
  <c r="S91" i="2"/>
  <c r="R91" i="2"/>
  <c r="Q91" i="2"/>
  <c r="P91" i="2"/>
  <c r="O91" i="2"/>
  <c r="N91" i="2"/>
  <c r="M91" i="2"/>
  <c r="L91" i="2"/>
  <c r="T91" i="2" s="1"/>
  <c r="K91" i="2"/>
  <c r="J91" i="2"/>
  <c r="U90" i="2"/>
  <c r="S90" i="2"/>
  <c r="R90" i="2"/>
  <c r="Q90" i="2"/>
  <c r="P90" i="2"/>
  <c r="O90" i="2"/>
  <c r="N90" i="2"/>
  <c r="M90" i="2"/>
  <c r="L90" i="2"/>
  <c r="T90" i="2" s="1"/>
  <c r="K90" i="2"/>
  <c r="J90" i="2"/>
  <c r="U89" i="2"/>
  <c r="S89" i="2"/>
  <c r="R89" i="2"/>
  <c r="Q89" i="2"/>
  <c r="P89" i="2"/>
  <c r="O89" i="2"/>
  <c r="N89" i="2"/>
  <c r="M89" i="2"/>
  <c r="L89" i="2"/>
  <c r="T89" i="2" s="1"/>
  <c r="K89" i="2"/>
  <c r="J89" i="2"/>
  <c r="U88" i="2"/>
  <c r="S88" i="2"/>
  <c r="R88" i="2"/>
  <c r="Q88" i="2"/>
  <c r="P88" i="2"/>
  <c r="O88" i="2"/>
  <c r="N88" i="2"/>
  <c r="M88" i="2"/>
  <c r="L88" i="2"/>
  <c r="T88" i="2" s="1"/>
  <c r="K88" i="2"/>
  <c r="J88" i="2"/>
  <c r="U87" i="2"/>
  <c r="S87" i="2"/>
  <c r="R87" i="2"/>
  <c r="Q87" i="2"/>
  <c r="P87" i="2"/>
  <c r="O87" i="2"/>
  <c r="N87" i="2"/>
  <c r="M87" i="2"/>
  <c r="L87" i="2"/>
  <c r="T87" i="2" s="1"/>
  <c r="K87" i="2"/>
  <c r="J87" i="2"/>
  <c r="U86" i="2"/>
  <c r="S86" i="2"/>
  <c r="R86" i="2"/>
  <c r="Q86" i="2"/>
  <c r="P86" i="2"/>
  <c r="O86" i="2"/>
  <c r="N86" i="2"/>
  <c r="M86" i="2"/>
  <c r="L86" i="2"/>
  <c r="T86" i="2" s="1"/>
  <c r="K86" i="2"/>
  <c r="J86" i="2"/>
  <c r="U85" i="2"/>
  <c r="S85" i="2"/>
  <c r="R85" i="2"/>
  <c r="Q85" i="2"/>
  <c r="P85" i="2"/>
  <c r="O85" i="2"/>
  <c r="N85" i="2"/>
  <c r="M85" i="2"/>
  <c r="L85" i="2"/>
  <c r="T85" i="2" s="1"/>
  <c r="K85" i="2"/>
  <c r="J85" i="2"/>
  <c r="U84" i="2"/>
  <c r="S84" i="2"/>
  <c r="R84" i="2"/>
  <c r="Q84" i="2"/>
  <c r="P84" i="2"/>
  <c r="O84" i="2"/>
  <c r="N84" i="2"/>
  <c r="M84" i="2"/>
  <c r="L84" i="2"/>
  <c r="T84" i="2" s="1"/>
  <c r="K84" i="2"/>
  <c r="J84" i="2"/>
  <c r="U83" i="2"/>
  <c r="S83" i="2"/>
  <c r="R83" i="2"/>
  <c r="Q83" i="2"/>
  <c r="P83" i="2"/>
  <c r="O83" i="2"/>
  <c r="N83" i="2"/>
  <c r="M83" i="2"/>
  <c r="L83" i="2"/>
  <c r="T83" i="2" s="1"/>
  <c r="K83" i="2"/>
  <c r="J83" i="2"/>
  <c r="U82" i="2"/>
  <c r="S82" i="2"/>
  <c r="R82" i="2"/>
  <c r="Q82" i="2"/>
  <c r="P82" i="2"/>
  <c r="O82" i="2"/>
  <c r="N82" i="2"/>
  <c r="M82" i="2"/>
  <c r="L82" i="2"/>
  <c r="T82" i="2" s="1"/>
  <c r="K82" i="2"/>
  <c r="J82" i="2"/>
  <c r="U81" i="2"/>
  <c r="S81" i="2"/>
  <c r="R81" i="2"/>
  <c r="Q81" i="2"/>
  <c r="P81" i="2"/>
  <c r="O81" i="2"/>
  <c r="N81" i="2"/>
  <c r="M81" i="2"/>
  <c r="L81" i="2"/>
  <c r="T81" i="2" s="1"/>
  <c r="K81" i="2"/>
  <c r="J81" i="2"/>
  <c r="U80" i="2"/>
  <c r="S80" i="2"/>
  <c r="R80" i="2"/>
  <c r="Q80" i="2"/>
  <c r="P80" i="2"/>
  <c r="O80" i="2"/>
  <c r="N80" i="2"/>
  <c r="M80" i="2"/>
  <c r="L80" i="2"/>
  <c r="T80" i="2" s="1"/>
  <c r="K80" i="2"/>
  <c r="J80" i="2"/>
  <c r="U79" i="2"/>
  <c r="S79" i="2"/>
  <c r="R79" i="2"/>
  <c r="Q79" i="2"/>
  <c r="P79" i="2"/>
  <c r="O79" i="2"/>
  <c r="N79" i="2"/>
  <c r="M79" i="2"/>
  <c r="L79" i="2"/>
  <c r="T79" i="2" s="1"/>
  <c r="K79" i="2"/>
  <c r="J79" i="2"/>
  <c r="U78" i="2"/>
  <c r="S78" i="2"/>
  <c r="R78" i="2"/>
  <c r="Q78" i="2"/>
  <c r="P78" i="2"/>
  <c r="O78" i="2"/>
  <c r="N78" i="2"/>
  <c r="M78" i="2"/>
  <c r="L78" i="2"/>
  <c r="T78" i="2" s="1"/>
  <c r="K78" i="2"/>
  <c r="J78" i="2"/>
  <c r="U77" i="2"/>
  <c r="S77" i="2"/>
  <c r="R77" i="2"/>
  <c r="Q77" i="2"/>
  <c r="P77" i="2"/>
  <c r="O77" i="2"/>
  <c r="N77" i="2"/>
  <c r="M77" i="2"/>
  <c r="L77" i="2"/>
  <c r="T77" i="2" s="1"/>
  <c r="K77" i="2"/>
  <c r="J77" i="2"/>
  <c r="U76" i="2"/>
  <c r="S76" i="2"/>
  <c r="R76" i="2"/>
  <c r="Q76" i="2"/>
  <c r="P76" i="2"/>
  <c r="O76" i="2"/>
  <c r="N76" i="2"/>
  <c r="M76" i="2"/>
  <c r="L76" i="2"/>
  <c r="T76" i="2" s="1"/>
  <c r="K76" i="2"/>
  <c r="J76" i="2"/>
  <c r="U75" i="2"/>
  <c r="S75" i="2"/>
  <c r="R75" i="2"/>
  <c r="Q75" i="2"/>
  <c r="P75" i="2"/>
  <c r="O75" i="2"/>
  <c r="N75" i="2"/>
  <c r="M75" i="2"/>
  <c r="L75" i="2"/>
  <c r="T75" i="2" s="1"/>
  <c r="K75" i="2"/>
  <c r="J75" i="2"/>
  <c r="U74" i="2"/>
  <c r="S74" i="2"/>
  <c r="R74" i="2"/>
  <c r="Q74" i="2"/>
  <c r="P74" i="2"/>
  <c r="O74" i="2"/>
  <c r="N74" i="2"/>
  <c r="M74" i="2"/>
  <c r="L74" i="2"/>
  <c r="T74" i="2" s="1"/>
  <c r="K74" i="2"/>
  <c r="J74" i="2"/>
  <c r="U73" i="2"/>
  <c r="S73" i="2"/>
  <c r="R73" i="2"/>
  <c r="Q73" i="2"/>
  <c r="P73" i="2"/>
  <c r="O73" i="2"/>
  <c r="N73" i="2"/>
  <c r="M73" i="2"/>
  <c r="L73" i="2"/>
  <c r="T73" i="2" s="1"/>
  <c r="K73" i="2"/>
  <c r="J73" i="2"/>
  <c r="U72" i="2"/>
  <c r="S72" i="2"/>
  <c r="R72" i="2"/>
  <c r="Q72" i="2"/>
  <c r="P72" i="2"/>
  <c r="O72" i="2"/>
  <c r="N72" i="2"/>
  <c r="M72" i="2"/>
  <c r="L72" i="2"/>
  <c r="T72" i="2" s="1"/>
  <c r="K72" i="2"/>
  <c r="J72" i="2"/>
  <c r="U71" i="2"/>
  <c r="S71" i="2"/>
  <c r="R71" i="2"/>
  <c r="Q71" i="2"/>
  <c r="P71" i="2"/>
  <c r="O71" i="2"/>
  <c r="N71" i="2"/>
  <c r="M71" i="2"/>
  <c r="L71" i="2"/>
  <c r="T71" i="2" s="1"/>
  <c r="K71" i="2"/>
  <c r="J71" i="2"/>
  <c r="U70" i="2"/>
  <c r="S70" i="2"/>
  <c r="R70" i="2"/>
  <c r="Q70" i="2"/>
  <c r="P70" i="2"/>
  <c r="O70" i="2"/>
  <c r="N70" i="2"/>
  <c r="M70" i="2"/>
  <c r="L70" i="2"/>
  <c r="T70" i="2" s="1"/>
  <c r="K70" i="2"/>
  <c r="J70" i="2"/>
  <c r="U69" i="2"/>
  <c r="S69" i="2"/>
  <c r="R69" i="2"/>
  <c r="Q69" i="2"/>
  <c r="P69" i="2"/>
  <c r="O69" i="2"/>
  <c r="N69" i="2"/>
  <c r="M69" i="2"/>
  <c r="L69" i="2"/>
  <c r="T69" i="2" s="1"/>
  <c r="K69" i="2"/>
  <c r="J69" i="2"/>
  <c r="U68" i="2"/>
  <c r="S68" i="2"/>
  <c r="R68" i="2"/>
  <c r="Q68" i="2"/>
  <c r="P68" i="2"/>
  <c r="O68" i="2"/>
  <c r="N68" i="2"/>
  <c r="M68" i="2"/>
  <c r="L68" i="2"/>
  <c r="T68" i="2" s="1"/>
  <c r="K68" i="2"/>
  <c r="J68" i="2"/>
  <c r="U67" i="2"/>
  <c r="S67" i="2"/>
  <c r="R67" i="2"/>
  <c r="Q67" i="2"/>
  <c r="P67" i="2"/>
  <c r="O67" i="2"/>
  <c r="N67" i="2"/>
  <c r="M67" i="2"/>
  <c r="L67" i="2"/>
  <c r="T67" i="2" s="1"/>
  <c r="K67" i="2"/>
  <c r="J67" i="2"/>
  <c r="U66" i="2"/>
  <c r="S66" i="2"/>
  <c r="R66" i="2"/>
  <c r="Q66" i="2"/>
  <c r="P66" i="2"/>
  <c r="O66" i="2"/>
  <c r="N66" i="2"/>
  <c r="M66" i="2"/>
  <c r="L66" i="2"/>
  <c r="T66" i="2" s="1"/>
  <c r="K66" i="2"/>
  <c r="J66" i="2"/>
  <c r="U65" i="2"/>
  <c r="S65" i="2"/>
  <c r="R65" i="2"/>
  <c r="Q65" i="2"/>
  <c r="P65" i="2"/>
  <c r="O65" i="2"/>
  <c r="N65" i="2"/>
  <c r="M65" i="2"/>
  <c r="L65" i="2"/>
  <c r="T65" i="2" s="1"/>
  <c r="K65" i="2"/>
  <c r="J65" i="2"/>
  <c r="U64" i="2"/>
  <c r="S64" i="2"/>
  <c r="R64" i="2"/>
  <c r="Q64" i="2"/>
  <c r="P64" i="2"/>
  <c r="O64" i="2"/>
  <c r="N64" i="2"/>
  <c r="M64" i="2"/>
  <c r="L64" i="2"/>
  <c r="T64" i="2" s="1"/>
  <c r="K64" i="2"/>
  <c r="J64" i="2"/>
  <c r="U63" i="2"/>
  <c r="S63" i="2"/>
  <c r="R63" i="2"/>
  <c r="Q63" i="2"/>
  <c r="P63" i="2"/>
  <c r="O63" i="2"/>
  <c r="N63" i="2"/>
  <c r="M63" i="2"/>
  <c r="L63" i="2"/>
  <c r="T63" i="2" s="1"/>
  <c r="K63" i="2"/>
  <c r="J63" i="2"/>
  <c r="U62" i="2"/>
  <c r="S62" i="2"/>
  <c r="R62" i="2"/>
  <c r="Q62" i="2"/>
  <c r="P62" i="2"/>
  <c r="O62" i="2"/>
  <c r="N62" i="2"/>
  <c r="M62" i="2"/>
  <c r="L62" i="2"/>
  <c r="T62" i="2" s="1"/>
  <c r="K62" i="2"/>
  <c r="J62" i="2"/>
  <c r="U61" i="2"/>
  <c r="S61" i="2"/>
  <c r="R61" i="2"/>
  <c r="Q61" i="2"/>
  <c r="P61" i="2"/>
  <c r="O61" i="2"/>
  <c r="N61" i="2"/>
  <c r="M61" i="2"/>
  <c r="L61" i="2"/>
  <c r="T61" i="2" s="1"/>
  <c r="K61" i="2"/>
  <c r="J61" i="2"/>
  <c r="U60" i="2"/>
  <c r="S60" i="2"/>
  <c r="R60" i="2"/>
  <c r="Q60" i="2"/>
  <c r="P60" i="2"/>
  <c r="O60" i="2"/>
  <c r="N60" i="2"/>
  <c r="M60" i="2"/>
  <c r="L60" i="2"/>
  <c r="T60" i="2" s="1"/>
  <c r="K60" i="2"/>
  <c r="J60" i="2"/>
  <c r="U59" i="2"/>
  <c r="S59" i="2"/>
  <c r="R59" i="2"/>
  <c r="Q59" i="2"/>
  <c r="P59" i="2"/>
  <c r="O59" i="2"/>
  <c r="N59" i="2"/>
  <c r="M59" i="2"/>
  <c r="L59" i="2"/>
  <c r="T59" i="2" s="1"/>
  <c r="K59" i="2"/>
  <c r="J59" i="2"/>
  <c r="U58" i="2"/>
  <c r="S58" i="2"/>
  <c r="R58" i="2"/>
  <c r="Q58" i="2"/>
  <c r="P58" i="2"/>
  <c r="O58" i="2"/>
  <c r="N58" i="2"/>
  <c r="M58" i="2"/>
  <c r="L58" i="2"/>
  <c r="T58" i="2" s="1"/>
  <c r="K58" i="2"/>
  <c r="J58" i="2"/>
  <c r="U57" i="2"/>
  <c r="S57" i="2"/>
  <c r="R57" i="2"/>
  <c r="Q57" i="2"/>
  <c r="P57" i="2"/>
  <c r="O57" i="2"/>
  <c r="N57" i="2"/>
  <c r="M57" i="2"/>
  <c r="L57" i="2"/>
  <c r="T57" i="2" s="1"/>
  <c r="K57" i="2"/>
  <c r="J57" i="2"/>
  <c r="U56" i="2"/>
  <c r="S56" i="2"/>
  <c r="R56" i="2"/>
  <c r="Q56" i="2"/>
  <c r="P56" i="2"/>
  <c r="O56" i="2"/>
  <c r="N56" i="2"/>
  <c r="M56" i="2"/>
  <c r="L56" i="2"/>
  <c r="T56" i="2" s="1"/>
  <c r="K56" i="2"/>
  <c r="J56" i="2"/>
  <c r="U55" i="2"/>
  <c r="S55" i="2"/>
  <c r="R55" i="2"/>
  <c r="Q55" i="2"/>
  <c r="P55" i="2"/>
  <c r="O55" i="2"/>
  <c r="N55" i="2"/>
  <c r="M55" i="2"/>
  <c r="L55" i="2"/>
  <c r="T55" i="2" s="1"/>
  <c r="K55" i="2"/>
  <c r="J55" i="2"/>
  <c r="U54" i="2"/>
  <c r="S54" i="2"/>
  <c r="R54" i="2"/>
  <c r="Q54" i="2"/>
  <c r="P54" i="2"/>
  <c r="O54" i="2"/>
  <c r="N54" i="2"/>
  <c r="M54" i="2"/>
  <c r="L54" i="2"/>
  <c r="T54" i="2" s="1"/>
  <c r="K54" i="2"/>
  <c r="J54" i="2"/>
  <c r="U53" i="2"/>
  <c r="S53" i="2"/>
  <c r="R53" i="2"/>
  <c r="Q53" i="2"/>
  <c r="P53" i="2"/>
  <c r="O53" i="2"/>
  <c r="N53" i="2"/>
  <c r="M53" i="2"/>
  <c r="L53" i="2"/>
  <c r="T53" i="2" s="1"/>
  <c r="K53" i="2"/>
  <c r="J53" i="2"/>
  <c r="U52" i="2"/>
  <c r="S52" i="2"/>
  <c r="R52" i="2"/>
  <c r="Q52" i="2"/>
  <c r="P52" i="2"/>
  <c r="O52" i="2"/>
  <c r="N52" i="2"/>
  <c r="M52" i="2"/>
  <c r="L52" i="2"/>
  <c r="T52" i="2" s="1"/>
  <c r="K52" i="2"/>
  <c r="J52" i="2"/>
  <c r="U51" i="2"/>
  <c r="S51" i="2"/>
  <c r="R51" i="2"/>
  <c r="Q51" i="2"/>
  <c r="P51" i="2"/>
  <c r="O51" i="2"/>
  <c r="N51" i="2"/>
  <c r="M51" i="2"/>
  <c r="L51" i="2"/>
  <c r="T51" i="2" s="1"/>
  <c r="K51" i="2"/>
  <c r="J51" i="2"/>
  <c r="U50" i="2"/>
  <c r="S50" i="2"/>
  <c r="R50" i="2"/>
  <c r="Q50" i="2"/>
  <c r="P50" i="2"/>
  <c r="O50" i="2"/>
  <c r="N50" i="2"/>
  <c r="M50" i="2"/>
  <c r="L50" i="2"/>
  <c r="T50" i="2" s="1"/>
  <c r="K50" i="2"/>
  <c r="J50" i="2"/>
  <c r="U49" i="2"/>
  <c r="S49" i="2"/>
  <c r="R49" i="2"/>
  <c r="Q49" i="2"/>
  <c r="P49" i="2"/>
  <c r="O49" i="2"/>
  <c r="N49" i="2"/>
  <c r="M49" i="2"/>
  <c r="L49" i="2"/>
  <c r="T49" i="2" s="1"/>
  <c r="K49" i="2"/>
  <c r="J49" i="2"/>
  <c r="U48" i="2"/>
  <c r="S48" i="2"/>
  <c r="R48" i="2"/>
  <c r="Q48" i="2"/>
  <c r="P48" i="2"/>
  <c r="O48" i="2"/>
  <c r="N48" i="2"/>
  <c r="M48" i="2"/>
  <c r="L48" i="2"/>
  <c r="T48" i="2" s="1"/>
  <c r="K48" i="2"/>
  <c r="J48" i="2"/>
  <c r="U47" i="2"/>
  <c r="S47" i="2"/>
  <c r="R47" i="2"/>
  <c r="Q47" i="2"/>
  <c r="P47" i="2"/>
  <c r="O47" i="2"/>
  <c r="N47" i="2"/>
  <c r="M47" i="2"/>
  <c r="L47" i="2"/>
  <c r="T47" i="2" s="1"/>
  <c r="K47" i="2"/>
  <c r="J47" i="2"/>
  <c r="U46" i="2"/>
  <c r="S46" i="2"/>
  <c r="R46" i="2"/>
  <c r="Q46" i="2"/>
  <c r="P46" i="2"/>
  <c r="O46" i="2"/>
  <c r="N46" i="2"/>
  <c r="M46" i="2"/>
  <c r="L46" i="2"/>
  <c r="T46" i="2" s="1"/>
  <c r="K46" i="2"/>
  <c r="J46" i="2"/>
  <c r="U45" i="2"/>
  <c r="S45" i="2"/>
  <c r="R45" i="2"/>
  <c r="Q45" i="2"/>
  <c r="P45" i="2"/>
  <c r="O45" i="2"/>
  <c r="N45" i="2"/>
  <c r="M45" i="2"/>
  <c r="L45" i="2"/>
  <c r="T45" i="2" s="1"/>
  <c r="K45" i="2"/>
  <c r="J45" i="2"/>
  <c r="U44" i="2"/>
  <c r="S44" i="2"/>
  <c r="R44" i="2"/>
  <c r="Q44" i="2"/>
  <c r="P44" i="2"/>
  <c r="O44" i="2"/>
  <c r="N44" i="2"/>
  <c r="M44" i="2"/>
  <c r="L44" i="2"/>
  <c r="T44" i="2" s="1"/>
  <c r="K44" i="2"/>
  <c r="J44" i="2"/>
  <c r="U43" i="2"/>
  <c r="S43" i="2"/>
  <c r="R43" i="2"/>
  <c r="Q43" i="2"/>
  <c r="P43" i="2"/>
  <c r="O43" i="2"/>
  <c r="N43" i="2"/>
  <c r="M43" i="2"/>
  <c r="L43" i="2"/>
  <c r="T43" i="2" s="1"/>
  <c r="K43" i="2"/>
  <c r="J43" i="2"/>
  <c r="U42" i="2"/>
  <c r="S42" i="2"/>
  <c r="R42" i="2"/>
  <c r="Q42" i="2"/>
  <c r="P42" i="2"/>
  <c r="O42" i="2"/>
  <c r="N42" i="2"/>
  <c r="M42" i="2"/>
  <c r="L42" i="2"/>
  <c r="T42" i="2" s="1"/>
  <c r="K42" i="2"/>
  <c r="J42" i="2"/>
  <c r="U41" i="2"/>
  <c r="S41" i="2"/>
  <c r="R41" i="2"/>
  <c r="Q41" i="2"/>
  <c r="P41" i="2"/>
  <c r="O41" i="2"/>
  <c r="N41" i="2"/>
  <c r="M41" i="2"/>
  <c r="L41" i="2"/>
  <c r="T41" i="2" s="1"/>
  <c r="K41" i="2"/>
  <c r="J41" i="2"/>
  <c r="U40" i="2"/>
  <c r="S40" i="2"/>
  <c r="R40" i="2"/>
  <c r="Q40" i="2"/>
  <c r="P40" i="2"/>
  <c r="O40" i="2"/>
  <c r="N40" i="2"/>
  <c r="M40" i="2"/>
  <c r="L40" i="2"/>
  <c r="T40" i="2" s="1"/>
  <c r="K40" i="2"/>
  <c r="J40" i="2"/>
  <c r="U39" i="2"/>
  <c r="S39" i="2"/>
  <c r="R39" i="2"/>
  <c r="Q39" i="2"/>
  <c r="P39" i="2"/>
  <c r="O39" i="2"/>
  <c r="N39" i="2"/>
  <c r="M39" i="2"/>
  <c r="L39" i="2"/>
  <c r="T39" i="2" s="1"/>
  <c r="K39" i="2"/>
  <c r="J39" i="2"/>
  <c r="U38" i="2"/>
  <c r="S38" i="2"/>
  <c r="R38" i="2"/>
  <c r="Q38" i="2"/>
  <c r="P38" i="2"/>
  <c r="O38" i="2"/>
  <c r="N38" i="2"/>
  <c r="M38" i="2"/>
  <c r="L38" i="2"/>
  <c r="T38" i="2" s="1"/>
  <c r="K38" i="2"/>
  <c r="J38" i="2"/>
  <c r="U37" i="2"/>
  <c r="S37" i="2"/>
  <c r="R37" i="2"/>
  <c r="Q37" i="2"/>
  <c r="P37" i="2"/>
  <c r="O37" i="2"/>
  <c r="N37" i="2"/>
  <c r="M37" i="2"/>
  <c r="L37" i="2"/>
  <c r="T37" i="2" s="1"/>
  <c r="K37" i="2"/>
  <c r="J37" i="2"/>
  <c r="U36" i="2"/>
  <c r="S36" i="2"/>
  <c r="R36" i="2"/>
  <c r="Q36" i="2"/>
  <c r="P36" i="2"/>
  <c r="O36" i="2"/>
  <c r="N36" i="2"/>
  <c r="M36" i="2"/>
  <c r="L36" i="2"/>
  <c r="T36" i="2" s="1"/>
  <c r="K36" i="2"/>
  <c r="J36" i="2"/>
  <c r="U35" i="2"/>
  <c r="S35" i="2"/>
  <c r="R35" i="2"/>
  <c r="Q35" i="2"/>
  <c r="P35" i="2"/>
  <c r="O35" i="2"/>
  <c r="N35" i="2"/>
  <c r="M35" i="2"/>
  <c r="L35" i="2"/>
  <c r="T35" i="2" s="1"/>
  <c r="K35" i="2"/>
  <c r="J35" i="2"/>
  <c r="U34" i="2"/>
  <c r="S34" i="2"/>
  <c r="R34" i="2"/>
  <c r="Q34" i="2"/>
  <c r="P34" i="2"/>
  <c r="O34" i="2"/>
  <c r="N34" i="2"/>
  <c r="M34" i="2"/>
  <c r="L34" i="2"/>
  <c r="T34" i="2" s="1"/>
  <c r="K34" i="2"/>
  <c r="J34" i="2"/>
  <c r="U33" i="2"/>
  <c r="S33" i="2"/>
  <c r="R33" i="2"/>
  <c r="Q33" i="2"/>
  <c r="P33" i="2"/>
  <c r="O33" i="2"/>
  <c r="N33" i="2"/>
  <c r="M33" i="2"/>
  <c r="L33" i="2"/>
  <c r="T33" i="2" s="1"/>
  <c r="K33" i="2"/>
  <c r="J33" i="2"/>
  <c r="U32" i="2"/>
  <c r="S32" i="2"/>
  <c r="R32" i="2"/>
  <c r="Q32" i="2"/>
  <c r="P32" i="2"/>
  <c r="O32" i="2"/>
  <c r="N32" i="2"/>
  <c r="M32" i="2"/>
  <c r="L32" i="2"/>
  <c r="T32" i="2" s="1"/>
  <c r="K32" i="2"/>
  <c r="J32" i="2"/>
  <c r="U31" i="2"/>
  <c r="S31" i="2"/>
  <c r="R31" i="2"/>
  <c r="Q31" i="2"/>
  <c r="P31" i="2"/>
  <c r="O31" i="2"/>
  <c r="N31" i="2"/>
  <c r="M31" i="2"/>
  <c r="L31" i="2"/>
  <c r="T31" i="2" s="1"/>
  <c r="K31" i="2"/>
  <c r="J31" i="2"/>
  <c r="U30" i="2"/>
  <c r="S30" i="2"/>
  <c r="R30" i="2"/>
  <c r="Q30" i="2"/>
  <c r="P30" i="2"/>
  <c r="O30" i="2"/>
  <c r="N30" i="2"/>
  <c r="M30" i="2"/>
  <c r="L30" i="2"/>
  <c r="T30" i="2" s="1"/>
  <c r="K30" i="2"/>
  <c r="J30" i="2"/>
  <c r="U29" i="2"/>
  <c r="S29" i="2"/>
  <c r="R29" i="2"/>
  <c r="Q29" i="2"/>
  <c r="P29" i="2"/>
  <c r="O29" i="2"/>
  <c r="N29" i="2"/>
  <c r="M29" i="2"/>
  <c r="L29" i="2"/>
  <c r="T29" i="2" s="1"/>
  <c r="K29" i="2"/>
  <c r="J29" i="2"/>
  <c r="U28" i="2"/>
  <c r="S28" i="2"/>
  <c r="R28" i="2"/>
  <c r="Q28" i="2"/>
  <c r="P28" i="2"/>
  <c r="O28" i="2"/>
  <c r="N28" i="2"/>
  <c r="M28" i="2"/>
  <c r="L28" i="2"/>
  <c r="T28" i="2" s="1"/>
  <c r="K28" i="2"/>
  <c r="J28" i="2"/>
  <c r="U27" i="2"/>
  <c r="S27" i="2"/>
  <c r="R27" i="2"/>
  <c r="Q27" i="2"/>
  <c r="P27" i="2"/>
  <c r="O27" i="2"/>
  <c r="N27" i="2"/>
  <c r="M27" i="2"/>
  <c r="L27" i="2"/>
  <c r="T27" i="2" s="1"/>
  <c r="K27" i="2"/>
  <c r="J27" i="2"/>
  <c r="U26" i="2"/>
  <c r="S26" i="2"/>
  <c r="R26" i="2"/>
  <c r="Q26" i="2"/>
  <c r="P26" i="2"/>
  <c r="O26" i="2"/>
  <c r="N26" i="2"/>
  <c r="M26" i="2"/>
  <c r="L26" i="2"/>
  <c r="T26" i="2" s="1"/>
  <c r="K26" i="2"/>
  <c r="J26" i="2"/>
  <c r="U25" i="2"/>
  <c r="S25" i="2"/>
  <c r="R25" i="2"/>
  <c r="Q25" i="2"/>
  <c r="P25" i="2"/>
  <c r="O25" i="2"/>
  <c r="N25" i="2"/>
  <c r="M25" i="2"/>
  <c r="L25" i="2"/>
  <c r="T25" i="2" s="1"/>
  <c r="K25" i="2"/>
  <c r="J25" i="2"/>
  <c r="U24" i="2"/>
  <c r="S24" i="2"/>
  <c r="R24" i="2"/>
  <c r="Q24" i="2"/>
  <c r="P24" i="2"/>
  <c r="O24" i="2"/>
  <c r="N24" i="2"/>
  <c r="M24" i="2"/>
  <c r="L24" i="2"/>
  <c r="T24" i="2" s="1"/>
  <c r="K24" i="2"/>
  <c r="J24" i="2"/>
  <c r="U23" i="2"/>
  <c r="S23" i="2"/>
  <c r="R23" i="2"/>
  <c r="Q23" i="2"/>
  <c r="P23" i="2"/>
  <c r="O23" i="2"/>
  <c r="N23" i="2"/>
  <c r="M23" i="2"/>
  <c r="L23" i="2"/>
  <c r="T23" i="2" s="1"/>
  <c r="K23" i="2"/>
  <c r="J23" i="2"/>
  <c r="U22" i="2"/>
  <c r="S22" i="2"/>
  <c r="R22" i="2"/>
  <c r="Q22" i="2"/>
  <c r="P22" i="2"/>
  <c r="O22" i="2"/>
  <c r="N22" i="2"/>
  <c r="M22" i="2"/>
  <c r="L22" i="2"/>
  <c r="T22" i="2" s="1"/>
  <c r="K22" i="2"/>
  <c r="J22" i="2"/>
  <c r="U21" i="2"/>
  <c r="S21" i="2"/>
  <c r="R21" i="2"/>
  <c r="Q21" i="2"/>
  <c r="P21" i="2"/>
  <c r="O21" i="2"/>
  <c r="N21" i="2"/>
  <c r="M21" i="2"/>
  <c r="L21" i="2"/>
  <c r="T21" i="2" s="1"/>
  <c r="K21" i="2"/>
  <c r="J21" i="2"/>
  <c r="U20" i="2"/>
  <c r="S20" i="2"/>
  <c r="R20" i="2"/>
  <c r="Q20" i="2"/>
  <c r="P20" i="2"/>
  <c r="O20" i="2"/>
  <c r="N20" i="2"/>
  <c r="M20" i="2"/>
  <c r="L20" i="2"/>
  <c r="T20" i="2" s="1"/>
  <c r="K20" i="2"/>
  <c r="J20" i="2"/>
  <c r="U19" i="2"/>
  <c r="S19" i="2"/>
  <c r="R19" i="2"/>
  <c r="Q19" i="2"/>
  <c r="P19" i="2"/>
  <c r="O19" i="2"/>
  <c r="N19" i="2"/>
  <c r="M19" i="2"/>
  <c r="L19" i="2"/>
  <c r="T19" i="2" s="1"/>
  <c r="K19" i="2"/>
  <c r="J19" i="2"/>
  <c r="U18" i="2"/>
  <c r="S18" i="2"/>
  <c r="R18" i="2"/>
  <c r="Q18" i="2"/>
  <c r="P18" i="2"/>
  <c r="O18" i="2"/>
  <c r="N18" i="2"/>
  <c r="M18" i="2"/>
  <c r="L18" i="2"/>
  <c r="T18" i="2" s="1"/>
  <c r="K18" i="2"/>
  <c r="J18" i="2"/>
  <c r="U17" i="2"/>
  <c r="S17" i="2"/>
  <c r="R17" i="2"/>
  <c r="Q17" i="2"/>
  <c r="P17" i="2"/>
  <c r="O17" i="2"/>
  <c r="N17" i="2"/>
  <c r="M17" i="2"/>
  <c r="L17" i="2"/>
  <c r="T17" i="2" s="1"/>
  <c r="K17" i="2"/>
  <c r="J17" i="2"/>
  <c r="U16" i="2"/>
  <c r="S16" i="2"/>
  <c r="R16" i="2"/>
  <c r="Q16" i="2"/>
  <c r="P16" i="2"/>
  <c r="O16" i="2"/>
  <c r="N16" i="2"/>
  <c r="M16" i="2"/>
  <c r="L16" i="2"/>
  <c r="T16" i="2" s="1"/>
  <c r="K16" i="2"/>
  <c r="J16" i="2"/>
  <c r="U15" i="2"/>
  <c r="S15" i="2"/>
  <c r="R15" i="2"/>
  <c r="Q15" i="2"/>
  <c r="P15" i="2"/>
  <c r="O15" i="2"/>
  <c r="N15" i="2"/>
  <c r="M15" i="2"/>
  <c r="L15" i="2"/>
  <c r="T15" i="2" s="1"/>
  <c r="K15" i="2"/>
  <c r="J15" i="2"/>
  <c r="U14" i="2"/>
  <c r="S14" i="2"/>
  <c r="R14" i="2"/>
  <c r="Q14" i="2"/>
  <c r="P14" i="2"/>
  <c r="O14" i="2"/>
  <c r="N14" i="2"/>
  <c r="M14" i="2"/>
  <c r="L14" i="2"/>
  <c r="T14" i="2" s="1"/>
  <c r="K14" i="2"/>
  <c r="J14" i="2"/>
  <c r="U13" i="2"/>
  <c r="S13" i="2"/>
  <c r="R13" i="2"/>
  <c r="Q13" i="2"/>
  <c r="P13" i="2"/>
  <c r="O13" i="2"/>
  <c r="N13" i="2"/>
  <c r="M13" i="2"/>
  <c r="L13" i="2"/>
  <c r="T13" i="2" s="1"/>
  <c r="K13" i="2"/>
  <c r="J13" i="2"/>
  <c r="U12" i="2"/>
  <c r="S12" i="2"/>
  <c r="R12" i="2"/>
  <c r="Q12" i="2"/>
  <c r="P12" i="2"/>
  <c r="O12" i="2"/>
  <c r="N12" i="2"/>
  <c r="M12" i="2"/>
  <c r="L12" i="2"/>
  <c r="T12" i="2" s="1"/>
  <c r="K12" i="2"/>
  <c r="J12" i="2"/>
  <c r="U11" i="2"/>
  <c r="S11" i="2"/>
  <c r="R11" i="2"/>
  <c r="Q11" i="2"/>
  <c r="P11" i="2"/>
  <c r="O11" i="2"/>
  <c r="N11" i="2"/>
  <c r="M11" i="2"/>
  <c r="L11" i="2"/>
  <c r="T11" i="2" s="1"/>
  <c r="K11" i="2"/>
  <c r="J11" i="2"/>
  <c r="U10" i="2"/>
  <c r="S10" i="2"/>
  <c r="R10" i="2"/>
  <c r="Q10" i="2"/>
  <c r="P10" i="2"/>
  <c r="O10" i="2"/>
  <c r="N10" i="2"/>
  <c r="M10" i="2"/>
  <c r="L10" i="2"/>
  <c r="T10" i="2" s="1"/>
  <c r="K10" i="2"/>
  <c r="J10" i="2"/>
  <c r="U9" i="2"/>
  <c r="S9" i="2"/>
  <c r="R9" i="2"/>
  <c r="Q9" i="2"/>
  <c r="P9" i="2"/>
  <c r="O9" i="2"/>
  <c r="N9" i="2"/>
  <c r="M9" i="2"/>
  <c r="L9" i="2"/>
  <c r="T9" i="2" s="1"/>
  <c r="K9" i="2"/>
  <c r="J9" i="2"/>
  <c r="U8" i="2"/>
  <c r="S8" i="2"/>
  <c r="R8" i="2"/>
  <c r="Q8" i="2"/>
  <c r="P8" i="2"/>
  <c r="O8" i="2"/>
  <c r="N8" i="2"/>
  <c r="M8" i="2"/>
  <c r="L8" i="2"/>
  <c r="T8" i="2" s="1"/>
  <c r="K8" i="2"/>
  <c r="J8" i="2"/>
  <c r="U7" i="2"/>
  <c r="S7" i="2"/>
  <c r="R7" i="2"/>
  <c r="Q7" i="2"/>
  <c r="P7" i="2"/>
  <c r="O7" i="2"/>
  <c r="N7" i="2"/>
  <c r="M7" i="2"/>
  <c r="L7" i="2"/>
  <c r="T7" i="2" s="1"/>
  <c r="K7" i="2"/>
  <c r="J7" i="2"/>
  <c r="U6" i="2"/>
  <c r="S6" i="2"/>
  <c r="R6" i="2"/>
  <c r="Q6" i="2"/>
  <c r="P6" i="2"/>
  <c r="O6" i="2"/>
  <c r="N6" i="2"/>
  <c r="M6" i="2"/>
  <c r="L6" i="2"/>
  <c r="T6" i="2" s="1"/>
  <c r="K6" i="2"/>
  <c r="J6" i="2"/>
  <c r="U5" i="2"/>
  <c r="S5" i="2"/>
  <c r="R5" i="2"/>
  <c r="Q5" i="2"/>
  <c r="P5" i="2"/>
  <c r="O5" i="2"/>
  <c r="N5" i="2"/>
  <c r="M5" i="2"/>
  <c r="L5" i="2"/>
  <c r="T5" i="2" s="1"/>
  <c r="K5" i="2"/>
  <c r="J5" i="2"/>
  <c r="U4" i="2"/>
  <c r="S4" i="2"/>
  <c r="R4" i="2"/>
  <c r="Q4" i="2"/>
  <c r="P4" i="2"/>
  <c r="O4" i="2"/>
  <c r="N4" i="2"/>
  <c r="M4" i="2"/>
  <c r="L4" i="2"/>
  <c r="K4" i="2"/>
  <c r="J4" i="2"/>
  <c r="X222" i="2" l="1"/>
  <c r="V226" i="2"/>
  <c r="W239" i="2"/>
  <c r="X744" i="2"/>
  <c r="V745" i="2"/>
  <c r="V710" i="2"/>
  <c r="W717" i="2"/>
  <c r="V333" i="2"/>
  <c r="W334" i="2"/>
  <c r="V463" i="2"/>
  <c r="X465" i="2"/>
  <c r="X492" i="2"/>
  <c r="V493" i="2"/>
  <c r="W494" i="2"/>
  <c r="W240" i="2"/>
  <c r="X241" i="2"/>
  <c r="V245" i="2"/>
  <c r="W270" i="2"/>
  <c r="X271" i="2"/>
  <c r="V275" i="2"/>
  <c r="V287" i="2"/>
  <c r="X336" i="2"/>
  <c r="W341" i="2"/>
  <c r="X342" i="2"/>
  <c r="X348" i="2"/>
  <c r="W365" i="2"/>
  <c r="X366" i="2"/>
  <c r="W387" i="2"/>
  <c r="X403" i="2"/>
  <c r="V405" i="2"/>
  <c r="W406" i="2"/>
  <c r="X463" i="2"/>
  <c r="X481" i="2"/>
  <c r="V515" i="2"/>
  <c r="X710" i="2"/>
  <c r="X734" i="2"/>
  <c r="V755" i="2"/>
  <c r="W110" i="2"/>
  <c r="X111" i="2"/>
  <c r="V121" i="2"/>
  <c r="W122" i="2"/>
  <c r="V289" i="2"/>
  <c r="W290" i="2"/>
  <c r="V336" i="2"/>
  <c r="W340" i="2"/>
  <c r="V381" i="2"/>
  <c r="W499" i="2"/>
  <c r="X509" i="2"/>
  <c r="X696" i="2"/>
  <c r="V700" i="2"/>
  <c r="W701" i="2"/>
  <c r="X702" i="2"/>
  <c r="W704" i="2"/>
  <c r="V706" i="2"/>
  <c r="W719" i="2"/>
  <c r="V744" i="2"/>
  <c r="V293" i="2"/>
  <c r="V294" i="2"/>
  <c r="V297" i="2"/>
  <c r="V309" i="2"/>
  <c r="W322" i="2"/>
  <c r="V327" i="2"/>
  <c r="V434" i="2"/>
  <c r="X450" i="2"/>
  <c r="W458" i="2"/>
  <c r="X516" i="2"/>
  <c r="V517" i="2"/>
  <c r="V520" i="2"/>
  <c r="V562" i="2"/>
  <c r="W563" i="2"/>
  <c r="V568" i="2"/>
  <c r="W569" i="2"/>
  <c r="X570" i="2"/>
  <c r="V577" i="2"/>
  <c r="V583" i="2"/>
  <c r="V586" i="2"/>
  <c r="W605" i="2"/>
  <c r="X612" i="2"/>
  <c r="V613" i="2"/>
  <c r="V622" i="2"/>
  <c r="X663" i="2"/>
  <c r="V664" i="2"/>
  <c r="V689" i="2"/>
  <c r="V707" i="2"/>
  <c r="X797" i="2"/>
  <c r="Y5" i="3"/>
  <c r="Z5" i="3" s="1"/>
  <c r="V7" i="2"/>
  <c r="W8" i="2"/>
  <c r="V13" i="2"/>
  <c r="W14" i="2"/>
  <c r="V19" i="2"/>
  <c r="W20" i="2"/>
  <c r="V25" i="2"/>
  <c r="W26" i="2"/>
  <c r="V31" i="2"/>
  <c r="W32" i="2"/>
  <c r="V37" i="2"/>
  <c r="W38" i="2"/>
  <c r="V43" i="2"/>
  <c r="V49" i="2"/>
  <c r="V55" i="2"/>
  <c r="V61" i="2"/>
  <c r="V67" i="2"/>
  <c r="V73" i="2"/>
  <c r="V76" i="2"/>
  <c r="X78" i="2"/>
  <c r="X81" i="2"/>
  <c r="V82" i="2"/>
  <c r="X87" i="2"/>
  <c r="W92" i="2"/>
  <c r="V123" i="2"/>
  <c r="W124" i="2"/>
  <c r="X215" i="2"/>
  <c r="W219" i="2"/>
  <c r="X223" i="2"/>
  <c r="V224" i="2"/>
  <c r="V243" i="2"/>
  <c r="V800" i="2"/>
  <c r="W291" i="2"/>
  <c r="V304" i="2"/>
  <c r="W439" i="2"/>
  <c r="W456" i="2"/>
  <c r="V542" i="2"/>
  <c r="W543" i="2"/>
  <c r="W549" i="2"/>
  <c r="W555" i="2"/>
  <c r="W579" i="2"/>
  <c r="W585" i="2"/>
  <c r="W682" i="2"/>
  <c r="X683" i="2"/>
  <c r="V684" i="2"/>
  <c r="W785" i="2"/>
  <c r="W794" i="2"/>
  <c r="X795" i="2"/>
  <c r="X798" i="2"/>
  <c r="V799" i="2"/>
  <c r="W800" i="2"/>
  <c r="Y13" i="3"/>
  <c r="Z13" i="3" s="1"/>
  <c r="Y16" i="3"/>
  <c r="Z16" i="3" s="1"/>
  <c r="Y130" i="2"/>
  <c r="Z130" i="2" s="1"/>
  <c r="V17" i="3"/>
  <c r="X301" i="2"/>
  <c r="W327" i="2"/>
  <c r="X331" i="2"/>
  <c r="X408" i="2"/>
  <c r="W413" i="2"/>
  <c r="X414" i="2"/>
  <c r="X420" i="2"/>
  <c r="W529" i="2"/>
  <c r="X530" i="2"/>
  <c r="W607" i="2"/>
  <c r="X608" i="2"/>
  <c r="V618" i="2"/>
  <c r="V624" i="2"/>
  <c r="X629" i="2"/>
  <c r="V630" i="2"/>
  <c r="W631" i="2"/>
  <c r="V666" i="2"/>
  <c r="W668" i="2"/>
  <c r="W674" i="2"/>
  <c r="V679" i="2"/>
  <c r="X681" i="2"/>
  <c r="X781" i="2"/>
  <c r="Y9" i="3"/>
  <c r="Z9" i="3" s="1"/>
  <c r="X99" i="2"/>
  <c r="V100" i="2"/>
  <c r="W101" i="2"/>
  <c r="W102" i="2"/>
  <c r="X110" i="2"/>
  <c r="V114" i="2"/>
  <c r="W268" i="2"/>
  <c r="V288" i="2"/>
  <c r="X302" i="2"/>
  <c r="X329" i="2"/>
  <c r="X332" i="2"/>
  <c r="V335" i="2"/>
  <c r="X343" i="2"/>
  <c r="X367" i="2"/>
  <c r="W386" i="2"/>
  <c r="X393" i="2"/>
  <c r="W398" i="2"/>
  <c r="V417" i="2"/>
  <c r="X419" i="2"/>
  <c r="X451" i="2"/>
  <c r="W489" i="2"/>
  <c r="W507" i="2"/>
  <c r="X569" i="2"/>
  <c r="V591" i="2"/>
  <c r="X659" i="2"/>
  <c r="W696" i="2"/>
  <c r="X697" i="2"/>
  <c r="V698" i="2"/>
  <c r="V709" i="2"/>
  <c r="W710" i="2"/>
  <c r="W743" i="2"/>
  <c r="X745" i="2"/>
  <c r="V749" i="2"/>
  <c r="X764" i="2"/>
  <c r="X799" i="2"/>
  <c r="Y8" i="3"/>
  <c r="Z8" i="3" s="1"/>
  <c r="Y12" i="3"/>
  <c r="Z12" i="3" s="1"/>
  <c r="T17" i="3"/>
  <c r="V86" i="2"/>
  <c r="W93" i="2"/>
  <c r="X94" i="2"/>
  <c r="V98" i="2"/>
  <c r="W99" i="2"/>
  <c r="V214" i="2"/>
  <c r="V219" i="2"/>
  <c r="W220" i="2"/>
  <c r="X221" i="2"/>
  <c r="V225" i="2"/>
  <c r="W229" i="2"/>
  <c r="X230" i="2"/>
  <c r="V231" i="2"/>
  <c r="X233" i="2"/>
  <c r="V234" i="2"/>
  <c r="X246" i="2"/>
  <c r="V256" i="2"/>
  <c r="W269" i="2"/>
  <c r="X276" i="2"/>
  <c r="X282" i="2"/>
  <c r="X315" i="2"/>
  <c r="X321" i="2"/>
  <c r="W361" i="2"/>
  <c r="X362" i="2"/>
  <c r="V363" i="2"/>
  <c r="W364" i="2"/>
  <c r="V427" i="2"/>
  <c r="X429" i="2"/>
  <c r="V433" i="2"/>
  <c r="V439" i="2"/>
  <c r="X447" i="2"/>
  <c r="W469" i="2"/>
  <c r="W536" i="2"/>
  <c r="V655" i="2"/>
  <c r="W656" i="2"/>
  <c r="X657" i="2"/>
  <c r="W691" i="2"/>
  <c r="V693" i="2"/>
  <c r="V699" i="2"/>
  <c r="W700" i="2"/>
  <c r="X721" i="2"/>
  <c r="W728" i="2"/>
  <c r="W734" i="2"/>
  <c r="V747" i="2"/>
  <c r="W790" i="2"/>
  <c r="X800" i="2"/>
  <c r="Y7" i="3"/>
  <c r="Z7" i="3" s="1"/>
  <c r="Y11" i="3"/>
  <c r="Z11" i="3" s="1"/>
  <c r="Y15" i="3"/>
  <c r="Z15" i="3" s="1"/>
  <c r="Y134" i="2"/>
  <c r="Z134" i="2" s="1"/>
  <c r="W17" i="3"/>
  <c r="Y6" i="3"/>
  <c r="Z6" i="3" s="1"/>
  <c r="Y14" i="3"/>
  <c r="Z14" i="3" s="1"/>
  <c r="W85" i="2"/>
  <c r="X86" i="2"/>
  <c r="X112" i="2"/>
  <c r="W117" i="2"/>
  <c r="V203" i="2"/>
  <c r="W204" i="2"/>
  <c r="X205" i="2"/>
  <c r="V206" i="2"/>
  <c r="X208" i="2"/>
  <c r="V209" i="2"/>
  <c r="V212" i="2"/>
  <c r="W213" i="2"/>
  <c r="X214" i="2"/>
  <c r="V291" i="2"/>
  <c r="W292" i="2"/>
  <c r="V305" i="2"/>
  <c r="W306" i="2"/>
  <c r="X307" i="2"/>
  <c r="W312" i="2"/>
  <c r="X313" i="2"/>
  <c r="W356" i="2"/>
  <c r="V361" i="2"/>
  <c r="W362" i="2"/>
  <c r="X363" i="2"/>
  <c r="X389" i="2"/>
  <c r="W394" i="2"/>
  <c r="V399" i="2"/>
  <c r="X401" i="2"/>
  <c r="V407" i="2"/>
  <c r="X415" i="2"/>
  <c r="V419" i="2"/>
  <c r="W470" i="2"/>
  <c r="W479" i="2"/>
  <c r="X480" i="2"/>
  <c r="X504" i="2"/>
  <c r="V505" i="2"/>
  <c r="V508" i="2"/>
  <c r="V511" i="2"/>
  <c r="X517" i="2"/>
  <c r="V518" i="2"/>
  <c r="V521" i="2"/>
  <c r="W525" i="2"/>
  <c r="X526" i="2"/>
  <c r="V527" i="2"/>
  <c r="V569" i="2"/>
  <c r="X571" i="2"/>
  <c r="W606" i="2"/>
  <c r="V665" i="2"/>
  <c r="X668" i="2"/>
  <c r="W673" i="2"/>
  <c r="W679" i="2"/>
  <c r="X713" i="2"/>
  <c r="V714" i="2"/>
  <c r="W718" i="2"/>
  <c r="X719" i="2"/>
  <c r="X750" i="2"/>
  <c r="W752" i="2"/>
  <c r="W762" i="2"/>
  <c r="W765" i="2"/>
  <c r="X766" i="2"/>
  <c r="V771" i="2"/>
  <c r="X780" i="2"/>
  <c r="X17" i="3"/>
  <c r="Y10" i="3"/>
  <c r="Z10" i="3" s="1"/>
  <c r="V345" i="2"/>
  <c r="X347" i="2"/>
  <c r="V353" i="2"/>
  <c r="V354" i="2"/>
  <c r="V357" i="2"/>
  <c r="V368" i="2"/>
  <c r="V369" i="2"/>
  <c r="W370" i="2"/>
  <c r="W371" i="2"/>
  <c r="W372" i="2"/>
  <c r="X379" i="2"/>
  <c r="V47" i="2"/>
  <c r="V53" i="2"/>
  <c r="V59" i="2"/>
  <c r="V65" i="2"/>
  <c r="X70" i="2"/>
  <c r="V71" i="2"/>
  <c r="X76" i="2"/>
  <c r="V89" i="2"/>
  <c r="V106" i="2"/>
  <c r="W107" i="2"/>
  <c r="V109" i="2"/>
  <c r="X115" i="2"/>
  <c r="X118" i="2"/>
  <c r="Y139" i="2"/>
  <c r="Z139" i="2" s="1"/>
  <c r="V242" i="2"/>
  <c r="V248" i="2"/>
  <c r="X253" i="2"/>
  <c r="V254" i="2"/>
  <c r="X259" i="2"/>
  <c r="V260" i="2"/>
  <c r="V261" i="2"/>
  <c r="V270" i="2"/>
  <c r="V273" i="2"/>
  <c r="V282" i="2"/>
  <c r="W283" i="2"/>
  <c r="W286" i="2"/>
  <c r="V301" i="2"/>
  <c r="V302" i="2"/>
  <c r="V303" i="2"/>
  <c r="W304" i="2"/>
  <c r="X312" i="2"/>
  <c r="W323" i="2"/>
  <c r="W324" i="2"/>
  <c r="X349" i="2"/>
  <c r="V350" i="2"/>
  <c r="V351" i="2"/>
  <c r="W352" i="2"/>
  <c r="W353" i="2"/>
  <c r="X355" i="2"/>
  <c r="V367" i="2"/>
  <c r="W377" i="2"/>
  <c r="X378" i="2"/>
  <c r="V396" i="2"/>
  <c r="V402" i="2"/>
  <c r="X421" i="2"/>
  <c r="V423" i="2"/>
  <c r="W424" i="2"/>
  <c r="W425" i="2"/>
  <c r="X427" i="2"/>
  <c r="X439" i="2"/>
  <c r="X453" i="2"/>
  <c r="V94" i="2"/>
  <c r="W95" i="2"/>
  <c r="W96" i="2"/>
  <c r="X114" i="2"/>
  <c r="X117" i="2"/>
  <c r="W119" i="2"/>
  <c r="W120" i="2"/>
  <c r="Y132" i="2"/>
  <c r="Z132" i="2" s="1"/>
  <c r="Y135" i="2"/>
  <c r="Z135" i="2" s="1"/>
  <c r="Y136" i="2"/>
  <c r="Z136" i="2" s="1"/>
  <c r="V222" i="2"/>
  <c r="V237" i="2"/>
  <c r="V241" i="2"/>
  <c r="V272" i="2"/>
  <c r="V278" i="2"/>
  <c r="Y278" i="2" s="1"/>
  <c r="Z278" i="2" s="1"/>
  <c r="V299" i="2"/>
  <c r="V300" i="2"/>
  <c r="W316" i="2"/>
  <c r="W326" i="2"/>
  <c r="V366" i="2"/>
  <c r="X369" i="2"/>
  <c r="W373" i="2"/>
  <c r="V375" i="2"/>
  <c r="V378" i="2"/>
  <c r="W379" i="2"/>
  <c r="X380" i="2"/>
  <c r="X386" i="2"/>
  <c r="V389" i="2"/>
  <c r="W390" i="2"/>
  <c r="X391" i="2"/>
  <c r="W431" i="2"/>
  <c r="X432" i="2"/>
  <c r="W434" i="2"/>
  <c r="W437" i="2"/>
  <c r="W440" i="2"/>
  <c r="X444" i="2"/>
  <c r="V653" i="2"/>
  <c r="W685" i="2"/>
  <c r="W4" i="2"/>
  <c r="W10" i="2"/>
  <c r="W16" i="2"/>
  <c r="W22" i="2"/>
  <c r="W28" i="2"/>
  <c r="W34" i="2"/>
  <c r="W40" i="2"/>
  <c r="X47" i="2"/>
  <c r="X53" i="2"/>
  <c r="X59" i="2"/>
  <c r="X65" i="2"/>
  <c r="W82" i="2"/>
  <c r="X83" i="2"/>
  <c r="V87" i="2"/>
  <c r="W91" i="2"/>
  <c r="X103" i="2"/>
  <c r="V104" i="2"/>
  <c r="X106" i="2"/>
  <c r="X210" i="2"/>
  <c r="V215" i="2"/>
  <c r="V221" i="2"/>
  <c r="V227" i="2"/>
  <c r="W228" i="2"/>
  <c r="X235" i="2"/>
  <c r="V246" i="2"/>
  <c r="W250" i="2"/>
  <c r="W256" i="2"/>
  <c r="X273" i="2"/>
  <c r="V295" i="2"/>
  <c r="W296" i="2"/>
  <c r="W297" i="2"/>
  <c r="W298" i="2"/>
  <c r="V324" i="2"/>
  <c r="W328" i="2"/>
  <c r="X330" i="2"/>
  <c r="X385" i="2"/>
  <c r="V387" i="2"/>
  <c r="W388" i="2"/>
  <c r="X390" i="2"/>
  <c r="X402" i="2"/>
  <c r="V408" i="2"/>
  <c r="W412" i="2"/>
  <c r="V425" i="2"/>
  <c r="W427" i="2"/>
  <c r="X428" i="2"/>
  <c r="W436" i="2"/>
  <c r="X446" i="2"/>
  <c r="V470" i="2"/>
  <c r="W471" i="2"/>
  <c r="W505" i="2"/>
  <c r="X506" i="2"/>
  <c r="V523" i="2"/>
  <c r="V454" i="2"/>
  <c r="V455" i="2"/>
  <c r="V462" i="2"/>
  <c r="W463" i="2"/>
  <c r="W466" i="2"/>
  <c r="X467" i="2"/>
  <c r="W484" i="2"/>
  <c r="W485" i="2"/>
  <c r="X487" i="2"/>
  <c r="W500" i="2"/>
  <c r="X528" i="2"/>
  <c r="V529" i="2"/>
  <c r="V532" i="2"/>
  <c r="W533" i="2"/>
  <c r="W534" i="2"/>
  <c r="W535" i="2"/>
  <c r="W541" i="2"/>
  <c r="W561" i="2"/>
  <c r="W567" i="2"/>
  <c r="W774" i="2"/>
  <c r="V777" i="2"/>
  <c r="W778" i="2"/>
  <c r="X779" i="2"/>
  <c r="V780" i="2"/>
  <c r="V783" i="2"/>
  <c r="X786" i="2"/>
  <c r="V536" i="2"/>
  <c r="V539" i="2"/>
  <c r="X573" i="2"/>
  <c r="X591" i="2"/>
  <c r="W596" i="2"/>
  <c r="X597" i="2"/>
  <c r="X605" i="2"/>
  <c r="W628" i="2"/>
  <c r="W648" i="2"/>
  <c r="X649" i="2"/>
  <c r="V650" i="2"/>
  <c r="W655" i="2"/>
  <c r="X656" i="2"/>
  <c r="V671" i="2"/>
  <c r="W672" i="2"/>
  <c r="V674" i="2"/>
  <c r="X676" i="2"/>
  <c r="W678" i="2"/>
  <c r="X679" i="2"/>
  <c r="X687" i="2"/>
  <c r="V695" i="2"/>
  <c r="X703" i="2"/>
  <c r="X708" i="2"/>
  <c r="V731" i="2"/>
  <c r="V743" i="2"/>
  <c r="V748" i="2"/>
  <c r="W749" i="2"/>
  <c r="X769" i="2"/>
  <c r="W773" i="2"/>
  <c r="X774" i="2"/>
  <c r="X778" i="2"/>
  <c r="X785" i="2"/>
  <c r="W787" i="2"/>
  <c r="W792" i="2"/>
  <c r="W798" i="2"/>
  <c r="V469" i="2"/>
  <c r="X474" i="2"/>
  <c r="X477" i="2"/>
  <c r="X483" i="2"/>
  <c r="X488" i="2"/>
  <c r="W493" i="2"/>
  <c r="W498" i="2"/>
  <c r="V503" i="2"/>
  <c r="V509" i="2"/>
  <c r="W510" i="2"/>
  <c r="W513" i="2"/>
  <c r="X514" i="2"/>
  <c r="W517" i="2"/>
  <c r="X518" i="2"/>
  <c r="W523" i="2"/>
  <c r="W524" i="2"/>
  <c r="X525" i="2"/>
  <c r="W531" i="2"/>
  <c r="V533" i="2"/>
  <c r="V535" i="2"/>
  <c r="X537" i="2"/>
  <c r="V541" i="2"/>
  <c r="W542" i="2"/>
  <c r="V547" i="2"/>
  <c r="V553" i="2"/>
  <c r="W554" i="2"/>
  <c r="V556" i="2"/>
  <c r="W557" i="2"/>
  <c r="W558" i="2"/>
  <c r="W559" i="2"/>
  <c r="X560" i="2"/>
  <c r="W565" i="2"/>
  <c r="X566" i="2"/>
  <c r="V570" i="2"/>
  <c r="W571" i="2"/>
  <c r="X572" i="2"/>
  <c r="V588" i="2"/>
  <c r="V594" i="2"/>
  <c r="W595" i="2"/>
  <c r="X596" i="2"/>
  <c r="W603" i="2"/>
  <c r="W609" i="2"/>
  <c r="W615" i="2"/>
  <c r="W621" i="2"/>
  <c r="W633" i="2"/>
  <c r="W638" i="2"/>
  <c r="X642" i="2"/>
  <c r="V643" i="2"/>
  <c r="W644" i="2"/>
  <c r="W653" i="2"/>
  <c r="W654" i="2"/>
  <c r="X655" i="2"/>
  <c r="V670" i="2"/>
  <c r="W671" i="2"/>
  <c r="W684" i="2"/>
  <c r="X685" i="2"/>
  <c r="V713" i="2"/>
  <c r="W722" i="2"/>
  <c r="W727" i="2"/>
  <c r="V729" i="2"/>
  <c r="W730" i="2"/>
  <c r="W731" i="2"/>
  <c r="X732" i="2"/>
  <c r="V737" i="2"/>
  <c r="V738" i="2"/>
  <c r="W744" i="2"/>
  <c r="V753" i="2"/>
  <c r="X756" i="2"/>
  <c r="V760" i="2"/>
  <c r="W761" i="2"/>
  <c r="W767" i="2"/>
  <c r="X777" i="2"/>
  <c r="X787" i="2"/>
  <c r="X788" i="2"/>
  <c r="X792" i="2"/>
  <c r="W797" i="2"/>
  <c r="V572" i="2"/>
  <c r="V587" i="2"/>
  <c r="X592" i="2"/>
  <c r="V593" i="2"/>
  <c r="W594" i="2"/>
  <c r="X598" i="2"/>
  <c r="V599" i="2"/>
  <c r="V600" i="2"/>
  <c r="W602" i="2"/>
  <c r="X603" i="2"/>
  <c r="V631" i="2"/>
  <c r="W637" i="2"/>
  <c r="V639" i="2"/>
  <c r="W643" i="2"/>
  <c r="X644" i="2"/>
  <c r="X647" i="2"/>
  <c r="W652" i="2"/>
  <c r="X653" i="2"/>
  <c r="V669" i="2"/>
  <c r="W670" i="2"/>
  <c r="W683" i="2"/>
  <c r="X684" i="2"/>
  <c r="V685" i="2"/>
  <c r="X714" i="2"/>
  <c r="V718" i="2"/>
  <c r="V719" i="2"/>
  <c r="X722" i="2"/>
  <c r="W729" i="2"/>
  <c r="V735" i="2"/>
  <c r="W736" i="2"/>
  <c r="W737" i="2"/>
  <c r="X758" i="2"/>
  <c r="V762" i="2"/>
  <c r="W763" i="2"/>
  <c r="W766" i="2"/>
  <c r="X767" i="2"/>
  <c r="Y4" i="3"/>
  <c r="V10" i="2"/>
  <c r="V16" i="2"/>
  <c r="V22" i="2"/>
  <c r="V28" i="2"/>
  <c r="V34" i="2"/>
  <c r="V40" i="2"/>
  <c r="W84" i="2"/>
  <c r="X85" i="2"/>
  <c r="V90" i="2"/>
  <c r="X92" i="2"/>
  <c r="X93" i="2"/>
  <c r="W97" i="2"/>
  <c r="V101" i="2"/>
  <c r="V102" i="2"/>
  <c r="W104" i="2"/>
  <c r="X105" i="2"/>
  <c r="W111" i="2"/>
  <c r="V115" i="2"/>
  <c r="X124" i="2"/>
  <c r="Y128" i="2"/>
  <c r="Z128" i="2" s="1"/>
  <c r="Y138" i="2"/>
  <c r="Z138" i="2" s="1"/>
  <c r="Y141" i="2"/>
  <c r="Z141" i="2" s="1"/>
  <c r="Y171" i="2"/>
  <c r="Z171" i="2" s="1"/>
  <c r="Y180" i="2"/>
  <c r="Z180" i="2" s="1"/>
  <c r="W207" i="2"/>
  <c r="W211" i="2"/>
  <c r="X212" i="2"/>
  <c r="W218" i="2"/>
  <c r="X219" i="2"/>
  <c r="X224" i="2"/>
  <c r="V228" i="2"/>
  <c r="W232" i="2"/>
  <c r="W236" i="2"/>
  <c r="X237" i="2"/>
  <c r="X242" i="2"/>
  <c r="V247" i="2"/>
  <c r="V264" i="2"/>
  <c r="W265" i="2"/>
  <c r="V267" i="2"/>
  <c r="X269" i="2"/>
  <c r="X270" i="2"/>
  <c r="W277" i="2"/>
  <c r="X278" i="2"/>
  <c r="V279" i="2"/>
  <c r="X4" i="2"/>
  <c r="W9" i="2"/>
  <c r="X10" i="2"/>
  <c r="W15" i="2"/>
  <c r="X16" i="2"/>
  <c r="W21" i="2"/>
  <c r="X22" i="2"/>
  <c r="W27" i="2"/>
  <c r="X28" i="2"/>
  <c r="W33" i="2"/>
  <c r="X34" i="2"/>
  <c r="W39" i="2"/>
  <c r="X40" i="2"/>
  <c r="V44" i="2"/>
  <c r="W45" i="2"/>
  <c r="X46" i="2"/>
  <c r="V50" i="2"/>
  <c r="W51" i="2"/>
  <c r="X52" i="2"/>
  <c r="V56" i="2"/>
  <c r="W57" i="2"/>
  <c r="X58" i="2"/>
  <c r="V62" i="2"/>
  <c r="W63" i="2"/>
  <c r="X64" i="2"/>
  <c r="V68" i="2"/>
  <c r="W69" i="2"/>
  <c r="V74" i="2"/>
  <c r="W75" i="2"/>
  <c r="V80" i="2"/>
  <c r="W81" i="2"/>
  <c r="X82" i="2"/>
  <c r="V88" i="2"/>
  <c r="V91" i="2"/>
  <c r="V95" i="2"/>
  <c r="V96" i="2"/>
  <c r="W98" i="2"/>
  <c r="X100" i="2"/>
  <c r="X102" i="2"/>
  <c r="W108" i="2"/>
  <c r="X109" i="2"/>
  <c r="V118" i="2"/>
  <c r="V119" i="2"/>
  <c r="V120" i="2"/>
  <c r="W121" i="2"/>
  <c r="X122" i="2"/>
  <c r="Y125" i="2"/>
  <c r="Z125" i="2" s="1"/>
  <c r="Y140" i="2"/>
  <c r="Z140" i="2" s="1"/>
  <c r="Y143" i="2"/>
  <c r="Z143" i="2" s="1"/>
  <c r="X203" i="2"/>
  <c r="X209" i="2"/>
  <c r="V216" i="2"/>
  <c r="V223" i="2"/>
  <c r="W224" i="2"/>
  <c r="W226" i="2"/>
  <c r="X234" i="2"/>
  <c r="V239" i="2"/>
  <c r="W242" i="2"/>
  <c r="W243" i="2"/>
  <c r="W244" i="2"/>
  <c r="X247" i="2"/>
  <c r="W262" i="2"/>
  <c r="X267" i="2"/>
  <c r="Y127" i="2"/>
  <c r="Z127" i="2" s="1"/>
  <c r="Y131" i="2"/>
  <c r="Z131" i="2" s="1"/>
  <c r="Y217" i="2"/>
  <c r="Z217" i="2" s="1"/>
  <c r="X5" i="2"/>
  <c r="V6" i="2"/>
  <c r="X11" i="2"/>
  <c r="V12" i="2"/>
  <c r="X17" i="2"/>
  <c r="V18" i="2"/>
  <c r="X23" i="2"/>
  <c r="V24" i="2"/>
  <c r="X29" i="2"/>
  <c r="V30" i="2"/>
  <c r="X35" i="2"/>
  <c r="V36" i="2"/>
  <c r="X41" i="2"/>
  <c r="V42" i="2"/>
  <c r="W46" i="2"/>
  <c r="V48" i="2"/>
  <c r="W52" i="2"/>
  <c r="V54" i="2"/>
  <c r="W58" i="2"/>
  <c r="V60" i="2"/>
  <c r="W64" i="2"/>
  <c r="V66" i="2"/>
  <c r="W70" i="2"/>
  <c r="X71" i="2"/>
  <c r="V72" i="2"/>
  <c r="V75" i="2"/>
  <c r="W76" i="2"/>
  <c r="X77" i="2"/>
  <c r="V81" i="2"/>
  <c r="W86" i="2"/>
  <c r="W87" i="2"/>
  <c r="X88" i="2"/>
  <c r="X91" i="2"/>
  <c r="X97" i="2"/>
  <c r="W109" i="2"/>
  <c r="W116" i="2"/>
  <c r="X120" i="2"/>
  <c r="X123" i="2"/>
  <c r="V124" i="2"/>
  <c r="Y126" i="2"/>
  <c r="Z126" i="2" s="1"/>
  <c r="Y129" i="2"/>
  <c r="Z129" i="2" s="1"/>
  <c r="Y133" i="2"/>
  <c r="Z133" i="2" s="1"/>
  <c r="Y137" i="2"/>
  <c r="Z137" i="2" s="1"/>
  <c r="Y184" i="2"/>
  <c r="Z184" i="2" s="1"/>
  <c r="W214" i="2"/>
  <c r="W215" i="2"/>
  <c r="W221" i="2"/>
  <c r="X229" i="2"/>
  <c r="W238" i="2"/>
  <c r="X239" i="2"/>
  <c r="X240" i="2"/>
  <c r="W247" i="2"/>
  <c r="X248" i="2"/>
  <c r="V249" i="2"/>
  <c r="V252" i="2"/>
  <c r="W253" i="2"/>
  <c r="X254" i="2"/>
  <c r="V255" i="2"/>
  <c r="V258" i="2"/>
  <c r="W259" i="2"/>
  <c r="X260" i="2"/>
  <c r="V262" i="2"/>
  <c r="W264" i="2"/>
  <c r="W272" i="2"/>
  <c r="W273" i="2"/>
  <c r="W274" i="2"/>
  <c r="W275" i="2"/>
  <c r="W276" i="2"/>
  <c r="X277" i="2"/>
  <c r="X283" i="2"/>
  <c r="V285" i="2"/>
  <c r="V307" i="2"/>
  <c r="W314" i="2"/>
  <c r="W315" i="2"/>
  <c r="X317" i="2"/>
  <c r="V318" i="2"/>
  <c r="W319" i="2"/>
  <c r="V329" i="2"/>
  <c r="V337" i="2"/>
  <c r="X339" i="2"/>
  <c r="V343" i="2"/>
  <c r="W344" i="2"/>
  <c r="W346" i="2"/>
  <c r="W348" i="2"/>
  <c r="X356" i="2"/>
  <c r="W358" i="2"/>
  <c r="X359" i="2"/>
  <c r="X360" i="2"/>
  <c r="V370" i="2"/>
  <c r="V372" i="2"/>
  <c r="W376" i="2"/>
  <c r="X383" i="2"/>
  <c r="X384" i="2"/>
  <c r="V391" i="2"/>
  <c r="W395" i="2"/>
  <c r="W396" i="2"/>
  <c r="W399" i="2"/>
  <c r="W400" i="2"/>
  <c r="V409" i="2"/>
  <c r="X411" i="2"/>
  <c r="V415" i="2"/>
  <c r="W416" i="2"/>
  <c r="W418" i="2"/>
  <c r="W420" i="2"/>
  <c r="W426" i="2"/>
  <c r="W429" i="2"/>
  <c r="X431" i="2"/>
  <c r="W433" i="2"/>
  <c r="X435" i="2"/>
  <c r="X438" i="2"/>
  <c r="W445" i="2"/>
  <c r="V450" i="2"/>
  <c r="V451" i="2"/>
  <c r="W457" i="2"/>
  <c r="X458" i="2"/>
  <c r="V459" i="2"/>
  <c r="X471" i="2"/>
  <c r="W474" i="2"/>
  <c r="W478" i="2"/>
  <c r="X479" i="2"/>
  <c r="V480" i="2"/>
  <c r="V481" i="2"/>
  <c r="W482" i="2"/>
  <c r="V484" i="2"/>
  <c r="V485" i="2"/>
  <c r="X489" i="2"/>
  <c r="Y489" i="2" s="1"/>
  <c r="Z489" i="2" s="1"/>
  <c r="X495" i="2"/>
  <c r="V496" i="2"/>
  <c r="V497" i="2"/>
  <c r="X500" i="2"/>
  <c r="X529" i="2"/>
  <c r="V530" i="2"/>
  <c r="V534" i="2"/>
  <c r="W564" i="2"/>
  <c r="W570" i="2"/>
  <c r="X606" i="2"/>
  <c r="V634" i="2"/>
  <c r="V635" i="2"/>
  <c r="V636" i="2"/>
  <c r="X638" i="2"/>
  <c r="V642" i="2"/>
  <c r="X404" i="2"/>
  <c r="X422" i="2"/>
  <c r="V432" i="2"/>
  <c r="W438" i="2"/>
  <c r="X440" i="2"/>
  <c r="V441" i="2"/>
  <c r="W442" i="2"/>
  <c r="X443" i="2"/>
  <c r="V444" i="2"/>
  <c r="V445" i="2"/>
  <c r="X452" i="2"/>
  <c r="X456" i="2"/>
  <c r="V457" i="2"/>
  <c r="W464" i="2"/>
  <c r="W467" i="2"/>
  <c r="X468" i="2"/>
  <c r="W475" i="2"/>
  <c r="X485" i="2"/>
  <c r="X486" i="2"/>
  <c r="W492" i="2"/>
  <c r="V494" i="2"/>
  <c r="X501" i="2"/>
  <c r="X505" i="2"/>
  <c r="V506" i="2"/>
  <c r="V277" i="2"/>
  <c r="W284" i="2"/>
  <c r="W285" i="2"/>
  <c r="W287" i="2"/>
  <c r="W288" i="2"/>
  <c r="X291" i="2"/>
  <c r="W293" i="2"/>
  <c r="W294" i="2"/>
  <c r="X297" i="2"/>
  <c r="W299" i="2"/>
  <c r="W300" i="2"/>
  <c r="W302" i="2"/>
  <c r="W303" i="2"/>
  <c r="W307" i="2"/>
  <c r="X308" i="2"/>
  <c r="W310" i="2"/>
  <c r="X311" i="2"/>
  <c r="V312" i="2"/>
  <c r="X319" i="2"/>
  <c r="W332" i="2"/>
  <c r="X335" i="2"/>
  <c r="W337" i="2"/>
  <c r="V339" i="2"/>
  <c r="V342" i="2"/>
  <c r="W343" i="2"/>
  <c r="X344" i="2"/>
  <c r="X354" i="2"/>
  <c r="V359" i="2"/>
  <c r="V360" i="2"/>
  <c r="V374" i="2"/>
  <c r="V383" i="2"/>
  <c r="V390" i="2"/>
  <c r="W391" i="2"/>
  <c r="V394" i="2"/>
  <c r="X397" i="2"/>
  <c r="V398" i="2"/>
  <c r="W404" i="2"/>
  <c r="X407" i="2"/>
  <c r="W409" i="2"/>
  <c r="V411" i="2"/>
  <c r="V414" i="2"/>
  <c r="W415" i="2"/>
  <c r="X416" i="2"/>
  <c r="W422" i="2"/>
  <c r="W423" i="2"/>
  <c r="X426" i="2"/>
  <c r="V430" i="2"/>
  <c r="V435" i="2"/>
  <c r="X441" i="2"/>
  <c r="W448" i="2"/>
  <c r="W449" i="2"/>
  <c r="W453" i="2"/>
  <c r="X457" i="2"/>
  <c r="W462" i="2"/>
  <c r="V467" i="2"/>
  <c r="X470" i="2"/>
  <c r="V471" i="2"/>
  <c r="V472" i="2"/>
  <c r="W476" i="2"/>
  <c r="V488" i="2"/>
  <c r="V489" i="2"/>
  <c r="V490" i="2"/>
  <c r="V491" i="2"/>
  <c r="X499" i="2"/>
  <c r="W511" i="2"/>
  <c r="W512" i="2"/>
  <c r="W519" i="2"/>
  <c r="X521" i="2"/>
  <c r="W522" i="2"/>
  <c r="X550" i="2"/>
  <c r="X556" i="2"/>
  <c r="V557" i="2"/>
  <c r="V558" i="2"/>
  <c r="W560" i="2"/>
  <c r="X561" i="2"/>
  <c r="W578" i="2"/>
  <c r="X579" i="2"/>
  <c r="W584" i="2"/>
  <c r="V592" i="2"/>
  <c r="W593" i="2"/>
  <c r="V659" i="2"/>
  <c r="W280" i="2"/>
  <c r="X285" i="2"/>
  <c r="X287" i="2"/>
  <c r="X288" i="2"/>
  <c r="X293" i="2"/>
  <c r="X294" i="2"/>
  <c r="X299" i="2"/>
  <c r="X300" i="2"/>
  <c r="W317" i="2"/>
  <c r="X318" i="2"/>
  <c r="X325" i="2"/>
  <c r="V326" i="2"/>
  <c r="V330" i="2"/>
  <c r="V338" i="2"/>
  <c r="V347" i="2"/>
  <c r="X351" i="2"/>
  <c r="W367" i="2"/>
  <c r="V373" i="2"/>
  <c r="X375" i="2"/>
  <c r="V379" i="2"/>
  <c r="W380" i="2"/>
  <c r="W382" i="2"/>
  <c r="W384" i="2"/>
  <c r="V392" i="2"/>
  <c r="V393" i="2"/>
  <c r="V401" i="2"/>
  <c r="V410" i="2"/>
  <c r="V597" i="2"/>
  <c r="X599" i="2"/>
  <c r="X600" i="2"/>
  <c r="X601" i="2"/>
  <c r="V602" i="2"/>
  <c r="X607" i="2"/>
  <c r="V608" i="2"/>
  <c r="X613" i="2"/>
  <c r="V614" i="2"/>
  <c r="X616" i="2"/>
  <c r="V617" i="2"/>
  <c r="X622" i="2"/>
  <c r="V623" i="2"/>
  <c r="V500" i="2"/>
  <c r="W509" i="2"/>
  <c r="V510" i="2"/>
  <c r="V512" i="2"/>
  <c r="W521" i="2"/>
  <c r="V522" i="2"/>
  <c r="V524" i="2"/>
  <c r="X533" i="2"/>
  <c r="Y533" i="2" s="1"/>
  <c r="Z533" i="2" s="1"/>
  <c r="X545" i="2"/>
  <c r="V549" i="2"/>
  <c r="V555" i="2"/>
  <c r="X562" i="2"/>
  <c r="V563" i="2"/>
  <c r="V564" i="2"/>
  <c r="W566" i="2"/>
  <c r="X567" i="2"/>
  <c r="X586" i="2"/>
  <c r="W591" i="2"/>
  <c r="V598" i="2"/>
  <c r="W599" i="2"/>
  <c r="W600" i="2"/>
  <c r="W601" i="2"/>
  <c r="X602" i="2"/>
  <c r="X611" i="2"/>
  <c r="V615" i="2"/>
  <c r="V621" i="2"/>
  <c r="X626" i="2"/>
  <c r="V627" i="2"/>
  <c r="V628" i="2"/>
  <c r="V637" i="2"/>
  <c r="X639" i="2"/>
  <c r="X645" i="2"/>
  <c r="V663" i="2"/>
  <c r="W664" i="2"/>
  <c r="W665" i="2"/>
  <c r="W666" i="2"/>
  <c r="X675" i="2"/>
  <c r="W677" i="2"/>
  <c r="X678" i="2"/>
  <c r="V680" i="2"/>
  <c r="W681" i="2"/>
  <c r="W650" i="2"/>
  <c r="X651" i="2"/>
  <c r="V658" i="2"/>
  <c r="V661" i="2"/>
  <c r="V662" i="2"/>
  <c r="X665" i="2"/>
  <c r="X674" i="2"/>
  <c r="W676" i="2"/>
  <c r="X677" i="2"/>
  <c r="V678" i="2"/>
  <c r="V688" i="2"/>
  <c r="X691" i="2"/>
  <c r="V692" i="2"/>
  <c r="W693" i="2"/>
  <c r="W698" i="2"/>
  <c r="V708" i="2"/>
  <c r="X717" i="2"/>
  <c r="V725" i="2"/>
  <c r="X728" i="2"/>
  <c r="X729" i="2"/>
  <c r="X731" i="2"/>
  <c r="V746" i="2"/>
  <c r="W748" i="2"/>
  <c r="X749" i="2"/>
  <c r="V759" i="2"/>
  <c r="V766" i="2"/>
  <c r="V770" i="2"/>
  <c r="V773" i="2"/>
  <c r="X775" i="2"/>
  <c r="X782" i="2"/>
  <c r="V788" i="2"/>
  <c r="X791" i="2"/>
  <c r="V792" i="2"/>
  <c r="W796" i="2"/>
  <c r="X507" i="2"/>
  <c r="W518" i="2"/>
  <c r="X519" i="2"/>
  <c r="W530" i="2"/>
  <c r="X531" i="2"/>
  <c r="W537" i="2"/>
  <c r="X543" i="2"/>
  <c r="W548" i="2"/>
  <c r="X555" i="2"/>
  <c r="V561" i="2"/>
  <c r="X563" i="2"/>
  <c r="X564" i="2"/>
  <c r="X565" i="2"/>
  <c r="V566" i="2"/>
  <c r="V585" i="2"/>
  <c r="W597" i="2"/>
  <c r="V604" i="2"/>
  <c r="V605" i="2"/>
  <c r="V606" i="2"/>
  <c r="X609" i="2"/>
  <c r="W614" i="2"/>
  <c r="X615" i="2"/>
  <c r="W620" i="2"/>
  <c r="X621" i="2"/>
  <c r="X632" i="2"/>
  <c r="V633" i="2"/>
  <c r="W634" i="2"/>
  <c r="W635" i="2"/>
  <c r="V641" i="2"/>
  <c r="X643" i="2"/>
  <c r="W645" i="2"/>
  <c r="W649" i="2"/>
  <c r="X650" i="2"/>
  <c r="W658" i="2"/>
  <c r="W659" i="2"/>
  <c r="W660" i="2"/>
  <c r="W661" i="2"/>
  <c r="W662" i="2"/>
  <c r="X669" i="2"/>
  <c r="X670" i="2"/>
  <c r="X673" i="2"/>
  <c r="X686" i="2"/>
  <c r="V687" i="2"/>
  <c r="W688" i="2"/>
  <c r="X689" i="2"/>
  <c r="W692" i="2"/>
  <c r="X694" i="2"/>
  <c r="V696" i="2"/>
  <c r="X698" i="2"/>
  <c r="W708" i="2"/>
  <c r="W715" i="2"/>
  <c r="X716" i="2"/>
  <c r="V723" i="2"/>
  <c r="W739" i="2"/>
  <c r="X740" i="2"/>
  <c r="W746" i="2"/>
  <c r="X747" i="2"/>
  <c r="W751" i="2"/>
  <c r="X752" i="2"/>
  <c r="V757" i="2"/>
  <c r="W758" i="2"/>
  <c r="X768" i="2"/>
  <c r="V769" i="2"/>
  <c r="W770" i="2"/>
  <c r="W771" i="2"/>
  <c r="V781" i="2"/>
  <c r="V782" i="2"/>
  <c r="W783" i="2"/>
  <c r="V791" i="2"/>
  <c r="W795" i="2"/>
  <c r="X796" i="2"/>
  <c r="X706" i="2"/>
  <c r="W714" i="2"/>
  <c r="V716" i="2"/>
  <c r="V721" i="2"/>
  <c r="V740" i="2"/>
  <c r="V752" i="2"/>
  <c r="X759" i="2"/>
  <c r="X762" i="2"/>
  <c r="V767" i="2"/>
  <c r="X771" i="2"/>
  <c r="W772" i="2"/>
  <c r="X773" i="2"/>
  <c r="V774" i="2"/>
  <c r="W775" i="2"/>
  <c r="W782" i="2"/>
  <c r="W786" i="2"/>
  <c r="V790" i="2"/>
  <c r="V796" i="2"/>
  <c r="V5" i="2"/>
  <c r="W6" i="2"/>
  <c r="W7" i="2"/>
  <c r="V11" i="2"/>
  <c r="W12" i="2"/>
  <c r="W13" i="2"/>
  <c r="V17" i="2"/>
  <c r="W18" i="2"/>
  <c r="W19" i="2"/>
  <c r="V23" i="2"/>
  <c r="W24" i="2"/>
  <c r="W25" i="2"/>
  <c r="V29" i="2"/>
  <c r="W30" i="2"/>
  <c r="W31" i="2"/>
  <c r="V35" i="2"/>
  <c r="W36" i="2"/>
  <c r="W37" i="2"/>
  <c r="V41" i="2"/>
  <c r="W42" i="2"/>
  <c r="W43" i="2"/>
  <c r="W44" i="2"/>
  <c r="W48" i="2"/>
  <c r="W49" i="2"/>
  <c r="W50" i="2"/>
  <c r="W54" i="2"/>
  <c r="W55" i="2"/>
  <c r="W56" i="2"/>
  <c r="W60" i="2"/>
  <c r="W61" i="2"/>
  <c r="W62" i="2"/>
  <c r="W66" i="2"/>
  <c r="W67" i="2"/>
  <c r="W68" i="2"/>
  <c r="W72" i="2"/>
  <c r="W73" i="2"/>
  <c r="W74" i="2"/>
  <c r="V77" i="2"/>
  <c r="V78" i="2"/>
  <c r="V79" i="2"/>
  <c r="W83" i="2"/>
  <c r="W89" i="2"/>
  <c r="W90" i="2"/>
  <c r="X96" i="2"/>
  <c r="X6" i="2"/>
  <c r="X7" i="2"/>
  <c r="X8" i="2"/>
  <c r="X9" i="2"/>
  <c r="X12" i="2"/>
  <c r="X13" i="2"/>
  <c r="X14" i="2"/>
  <c r="X15" i="2"/>
  <c r="X18" i="2"/>
  <c r="X19" i="2"/>
  <c r="X20" i="2"/>
  <c r="X21" i="2"/>
  <c r="X24" i="2"/>
  <c r="X25" i="2"/>
  <c r="X26" i="2"/>
  <c r="X27" i="2"/>
  <c r="X30" i="2"/>
  <c r="X31" i="2"/>
  <c r="X32" i="2"/>
  <c r="X33" i="2"/>
  <c r="X36" i="2"/>
  <c r="X37" i="2"/>
  <c r="X38" i="2"/>
  <c r="X39" i="2"/>
  <c r="X42" i="2"/>
  <c r="X43" i="2"/>
  <c r="X44" i="2"/>
  <c r="X45" i="2"/>
  <c r="X48" i="2"/>
  <c r="X49" i="2"/>
  <c r="X50" i="2"/>
  <c r="X51" i="2"/>
  <c r="X54" i="2"/>
  <c r="X55" i="2"/>
  <c r="X56" i="2"/>
  <c r="X57" i="2"/>
  <c r="X60" i="2"/>
  <c r="X61" i="2"/>
  <c r="X62" i="2"/>
  <c r="X63" i="2"/>
  <c r="X66" i="2"/>
  <c r="X67" i="2"/>
  <c r="X68" i="2"/>
  <c r="X69" i="2"/>
  <c r="X72" i="2"/>
  <c r="X73" i="2"/>
  <c r="X74" i="2"/>
  <c r="W77" i="2"/>
  <c r="W78" i="2"/>
  <c r="W79" i="2"/>
  <c r="W80" i="2"/>
  <c r="X84" i="2"/>
  <c r="X90" i="2"/>
  <c r="V92" i="2"/>
  <c r="X98" i="2"/>
  <c r="V103" i="2"/>
  <c r="X104" i="2"/>
  <c r="W105" i="2"/>
  <c r="V110" i="2"/>
  <c r="V8" i="2"/>
  <c r="V9" i="2"/>
  <c r="V14" i="2"/>
  <c r="V15" i="2"/>
  <c r="V20" i="2"/>
  <c r="V21" i="2"/>
  <c r="V26" i="2"/>
  <c r="V27" i="2"/>
  <c r="V32" i="2"/>
  <c r="V33" i="2"/>
  <c r="V38" i="2"/>
  <c r="V39" i="2"/>
  <c r="V45" i="2"/>
  <c r="V51" i="2"/>
  <c r="V57" i="2"/>
  <c r="V63" i="2"/>
  <c r="V69" i="2"/>
  <c r="V70" i="2"/>
  <c r="X75" i="2"/>
  <c r="X79" i="2"/>
  <c r="X80" i="2"/>
  <c r="V83" i="2"/>
  <c r="V84" i="2"/>
  <c r="V85" i="2"/>
  <c r="V97" i="2"/>
  <c r="W103" i="2"/>
  <c r="V107" i="2"/>
  <c r="V108" i="2"/>
  <c r="Y153" i="2"/>
  <c r="Z153" i="2" s="1"/>
  <c r="Y162" i="2"/>
  <c r="Z162" i="2" s="1"/>
  <c r="Y190" i="2"/>
  <c r="Z190" i="2" s="1"/>
  <c r="Y202" i="2"/>
  <c r="Z202" i="2" s="1"/>
  <c r="W115" i="2"/>
  <c r="Y149" i="2"/>
  <c r="Z149" i="2" s="1"/>
  <c r="Y161" i="2"/>
  <c r="Z161" i="2" s="1"/>
  <c r="Y189" i="2"/>
  <c r="Z189" i="2" s="1"/>
  <c r="Y198" i="2"/>
  <c r="Z198" i="2" s="1"/>
  <c r="X204" i="2"/>
  <c r="V205" i="2"/>
  <c r="W210" i="2"/>
  <c r="X225" i="2"/>
  <c r="W227" i="2"/>
  <c r="V229" i="2"/>
  <c r="V230" i="2"/>
  <c r="W235" i="2"/>
  <c r="V240" i="2"/>
  <c r="X243" i="2"/>
  <c r="W245" i="2"/>
  <c r="W246" i="2"/>
  <c r="X108" i="2"/>
  <c r="V112" i="2"/>
  <c r="V113" i="2"/>
  <c r="V116" i="2"/>
  <c r="Y148" i="2"/>
  <c r="Z148" i="2" s="1"/>
  <c r="Y167" i="2"/>
  <c r="Z167" i="2" s="1"/>
  <c r="Y179" i="2"/>
  <c r="Z179" i="2" s="1"/>
  <c r="V204" i="2"/>
  <c r="W205" i="2"/>
  <c r="W206" i="2"/>
  <c r="V208" i="2"/>
  <c r="X211" i="2"/>
  <c r="W216" i="2"/>
  <c r="X218" i="2"/>
  <c r="X227" i="2"/>
  <c r="X228" i="2"/>
  <c r="W230" i="2"/>
  <c r="W231" i="2"/>
  <c r="V233" i="2"/>
  <c r="X236" i="2"/>
  <c r="X245" i="2"/>
  <c r="W248" i="2"/>
  <c r="W249" i="2"/>
  <c r="V251" i="2"/>
  <c r="V253" i="2"/>
  <c r="W254" i="2"/>
  <c r="W255" i="2"/>
  <c r="V257" i="2"/>
  <c r="V259" i="2"/>
  <c r="W260" i="2"/>
  <c r="W261" i="2"/>
  <c r="V263" i="2"/>
  <c r="X265" i="2"/>
  <c r="X266" i="2"/>
  <c r="W271" i="2"/>
  <c r="X275" i="2"/>
  <c r="W278" i="2"/>
  <c r="W279" i="2"/>
  <c r="V281" i="2"/>
  <c r="X303" i="2"/>
  <c r="W305" i="2"/>
  <c r="V308" i="2"/>
  <c r="W313" i="2"/>
  <c r="V320" i="2"/>
  <c r="V321" i="2"/>
  <c r="W113" i="2"/>
  <c r="W114" i="2"/>
  <c r="Y154" i="2"/>
  <c r="Z154" i="2" s="1"/>
  <c r="Y166" i="2"/>
  <c r="Z166" i="2" s="1"/>
  <c r="Y185" i="2"/>
  <c r="Z185" i="2" s="1"/>
  <c r="Y197" i="2"/>
  <c r="Z197" i="2" s="1"/>
  <c r="W203" i="2"/>
  <c r="X206" i="2"/>
  <c r="W208" i="2"/>
  <c r="W209" i="2"/>
  <c r="V210" i="2"/>
  <c r="V211" i="2"/>
  <c r="V213" i="2"/>
  <c r="X216" i="2"/>
  <c r="V218" i="2"/>
  <c r="W223" i="2"/>
  <c r="X231" i="2"/>
  <c r="W233" i="2"/>
  <c r="V235" i="2"/>
  <c r="V236" i="2"/>
  <c r="W241" i="2"/>
  <c r="Y241" i="2" s="1"/>
  <c r="Z241" i="2" s="1"/>
  <c r="X249" i="2"/>
  <c r="W251" i="2"/>
  <c r="W252" i="2"/>
  <c r="X255" i="2"/>
  <c r="W257" i="2"/>
  <c r="W258" i="2"/>
  <c r="X261" i="2"/>
  <c r="W263" i="2"/>
  <c r="V265" i="2"/>
  <c r="V266" i="2"/>
  <c r="V268" i="2"/>
  <c r="V276" i="2"/>
  <c r="X279" i="2"/>
  <c r="W281" i="2"/>
  <c r="W282" i="2"/>
  <c r="V283" i="2"/>
  <c r="X284" i="2"/>
  <c r="W289" i="2"/>
  <c r="X290" i="2"/>
  <c r="W295" i="2"/>
  <c r="X296" i="2"/>
  <c r="X305" i="2"/>
  <c r="X306" i="2"/>
  <c r="W308" i="2"/>
  <c r="W309" i="2"/>
  <c r="V311" i="2"/>
  <c r="X314" i="2"/>
  <c r="V319" i="2"/>
  <c r="X116" i="2"/>
  <c r="Y144" i="2"/>
  <c r="Z144" i="2" s="1"/>
  <c r="X251" i="2"/>
  <c r="X252" i="2"/>
  <c r="X257" i="2"/>
  <c r="X258" i="2"/>
  <c r="X263" i="2"/>
  <c r="X264" i="2"/>
  <c r="W266" i="2"/>
  <c r="W267" i="2"/>
  <c r="V269" i="2"/>
  <c r="V271" i="2"/>
  <c r="X272" i="2"/>
  <c r="X281" i="2"/>
  <c r="V284" i="2"/>
  <c r="X289" i="2"/>
  <c r="V290" i="2"/>
  <c r="V292" i="2"/>
  <c r="X295" i="2"/>
  <c r="V296" i="2"/>
  <c r="V298" i="2"/>
  <c r="W301" i="2"/>
  <c r="V306" i="2"/>
  <c r="X309" i="2"/>
  <c r="W311" i="2"/>
  <c r="V313" i="2"/>
  <c r="V314" i="2"/>
  <c r="V315" i="2"/>
  <c r="W318" i="2"/>
  <c r="X323" i="2"/>
  <c r="X324" i="2"/>
  <c r="W320" i="2"/>
  <c r="W321" i="2"/>
  <c r="V323" i="2"/>
  <c r="V325" i="2"/>
  <c r="W331" i="2"/>
  <c r="X341" i="2"/>
  <c r="V344" i="2"/>
  <c r="V346" i="2"/>
  <c r="W349" i="2"/>
  <c r="X350" i="2"/>
  <c r="X357" i="2"/>
  <c r="W359" i="2"/>
  <c r="W360" i="2"/>
  <c r="W363" i="2"/>
  <c r="V365" i="2"/>
  <c r="X368" i="2"/>
  <c r="X377" i="2"/>
  <c r="V380" i="2"/>
  <c r="V382" i="2"/>
  <c r="W385" i="2"/>
  <c r="W392" i="2"/>
  <c r="V395" i="2"/>
  <c r="V397" i="2"/>
  <c r="W403" i="2"/>
  <c r="X413" i="2"/>
  <c r="V416" i="2"/>
  <c r="V418" i="2"/>
  <c r="W421" i="2"/>
  <c r="V426" i="2"/>
  <c r="W430" i="2"/>
  <c r="X434" i="2"/>
  <c r="W444" i="2"/>
  <c r="W446" i="2"/>
  <c r="V475" i="2"/>
  <c r="W480" i="2"/>
  <c r="W481" i="2"/>
  <c r="X482" i="2"/>
  <c r="X494" i="2"/>
  <c r="X327" i="2"/>
  <c r="W329" i="2"/>
  <c r="V331" i="2"/>
  <c r="V332" i="2"/>
  <c r="V334" i="2"/>
  <c r="X337" i="2"/>
  <c r="X338" i="2"/>
  <c r="X345" i="2"/>
  <c r="W347" i="2"/>
  <c r="V349" i="2"/>
  <c r="W350" i="2"/>
  <c r="W351" i="2"/>
  <c r="W355" i="2"/>
  <c r="X365" i="2"/>
  <c r="W368" i="2"/>
  <c r="V371" i="2"/>
  <c r="X373" i="2"/>
  <c r="X374" i="2"/>
  <c r="X381" i="2"/>
  <c r="W383" i="2"/>
  <c r="V385" i="2"/>
  <c r="V386" i="2"/>
  <c r="X395" i="2"/>
  <c r="X396" i="2"/>
  <c r="X399" i="2"/>
  <c r="W401" i="2"/>
  <c r="V403" i="2"/>
  <c r="V404" i="2"/>
  <c r="V406" i="2"/>
  <c r="X409" i="2"/>
  <c r="X410" i="2"/>
  <c r="X417" i="2"/>
  <c r="W419" i="2"/>
  <c r="V421" i="2"/>
  <c r="V422" i="2"/>
  <c r="W428" i="2"/>
  <c r="V431" i="2"/>
  <c r="X433" i="2"/>
  <c r="W435" i="2"/>
  <c r="V436" i="2"/>
  <c r="V437" i="2"/>
  <c r="W447" i="2"/>
  <c r="V448" i="2"/>
  <c r="V449" i="2"/>
  <c r="V452" i="2"/>
  <c r="V453" i="2"/>
  <c r="V460" i="2"/>
  <c r="V461" i="2"/>
  <c r="X469" i="2"/>
  <c r="W472" i="2"/>
  <c r="W473" i="2"/>
  <c r="X513" i="2"/>
  <c r="V458" i="2"/>
  <c r="W459" i="2"/>
  <c r="V487" i="2"/>
  <c r="W506" i="2"/>
  <c r="V317" i="2"/>
  <c r="X320" i="2"/>
  <c r="W325" i="2"/>
  <c r="X326" i="2"/>
  <c r="X333" i="2"/>
  <c r="W335" i="2"/>
  <c r="W336" i="2"/>
  <c r="Y336" i="2" s="1"/>
  <c r="Z336" i="2" s="1"/>
  <c r="W338" i="2"/>
  <c r="W339" i="2"/>
  <c r="V341" i="2"/>
  <c r="V348" i="2"/>
  <c r="X353" i="2"/>
  <c r="W354" i="2"/>
  <c r="V355" i="2"/>
  <c r="V356" i="2"/>
  <c r="V358" i="2"/>
  <c r="X361" i="2"/>
  <c r="V362" i="2"/>
  <c r="X371" i="2"/>
  <c r="X372" i="2"/>
  <c r="W374" i="2"/>
  <c r="W375" i="2"/>
  <c r="V377" i="2"/>
  <c r="V384" i="2"/>
  <c r="X387" i="2"/>
  <c r="W389" i="2"/>
  <c r="X392" i="2"/>
  <c r="W397" i="2"/>
  <c r="X398" i="2"/>
  <c r="X405" i="2"/>
  <c r="W407" i="2"/>
  <c r="W408" i="2"/>
  <c r="W410" i="2"/>
  <c r="W411" i="2"/>
  <c r="V413" i="2"/>
  <c r="V420" i="2"/>
  <c r="X423" i="2"/>
  <c r="X425" i="2"/>
  <c r="V428" i="2"/>
  <c r="V429" i="2"/>
  <c r="W432" i="2"/>
  <c r="X437" i="2"/>
  <c r="V440" i="2"/>
  <c r="W441" i="2"/>
  <c r="W443" i="2"/>
  <c r="X445" i="2"/>
  <c r="X449" i="2"/>
  <c r="W454" i="2"/>
  <c r="W455" i="2"/>
  <c r="X459" i="2"/>
  <c r="X462" i="2"/>
  <c r="V474" i="2"/>
  <c r="X476" i="2"/>
  <c r="V486" i="2"/>
  <c r="X455" i="2"/>
  <c r="W460" i="2"/>
  <c r="W461" i="2"/>
  <c r="X464" i="2"/>
  <c r="V465" i="2"/>
  <c r="V468" i="2"/>
  <c r="X473" i="2"/>
  <c r="V476" i="2"/>
  <c r="V477" i="2"/>
  <c r="V482" i="2"/>
  <c r="V483" i="2"/>
  <c r="W486" i="2"/>
  <c r="Y486" i="2" s="1"/>
  <c r="Z486" i="2" s="1"/>
  <c r="W487" i="2"/>
  <c r="W490" i="2"/>
  <c r="W491" i="2"/>
  <c r="V495" i="2"/>
  <c r="W496" i="2"/>
  <c r="W497" i="2"/>
  <c r="V501" i="2"/>
  <c r="V502" i="2"/>
  <c r="X510" i="2"/>
  <c r="X511" i="2"/>
  <c r="V514" i="2"/>
  <c r="X522" i="2"/>
  <c r="X523" i="2"/>
  <c r="V526" i="2"/>
  <c r="X534" i="2"/>
  <c r="X535" i="2"/>
  <c r="W539" i="2"/>
  <c r="V540" i="2"/>
  <c r="V550" i="2"/>
  <c r="V551" i="2"/>
  <c r="V552" i="2"/>
  <c r="X557" i="2"/>
  <c r="X558" i="2"/>
  <c r="Y558" i="2" s="1"/>
  <c r="Z558" i="2" s="1"/>
  <c r="X559" i="2"/>
  <c r="V560" i="2"/>
  <c r="V565" i="2"/>
  <c r="V571" i="2"/>
  <c r="W572" i="2"/>
  <c r="X577" i="2"/>
  <c r="V578" i="2"/>
  <c r="X580" i="2"/>
  <c r="V581" i="2"/>
  <c r="V582" i="2"/>
  <c r="V647" i="2"/>
  <c r="V438" i="2"/>
  <c r="V442" i="2"/>
  <c r="V443" i="2"/>
  <c r="V446" i="2"/>
  <c r="V447" i="2"/>
  <c r="W450" i="2"/>
  <c r="W451" i="2"/>
  <c r="W452" i="2"/>
  <c r="V456" i="2"/>
  <c r="X461" i="2"/>
  <c r="V464" i="2"/>
  <c r="W465" i="2"/>
  <c r="V466" i="2"/>
  <c r="W468" i="2"/>
  <c r="X475" i="2"/>
  <c r="W477" i="2"/>
  <c r="V478" i="2"/>
  <c r="V479" i="2"/>
  <c r="W483" i="2"/>
  <c r="W488" i="2"/>
  <c r="X491" i="2"/>
  <c r="X493" i="2"/>
  <c r="X496" i="2"/>
  <c r="X497" i="2"/>
  <c r="X498" i="2"/>
  <c r="W502" i="2"/>
  <c r="W503" i="2"/>
  <c r="V504" i="2"/>
  <c r="W515" i="2"/>
  <c r="V516" i="2"/>
  <c r="W527" i="2"/>
  <c r="V528" i="2"/>
  <c r="X539" i="2"/>
  <c r="W540" i="2"/>
  <c r="X544" i="2"/>
  <c r="V545" i="2"/>
  <c r="V546" i="2"/>
  <c r="X576" i="2"/>
  <c r="X585" i="2"/>
  <c r="V492" i="2"/>
  <c r="V498" i="2"/>
  <c r="V499" i="2"/>
  <c r="X502" i="2"/>
  <c r="X503" i="2"/>
  <c r="W504" i="2"/>
  <c r="X508" i="2"/>
  <c r="X515" i="2"/>
  <c r="W516" i="2"/>
  <c r="X520" i="2"/>
  <c r="X527" i="2"/>
  <c r="W528" i="2"/>
  <c r="X532" i="2"/>
  <c r="X540" i="2"/>
  <c r="X541" i="2"/>
  <c r="X542" i="2"/>
  <c r="V544" i="2"/>
  <c r="X549" i="2"/>
  <c r="W573" i="2"/>
  <c r="X575" i="2"/>
  <c r="V579" i="2"/>
  <c r="V589" i="2"/>
  <c r="W590" i="2"/>
  <c r="W702" i="2"/>
  <c r="X593" i="2"/>
  <c r="X594" i="2"/>
  <c r="X595" i="2"/>
  <c r="V596" i="2"/>
  <c r="V601" i="2"/>
  <c r="V607" i="2"/>
  <c r="W608" i="2"/>
  <c r="W545" i="2"/>
  <c r="W546" i="2"/>
  <c r="W547" i="2"/>
  <c r="X548" i="2"/>
  <c r="W551" i="2"/>
  <c r="W552" i="2"/>
  <c r="W553" i="2"/>
  <c r="X554" i="2"/>
  <c r="V559" i="2"/>
  <c r="V573" i="2"/>
  <c r="X574" i="2"/>
  <c r="V575" i="2"/>
  <c r="V576" i="2"/>
  <c r="V580" i="2"/>
  <c r="W581" i="2"/>
  <c r="W582" i="2"/>
  <c r="W583" i="2"/>
  <c r="X584" i="2"/>
  <c r="W587" i="2"/>
  <c r="W588" i="2"/>
  <c r="W589" i="2"/>
  <c r="X590" i="2"/>
  <c r="V595" i="2"/>
  <c r="V609" i="2"/>
  <c r="X610" i="2"/>
  <c r="V611" i="2"/>
  <c r="V612" i="2"/>
  <c r="V616" i="2"/>
  <c r="W617" i="2"/>
  <c r="W618" i="2"/>
  <c r="W619" i="2"/>
  <c r="X620" i="2"/>
  <c r="W623" i="2"/>
  <c r="W624" i="2"/>
  <c r="W625" i="2"/>
  <c r="X627" i="2"/>
  <c r="X628" i="2"/>
  <c r="X630" i="2"/>
  <c r="X631" i="2"/>
  <c r="W632" i="2"/>
  <c r="X633" i="2"/>
  <c r="X635" i="2"/>
  <c r="W636" i="2"/>
  <c r="W639" i="2"/>
  <c r="V640" i="2"/>
  <c r="V645" i="2"/>
  <c r="X646" i="2"/>
  <c r="W651" i="2"/>
  <c r="V656" i="2"/>
  <c r="W657" i="2"/>
  <c r="X661" i="2"/>
  <c r="X662" i="2"/>
  <c r="X667" i="2"/>
  <c r="V668" i="2"/>
  <c r="X682" i="2"/>
  <c r="V686" i="2"/>
  <c r="W687" i="2"/>
  <c r="X695" i="2"/>
  <c r="V697" i="2"/>
  <c r="X700" i="2"/>
  <c r="V703" i="2"/>
  <c r="X705" i="2"/>
  <c r="W723" i="2"/>
  <c r="W724" i="2"/>
  <c r="W725" i="2"/>
  <c r="X727" i="2"/>
  <c r="V742" i="2"/>
  <c r="W745" i="2"/>
  <c r="V751" i="2"/>
  <c r="W755" i="2"/>
  <c r="X546" i="2"/>
  <c r="X547" i="2"/>
  <c r="V548" i="2"/>
  <c r="X551" i="2"/>
  <c r="X552" i="2"/>
  <c r="X553" i="2"/>
  <c r="V554" i="2"/>
  <c r="V567" i="2"/>
  <c r="X568" i="2"/>
  <c r="V574" i="2"/>
  <c r="W575" i="2"/>
  <c r="W576" i="2"/>
  <c r="W577" i="2"/>
  <c r="X578" i="2"/>
  <c r="X581" i="2"/>
  <c r="X582" i="2"/>
  <c r="X583" i="2"/>
  <c r="V584" i="2"/>
  <c r="X587" i="2"/>
  <c r="X588" i="2"/>
  <c r="X589" i="2"/>
  <c r="V590" i="2"/>
  <c r="V603" i="2"/>
  <c r="X604" i="2"/>
  <c r="V610" i="2"/>
  <c r="W611" i="2"/>
  <c r="W612" i="2"/>
  <c r="W613" i="2"/>
  <c r="X614" i="2"/>
  <c r="X617" i="2"/>
  <c r="X618" i="2"/>
  <c r="X619" i="2"/>
  <c r="V620" i="2"/>
  <c r="X623" i="2"/>
  <c r="X624" i="2"/>
  <c r="X625" i="2"/>
  <c r="V629" i="2"/>
  <c r="X636" i="2"/>
  <c r="X637" i="2"/>
  <c r="W640" i="2"/>
  <c r="W641" i="2"/>
  <c r="V646" i="2"/>
  <c r="X652" i="2"/>
  <c r="V667" i="2"/>
  <c r="V672" i="2"/>
  <c r="V673" i="2"/>
  <c r="X680" i="2"/>
  <c r="V681" i="2"/>
  <c r="V682" i="2"/>
  <c r="V683" i="2"/>
  <c r="W686" i="2"/>
  <c r="X688" i="2"/>
  <c r="V690" i="2"/>
  <c r="V691" i="2"/>
  <c r="X693" i="2"/>
  <c r="X699" i="2"/>
  <c r="X704" i="2"/>
  <c r="X709" i="2"/>
  <c r="X712" i="2"/>
  <c r="V715" i="2"/>
  <c r="X720" i="2"/>
  <c r="X726" i="2"/>
  <c r="V733" i="2"/>
  <c r="V741" i="2"/>
  <c r="V750" i="2"/>
  <c r="X755" i="2"/>
  <c r="X757" i="2"/>
  <c r="V761" i="2"/>
  <c r="V619" i="2"/>
  <c r="V625" i="2"/>
  <c r="W626" i="2"/>
  <c r="W629" i="2"/>
  <c r="W630" i="2"/>
  <c r="X641" i="2"/>
  <c r="W642" i="2"/>
  <c r="W646" i="2"/>
  <c r="W647" i="2"/>
  <c r="V649" i="2"/>
  <c r="Y649" i="2" s="1"/>
  <c r="Z649" i="2" s="1"/>
  <c r="V651" i="2"/>
  <c r="V652" i="2"/>
  <c r="V657" i="2"/>
  <c r="X658" i="2"/>
  <c r="W663" i="2"/>
  <c r="X664" i="2"/>
  <c r="W667" i="2"/>
  <c r="W669" i="2"/>
  <c r="W675" i="2"/>
  <c r="W689" i="2"/>
  <c r="W690" i="2"/>
  <c r="X692" i="2"/>
  <c r="X701" i="2"/>
  <c r="V704" i="2"/>
  <c r="V726" i="2"/>
  <c r="V739" i="2"/>
  <c r="W740" i="2"/>
  <c r="X746" i="2"/>
  <c r="X753" i="2"/>
  <c r="V756" i="2"/>
  <c r="V778" i="2"/>
  <c r="X763" i="2"/>
  <c r="X772" i="2"/>
  <c r="V775" i="2"/>
  <c r="X776" i="2"/>
  <c r="V779" i="2"/>
  <c r="W780" i="2"/>
  <c r="X783" i="2"/>
  <c r="Y783" i="2" s="1"/>
  <c r="Z783" i="2" s="1"/>
  <c r="W784" i="2"/>
  <c r="V787" i="2"/>
  <c r="W791" i="2"/>
  <c r="W793" i="2"/>
  <c r="V797" i="2"/>
  <c r="X671" i="2"/>
  <c r="X672" i="2"/>
  <c r="V675" i="2"/>
  <c r="V676" i="2"/>
  <c r="V677" i="2"/>
  <c r="W680" i="2"/>
  <c r="X690" i="2"/>
  <c r="V694" i="2"/>
  <c r="W697" i="2"/>
  <c r="V701" i="2"/>
  <c r="W703" i="2"/>
  <c r="W705" i="2"/>
  <c r="W706" i="2"/>
  <c r="W707" i="2"/>
  <c r="X711" i="2"/>
  <c r="V712" i="2"/>
  <c r="W716" i="2"/>
  <c r="V720" i="2"/>
  <c r="W721" i="2"/>
  <c r="X723" i="2"/>
  <c r="X725" i="2"/>
  <c r="W726" i="2"/>
  <c r="V727" i="2"/>
  <c r="V732" i="2"/>
  <c r="W733" i="2"/>
  <c r="X737" i="2"/>
  <c r="W738" i="2"/>
  <c r="W742" i="2"/>
  <c r="W750" i="2"/>
  <c r="V754" i="2"/>
  <c r="W756" i="2"/>
  <c r="W760" i="2"/>
  <c r="V763" i="2"/>
  <c r="V768" i="2"/>
  <c r="W769" i="2"/>
  <c r="V772" i="2"/>
  <c r="V776" i="2"/>
  <c r="W779" i="2"/>
  <c r="W781" i="2"/>
  <c r="X784" i="2"/>
  <c r="W788" i="2"/>
  <c r="V789" i="2"/>
  <c r="X793" i="2"/>
  <c r="X794" i="2"/>
  <c r="V798" i="2"/>
  <c r="Y798" i="2" s="1"/>
  <c r="Z798" i="2" s="1"/>
  <c r="W694" i="2"/>
  <c r="W695" i="2"/>
  <c r="W699" i="2"/>
  <c r="V702" i="2"/>
  <c r="X707" i="2"/>
  <c r="W709" i="2"/>
  <c r="W712" i="2"/>
  <c r="W713" i="2"/>
  <c r="X715" i="2"/>
  <c r="X718" i="2"/>
  <c r="W720" i="2"/>
  <c r="W732" i="2"/>
  <c r="X733" i="2"/>
  <c r="X738" i="2"/>
  <c r="X741" i="2"/>
  <c r="X743" i="2"/>
  <c r="X751" i="2"/>
  <c r="W753" i="2"/>
  <c r="W754" i="2"/>
  <c r="W757" i="2"/>
  <c r="X761" i="2"/>
  <c r="V764" i="2"/>
  <c r="V765" i="2"/>
  <c r="W768" i="2"/>
  <c r="X770" i="2"/>
  <c r="W776" i="2"/>
  <c r="W777" i="2"/>
  <c r="V784" i="2"/>
  <c r="V785" i="2"/>
  <c r="V786" i="2"/>
  <c r="W789" i="2"/>
  <c r="V793" i="2"/>
  <c r="V794" i="2"/>
  <c r="V795" i="2"/>
  <c r="X789" i="2"/>
  <c r="X790" i="2"/>
  <c r="K801" i="2"/>
  <c r="Q801" i="2"/>
  <c r="W5" i="2"/>
  <c r="W11" i="2"/>
  <c r="W17" i="2"/>
  <c r="W23" i="2"/>
  <c r="W29" i="2"/>
  <c r="W35" i="2"/>
  <c r="W41" i="2"/>
  <c r="V46" i="2"/>
  <c r="V52" i="2"/>
  <c r="V58" i="2"/>
  <c r="V64" i="2"/>
  <c r="L801" i="2"/>
  <c r="T4" i="2"/>
  <c r="R801" i="2"/>
  <c r="X121" i="2"/>
  <c r="Y172" i="2"/>
  <c r="Z172" i="2" s="1"/>
  <c r="W234" i="2"/>
  <c r="M801" i="2"/>
  <c r="S801" i="2"/>
  <c r="W47" i="2"/>
  <c r="W53" i="2"/>
  <c r="W59" i="2"/>
  <c r="W65" i="2"/>
  <c r="W71" i="2"/>
  <c r="W222" i="2"/>
  <c r="N801" i="2"/>
  <c r="X89" i="2"/>
  <c r="X95" i="2"/>
  <c r="X101" i="2"/>
  <c r="X107" i="2"/>
  <c r="X113" i="2"/>
  <c r="X119" i="2"/>
  <c r="W123" i="2"/>
  <c r="Y147" i="2"/>
  <c r="Z147" i="2" s="1"/>
  <c r="Y156" i="2"/>
  <c r="Z156" i="2" s="1"/>
  <c r="Y165" i="2"/>
  <c r="Z165" i="2" s="1"/>
  <c r="Y174" i="2"/>
  <c r="Z174" i="2" s="1"/>
  <c r="Y183" i="2"/>
  <c r="Z183" i="2" s="1"/>
  <c r="Y192" i="2"/>
  <c r="Z192" i="2" s="1"/>
  <c r="Y201" i="2"/>
  <c r="Z201" i="2" s="1"/>
  <c r="V207" i="2"/>
  <c r="V220" i="2"/>
  <c r="V232" i="2"/>
  <c r="V250" i="2"/>
  <c r="V286" i="2"/>
  <c r="V322" i="2"/>
  <c r="W342" i="2"/>
  <c r="W378" i="2"/>
  <c r="W414" i="2"/>
  <c r="O801" i="2"/>
  <c r="U801" i="2"/>
  <c r="W88" i="2"/>
  <c r="W94" i="2"/>
  <c r="W100" i="2"/>
  <c r="W106" i="2"/>
  <c r="W112" i="2"/>
  <c r="W118" i="2"/>
  <c r="V122" i="2"/>
  <c r="Y142" i="2"/>
  <c r="Z142" i="2" s="1"/>
  <c r="Y160" i="2"/>
  <c r="Z160" i="2" s="1"/>
  <c r="Y178" i="2"/>
  <c r="Z178" i="2" s="1"/>
  <c r="Y196" i="2"/>
  <c r="Z196" i="2" s="1"/>
  <c r="V244" i="2"/>
  <c r="V280" i="2"/>
  <c r="V316" i="2"/>
  <c r="V473" i="2"/>
  <c r="J801" i="2"/>
  <c r="P801" i="2"/>
  <c r="V4" i="2"/>
  <c r="V93" i="2"/>
  <c r="V99" i="2"/>
  <c r="V105" i="2"/>
  <c r="V111" i="2"/>
  <c r="V117" i="2"/>
  <c r="Y150" i="2"/>
  <c r="Z150" i="2" s="1"/>
  <c r="Y155" i="2"/>
  <c r="Z155" i="2" s="1"/>
  <c r="Y159" i="2"/>
  <c r="Z159" i="2" s="1"/>
  <c r="Y168" i="2"/>
  <c r="Z168" i="2" s="1"/>
  <c r="Y173" i="2"/>
  <c r="Z173" i="2" s="1"/>
  <c r="Y177" i="2"/>
  <c r="Z177" i="2" s="1"/>
  <c r="Y186" i="2"/>
  <c r="Z186" i="2" s="1"/>
  <c r="Y191" i="2"/>
  <c r="Z191" i="2" s="1"/>
  <c r="Y195" i="2"/>
  <c r="Z195" i="2" s="1"/>
  <c r="W212" i="2"/>
  <c r="W225" i="2"/>
  <c r="W237" i="2"/>
  <c r="V238" i="2"/>
  <c r="V274" i="2"/>
  <c r="V310" i="2"/>
  <c r="W330" i="2"/>
  <c r="W366" i="2"/>
  <c r="W402" i="2"/>
  <c r="V328" i="2"/>
  <c r="V340" i="2"/>
  <c r="V352" i="2"/>
  <c r="V364" i="2"/>
  <c r="V376" i="2"/>
  <c r="V388" i="2"/>
  <c r="V400" i="2"/>
  <c r="V412" i="2"/>
  <c r="V424" i="2"/>
  <c r="Y146" i="2"/>
  <c r="Z146" i="2" s="1"/>
  <c r="Y152" i="2"/>
  <c r="Z152" i="2" s="1"/>
  <c r="Y158" i="2"/>
  <c r="Z158" i="2" s="1"/>
  <c r="Y164" i="2"/>
  <c r="Z164" i="2" s="1"/>
  <c r="Y170" i="2"/>
  <c r="Z170" i="2" s="1"/>
  <c r="Y176" i="2"/>
  <c r="Z176" i="2" s="1"/>
  <c r="Y182" i="2"/>
  <c r="Z182" i="2" s="1"/>
  <c r="Y188" i="2"/>
  <c r="Z188" i="2" s="1"/>
  <c r="Y194" i="2"/>
  <c r="Z194" i="2" s="1"/>
  <c r="Y200" i="2"/>
  <c r="Z200" i="2" s="1"/>
  <c r="Y145" i="2"/>
  <c r="Z145" i="2" s="1"/>
  <c r="Y151" i="2"/>
  <c r="Z151" i="2" s="1"/>
  <c r="Y157" i="2"/>
  <c r="Z157" i="2" s="1"/>
  <c r="Y163" i="2"/>
  <c r="Z163" i="2" s="1"/>
  <c r="Y169" i="2"/>
  <c r="Z169" i="2" s="1"/>
  <c r="Y175" i="2"/>
  <c r="Z175" i="2" s="1"/>
  <c r="Y181" i="2"/>
  <c r="Z181" i="2" s="1"/>
  <c r="Y187" i="2"/>
  <c r="Z187" i="2" s="1"/>
  <c r="Y193" i="2"/>
  <c r="Z193" i="2" s="1"/>
  <c r="Y199" i="2"/>
  <c r="Z199" i="2" s="1"/>
  <c r="X207" i="2"/>
  <c r="X213" i="2"/>
  <c r="X220" i="2"/>
  <c r="X226" i="2"/>
  <c r="X232" i="2"/>
  <c r="X238" i="2"/>
  <c r="X244" i="2"/>
  <c r="X250" i="2"/>
  <c r="X256" i="2"/>
  <c r="X262" i="2"/>
  <c r="X268" i="2"/>
  <c r="X274" i="2"/>
  <c r="X280" i="2"/>
  <c r="X286" i="2"/>
  <c r="X292" i="2"/>
  <c r="X298" i="2"/>
  <c r="X304" i="2"/>
  <c r="X310" i="2"/>
  <c r="X316" i="2"/>
  <c r="X322" i="2"/>
  <c r="W333" i="2"/>
  <c r="W345" i="2"/>
  <c r="W357" i="2"/>
  <c r="W369" i="2"/>
  <c r="W381" i="2"/>
  <c r="W393" i="2"/>
  <c r="W405" i="2"/>
  <c r="W417" i="2"/>
  <c r="W495" i="2"/>
  <c r="W501" i="2"/>
  <c r="X328" i="2"/>
  <c r="X334" i="2"/>
  <c r="Y334" i="2" s="1"/>
  <c r="Z334" i="2" s="1"/>
  <c r="X340" i="2"/>
  <c r="X346" i="2"/>
  <c r="X352" i="2"/>
  <c r="X358" i="2"/>
  <c r="X364" i="2"/>
  <c r="X370" i="2"/>
  <c r="X376" i="2"/>
  <c r="X382" i="2"/>
  <c r="X388" i="2"/>
  <c r="X394" i="2"/>
  <c r="X400" i="2"/>
  <c r="X406" i="2"/>
  <c r="X412" i="2"/>
  <c r="X418" i="2"/>
  <c r="X424" i="2"/>
  <c r="X430" i="2"/>
  <c r="X436" i="2"/>
  <c r="X442" i="2"/>
  <c r="X448" i="2"/>
  <c r="X454" i="2"/>
  <c r="X460" i="2"/>
  <c r="X466" i="2"/>
  <c r="X472" i="2"/>
  <c r="X478" i="2"/>
  <c r="X484" i="2"/>
  <c r="Y484" i="2" s="1"/>
  <c r="Z484" i="2" s="1"/>
  <c r="X490" i="2"/>
  <c r="X512" i="2"/>
  <c r="X524" i="2"/>
  <c r="X536" i="2"/>
  <c r="W508" i="2"/>
  <c r="W514" i="2"/>
  <c r="W520" i="2"/>
  <c r="W526" i="2"/>
  <c r="W532" i="2"/>
  <c r="W544" i="2"/>
  <c r="W550" i="2"/>
  <c r="W556" i="2"/>
  <c r="W562" i="2"/>
  <c r="W568" i="2"/>
  <c r="W574" i="2"/>
  <c r="W580" i="2"/>
  <c r="W586" i="2"/>
  <c r="W592" i="2"/>
  <c r="W598" i="2"/>
  <c r="W604" i="2"/>
  <c r="W610" i="2"/>
  <c r="W616" i="2"/>
  <c r="W622" i="2"/>
  <c r="V507" i="2"/>
  <c r="V513" i="2"/>
  <c r="V519" i="2"/>
  <c r="V525" i="2"/>
  <c r="V531" i="2"/>
  <c r="V537" i="2"/>
  <c r="V543" i="2"/>
  <c r="W627" i="2"/>
  <c r="V632" i="2"/>
  <c r="V660" i="2"/>
  <c r="V626" i="2"/>
  <c r="V638" i="2"/>
  <c r="V644" i="2"/>
  <c r="V654" i="2"/>
  <c r="X634" i="2"/>
  <c r="X640" i="2"/>
  <c r="V648" i="2"/>
  <c r="Y665" i="2"/>
  <c r="Z665" i="2" s="1"/>
  <c r="W711" i="2"/>
  <c r="X735" i="2"/>
  <c r="X666" i="2"/>
  <c r="X739" i="2"/>
  <c r="X648" i="2"/>
  <c r="X654" i="2"/>
  <c r="X660" i="2"/>
  <c r="V705" i="2"/>
  <c r="V711" i="2"/>
  <c r="V717" i="2"/>
  <c r="V722" i="2"/>
  <c r="V724" i="2"/>
  <c r="W735" i="2"/>
  <c r="V728" i="2"/>
  <c r="V730" i="2"/>
  <c r="W741" i="2"/>
  <c r="V734" i="2"/>
  <c r="V736" i="2"/>
  <c r="W747" i="2"/>
  <c r="X724" i="2"/>
  <c r="X730" i="2"/>
  <c r="X736" i="2"/>
  <c r="X742" i="2"/>
  <c r="X748" i="2"/>
  <c r="X754" i="2"/>
  <c r="X760" i="2"/>
  <c r="X765" i="2"/>
  <c r="W759" i="2"/>
  <c r="Y767" i="2"/>
  <c r="Z767" i="2" s="1"/>
  <c r="W799" i="2"/>
  <c r="Y799" i="2" s="1"/>
  <c r="Z799" i="2" s="1"/>
  <c r="V758" i="2"/>
  <c r="W764" i="2"/>
  <c r="Y451" i="2" l="1"/>
  <c r="Z451" i="2" s="1"/>
  <c r="Y431" i="2"/>
  <c r="Z431" i="2" s="1"/>
  <c r="Y777" i="2"/>
  <c r="Z777" i="2" s="1"/>
  <c r="Y329" i="2"/>
  <c r="Z329" i="2" s="1"/>
  <c r="Y282" i="2"/>
  <c r="Z282" i="2" s="1"/>
  <c r="Y470" i="2"/>
  <c r="Z470" i="2" s="1"/>
  <c r="Y109" i="2"/>
  <c r="Z109" i="2" s="1"/>
  <c r="Y787" i="2"/>
  <c r="Z787" i="2" s="1"/>
  <c r="Y327" i="2"/>
  <c r="Z327" i="2" s="1"/>
  <c r="Y796" i="2"/>
  <c r="Z796" i="2" s="1"/>
  <c r="Y297" i="2"/>
  <c r="Z297" i="2" s="1"/>
  <c r="Y530" i="2"/>
  <c r="Z530" i="2" s="1"/>
  <c r="Y683" i="2"/>
  <c r="Z683" i="2" s="1"/>
  <c r="Y95" i="2"/>
  <c r="Z95" i="2" s="1"/>
  <c r="Y223" i="2"/>
  <c r="Z223" i="2" s="1"/>
  <c r="Y679" i="2"/>
  <c r="Z679" i="2" s="1"/>
  <c r="Y366" i="2"/>
  <c r="Z366" i="2" s="1"/>
  <c r="Y214" i="2"/>
  <c r="Z214" i="2" s="1"/>
  <c r="Y666" i="2"/>
  <c r="Z666" i="2" s="1"/>
  <c r="Y519" i="2"/>
  <c r="Z519" i="2" s="1"/>
  <c r="Y728" i="2"/>
  <c r="Z728" i="2" s="1"/>
  <c r="Y101" i="2"/>
  <c r="Z101" i="2" s="1"/>
  <c r="Y426" i="2"/>
  <c r="Z426" i="2" s="1"/>
  <c r="Y531" i="2"/>
  <c r="Z531" i="2" s="1"/>
  <c r="Y422" i="2"/>
  <c r="Z422" i="2" s="1"/>
  <c r="Y86" i="2"/>
  <c r="Z86" i="2" s="1"/>
  <c r="Y31" i="2"/>
  <c r="Z31" i="2" s="1"/>
  <c r="Y71" i="2"/>
  <c r="Z71" i="2" s="1"/>
  <c r="Y417" i="2"/>
  <c r="Z417" i="2" s="1"/>
  <c r="Y342" i="2"/>
  <c r="Z342" i="2" s="1"/>
  <c r="Y559" i="2"/>
  <c r="Z559" i="2" s="1"/>
  <c r="Y432" i="2"/>
  <c r="Z432" i="2" s="1"/>
  <c r="Y14" i="2"/>
  <c r="Z14" i="2" s="1"/>
  <c r="Y747" i="2"/>
  <c r="Z747" i="2" s="1"/>
  <c r="Y634" i="2"/>
  <c r="Z634" i="2" s="1"/>
  <c r="Y795" i="2"/>
  <c r="Z795" i="2" s="1"/>
  <c r="Y689" i="2"/>
  <c r="Z689" i="2" s="1"/>
  <c r="Y745" i="2"/>
  <c r="Z745" i="2" s="1"/>
  <c r="Y516" i="2"/>
  <c r="Z516" i="2" s="1"/>
  <c r="Y479" i="2"/>
  <c r="Z479" i="2" s="1"/>
  <c r="Y494" i="2"/>
  <c r="Z494" i="2" s="1"/>
  <c r="Y284" i="2"/>
  <c r="Z284" i="2" s="1"/>
  <c r="Y609" i="2"/>
  <c r="Z609" i="2" s="1"/>
  <c r="Y365" i="2"/>
  <c r="Z365" i="2" s="1"/>
  <c r="Y32" i="2"/>
  <c r="Z32" i="2" s="1"/>
  <c r="Y75" i="2"/>
  <c r="Z75" i="2" s="1"/>
  <c r="Y96" i="2"/>
  <c r="Z96" i="2" s="1"/>
  <c r="Y291" i="2"/>
  <c r="Z291" i="2" s="1"/>
  <c r="Y102" i="2"/>
  <c r="Z102" i="2" s="1"/>
  <c r="Y270" i="2"/>
  <c r="Z270" i="2" s="1"/>
  <c r="Y219" i="2"/>
  <c r="Z219" i="2" s="1"/>
  <c r="Y386" i="2"/>
  <c r="Z386" i="2" s="1"/>
  <c r="Y774" i="2"/>
  <c r="Z774" i="2" s="1"/>
  <c r="Y605" i="2"/>
  <c r="Z605" i="2" s="1"/>
  <c r="Y469" i="2"/>
  <c r="Z469" i="2" s="1"/>
  <c r="Y734" i="2"/>
  <c r="Z734" i="2" s="1"/>
  <c r="Y644" i="2"/>
  <c r="Z644" i="2" s="1"/>
  <c r="Y592" i="2"/>
  <c r="Z592" i="2" s="1"/>
  <c r="Y425" i="2"/>
  <c r="Z425" i="2" s="1"/>
  <c r="Y372" i="2"/>
  <c r="Z372" i="2" s="1"/>
  <c r="Y85" i="2"/>
  <c r="Z85" i="2" s="1"/>
  <c r="Y759" i="2"/>
  <c r="Z759" i="2" s="1"/>
  <c r="Y304" i="2"/>
  <c r="Z304" i="2" s="1"/>
  <c r="Y770" i="2"/>
  <c r="Z770" i="2" s="1"/>
  <c r="Y676" i="2"/>
  <c r="Z676" i="2" s="1"/>
  <c r="Y560" i="2"/>
  <c r="Z560" i="2" s="1"/>
  <c r="Y387" i="2"/>
  <c r="Z387" i="2" s="1"/>
  <c r="Y331" i="2"/>
  <c r="Z331" i="2" s="1"/>
  <c r="Y319" i="2"/>
  <c r="Z319" i="2" s="1"/>
  <c r="Y303" i="2"/>
  <c r="Z303" i="2" s="1"/>
  <c r="Y228" i="2"/>
  <c r="Z228" i="2" s="1"/>
  <c r="Y752" i="2"/>
  <c r="Z752" i="2" s="1"/>
  <c r="Y678" i="2"/>
  <c r="Z678" i="2" s="1"/>
  <c r="Y498" i="2"/>
  <c r="Z498" i="2" s="1"/>
  <c r="Y693" i="2"/>
  <c r="Z693" i="2" s="1"/>
  <c r="Y313" i="2"/>
  <c r="Z313" i="2" s="1"/>
  <c r="Y258" i="2"/>
  <c r="Z258" i="2" s="1"/>
  <c r="Y55" i="2"/>
  <c r="Z55" i="2" s="1"/>
  <c r="Y19" i="2"/>
  <c r="Z19" i="2" s="1"/>
  <c r="Y771" i="2"/>
  <c r="Z771" i="2" s="1"/>
  <c r="Y427" i="2"/>
  <c r="Z427" i="2" s="1"/>
  <c r="Y67" i="2"/>
  <c r="Z67" i="2" s="1"/>
  <c r="Y517" i="2"/>
  <c r="Z517" i="2" s="1"/>
  <c r="Y719" i="2"/>
  <c r="Z719" i="2" s="1"/>
  <c r="Y696" i="2"/>
  <c r="Z696" i="2" s="1"/>
  <c r="Y84" i="2"/>
  <c r="Z84" i="2" s="1"/>
  <c r="Y755" i="2"/>
  <c r="Z755" i="2" s="1"/>
  <c r="Y603" i="2"/>
  <c r="Z603" i="2" s="1"/>
  <c r="Y613" i="2"/>
  <c r="Z613" i="2" s="1"/>
  <c r="Y604" i="2"/>
  <c r="Z604" i="2" s="1"/>
  <c r="Y472" i="2"/>
  <c r="Z472" i="2" s="1"/>
  <c r="Y762" i="2"/>
  <c r="Z762" i="2" s="1"/>
  <c r="Y485" i="2"/>
  <c r="Z485" i="2" s="1"/>
  <c r="Y124" i="2"/>
  <c r="Z124" i="2" s="1"/>
  <c r="Y495" i="2"/>
  <c r="Z495" i="2" s="1"/>
  <c r="Y406" i="2"/>
  <c r="Z406" i="2" s="1"/>
  <c r="Y536" i="2"/>
  <c r="Z536" i="2" s="1"/>
  <c r="Y330" i="2"/>
  <c r="Z330" i="2" s="1"/>
  <c r="Y394" i="2"/>
  <c r="Z394" i="2" s="1"/>
  <c r="Y704" i="2"/>
  <c r="Z704" i="2" s="1"/>
  <c r="Y669" i="2"/>
  <c r="Z669" i="2" s="1"/>
  <c r="Y608" i="2"/>
  <c r="Z608" i="2" s="1"/>
  <c r="Y492" i="2"/>
  <c r="Z492" i="2" s="1"/>
  <c r="Y453" i="2"/>
  <c r="Z453" i="2" s="1"/>
  <c r="Y404" i="2"/>
  <c r="Z404" i="2" s="1"/>
  <c r="Y332" i="2"/>
  <c r="Z332" i="2" s="1"/>
  <c r="Y359" i="2"/>
  <c r="Z359" i="2" s="1"/>
  <c r="Y230" i="2"/>
  <c r="Z230" i="2" s="1"/>
  <c r="Y70" i="2"/>
  <c r="Z70" i="2" s="1"/>
  <c r="Y39" i="2"/>
  <c r="Z39" i="2" s="1"/>
  <c r="Y21" i="2"/>
  <c r="Z21" i="2" s="1"/>
  <c r="Y643" i="2"/>
  <c r="Z643" i="2" s="1"/>
  <c r="Y288" i="2"/>
  <c r="Z288" i="2" s="1"/>
  <c r="Y82" i="2"/>
  <c r="Z82" i="2" s="1"/>
  <c r="Y439" i="2"/>
  <c r="Z439" i="2" s="1"/>
  <c r="Y800" i="2"/>
  <c r="Z800" i="2" s="1"/>
  <c r="Y710" i="2"/>
  <c r="Z710" i="2" s="1"/>
  <c r="Y697" i="2"/>
  <c r="Z697" i="2" s="1"/>
  <c r="Y395" i="2"/>
  <c r="Z395" i="2" s="1"/>
  <c r="Y350" i="2"/>
  <c r="Z350" i="2" s="1"/>
  <c r="Y296" i="2"/>
  <c r="Z296" i="2" s="1"/>
  <c r="Y684" i="2"/>
  <c r="Z684" i="2" s="1"/>
  <c r="Y707" i="2"/>
  <c r="Z707" i="2" s="1"/>
  <c r="Y520" i="2"/>
  <c r="Z520" i="2" s="1"/>
  <c r="Y344" i="2"/>
  <c r="Z344" i="2" s="1"/>
  <c r="Y374" i="2"/>
  <c r="Z374" i="2" s="1"/>
  <c r="Y264" i="2"/>
  <c r="Z264" i="2" s="1"/>
  <c r="Y570" i="2"/>
  <c r="Z570" i="2" s="1"/>
  <c r="Y541" i="2"/>
  <c r="Z541" i="2" s="1"/>
  <c r="Y674" i="2"/>
  <c r="Z674" i="2" s="1"/>
  <c r="Y529" i="2"/>
  <c r="Z529" i="2" s="1"/>
  <c r="Y467" i="2"/>
  <c r="Z467" i="2" s="1"/>
  <c r="Y273" i="2"/>
  <c r="Z273" i="2" s="1"/>
  <c r="Y363" i="2"/>
  <c r="Z363" i="2" s="1"/>
  <c r="Y307" i="2"/>
  <c r="Z307" i="2" s="1"/>
  <c r="Y43" i="2"/>
  <c r="Z43" i="2" s="1"/>
  <c r="Y293" i="2"/>
  <c r="Z293" i="2" s="1"/>
  <c r="Y455" i="2"/>
  <c r="Z455" i="2" s="1"/>
  <c r="Y309" i="2"/>
  <c r="Z309" i="2" s="1"/>
  <c r="Y27" i="2"/>
  <c r="Z27" i="2" s="1"/>
  <c r="Y50" i="2"/>
  <c r="Z50" i="2" s="1"/>
  <c r="Y457" i="2"/>
  <c r="Z457" i="2" s="1"/>
  <c r="Y92" i="2"/>
  <c r="Z92" i="2" s="1"/>
  <c r="Y744" i="2"/>
  <c r="Z744" i="2" s="1"/>
  <c r="Y513" i="2"/>
  <c r="Z513" i="2" s="1"/>
  <c r="Y598" i="2"/>
  <c r="Z598" i="2" s="1"/>
  <c r="Y562" i="2"/>
  <c r="Z562" i="2" s="1"/>
  <c r="Y370" i="2"/>
  <c r="Z370" i="2" s="1"/>
  <c r="Y213" i="2"/>
  <c r="Z213" i="2" s="1"/>
  <c r="Y93" i="2"/>
  <c r="Z93" i="2" s="1"/>
  <c r="Y59" i="2"/>
  <c r="Z59" i="2" s="1"/>
  <c r="Y740" i="2"/>
  <c r="Z740" i="2" s="1"/>
  <c r="Y691" i="2"/>
  <c r="Z691" i="2" s="1"/>
  <c r="Y456" i="2"/>
  <c r="Z456" i="2" s="1"/>
  <c r="Y419" i="2"/>
  <c r="Z419" i="2" s="1"/>
  <c r="Y243" i="2"/>
  <c r="Z243" i="2" s="1"/>
  <c r="Y69" i="2"/>
  <c r="Z69" i="2" s="1"/>
  <c r="Y38" i="2"/>
  <c r="Z38" i="2" s="1"/>
  <c r="Y20" i="2"/>
  <c r="Z20" i="2" s="1"/>
  <c r="Y45" i="2"/>
  <c r="Z45" i="2" s="1"/>
  <c r="Y90" i="2"/>
  <c r="Z90" i="2" s="1"/>
  <c r="Y74" i="2"/>
  <c r="Z74" i="2" s="1"/>
  <c r="Y239" i="2"/>
  <c r="Z239" i="2" s="1"/>
  <c r="Y766" i="2"/>
  <c r="Z766" i="2" s="1"/>
  <c r="Y111" i="2"/>
  <c r="Z111" i="2" s="1"/>
  <c r="Y106" i="2"/>
  <c r="Z106" i="2" s="1"/>
  <c r="Y11" i="2"/>
  <c r="Z11" i="2" s="1"/>
  <c r="Y743" i="2"/>
  <c r="Z743" i="2" s="1"/>
  <c r="Y718" i="2"/>
  <c r="Z718" i="2" s="1"/>
  <c r="Y721" i="2"/>
  <c r="Z721" i="2" s="1"/>
  <c r="Y583" i="2"/>
  <c r="Z583" i="2" s="1"/>
  <c r="Y631" i="2"/>
  <c r="Z631" i="2" s="1"/>
  <c r="Y488" i="2"/>
  <c r="Z488" i="2" s="1"/>
  <c r="Y384" i="2"/>
  <c r="Z384" i="2" s="1"/>
  <c r="Y433" i="2"/>
  <c r="Z433" i="2" s="1"/>
  <c r="Y321" i="2"/>
  <c r="Z321" i="2" s="1"/>
  <c r="Y245" i="2"/>
  <c r="Z245" i="2" s="1"/>
  <c r="Y227" i="2"/>
  <c r="Z227" i="2" s="1"/>
  <c r="Y83" i="2"/>
  <c r="Z83" i="2" s="1"/>
  <c r="Y36" i="2"/>
  <c r="Z36" i="2" s="1"/>
  <c r="Y653" i="2"/>
  <c r="Z653" i="2" s="1"/>
  <c r="Y463" i="2"/>
  <c r="Z463" i="2" s="1"/>
  <c r="Y758" i="2"/>
  <c r="Z758" i="2" s="1"/>
  <c r="Y722" i="2"/>
  <c r="Z722" i="2" s="1"/>
  <c r="Y622" i="2"/>
  <c r="Z622" i="2" s="1"/>
  <c r="Y586" i="2"/>
  <c r="Z586" i="2" s="1"/>
  <c r="Y761" i="2"/>
  <c r="Z761" i="2" s="1"/>
  <c r="Y720" i="2"/>
  <c r="Z720" i="2" s="1"/>
  <c r="Y797" i="2"/>
  <c r="Z797" i="2" s="1"/>
  <c r="Y780" i="2"/>
  <c r="Z780" i="2" s="1"/>
  <c r="Y642" i="2"/>
  <c r="Z642" i="2" s="1"/>
  <c r="Y596" i="2"/>
  <c r="Z596" i="2" s="1"/>
  <c r="Y542" i="2"/>
  <c r="Z542" i="2" s="1"/>
  <c r="Y301" i="2"/>
  <c r="Z301" i="2" s="1"/>
  <c r="Y263" i="2"/>
  <c r="Z263" i="2" s="1"/>
  <c r="Y254" i="2"/>
  <c r="Z254" i="2" s="1"/>
  <c r="Y57" i="2"/>
  <c r="Z57" i="2" s="1"/>
  <c r="Y561" i="2"/>
  <c r="Z561" i="2" s="1"/>
  <c r="Y471" i="2"/>
  <c r="Z471" i="2" s="1"/>
  <c r="Y357" i="2"/>
  <c r="Z357" i="2" s="1"/>
  <c r="Y378" i="2"/>
  <c r="Z378" i="2" s="1"/>
  <c r="Y121" i="2"/>
  <c r="Z121" i="2" s="1"/>
  <c r="Y656" i="2"/>
  <c r="Z656" i="2" s="1"/>
  <c r="Y525" i="2"/>
  <c r="Z525" i="2" s="1"/>
  <c r="Y99" i="2"/>
  <c r="Z99" i="2" s="1"/>
  <c r="Y88" i="2"/>
  <c r="Z88" i="2" s="1"/>
  <c r="Y668" i="2"/>
  <c r="Z668" i="2" s="1"/>
  <c r="Y434" i="2"/>
  <c r="Z434" i="2" s="1"/>
  <c r="Y208" i="2"/>
  <c r="Z208" i="2" s="1"/>
  <c r="Y242" i="2"/>
  <c r="Z242" i="2" s="1"/>
  <c r="Y502" i="2"/>
  <c r="Z502" i="2" s="1"/>
  <c r="Y349" i="2"/>
  <c r="Z349" i="2" s="1"/>
  <c r="Y715" i="2"/>
  <c r="Z715" i="2" s="1"/>
  <c r="Y688" i="2"/>
  <c r="Z688" i="2" s="1"/>
  <c r="Y662" i="2"/>
  <c r="Z662" i="2" s="1"/>
  <c r="Y549" i="2"/>
  <c r="Z549" i="2" s="1"/>
  <c r="Y401" i="2"/>
  <c r="Z401" i="2" s="1"/>
  <c r="Y383" i="2"/>
  <c r="Z383" i="2" s="1"/>
  <c r="Y276" i="2"/>
  <c r="Z276" i="2" s="1"/>
  <c r="Y218" i="2"/>
  <c r="Z218" i="2" s="1"/>
  <c r="Y633" i="2"/>
  <c r="Z633" i="2" s="1"/>
  <c r="Y566" i="2"/>
  <c r="Z566" i="2" s="1"/>
  <c r="Y221" i="2"/>
  <c r="Z221" i="2" s="1"/>
  <c r="Y714" i="2"/>
  <c r="Z714" i="2" s="1"/>
  <c r="Y606" i="2"/>
  <c r="Z606" i="2" s="1"/>
  <c r="Y655" i="2"/>
  <c r="Z655" i="2" s="1"/>
  <c r="Y220" i="2"/>
  <c r="Z220" i="2" s="1"/>
  <c r="Y255" i="2"/>
  <c r="Z255" i="2" s="1"/>
  <c r="Y210" i="2"/>
  <c r="Z210" i="2" s="1"/>
  <c r="Y80" i="2"/>
  <c r="Z80" i="2" s="1"/>
  <c r="Y61" i="2"/>
  <c r="Z61" i="2" s="1"/>
  <c r="Y25" i="2"/>
  <c r="Z25" i="2" s="1"/>
  <c r="Y738" i="2"/>
  <c r="Z738" i="2" s="1"/>
  <c r="Y756" i="2"/>
  <c r="Z756" i="2" s="1"/>
  <c r="Y686" i="2"/>
  <c r="Z686" i="2" s="1"/>
  <c r="Y416" i="2"/>
  <c r="Z416" i="2" s="1"/>
  <c r="Y229" i="2"/>
  <c r="Z229" i="2" s="1"/>
  <c r="Y703" i="2"/>
  <c r="Z703" i="2" s="1"/>
  <c r="Y757" i="2"/>
  <c r="Z757" i="2" s="1"/>
  <c r="Y338" i="2"/>
  <c r="Z338" i="2" s="1"/>
  <c r="Y564" i="2"/>
  <c r="Z564" i="2" s="1"/>
  <c r="Y438" i="2"/>
  <c r="Z438" i="2" s="1"/>
  <c r="Y9" i="2"/>
  <c r="Z9" i="2" s="1"/>
  <c r="Y269" i="2"/>
  <c r="Z269" i="2" s="1"/>
  <c r="Y695" i="2"/>
  <c r="Z695" i="2" s="1"/>
  <c r="Y375" i="2"/>
  <c r="Z375" i="2" s="1"/>
  <c r="Y300" i="2"/>
  <c r="Z300" i="2" s="1"/>
  <c r="Y407" i="2"/>
  <c r="Z407" i="2" s="1"/>
  <c r="Y98" i="2"/>
  <c r="Z98" i="2" s="1"/>
  <c r="Y591" i="2"/>
  <c r="Z591" i="2" s="1"/>
  <c r="Y733" i="2"/>
  <c r="Z733" i="2" s="1"/>
  <c r="Y667" i="2"/>
  <c r="Z667" i="2" s="1"/>
  <c r="Y727" i="2"/>
  <c r="Z727" i="2" s="1"/>
  <c r="Y315" i="2"/>
  <c r="Z315" i="2" s="1"/>
  <c r="Y311" i="2"/>
  <c r="Z311" i="2" s="1"/>
  <c r="Y26" i="2"/>
  <c r="Z26" i="2" s="1"/>
  <c r="Y8" i="2"/>
  <c r="Z8" i="2" s="1"/>
  <c r="Y49" i="2"/>
  <c r="Z49" i="2" s="1"/>
  <c r="Y13" i="2"/>
  <c r="Z13" i="2" s="1"/>
  <c r="Y773" i="2"/>
  <c r="Z773" i="2" s="1"/>
  <c r="Y708" i="2"/>
  <c r="Z708" i="2" s="1"/>
  <c r="Y578" i="2"/>
  <c r="Z578" i="2" s="1"/>
  <c r="Y445" i="2"/>
  <c r="Z445" i="2" s="1"/>
  <c r="Y534" i="2"/>
  <c r="Z534" i="2" s="1"/>
  <c r="Y480" i="2"/>
  <c r="Z480" i="2" s="1"/>
  <c r="Y399" i="2"/>
  <c r="Z399" i="2" s="1"/>
  <c r="Y275" i="2"/>
  <c r="Z275" i="2" s="1"/>
  <c r="Y81" i="2"/>
  <c r="Z81" i="2" s="1"/>
  <c r="Y729" i="2"/>
  <c r="Z729" i="2" s="1"/>
  <c r="Y731" i="2"/>
  <c r="Z731" i="2" s="1"/>
  <c r="Y554" i="2"/>
  <c r="Z554" i="2" s="1"/>
  <c r="Y509" i="2"/>
  <c r="Z509" i="2" s="1"/>
  <c r="Y778" i="2"/>
  <c r="Z778" i="2" s="1"/>
  <c r="Y535" i="2"/>
  <c r="Z535" i="2" s="1"/>
  <c r="Y500" i="2"/>
  <c r="Z500" i="2" s="1"/>
  <c r="Y215" i="2"/>
  <c r="Z215" i="2" s="1"/>
  <c r="Y437" i="2"/>
  <c r="Z437" i="2" s="1"/>
  <c r="Y299" i="2"/>
  <c r="Z299" i="2" s="1"/>
  <c r="Y396" i="2"/>
  <c r="Z396" i="2" s="1"/>
  <c r="Y76" i="2"/>
  <c r="Z76" i="2" s="1"/>
  <c r="Y518" i="2"/>
  <c r="Z518" i="2" s="1"/>
  <c r="Y305" i="2"/>
  <c r="Z305" i="2" s="1"/>
  <c r="Y569" i="2"/>
  <c r="Z569" i="2" s="1"/>
  <c r="Y110" i="2"/>
  <c r="Z110" i="2" s="1"/>
  <c r="Y763" i="2"/>
  <c r="Z763" i="2" s="1"/>
  <c r="Y587" i="2"/>
  <c r="Z587" i="2" s="1"/>
  <c r="Y577" i="2"/>
  <c r="Z577" i="2" s="1"/>
  <c r="Y266" i="2"/>
  <c r="Z266" i="2" s="1"/>
  <c r="Y261" i="2"/>
  <c r="Z261" i="2" s="1"/>
  <c r="Y204" i="2"/>
  <c r="Z204" i="2" s="1"/>
  <c r="Y597" i="2"/>
  <c r="Z597" i="2" s="1"/>
  <c r="Y698" i="2"/>
  <c r="Z698" i="2" s="1"/>
  <c r="Y294" i="2"/>
  <c r="Z294" i="2" s="1"/>
  <c r="Y646" i="2"/>
  <c r="Z646" i="2" s="1"/>
  <c r="Y625" i="2"/>
  <c r="Z625" i="2" s="1"/>
  <c r="Y504" i="2"/>
  <c r="Z504" i="2" s="1"/>
  <c r="Y421" i="2"/>
  <c r="Z421" i="2" s="1"/>
  <c r="Y371" i="2"/>
  <c r="Z371" i="2" s="1"/>
  <c r="Y413" i="2"/>
  <c r="Z413" i="2" s="1"/>
  <c r="Y793" i="2"/>
  <c r="Z793" i="2" s="1"/>
  <c r="Y750" i="2"/>
  <c r="Z750" i="2" s="1"/>
  <c r="Y547" i="2"/>
  <c r="Z547" i="2" s="1"/>
  <c r="Y601" i="2"/>
  <c r="Z601" i="2" s="1"/>
  <c r="Y527" i="2"/>
  <c r="Z527" i="2" s="1"/>
  <c r="Y503" i="2"/>
  <c r="Z503" i="2" s="1"/>
  <c r="Y341" i="2"/>
  <c r="Z341" i="2" s="1"/>
  <c r="Y116" i="2"/>
  <c r="Z116" i="2" s="1"/>
  <c r="Y257" i="2"/>
  <c r="Z257" i="2" s="1"/>
  <c r="Y611" i="2"/>
  <c r="Z611" i="2" s="1"/>
  <c r="Y711" i="2"/>
  <c r="Z711" i="2" s="1"/>
  <c r="Y712" i="2"/>
  <c r="Z712" i="2" s="1"/>
  <c r="Y281" i="2"/>
  <c r="Z281" i="2" s="1"/>
  <c r="Y705" i="2"/>
  <c r="Z705" i="2" s="1"/>
  <c r="Y638" i="2"/>
  <c r="Z638" i="2" s="1"/>
  <c r="Y627" i="2"/>
  <c r="Z627" i="2" s="1"/>
  <c r="Y507" i="2"/>
  <c r="Z507" i="2" s="1"/>
  <c r="Y568" i="2"/>
  <c r="Z568" i="2" s="1"/>
  <c r="Y524" i="2"/>
  <c r="Z524" i="2" s="1"/>
  <c r="Y430" i="2"/>
  <c r="Z430" i="2" s="1"/>
  <c r="Y358" i="2"/>
  <c r="Z358" i="2" s="1"/>
  <c r="Y345" i="2"/>
  <c r="Z345" i="2" s="1"/>
  <c r="Y237" i="2"/>
  <c r="Z237" i="2" s="1"/>
  <c r="Y781" i="2"/>
  <c r="Z781" i="2" s="1"/>
  <c r="Y440" i="2"/>
  <c r="Z440" i="2" s="1"/>
  <c r="Y360" i="2"/>
  <c r="Z360" i="2" s="1"/>
  <c r="Y320" i="2"/>
  <c r="Z320" i="2" s="1"/>
  <c r="Y636" i="2"/>
  <c r="Z636" i="2" s="1"/>
  <c r="Y337" i="2"/>
  <c r="Z337" i="2" s="1"/>
  <c r="Y314" i="2"/>
  <c r="Z314" i="2" s="1"/>
  <c r="Y252" i="2"/>
  <c r="Z252" i="2" s="1"/>
  <c r="Y267" i="2"/>
  <c r="Z267" i="2" s="1"/>
  <c r="Y236" i="2"/>
  <c r="Z236" i="2" s="1"/>
  <c r="Y22" i="2"/>
  <c r="Z22" i="2" s="1"/>
  <c r="Y685" i="2"/>
  <c r="Z685" i="2" s="1"/>
  <c r="Y594" i="2"/>
  <c r="Z594" i="2" s="1"/>
  <c r="Y565" i="2"/>
  <c r="Z565" i="2" s="1"/>
  <c r="Y523" i="2"/>
  <c r="Z523" i="2" s="1"/>
  <c r="Y505" i="2"/>
  <c r="Z505" i="2" s="1"/>
  <c r="Y87" i="2"/>
  <c r="Z87" i="2" s="1"/>
  <c r="Y389" i="2"/>
  <c r="Z389" i="2" s="1"/>
  <c r="Y368" i="2"/>
  <c r="Z368" i="2" s="1"/>
  <c r="Y735" i="2"/>
  <c r="Z735" i="2" s="1"/>
  <c r="Y626" i="2"/>
  <c r="Z626" i="2" s="1"/>
  <c r="Y512" i="2"/>
  <c r="Z512" i="2" s="1"/>
  <c r="Y460" i="2"/>
  <c r="Z460" i="2" s="1"/>
  <c r="Y393" i="2"/>
  <c r="Z393" i="2" s="1"/>
  <c r="Y298" i="2"/>
  <c r="Z298" i="2" s="1"/>
  <c r="Y262" i="2"/>
  <c r="Z262" i="2" s="1"/>
  <c r="Y226" i="2"/>
  <c r="Z226" i="2" s="1"/>
  <c r="Y112" i="2"/>
  <c r="Z112" i="2" s="1"/>
  <c r="Y222" i="2"/>
  <c r="Z222" i="2" s="1"/>
  <c r="Y779" i="2"/>
  <c r="Z779" i="2" s="1"/>
  <c r="Y746" i="2"/>
  <c r="Z746" i="2" s="1"/>
  <c r="Y664" i="2"/>
  <c r="Z664" i="2" s="1"/>
  <c r="Y682" i="2"/>
  <c r="Z682" i="2" s="1"/>
  <c r="Y652" i="2"/>
  <c r="Z652" i="2" s="1"/>
  <c r="Y629" i="2"/>
  <c r="Z629" i="2" s="1"/>
  <c r="Y618" i="2"/>
  <c r="Z618" i="2" s="1"/>
  <c r="Y700" i="2"/>
  <c r="Z700" i="2" s="1"/>
  <c r="Y576" i="2"/>
  <c r="Z576" i="2" s="1"/>
  <c r="Y589" i="2"/>
  <c r="Z589" i="2" s="1"/>
  <c r="Y528" i="2"/>
  <c r="Z528" i="2" s="1"/>
  <c r="Y468" i="2"/>
  <c r="Z468" i="2" s="1"/>
  <c r="Y420" i="2"/>
  <c r="Z420" i="2" s="1"/>
  <c r="Y362" i="2"/>
  <c r="Z362" i="2" s="1"/>
  <c r="Y335" i="2"/>
  <c r="Z335" i="2" s="1"/>
  <c r="Y506" i="2"/>
  <c r="Z506" i="2" s="1"/>
  <c r="Y481" i="2"/>
  <c r="Z481" i="2" s="1"/>
  <c r="Y635" i="2"/>
  <c r="Z635" i="2" s="1"/>
  <c r="Y792" i="2"/>
  <c r="Z792" i="2" s="1"/>
  <c r="Y658" i="2"/>
  <c r="Z658" i="2" s="1"/>
  <c r="Y677" i="2"/>
  <c r="Z677" i="2" s="1"/>
  <c r="Y645" i="2"/>
  <c r="Z645" i="2" s="1"/>
  <c r="Y621" i="2"/>
  <c r="Z621" i="2" s="1"/>
  <c r="Y600" i="2"/>
  <c r="Z600" i="2" s="1"/>
  <c r="Y373" i="2"/>
  <c r="Z373" i="2" s="1"/>
  <c r="Y659" i="2"/>
  <c r="Z659" i="2" s="1"/>
  <c r="Y522" i="2"/>
  <c r="Z522" i="2" s="1"/>
  <c r="Y449" i="2"/>
  <c r="Z449" i="2" s="1"/>
  <c r="Y308" i="2"/>
  <c r="Z308" i="2" s="1"/>
  <c r="Y285" i="2"/>
  <c r="Z285" i="2" s="1"/>
  <c r="Y16" i="2"/>
  <c r="Z16" i="2" s="1"/>
  <c r="Y556" i="2"/>
  <c r="Z556" i="2" s="1"/>
  <c r="Y490" i="2"/>
  <c r="Z490" i="2" s="1"/>
  <c r="Y346" i="2"/>
  <c r="Z346" i="2" s="1"/>
  <c r="Y256" i="2"/>
  <c r="Z256" i="2" s="1"/>
  <c r="Y402" i="2"/>
  <c r="Z402" i="2" s="1"/>
  <c r="Y225" i="2"/>
  <c r="Z225" i="2" s="1"/>
  <c r="Y117" i="2"/>
  <c r="Z117" i="2" s="1"/>
  <c r="Y784" i="2"/>
  <c r="Z784" i="2" s="1"/>
  <c r="Y776" i="2"/>
  <c r="Z776" i="2" s="1"/>
  <c r="Y706" i="2"/>
  <c r="Z706" i="2" s="1"/>
  <c r="Y663" i="2"/>
  <c r="Z663" i="2" s="1"/>
  <c r="Y617" i="2"/>
  <c r="Z617" i="2" s="1"/>
  <c r="Y579" i="2"/>
  <c r="Z579" i="2" s="1"/>
  <c r="Y499" i="2"/>
  <c r="Z499" i="2" s="1"/>
  <c r="Y361" i="2"/>
  <c r="Z361" i="2" s="1"/>
  <c r="Y397" i="2"/>
  <c r="Z397" i="2" s="1"/>
  <c r="Y324" i="2"/>
  <c r="Z324" i="2" s="1"/>
  <c r="Y251" i="2"/>
  <c r="Z251" i="2" s="1"/>
  <c r="Y231" i="2"/>
  <c r="Z231" i="2" s="1"/>
  <c r="Y246" i="2"/>
  <c r="Z246" i="2" s="1"/>
  <c r="Y51" i="2"/>
  <c r="Z51" i="2" s="1"/>
  <c r="Y79" i="2"/>
  <c r="Z79" i="2" s="1"/>
  <c r="Y56" i="2"/>
  <c r="Z56" i="2" s="1"/>
  <c r="Y390" i="2"/>
  <c r="Z390" i="2" s="1"/>
  <c r="Y550" i="2"/>
  <c r="Z550" i="2" s="1"/>
  <c r="Y526" i="2"/>
  <c r="Z526" i="2" s="1"/>
  <c r="Y100" i="2"/>
  <c r="Z100" i="2" s="1"/>
  <c r="Y414" i="2"/>
  <c r="Z414" i="2" s="1"/>
  <c r="Y53" i="2"/>
  <c r="Z53" i="2" s="1"/>
  <c r="Y58" i="2"/>
  <c r="Z58" i="2" s="1"/>
  <c r="Y23" i="2"/>
  <c r="Z23" i="2" s="1"/>
  <c r="Y699" i="2"/>
  <c r="Z699" i="2" s="1"/>
  <c r="Y511" i="2"/>
  <c r="Z511" i="2" s="1"/>
  <c r="Y482" i="2"/>
  <c r="Z482" i="2" s="1"/>
  <c r="Y429" i="2"/>
  <c r="Z429" i="2" s="1"/>
  <c r="Y411" i="2"/>
  <c r="Z411" i="2" s="1"/>
  <c r="Y391" i="2"/>
  <c r="Z391" i="2" s="1"/>
  <c r="Y272" i="2"/>
  <c r="Z272" i="2" s="1"/>
  <c r="Y12" i="2"/>
  <c r="Z12" i="2" s="1"/>
  <c r="Y216" i="2"/>
  <c r="Z216" i="2" s="1"/>
  <c r="Y277" i="2"/>
  <c r="Z277" i="2" s="1"/>
  <c r="Y224" i="2"/>
  <c r="Z224" i="2" s="1"/>
  <c r="Y670" i="2"/>
  <c r="Z670" i="2" s="1"/>
  <c r="Y493" i="2"/>
  <c r="Z493" i="2" s="1"/>
  <c r="Y295" i="2"/>
  <c r="Z295" i="2" s="1"/>
  <c r="Y104" i="2"/>
  <c r="Z104" i="2" s="1"/>
  <c r="Y28" i="2"/>
  <c r="Z28" i="2" s="1"/>
  <c r="Y120" i="2"/>
  <c r="Z120" i="2" s="1"/>
  <c r="Y423" i="2"/>
  <c r="Z423" i="2" s="1"/>
  <c r="Y302" i="2"/>
  <c r="Z302" i="2" s="1"/>
  <c r="Y248" i="2"/>
  <c r="Z248" i="2" s="1"/>
  <c r="Y353" i="2"/>
  <c r="Z353" i="2" s="1"/>
  <c r="Y717" i="2"/>
  <c r="Z717" i="2" s="1"/>
  <c r="Y739" i="2"/>
  <c r="Z739" i="2" s="1"/>
  <c r="Y369" i="2"/>
  <c r="Z369" i="2" s="1"/>
  <c r="Y94" i="2"/>
  <c r="Z94" i="2" s="1"/>
  <c r="Y123" i="2"/>
  <c r="Z123" i="2" s="1"/>
  <c r="Y89" i="2"/>
  <c r="Z89" i="2" s="1"/>
  <c r="Y234" i="2"/>
  <c r="Z234" i="2" s="1"/>
  <c r="Y713" i="2"/>
  <c r="Z713" i="2" s="1"/>
  <c r="Y657" i="2"/>
  <c r="Z657" i="2" s="1"/>
  <c r="Y619" i="2"/>
  <c r="Z619" i="2" s="1"/>
  <c r="Y673" i="2"/>
  <c r="Z673" i="2" s="1"/>
  <c r="Y590" i="2"/>
  <c r="Z590" i="2" s="1"/>
  <c r="Y573" i="2"/>
  <c r="Z573" i="2" s="1"/>
  <c r="Y548" i="2"/>
  <c r="Z548" i="2" s="1"/>
  <c r="Y515" i="2"/>
  <c r="Z515" i="2" s="1"/>
  <c r="Y447" i="2"/>
  <c r="Z447" i="2" s="1"/>
  <c r="Y571" i="2"/>
  <c r="Z571" i="2" s="1"/>
  <c r="Y552" i="2"/>
  <c r="Z552" i="2" s="1"/>
  <c r="Y510" i="2"/>
  <c r="Z510" i="2" s="1"/>
  <c r="Y477" i="2"/>
  <c r="Z477" i="2" s="1"/>
  <c r="Y461" i="2"/>
  <c r="Z461" i="2" s="1"/>
  <c r="Y443" i="2"/>
  <c r="Z443" i="2" s="1"/>
  <c r="Y392" i="2"/>
  <c r="Z392" i="2" s="1"/>
  <c r="Y356" i="2"/>
  <c r="Z356" i="2" s="1"/>
  <c r="Y339" i="2"/>
  <c r="Z339" i="2" s="1"/>
  <c r="Y325" i="2"/>
  <c r="Z325" i="2" s="1"/>
  <c r="Y458" i="2"/>
  <c r="Z458" i="2" s="1"/>
  <c r="Y323" i="2"/>
  <c r="Z323" i="2" s="1"/>
  <c r="Y203" i="2"/>
  <c r="Z203" i="2" s="1"/>
  <c r="Y661" i="2"/>
  <c r="Z661" i="2" s="1"/>
  <c r="Y749" i="2"/>
  <c r="Z749" i="2" s="1"/>
  <c r="Y725" i="2"/>
  <c r="Z725" i="2" s="1"/>
  <c r="Y628" i="2"/>
  <c r="Z628" i="2" s="1"/>
  <c r="Y602" i="2"/>
  <c r="Z602" i="2" s="1"/>
  <c r="Y555" i="2"/>
  <c r="Z555" i="2" s="1"/>
  <c r="Y521" i="2"/>
  <c r="Z521" i="2" s="1"/>
  <c r="Y410" i="2"/>
  <c r="Z410" i="2" s="1"/>
  <c r="Y347" i="2"/>
  <c r="Z347" i="2" s="1"/>
  <c r="Y287" i="2"/>
  <c r="Z287" i="2" s="1"/>
  <c r="Y462" i="2"/>
  <c r="Z462" i="2" s="1"/>
  <c r="Y415" i="2"/>
  <c r="Z415" i="2" s="1"/>
  <c r="Y312" i="2"/>
  <c r="Z312" i="2" s="1"/>
  <c r="Y632" i="2"/>
  <c r="Z632" i="2" s="1"/>
  <c r="Y122" i="2"/>
  <c r="Z122" i="2" s="1"/>
  <c r="Y52" i="2"/>
  <c r="Z52" i="2" s="1"/>
  <c r="Y790" i="2"/>
  <c r="Z790" i="2" s="1"/>
  <c r="Y775" i="2"/>
  <c r="Z775" i="2" s="1"/>
  <c r="Y753" i="2"/>
  <c r="Z753" i="2" s="1"/>
  <c r="Y701" i="2"/>
  <c r="Z701" i="2" s="1"/>
  <c r="Y690" i="2"/>
  <c r="Z690" i="2" s="1"/>
  <c r="Y681" i="2"/>
  <c r="Z681" i="2" s="1"/>
  <c r="Y584" i="2"/>
  <c r="Z584" i="2" s="1"/>
  <c r="Y408" i="2"/>
  <c r="Z408" i="2" s="1"/>
  <c r="Y355" i="2"/>
  <c r="Z355" i="2" s="1"/>
  <c r="Y380" i="2"/>
  <c r="Z380" i="2" s="1"/>
  <c r="Y205" i="2"/>
  <c r="Z205" i="2" s="1"/>
  <c r="Y33" i="2"/>
  <c r="Z33" i="2" s="1"/>
  <c r="Y15" i="2"/>
  <c r="Z15" i="2" s="1"/>
  <c r="Y37" i="2"/>
  <c r="Z37" i="2" s="1"/>
  <c r="Y615" i="2"/>
  <c r="Z615" i="2" s="1"/>
  <c r="Y599" i="2"/>
  <c r="Z599" i="2" s="1"/>
  <c r="Y367" i="2"/>
  <c r="Z367" i="2" s="1"/>
  <c r="Y593" i="2"/>
  <c r="Z593" i="2" s="1"/>
  <c r="Y754" i="2"/>
  <c r="Z754" i="2" s="1"/>
  <c r="Y532" i="2"/>
  <c r="Z532" i="2" s="1"/>
  <c r="Y454" i="2"/>
  <c r="Z454" i="2" s="1"/>
  <c r="Y418" i="2"/>
  <c r="Z418" i="2" s="1"/>
  <c r="Y382" i="2"/>
  <c r="Z382" i="2" s="1"/>
  <c r="Y405" i="2"/>
  <c r="Z405" i="2" s="1"/>
  <c r="Y118" i="2"/>
  <c r="Z118" i="2" s="1"/>
  <c r="Y65" i="2"/>
  <c r="Z65" i="2" s="1"/>
  <c r="Y46" i="2"/>
  <c r="Z46" i="2" s="1"/>
  <c r="Y789" i="2"/>
  <c r="Z789" i="2" s="1"/>
  <c r="Y785" i="2"/>
  <c r="Z785" i="2" s="1"/>
  <c r="Y751" i="2"/>
  <c r="Z751" i="2" s="1"/>
  <c r="Y737" i="2"/>
  <c r="Z737" i="2" s="1"/>
  <c r="Y723" i="2"/>
  <c r="Z723" i="2" s="1"/>
  <c r="Y694" i="2"/>
  <c r="Z694" i="2" s="1"/>
  <c r="Y692" i="2"/>
  <c r="Z692" i="2" s="1"/>
  <c r="Y709" i="2"/>
  <c r="Z709" i="2" s="1"/>
  <c r="Y641" i="2"/>
  <c r="Z641" i="2" s="1"/>
  <c r="Y624" i="2"/>
  <c r="Z624" i="2" s="1"/>
  <c r="Y614" i="2"/>
  <c r="Z614" i="2" s="1"/>
  <c r="Y354" i="2"/>
  <c r="Z354" i="2" s="1"/>
  <c r="Y108" i="2"/>
  <c r="Z108" i="2" s="1"/>
  <c r="Y115" i="2"/>
  <c r="Z115" i="2" s="1"/>
  <c r="Y103" i="2"/>
  <c r="Z103" i="2" s="1"/>
  <c r="Y782" i="2"/>
  <c r="Z782" i="2" s="1"/>
  <c r="Y650" i="2"/>
  <c r="Z650" i="2" s="1"/>
  <c r="Y748" i="2"/>
  <c r="Z748" i="2" s="1"/>
  <c r="Y508" i="2"/>
  <c r="Z508" i="2" s="1"/>
  <c r="Y448" i="2"/>
  <c r="Z448" i="2" s="1"/>
  <c r="Y119" i="2"/>
  <c r="Z119" i="2" s="1"/>
  <c r="Y41" i="2"/>
  <c r="Z41" i="2" s="1"/>
  <c r="Y5" i="2"/>
  <c r="Z5" i="2" s="1"/>
  <c r="Y702" i="2"/>
  <c r="Z702" i="2" s="1"/>
  <c r="Y671" i="2"/>
  <c r="Z671" i="2" s="1"/>
  <c r="Y687" i="2"/>
  <c r="Z687" i="2" s="1"/>
  <c r="Y260" i="2"/>
  <c r="Z260" i="2" s="1"/>
  <c r="Y40" i="2"/>
  <c r="Z40" i="2" s="1"/>
  <c r="Y17" i="3"/>
  <c r="Z4" i="3"/>
  <c r="Z17" i="3" s="1"/>
  <c r="Y742" i="2"/>
  <c r="Z742" i="2" s="1"/>
  <c r="Y543" i="2"/>
  <c r="Z543" i="2" s="1"/>
  <c r="Y616" i="2"/>
  <c r="Z616" i="2" s="1"/>
  <c r="Y544" i="2"/>
  <c r="Z544" i="2" s="1"/>
  <c r="Y478" i="2"/>
  <c r="Z478" i="2" s="1"/>
  <c r="Y442" i="2"/>
  <c r="Z442" i="2" s="1"/>
  <c r="Y212" i="2"/>
  <c r="Z212" i="2" s="1"/>
  <c r="Y113" i="2"/>
  <c r="Z113" i="2" s="1"/>
  <c r="Y35" i="2"/>
  <c r="Z35" i="2" s="1"/>
  <c r="Y794" i="2"/>
  <c r="Z794" i="2" s="1"/>
  <c r="Y772" i="2"/>
  <c r="Z772" i="2" s="1"/>
  <c r="Y732" i="2"/>
  <c r="Z732" i="2" s="1"/>
  <c r="Y623" i="2"/>
  <c r="Z623" i="2" s="1"/>
  <c r="Y612" i="2"/>
  <c r="Z612" i="2" s="1"/>
  <c r="Y607" i="2"/>
  <c r="Z607" i="2" s="1"/>
  <c r="Y546" i="2"/>
  <c r="Z546" i="2" s="1"/>
  <c r="Y514" i="2"/>
  <c r="Z514" i="2" s="1"/>
  <c r="Y496" i="2"/>
  <c r="Z496" i="2" s="1"/>
  <c r="Y465" i="2"/>
  <c r="Z465" i="2" s="1"/>
  <c r="Y398" i="2"/>
  <c r="Z398" i="2" s="1"/>
  <c r="Y377" i="2"/>
  <c r="Z377" i="2" s="1"/>
  <c r="Y348" i="2"/>
  <c r="Z348" i="2" s="1"/>
  <c r="Y487" i="2"/>
  <c r="Z487" i="2" s="1"/>
  <c r="Y452" i="2"/>
  <c r="Z452" i="2" s="1"/>
  <c r="Y435" i="2"/>
  <c r="Z435" i="2" s="1"/>
  <c r="Y403" i="2"/>
  <c r="Z403" i="2" s="1"/>
  <c r="Y385" i="2"/>
  <c r="Z385" i="2" s="1"/>
  <c r="Y283" i="2"/>
  <c r="Z283" i="2" s="1"/>
  <c r="Y114" i="2"/>
  <c r="Z114" i="2" s="1"/>
  <c r="Y259" i="2"/>
  <c r="Z259" i="2" s="1"/>
  <c r="Y77" i="2"/>
  <c r="Z77" i="2" s="1"/>
  <c r="Y379" i="2"/>
  <c r="Z379" i="2" s="1"/>
  <c r="Y343" i="2"/>
  <c r="Z343" i="2" s="1"/>
  <c r="Y317" i="2"/>
  <c r="Z317" i="2" s="1"/>
  <c r="Y240" i="2"/>
  <c r="Z240" i="2" s="1"/>
  <c r="Y91" i="2"/>
  <c r="Z91" i="2" s="1"/>
  <c r="Y10" i="2"/>
  <c r="Z10" i="2" s="1"/>
  <c r="Y34" i="2"/>
  <c r="Z34" i="2" s="1"/>
  <c r="Y537" i="2"/>
  <c r="Z537" i="2" s="1"/>
  <c r="Y610" i="2"/>
  <c r="Z610" i="2" s="1"/>
  <c r="Y574" i="2"/>
  <c r="Z574" i="2" s="1"/>
  <c r="Y436" i="2"/>
  <c r="Z436" i="2" s="1"/>
  <c r="Y501" i="2"/>
  <c r="Z501" i="2" s="1"/>
  <c r="Y381" i="2"/>
  <c r="Z381" i="2" s="1"/>
  <c r="Y268" i="2"/>
  <c r="Z268" i="2" s="1"/>
  <c r="Y107" i="2"/>
  <c r="Z107" i="2" s="1"/>
  <c r="Y47" i="2"/>
  <c r="Z47" i="2" s="1"/>
  <c r="Y64" i="2"/>
  <c r="Z64" i="2" s="1"/>
  <c r="Y29" i="2"/>
  <c r="Z29" i="2" s="1"/>
  <c r="Y567" i="2"/>
  <c r="Z567" i="2" s="1"/>
  <c r="Y639" i="2"/>
  <c r="Z639" i="2" s="1"/>
  <c r="Y588" i="2"/>
  <c r="Z588" i="2" s="1"/>
  <c r="Y540" i="2"/>
  <c r="Z540" i="2" s="1"/>
  <c r="Y545" i="2"/>
  <c r="Z545" i="2" s="1"/>
  <c r="Y497" i="2"/>
  <c r="Z497" i="2" s="1"/>
  <c r="Y450" i="2"/>
  <c r="Z450" i="2" s="1"/>
  <c r="Y572" i="2"/>
  <c r="Z572" i="2" s="1"/>
  <c r="Y557" i="2"/>
  <c r="Z557" i="2" s="1"/>
  <c r="Y474" i="2"/>
  <c r="Z474" i="2" s="1"/>
  <c r="Y326" i="2"/>
  <c r="Z326" i="2" s="1"/>
  <c r="Y459" i="2"/>
  <c r="Z459" i="2" s="1"/>
  <c r="Y318" i="2"/>
  <c r="Z318" i="2" s="1"/>
  <c r="Y306" i="2"/>
  <c r="Z306" i="2" s="1"/>
  <c r="Y290" i="2"/>
  <c r="Z290" i="2" s="1"/>
  <c r="Y265" i="2"/>
  <c r="Z265" i="2" s="1"/>
  <c r="Y235" i="2"/>
  <c r="Z235" i="2" s="1"/>
  <c r="Y30" i="2"/>
  <c r="Z30" i="2" s="1"/>
  <c r="Y7" i="2"/>
  <c r="Z7" i="2" s="1"/>
  <c r="Y630" i="2"/>
  <c r="Z630" i="2" s="1"/>
  <c r="Y575" i="2"/>
  <c r="Z575" i="2" s="1"/>
  <c r="Y63" i="2"/>
  <c r="Z63" i="2" s="1"/>
  <c r="Y62" i="2"/>
  <c r="Z62" i="2" s="1"/>
  <c r="Y18" i="2"/>
  <c r="Z18" i="2" s="1"/>
  <c r="Y73" i="2"/>
  <c r="Z73" i="2" s="1"/>
  <c r="Y651" i="2"/>
  <c r="Z651" i="2" s="1"/>
  <c r="Y553" i="2"/>
  <c r="Z553" i="2" s="1"/>
  <c r="Y464" i="2"/>
  <c r="Z464" i="2" s="1"/>
  <c r="Y444" i="2"/>
  <c r="Z444" i="2" s="1"/>
  <c r="Y233" i="2"/>
  <c r="Z233" i="2" s="1"/>
  <c r="Y211" i="2"/>
  <c r="Z211" i="2" s="1"/>
  <c r="Y466" i="2"/>
  <c r="Z466" i="2" s="1"/>
  <c r="Y333" i="2"/>
  <c r="Z333" i="2" s="1"/>
  <c r="Y473" i="2"/>
  <c r="Z473" i="2" s="1"/>
  <c r="Y788" i="2"/>
  <c r="Z788" i="2" s="1"/>
  <c r="Y769" i="2"/>
  <c r="Z769" i="2" s="1"/>
  <c r="Y716" i="2"/>
  <c r="Z716" i="2" s="1"/>
  <c r="Y680" i="2"/>
  <c r="Z680" i="2" s="1"/>
  <c r="Y582" i="2"/>
  <c r="Z582" i="2" s="1"/>
  <c r="Y446" i="2"/>
  <c r="Z446" i="2" s="1"/>
  <c r="Y476" i="2"/>
  <c r="Z476" i="2" s="1"/>
  <c r="Y441" i="2"/>
  <c r="Z441" i="2" s="1"/>
  <c r="Y249" i="2"/>
  <c r="Z249" i="2" s="1"/>
  <c r="Y206" i="2"/>
  <c r="Z206" i="2" s="1"/>
  <c r="Y42" i="2"/>
  <c r="Z42" i="2" s="1"/>
  <c r="Y24" i="2"/>
  <c r="Z24" i="2" s="1"/>
  <c r="Y6" i="2"/>
  <c r="Z6" i="2" s="1"/>
  <c r="Y68" i="2"/>
  <c r="Z68" i="2" s="1"/>
  <c r="Y44" i="2"/>
  <c r="Z44" i="2" s="1"/>
  <c r="Y247" i="2"/>
  <c r="Z247" i="2" s="1"/>
  <c r="Y765" i="2"/>
  <c r="Z765" i="2" s="1"/>
  <c r="Y741" i="2"/>
  <c r="Z741" i="2" s="1"/>
  <c r="Y105" i="2"/>
  <c r="Z105" i="2" s="1"/>
  <c r="Y647" i="2"/>
  <c r="Z647" i="2" s="1"/>
  <c r="Y672" i="2"/>
  <c r="Z672" i="2" s="1"/>
  <c r="Y637" i="2"/>
  <c r="Z637" i="2" s="1"/>
  <c r="Y620" i="2"/>
  <c r="Z620" i="2" s="1"/>
  <c r="Y551" i="2"/>
  <c r="Z551" i="2" s="1"/>
  <c r="Y595" i="2"/>
  <c r="Z595" i="2" s="1"/>
  <c r="Y585" i="2"/>
  <c r="Z585" i="2" s="1"/>
  <c r="Y539" i="2"/>
  <c r="Z539" i="2" s="1"/>
  <c r="Y491" i="2"/>
  <c r="Z491" i="2" s="1"/>
  <c r="Y475" i="2"/>
  <c r="Z475" i="2" s="1"/>
  <c r="Y409" i="2"/>
  <c r="Z409" i="2" s="1"/>
  <c r="Y289" i="2"/>
  <c r="Z289" i="2" s="1"/>
  <c r="Y209" i="2"/>
  <c r="Z209" i="2" s="1"/>
  <c r="Y279" i="2"/>
  <c r="Z279" i="2" s="1"/>
  <c r="Y97" i="2"/>
  <c r="Z97" i="2" s="1"/>
  <c r="Y78" i="2"/>
  <c r="Z78" i="2" s="1"/>
  <c r="Y563" i="2"/>
  <c r="Z563" i="2" s="1"/>
  <c r="Y764" i="2"/>
  <c r="Z764" i="2" s="1"/>
  <c r="Y760" i="2"/>
  <c r="Z760" i="2" s="1"/>
  <c r="Y640" i="2"/>
  <c r="Z640" i="2" s="1"/>
  <c r="Y580" i="2"/>
  <c r="Z580" i="2" s="1"/>
  <c r="Y17" i="2"/>
  <c r="Z17" i="2" s="1"/>
  <c r="Y786" i="2"/>
  <c r="Z786" i="2" s="1"/>
  <c r="Y768" i="2"/>
  <c r="Z768" i="2" s="1"/>
  <c r="Y791" i="2"/>
  <c r="Z791" i="2" s="1"/>
  <c r="Y726" i="2"/>
  <c r="Z726" i="2" s="1"/>
  <c r="Y351" i="2"/>
  <c r="Z351" i="2" s="1"/>
  <c r="Y292" i="2"/>
  <c r="Z292" i="2" s="1"/>
  <c r="Y271" i="2"/>
  <c r="Z271" i="2" s="1"/>
  <c r="Y253" i="2"/>
  <c r="Z253" i="2" s="1"/>
  <c r="Y424" i="2"/>
  <c r="Z424" i="2" s="1"/>
  <c r="Y581" i="2"/>
  <c r="Z581" i="2" s="1"/>
  <c r="Y72" i="2"/>
  <c r="Z72" i="2" s="1"/>
  <c r="Y60" i="2"/>
  <c r="Z60" i="2" s="1"/>
  <c r="Y48" i="2"/>
  <c r="Z48" i="2" s="1"/>
  <c r="Y736" i="2"/>
  <c r="Z736" i="2" s="1"/>
  <c r="Y483" i="2"/>
  <c r="Z483" i="2" s="1"/>
  <c r="Y675" i="2"/>
  <c r="Z675" i="2" s="1"/>
  <c r="Y66" i="2"/>
  <c r="Z66" i="2" s="1"/>
  <c r="Y54" i="2"/>
  <c r="Z54" i="2" s="1"/>
  <c r="Y428" i="2"/>
  <c r="Z428" i="2" s="1"/>
  <c r="W801" i="2"/>
  <c r="Y724" i="2"/>
  <c r="Z724" i="2" s="1"/>
  <c r="Y388" i="2"/>
  <c r="Z388" i="2" s="1"/>
  <c r="Y352" i="2"/>
  <c r="Z352" i="2" s="1"/>
  <c r="X801" i="2"/>
  <c r="Y207" i="2"/>
  <c r="Z207" i="2" s="1"/>
  <c r="T801" i="2"/>
  <c r="Y4" i="2"/>
  <c r="Y316" i="2"/>
  <c r="Z316" i="2" s="1"/>
  <c r="Y730" i="2"/>
  <c r="Z730" i="2" s="1"/>
  <c r="Y648" i="2"/>
  <c r="Z648" i="2" s="1"/>
  <c r="Y660" i="2"/>
  <c r="Z660" i="2" s="1"/>
  <c r="Y412" i="2"/>
  <c r="Z412" i="2" s="1"/>
  <c r="Y376" i="2"/>
  <c r="Z376" i="2" s="1"/>
  <c r="Y340" i="2"/>
  <c r="Z340" i="2" s="1"/>
  <c r="Y238" i="2"/>
  <c r="Z238" i="2" s="1"/>
  <c r="Y250" i="2"/>
  <c r="Z250" i="2" s="1"/>
  <c r="Y274" i="2"/>
  <c r="Z274" i="2" s="1"/>
  <c r="V801" i="2"/>
  <c r="Y244" i="2"/>
  <c r="Z244" i="2" s="1"/>
  <c r="Y286" i="2"/>
  <c r="Z286" i="2" s="1"/>
  <c r="Y232" i="2"/>
  <c r="Z232" i="2" s="1"/>
  <c r="Y654" i="2"/>
  <c r="Z654" i="2" s="1"/>
  <c r="Y400" i="2"/>
  <c r="Z400" i="2" s="1"/>
  <c r="Y364" i="2"/>
  <c r="Z364" i="2" s="1"/>
  <c r="Y328" i="2"/>
  <c r="Z328" i="2" s="1"/>
  <c r="Y310" i="2"/>
  <c r="Z310" i="2" s="1"/>
  <c r="Y280" i="2"/>
  <c r="Z280" i="2" s="1"/>
  <c r="Y322" i="2"/>
  <c r="Z322" i="2" s="1"/>
  <c r="Y801" i="2" l="1"/>
  <c r="Z4" i="2"/>
  <c r="Z801" i="2" s="1"/>
</calcChain>
</file>

<file path=xl/sharedStrings.xml><?xml version="1.0" encoding="utf-8"?>
<sst xmlns="http://schemas.openxmlformats.org/spreadsheetml/2006/main" count="10312" uniqueCount="1680">
  <si>
    <t>OFRŠ</t>
  </si>
  <si>
    <t>MŠVVaŠ SR</t>
  </si>
  <si>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</si>
  <si>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</si>
  <si>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</si>
  <si>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</si>
  <si>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</si>
  <si>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subjektu, resp IČO právneho subjektu, do ktorého škola/školské zariadenie patrí</t>
  </si>
  <si>
    <t>Názov právneho subjektu</t>
  </si>
  <si>
    <t>Názov obce, v ktorej škola / školské zariadenie sídli</t>
  </si>
  <si>
    <t>Ulica</t>
  </si>
  <si>
    <t>Skutočný počet zamestnancov školy, 
ktorí pôsobili ako externisti 
na iných školách</t>
  </si>
  <si>
    <t>Skutočný počet externých 
zamestnancov na dohody</t>
  </si>
  <si>
    <t xml:space="preserve">Skutočný počet dní strávených na maturitných, 
záverečných alebo absolventských skúškach 
zamestnancami školy, ktorí pôsobili 
ako externisti na iných školách </t>
  </si>
  <si>
    <t>Skutočný počet dní strávených na maturitných,
záverečných alebo absolventských skúškach 
externistami prijatými na dohody</t>
  </si>
  <si>
    <t>Skutočný počet komisií, v ktorých
zamestnanci zo stĺpcov 3 a 4 pôsobili 
ČSK/ČPMK</t>
  </si>
  <si>
    <t>Skutočný počet komisií, v ktorých 
zamestnanci zo stĺpcov 3 a 4 pôsobili 
PSK/PPMK</t>
  </si>
  <si>
    <t>Skutočný počet komisií, v ktorých 
zamestnanci zo stĺpcov 3 a 4 pôsobili 
PŠMK</t>
  </si>
  <si>
    <t>Skutočný počet odskúšaných žiakov 
zamestnancami zo stĺpcov 3 a 4 
ČSK/ČPMK</t>
  </si>
  <si>
    <t>Skutočný počet odskúšaných žiakov
zamestnancami zo stĺpcov 3 a 4 
PSK/PPMK</t>
  </si>
  <si>
    <t>Skutočný počet odskúšaných žiakov 
zamestnancami zo stĺpcov 3 a 4 
PŠMK</t>
  </si>
  <si>
    <t>Skutočné náklady na zastupovanie 
(33,50 €/deň)</t>
  </si>
  <si>
    <t>Skutočné náklady v €
podľa zákona č. 283/2002 Z. z. 
o cestovných náhradách</t>
  </si>
  <si>
    <t>Skutočné náklady v € - odmeny 
ČSK/ČPMK</t>
  </si>
  <si>
    <t>Skutočné náklady v € - odmeny 
PSK/PPMK</t>
  </si>
  <si>
    <t>Skutočné náklady v € - odmeny
PŠMK</t>
  </si>
  <si>
    <t>Spolu skutočné náklady v €</t>
  </si>
  <si>
    <t>Skutočné náklady v € 
(zaokrúhlené na celé číslo)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</si>
  <si>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</si>
  <si>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</si>
  <si>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</si>
  <si>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</si>
  <si>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</si>
  <si>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</si>
  <si>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</si>
  <si>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</si>
  <si>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</si>
  <si>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11=33,50 € *stĺ. 3</t>
  </si>
  <si>
    <t>13 = 13,50 € *stĺ.5 + 1,50 € *stĺ.8</t>
  </si>
  <si>
    <t>14 = 13,50 € *stĺ. 6 + 2,00 € *stĺ.9</t>
  </si>
  <si>
    <t>15 = 27,00 € *stĺ. 7 + 1,50 € *stĺ.10</t>
  </si>
  <si>
    <t>16=11+12+13+14+15</t>
  </si>
  <si>
    <t>BA</t>
  </si>
  <si>
    <t>K</t>
  </si>
  <si>
    <t>KBA</t>
  </si>
  <si>
    <t>Regionálny úrad školskej správy v Bratislave</t>
  </si>
  <si>
    <t>Gymnázium Federica Garcíu Lorcu</t>
  </si>
  <si>
    <t>Bratislava-Podunajské Biskupice</t>
  </si>
  <si>
    <t>Hronská 3</t>
  </si>
  <si>
    <t>Gymnázium</t>
  </si>
  <si>
    <t>Bratislava-Ružinov</t>
  </si>
  <si>
    <t>Metodova 2</t>
  </si>
  <si>
    <t>Spojená škola</t>
  </si>
  <si>
    <t>Novohradská 3</t>
  </si>
  <si>
    <t>Spojená škola internátna pre deti a žiakov so sluchovým postihnutím</t>
  </si>
  <si>
    <t>Bratislava-Nové Mesto</t>
  </si>
  <si>
    <t>Hrdličkova 17</t>
  </si>
  <si>
    <t>Bratislava-Dúbravka</t>
  </si>
  <si>
    <t>Bilíkova 24</t>
  </si>
  <si>
    <t>J. Valašťana Dolinského 1</t>
  </si>
  <si>
    <t>Bratislava-Karlova Ves</t>
  </si>
  <si>
    <t>Ladislava Sáru 1</t>
  </si>
  <si>
    <t>Mokrohájska cesta 3</t>
  </si>
  <si>
    <t>Dúbravská cesta 1</t>
  </si>
  <si>
    <t>Spojená škola internátna</t>
  </si>
  <si>
    <t>Obchodná akadémia Imricha Karvaša</t>
  </si>
  <si>
    <t>Bratislava-Petržalka</t>
  </si>
  <si>
    <t>Hrobákova 11</t>
  </si>
  <si>
    <t>Malacky</t>
  </si>
  <si>
    <t>Pribinova 16/1</t>
  </si>
  <si>
    <t>Reedukačné centrum</t>
  </si>
  <si>
    <t>Sološnica</t>
  </si>
  <si>
    <t>Sološnica 3</t>
  </si>
  <si>
    <t>Veľké Leváre</t>
  </si>
  <si>
    <t>Veľké Leváre 1106</t>
  </si>
  <si>
    <t>Pezinok</t>
  </si>
  <si>
    <t>Komenského 25</t>
  </si>
  <si>
    <t>Senec</t>
  </si>
  <si>
    <t>Trnavská 2</t>
  </si>
  <si>
    <t>V</t>
  </si>
  <si>
    <t>VBA</t>
  </si>
  <si>
    <t>Bratislavský samosprávny kraj</t>
  </si>
  <si>
    <t>Bratislava-Staré Mesto</t>
  </si>
  <si>
    <t>Grösslingová 18</t>
  </si>
  <si>
    <t>Gymnázium Jána Papánka</t>
  </si>
  <si>
    <t>Vazovova 6</t>
  </si>
  <si>
    <t>Konzervatórium</t>
  </si>
  <si>
    <t>Tolstého 11</t>
  </si>
  <si>
    <t>Stredná priemyselná škola elektrotechnická</t>
  </si>
  <si>
    <t>Zochova 9</t>
  </si>
  <si>
    <t>Stredná priemyselná škola strojnícka</t>
  </si>
  <si>
    <t>Fajnorovo nábrežie 5</t>
  </si>
  <si>
    <t>Tanečné konzervatórium Evy Jaczovej</t>
  </si>
  <si>
    <t>Gorazdova 20</t>
  </si>
  <si>
    <t>Základná škola a GYMNÁZIUM s vyučovacím jazykom maďarským - Magyar Tannyelvű Alapiskola és Gimnázium</t>
  </si>
  <si>
    <t>Dunajská 13</t>
  </si>
  <si>
    <t>Gymnázium Ivana Horvátha</t>
  </si>
  <si>
    <t>Ivana Horvátha 14</t>
  </si>
  <si>
    <t>Gymnázium Ladislava Novomeského</t>
  </si>
  <si>
    <t>Tomášikova 2</t>
  </si>
  <si>
    <t>Obchodná akadémia</t>
  </si>
  <si>
    <t>Nevädzová 3</t>
  </si>
  <si>
    <t>Tokajícka 24</t>
  </si>
  <si>
    <t>Ostredková 10</t>
  </si>
  <si>
    <t>Stredná odborná škola dopravná</t>
  </si>
  <si>
    <t>Kvačalova 20</t>
  </si>
  <si>
    <t>Stredná odborná škola chemická</t>
  </si>
  <si>
    <t>Vlčie hrdlo 50</t>
  </si>
  <si>
    <t>Stredná odborná škola kaderníctva a vizážistiky</t>
  </si>
  <si>
    <t>Svätoplukova 2</t>
  </si>
  <si>
    <t>Stredná odborná škola obchodu a služieb Samuela Jurkoviča</t>
  </si>
  <si>
    <t>Sklenárova 1</t>
  </si>
  <si>
    <t>Stredná odborná škola technológií a remesiel</t>
  </si>
  <si>
    <t>Ivanská cesta 21</t>
  </si>
  <si>
    <t>Stredná priemyselná škola dopravná</t>
  </si>
  <si>
    <t>Stredná priemyselná škola stavebná a geodetická</t>
  </si>
  <si>
    <t>Drieňová 35</t>
  </si>
  <si>
    <t>Stredná zdravotnícka škola</t>
  </si>
  <si>
    <t>Záhradnícka 44</t>
  </si>
  <si>
    <t>Škola umeleckého priemyslu</t>
  </si>
  <si>
    <t>Sklenárova 7</t>
  </si>
  <si>
    <t>Hotelová akadémia</t>
  </si>
  <si>
    <t>Mikovíniho 1</t>
  </si>
  <si>
    <t>Račianska 107</t>
  </si>
  <si>
    <t>Stredná odborná škola beauty služieb</t>
  </si>
  <si>
    <t>Račianska 105</t>
  </si>
  <si>
    <t>Stredná odborná škola polygrafická</t>
  </si>
  <si>
    <t>Račianska 190</t>
  </si>
  <si>
    <t>ŠKOLA PRE MIMORIADNE NADANÉ DETI a Gymnázium</t>
  </si>
  <si>
    <t>Teplická 7</t>
  </si>
  <si>
    <t>Bratislava-Rača</t>
  </si>
  <si>
    <t>Hubeného 23</t>
  </si>
  <si>
    <t>Stredná odborná škola hotelových služieb a obchodu</t>
  </si>
  <si>
    <t>Na pántoch 9</t>
  </si>
  <si>
    <t>Stredná odborná škola informačných technológií</t>
  </si>
  <si>
    <t>Hlinícka 1</t>
  </si>
  <si>
    <t>Stredná odborná škola masmediálnych a informačných štúdií</t>
  </si>
  <si>
    <t>Kadnárova 7</t>
  </si>
  <si>
    <t>Stredná odborná škola elektrotechnická</t>
  </si>
  <si>
    <t>Bratislava-Vajnory</t>
  </si>
  <si>
    <t>Rybničná 59</t>
  </si>
  <si>
    <t>Stredná odborná škola pedagogická</t>
  </si>
  <si>
    <t>Bullova 2</t>
  </si>
  <si>
    <t>Karola Adlera 5</t>
  </si>
  <si>
    <t>Škola umeleckého priemyslu Josefa Vydru</t>
  </si>
  <si>
    <t>Dúbravská cesta 11</t>
  </si>
  <si>
    <t>Gymnázium Alberta Einsteina</t>
  </si>
  <si>
    <t>Einsteinova 35</t>
  </si>
  <si>
    <t>Dudova 4</t>
  </si>
  <si>
    <t>Pankúchova 6</t>
  </si>
  <si>
    <t>Stredná odborná škola gastronómie a hotelových služieb</t>
  </si>
  <si>
    <t>Farského 9</t>
  </si>
  <si>
    <t>Stredná odborná škola podnikania</t>
  </si>
  <si>
    <t>Strečnianska 20</t>
  </si>
  <si>
    <t>Stredná odborná škola technická</t>
  </si>
  <si>
    <t>Vranovská 4</t>
  </si>
  <si>
    <t>Hálova 16</t>
  </si>
  <si>
    <t>1. mája 8</t>
  </si>
  <si>
    <t>Gymnázium Karola Štúra</t>
  </si>
  <si>
    <t>Modra</t>
  </si>
  <si>
    <t>Nám. slobody 5</t>
  </si>
  <si>
    <t>Sokolská 6</t>
  </si>
  <si>
    <t>Stredná odborná škola vinársko - ovocinárska</t>
  </si>
  <si>
    <t>Kostolná 3</t>
  </si>
  <si>
    <t>Senecká 2</t>
  </si>
  <si>
    <t>Myslenická 1</t>
  </si>
  <si>
    <t>Stredná odborná škola podnikania a služieb</t>
  </si>
  <si>
    <t>Ivanka pri Dunaji</t>
  </si>
  <si>
    <t>ul. SNP 30</t>
  </si>
  <si>
    <t>Malinovo</t>
  </si>
  <si>
    <t>Bratislavská 44</t>
  </si>
  <si>
    <t>Gymnázium Antona Bernoláka</t>
  </si>
  <si>
    <t>Lichnerova 69</t>
  </si>
  <si>
    <t>Spojená škola s vyučovacím jazykom maďarským</t>
  </si>
  <si>
    <t>Lichnerova 71</t>
  </si>
  <si>
    <t>Stredná odborná škola automobilová a podnikania</t>
  </si>
  <si>
    <t>Kysucká 14</t>
  </si>
  <si>
    <t>O</t>
  </si>
  <si>
    <t>O529397</t>
  </si>
  <si>
    <t>Mestská časť Bratislava - Karlova Ves</t>
  </si>
  <si>
    <t>Tilgnerova 14</t>
  </si>
  <si>
    <t>C</t>
  </si>
  <si>
    <t>C58</t>
  </si>
  <si>
    <t>Rímskokatolícka cirkev, Bratislavská arcidiecéza</t>
  </si>
  <si>
    <t>Cirkevná stredná odborná škola elektrotechnická P. G. Frassatiho</t>
  </si>
  <si>
    <t>Vazovova 12</t>
  </si>
  <si>
    <t>C14</t>
  </si>
  <si>
    <t>Kanonisky sv. Augustína rehole Notre Dame</t>
  </si>
  <si>
    <t>Gymnázium Matky Alexie</t>
  </si>
  <si>
    <t>Jesenského 4/A</t>
  </si>
  <si>
    <t>C13</t>
  </si>
  <si>
    <t>Rímska únia Rádu sv. Uršule, Slovenská provincia, Provincialát Uršulínok</t>
  </si>
  <si>
    <t>Spojená škola sv. Uršule</t>
  </si>
  <si>
    <t>Nedbalova 4</t>
  </si>
  <si>
    <t xml:space="preserve">Spojená škola sv. Vincenta de Paul  </t>
  </si>
  <si>
    <t>Bachova 4</t>
  </si>
  <si>
    <t>C22</t>
  </si>
  <si>
    <t>Inštitút školských bratov</t>
  </si>
  <si>
    <t>Spojená škola de La Salle</t>
  </si>
  <si>
    <t>Čachtická 14</t>
  </si>
  <si>
    <t>Spojená škola sv. Františka z Assisi</t>
  </si>
  <si>
    <t>Karloveská 32</t>
  </si>
  <si>
    <t>C73</t>
  </si>
  <si>
    <t>Združenie škôl C. S. Lewisa, ú.z.</t>
  </si>
  <si>
    <t>Bilingválne gymnázium C. S. Lewisa</t>
  </si>
  <si>
    <t>Haanova 28</t>
  </si>
  <si>
    <t>Cirkevné konzervatórium</t>
  </si>
  <si>
    <t>Beňadická 16</t>
  </si>
  <si>
    <t>Spojená škola Svätej Rodiny</t>
  </si>
  <si>
    <t>Gercenova 10</t>
  </si>
  <si>
    <t>Stredná odborná škola lýceum C. S. Lewisa</t>
  </si>
  <si>
    <t>C10</t>
  </si>
  <si>
    <t>Kongregácia sestier dominikánok bl. Imeldy</t>
  </si>
  <si>
    <t>Gymnázium sv. Tomáša Akvinského</t>
  </si>
  <si>
    <t>Košice-Staré Mesto</t>
  </si>
  <si>
    <t>Zbrojničná 3</t>
  </si>
  <si>
    <t>Spojená škola sv. Františka Assiského</t>
  </si>
  <si>
    <t>Kláštorné nám. 1</t>
  </si>
  <si>
    <t>Gymnázium Angely Merici</t>
  </si>
  <si>
    <t>Trnava</t>
  </si>
  <si>
    <t>Hviezdoslavova 10</t>
  </si>
  <si>
    <t>C20</t>
  </si>
  <si>
    <t>Saleziáni don Bosca - Slovenská provincia</t>
  </si>
  <si>
    <t>Stredná odborná škola sv. Jozefa Robotníka</t>
  </si>
  <si>
    <t>Žilina</t>
  </si>
  <si>
    <t>Saleziánska 18</t>
  </si>
  <si>
    <t>S</t>
  </si>
  <si>
    <t>S096</t>
  </si>
  <si>
    <t>COOP PRODUKT SLOVENSKO</t>
  </si>
  <si>
    <t>Súkromná stredná odborná škola</t>
  </si>
  <si>
    <t>Bardejov</t>
  </si>
  <si>
    <t>Hviezdoslavova 11</t>
  </si>
  <si>
    <t>S057</t>
  </si>
  <si>
    <t>Cambridge international communications, s. r. o.</t>
  </si>
  <si>
    <t>Súkromná spojená škola Cambridge International School</t>
  </si>
  <si>
    <t>Úprkova 3</t>
  </si>
  <si>
    <t>S634</t>
  </si>
  <si>
    <t>Združenie rodičov Spoločnej nemecko-slovenskej školy v Bratislave</t>
  </si>
  <si>
    <t>Súkromné gymnázium nemecko-slovenské</t>
  </si>
  <si>
    <t>Palisády 51</t>
  </si>
  <si>
    <t>S092</t>
  </si>
  <si>
    <t>PROFI - KAMO, s.r.o.</t>
  </si>
  <si>
    <t>Súkromná obchodná akadémia Profi - Kamo</t>
  </si>
  <si>
    <t>Dudvážska 6</t>
  </si>
  <si>
    <t>S648</t>
  </si>
  <si>
    <t>Gastroškola, s. r. o.</t>
  </si>
  <si>
    <t>Súkromná stredná odborná škola - Gastroškola</t>
  </si>
  <si>
    <t>Bieloruská 1</t>
  </si>
  <si>
    <t>S016</t>
  </si>
  <si>
    <t>Ing. Elena Strašková</t>
  </si>
  <si>
    <t>Súkromná stredná odborná škola pedagogická</t>
  </si>
  <si>
    <t>S041</t>
  </si>
  <si>
    <t>GAUDEAMUS, s.r.o.</t>
  </si>
  <si>
    <t>Súkromná stredná športová škola GAUDEAMUS</t>
  </si>
  <si>
    <t>S217</t>
  </si>
  <si>
    <t>GALILEO SCHOOL, s.r.o.</t>
  </si>
  <si>
    <t>Súkromné gymnázium GALILEO SHOOL</t>
  </si>
  <si>
    <t>S038</t>
  </si>
  <si>
    <t>Výchovno-vzdelávacie združenie</t>
  </si>
  <si>
    <t>1. súkromné gymnázium v Bratislave</t>
  </si>
  <si>
    <t>Bajkalská 20</t>
  </si>
  <si>
    <t>S481</t>
  </si>
  <si>
    <t>UniTrade Institute, s. r. o.</t>
  </si>
  <si>
    <t>Exnárova 20</t>
  </si>
  <si>
    <t>S829</t>
  </si>
  <si>
    <t>PhDr. Veronika Bisaki</t>
  </si>
  <si>
    <t>Súkromná stredná odborná škola pedagogická a sociálna</t>
  </si>
  <si>
    <t>S697</t>
  </si>
  <si>
    <t>EIS Bratislava s. r. o.</t>
  </si>
  <si>
    <t>Súkromná stredná športová škola EISB</t>
  </si>
  <si>
    <t>Radničné námestie 4</t>
  </si>
  <si>
    <t>S1008</t>
  </si>
  <si>
    <t>Mgr. art. Dalibor Bača</t>
  </si>
  <si>
    <t>Súkromná škola umeleckého priemyslu Bohumila Baču</t>
  </si>
  <si>
    <t>S933</t>
  </si>
  <si>
    <t>Tomáš Chadim</t>
  </si>
  <si>
    <t>Súkromné gymnázium</t>
  </si>
  <si>
    <t>Bratislava-Vrakuňa</t>
  </si>
  <si>
    <t>Vážska 32</t>
  </si>
  <si>
    <t>S126</t>
  </si>
  <si>
    <t>Súkromná stredná odborná škola HOST, s.r.o.</t>
  </si>
  <si>
    <t>Súkromná stredná odborná škola HOST</t>
  </si>
  <si>
    <t>Pionierska 15</t>
  </si>
  <si>
    <t>S941</t>
  </si>
  <si>
    <t>Kings Schools International, s.r.o.</t>
  </si>
  <si>
    <t>Súkromná spojená škola Kings Schools International</t>
  </si>
  <si>
    <t>Trnavská cesta 3421/39</t>
  </si>
  <si>
    <t>S355</t>
  </si>
  <si>
    <t>SCHOOL, s.r.o.</t>
  </si>
  <si>
    <t>Česká 10</t>
  </si>
  <si>
    <t>S832</t>
  </si>
  <si>
    <t>Duálna akadémia, z.z.p.o.</t>
  </si>
  <si>
    <t>Súkromná SOŠ automobilová Duálna akadémia</t>
  </si>
  <si>
    <t>Bratislava-Devínska Nová Ves</t>
  </si>
  <si>
    <t>Jána Jonáša 5</t>
  </si>
  <si>
    <t>S693</t>
  </si>
  <si>
    <t>Peter Jaký</t>
  </si>
  <si>
    <t>Súkromná stredná odborná škola veterinárna</t>
  </si>
  <si>
    <t>Pod brehmi 6/A</t>
  </si>
  <si>
    <t>S091</t>
  </si>
  <si>
    <t>Alena Kaňuková</t>
  </si>
  <si>
    <t>Súkromné konzervatórium ALKANA</t>
  </si>
  <si>
    <t>Batkova 2</t>
  </si>
  <si>
    <t>S232</t>
  </si>
  <si>
    <t>Občianske združenie ESPRIT</t>
  </si>
  <si>
    <t>Súkromné gymnázium ESPRIT</t>
  </si>
  <si>
    <t>Majerníkova 62</t>
  </si>
  <si>
    <t>S520</t>
  </si>
  <si>
    <t>Centrum nadania, n. o.</t>
  </si>
  <si>
    <t>Súkromné gymnázium pre žiakov so všeobecným intelektovým nadaním CENADA</t>
  </si>
  <si>
    <t>Majerníkova 60</t>
  </si>
  <si>
    <t>S932</t>
  </si>
  <si>
    <t>ANIMATO s.r.o.</t>
  </si>
  <si>
    <t>Súkromná obchodná akadémia</t>
  </si>
  <si>
    <t>Kremnická 26</t>
  </si>
  <si>
    <t>S755</t>
  </si>
  <si>
    <t>Združenie pre francúzsku školu v Bratislave</t>
  </si>
  <si>
    <t>Súkromná spojená škola francúzsko – slovenská</t>
  </si>
  <si>
    <t>M. C. Sklodowskej 1</t>
  </si>
  <si>
    <t>S446</t>
  </si>
  <si>
    <t>Security management, s.r.o.</t>
  </si>
  <si>
    <t>Súkromná stredná odborná  škola ochrany osôb a majetku</t>
  </si>
  <si>
    <t>S180</t>
  </si>
  <si>
    <t>Johannes Senio Service s.r.o.</t>
  </si>
  <si>
    <t>Súkromná stredná odborná škola Johannes Senio Service</t>
  </si>
  <si>
    <t>Jungmannova 10</t>
  </si>
  <si>
    <t>S914</t>
  </si>
  <si>
    <t>SportSkola s. r. o.</t>
  </si>
  <si>
    <t>Súkromná stredná športová škola</t>
  </si>
  <si>
    <t>S017</t>
  </si>
  <si>
    <t>Mgr. Viera Zavarčíková</t>
  </si>
  <si>
    <t>Súkromná škola umeleckého priemyslu animovanej tvorby</t>
  </si>
  <si>
    <t>Vlastenecké námestie 1</t>
  </si>
  <si>
    <t>S093</t>
  </si>
  <si>
    <t>Ministerstvo školstva a vedy Bulharskej republiky</t>
  </si>
  <si>
    <t>Súkromné bulharské gymnázium Christa Boteva</t>
  </si>
  <si>
    <t>Záporožská 8</t>
  </si>
  <si>
    <t>S827</t>
  </si>
  <si>
    <t>O.z. FELIX Bratislava</t>
  </si>
  <si>
    <t>Súkromné gymnázium FELIX</t>
  </si>
  <si>
    <t>Krásnohorská 3127/14</t>
  </si>
  <si>
    <t>S607</t>
  </si>
  <si>
    <t>Helena Barnová</t>
  </si>
  <si>
    <t>Súkromné gymnázium MERCURY</t>
  </si>
  <si>
    <t>Zadunajská cesta 406/4</t>
  </si>
  <si>
    <t>S095</t>
  </si>
  <si>
    <t>COOP Jednota Slovensko, spotrebné družstvo</t>
  </si>
  <si>
    <t>Súkromná hotelová akadémia SD Jednota</t>
  </si>
  <si>
    <t>Šamorín</t>
  </si>
  <si>
    <t>Vinohradská 48</t>
  </si>
  <si>
    <t>Súkromná stredná odborná škola SD Jednota</t>
  </si>
  <si>
    <t>Poprad</t>
  </si>
  <si>
    <t>Ulica SNP 1253</t>
  </si>
  <si>
    <t>S457</t>
  </si>
  <si>
    <t>EDUKACIA - AMARO DROM</t>
  </si>
  <si>
    <t>Hnúšťa</t>
  </si>
  <si>
    <t>Francisciho 372</t>
  </si>
  <si>
    <t>TV</t>
  </si>
  <si>
    <t>KTV</t>
  </si>
  <si>
    <t>Regionálny úrad školskej správy v Trnave</t>
  </si>
  <si>
    <t>Dunajská Streda</t>
  </si>
  <si>
    <t>Námestie sv. Štefana 1533/3</t>
  </si>
  <si>
    <t>Okoč</t>
  </si>
  <si>
    <t>Gorkého 90/4</t>
  </si>
  <si>
    <t>Sládkovičovo</t>
  </si>
  <si>
    <t>Školská 212</t>
  </si>
  <si>
    <t>Hlohovec</t>
  </si>
  <si>
    <t>Zámok 1</t>
  </si>
  <si>
    <t>Palárikova 1/A</t>
  </si>
  <si>
    <t>Piešťany</t>
  </si>
  <si>
    <t>Valova 40</t>
  </si>
  <si>
    <t>Vrbové</t>
  </si>
  <si>
    <t>Nám.sv.Cyrila a Metoda 9</t>
  </si>
  <si>
    <t>Senica</t>
  </si>
  <si>
    <t>Brezová 1</t>
  </si>
  <si>
    <t>Čajkovského 50</t>
  </si>
  <si>
    <t>Beethovenova 27</t>
  </si>
  <si>
    <t>Lomonosovova 8</t>
  </si>
  <si>
    <t>Trstín</t>
  </si>
  <si>
    <t>Trstín 335</t>
  </si>
  <si>
    <t>VTV</t>
  </si>
  <si>
    <t>Trnavský samosprávny kraj</t>
  </si>
  <si>
    <t>Gymnázium Ármina Vámbéryho s vyučovacím jazykom maďarským - Vámbéry Ármin Gimnázium</t>
  </si>
  <si>
    <t>Nám. sv. Štefana 1190/4</t>
  </si>
  <si>
    <t>Gymnázium Ladislava Dúbravu</t>
  </si>
  <si>
    <t>Smetanov háj 285/8</t>
  </si>
  <si>
    <t>Spojena škola</t>
  </si>
  <si>
    <t>Gyulu Szabóa 21</t>
  </si>
  <si>
    <t>Stredná odborná škola technická - Múszaki Szakközépiskola</t>
  </si>
  <si>
    <t>Kračanská cesta 1240/36</t>
  </si>
  <si>
    <t>Stredná zdravotnícka škola - Egészségugyi Középiskola</t>
  </si>
  <si>
    <t>Športová 349/34</t>
  </si>
  <si>
    <t>Gymnázium Imre Madácha s vyučovacím jazykom maďarským - Madách Imre Magyar Tanítási Nyelvű Gimnázium</t>
  </si>
  <si>
    <t>Slnečná 2</t>
  </si>
  <si>
    <t>Gymnázium M. R. Štefánika</t>
  </si>
  <si>
    <t>Obchodná akadémia - Kereskedelmi Akadémia</t>
  </si>
  <si>
    <t>Veľký Meder</t>
  </si>
  <si>
    <t>Bratislavská 38</t>
  </si>
  <si>
    <t>Gymnázium Janka Matúšku</t>
  </si>
  <si>
    <t>Galanta</t>
  </si>
  <si>
    <t>Štvrť SNP 1004/34</t>
  </si>
  <si>
    <t>Gymnázium Zoltána Kodálya s vyučovacím jazykom maďarským - Kodály Zoltán Gimnázium</t>
  </si>
  <si>
    <t>Stredná odborná škola obchodu a služieb</t>
  </si>
  <si>
    <t>Z. Kodálya 765</t>
  </si>
  <si>
    <t>Esterházyovcov 712/10</t>
  </si>
  <si>
    <t>Gymnázium Vojtecha Mihálika</t>
  </si>
  <si>
    <t>Sereď</t>
  </si>
  <si>
    <t>Kostolná 119/8</t>
  </si>
  <si>
    <t>Mládežnícka 158/5</t>
  </si>
  <si>
    <t>Gymnázium Ivana Kupca</t>
  </si>
  <si>
    <t>Komenského 13</t>
  </si>
  <si>
    <t>Nerudova 13</t>
  </si>
  <si>
    <t>F. Lipku 2422/5</t>
  </si>
  <si>
    <t>Gymnázium Pierra de Coubertina</t>
  </si>
  <si>
    <t>Nám. SNP 9</t>
  </si>
  <si>
    <t>Hotelová akadémia Ľudovíta Wintera</t>
  </si>
  <si>
    <t>Stromová 34</t>
  </si>
  <si>
    <t>Mojmírova 99/28</t>
  </si>
  <si>
    <t>Nová 5245/9</t>
  </si>
  <si>
    <t>Brezová 2</t>
  </si>
  <si>
    <t>Rakovice</t>
  </si>
  <si>
    <t>Rakovice 25</t>
  </si>
  <si>
    <t>Gymnázium Jána Baltazára Magina</t>
  </si>
  <si>
    <t>Beňovského 358/100</t>
  </si>
  <si>
    <t>Dlhá 1037/12</t>
  </si>
  <si>
    <t>Dlhá 256/10</t>
  </si>
  <si>
    <t>Stredná odborná škola podnikania v remeslách a službách</t>
  </si>
  <si>
    <t>V. Paulínyho Tótha 31/5</t>
  </si>
  <si>
    <t>Gbely</t>
  </si>
  <si>
    <t>Učňovská 700/6</t>
  </si>
  <si>
    <t>Holíč</t>
  </si>
  <si>
    <t>Námestie sv. Martina 5</t>
  </si>
  <si>
    <t>Gymnázium Františka Víťazoslava Sasinka</t>
  </si>
  <si>
    <t>Skalica</t>
  </si>
  <si>
    <t>Námestie slobody 3</t>
  </si>
  <si>
    <t>Stredná odborná škola strojnícka</t>
  </si>
  <si>
    <t>Pplk. Pľjušťa 29</t>
  </si>
  <si>
    <t>Lichardova 1</t>
  </si>
  <si>
    <t>Gymnázium Jána Hollého</t>
  </si>
  <si>
    <t>Na hlinách 7279/30</t>
  </si>
  <si>
    <t>Kukučínova 2</t>
  </si>
  <si>
    <t>Jána Bottu 31</t>
  </si>
  <si>
    <t>Stredná odborná škola automobilová</t>
  </si>
  <si>
    <t>Coburgova 7859/39</t>
  </si>
  <si>
    <t>Sibírska 1</t>
  </si>
  <si>
    <t>Lomonosovova 2797/6</t>
  </si>
  <si>
    <t>Stredná odborná škola poľnohospodárstva a služieb na vidieku</t>
  </si>
  <si>
    <t>Zavarská 9</t>
  </si>
  <si>
    <t>Študentská 23</t>
  </si>
  <si>
    <t>Stredná priemyselná škola stavebná Dušana Samuela Jurkoviča</t>
  </si>
  <si>
    <t>Lomonosovova 7</t>
  </si>
  <si>
    <t>Stredná priemyselná škola technická</t>
  </si>
  <si>
    <t>Komenského 1</t>
  </si>
  <si>
    <t>Daxnerova 6</t>
  </si>
  <si>
    <t>C01</t>
  </si>
  <si>
    <t>Rímskokatolícka cirkev, Trnavská arcidiecéza</t>
  </si>
  <si>
    <t>Cirkevná spojená škola Marianum s vyučovacím jazykom maďarským</t>
  </si>
  <si>
    <t>Komárno</t>
  </si>
  <si>
    <t>Biskupa Királya 30</t>
  </si>
  <si>
    <t>C16</t>
  </si>
  <si>
    <t>Kongregácia Milosrdných sestier svätého Kríža</t>
  </si>
  <si>
    <t>Stredná zdravotnícka škola M. T. Schererovej</t>
  </si>
  <si>
    <t>Ružomberok</t>
  </si>
  <si>
    <t>Dončova 7</t>
  </si>
  <si>
    <t>Arcibiskupské gymnázium biskupa P.Jantauscha</t>
  </si>
  <si>
    <t>Jána Hollého 9</t>
  </si>
  <si>
    <t>Stredná odborná škola pedagogická bl. Laury</t>
  </si>
  <si>
    <t>Cirkevná spojená škola Panny Márie</t>
  </si>
  <si>
    <t>Kollárovo</t>
  </si>
  <si>
    <t>Brnenské námestie 15</t>
  </si>
  <si>
    <t>S915</t>
  </si>
  <si>
    <t>ADVENTIM n.o.</t>
  </si>
  <si>
    <t>Súkromná stredná odborná škola ADVENTIM - Magán Szakközépiskola ADVENTIM</t>
  </si>
  <si>
    <t>Komenského ulica 1219/1</t>
  </si>
  <si>
    <t>S233</t>
  </si>
  <si>
    <t>VOCATIO spol. s r.o.</t>
  </si>
  <si>
    <t>Súkromná stredná odborná škola s vyučovacím jazykom maďarským - Magyar Tannyelvü Magán Szakközépiskola</t>
  </si>
  <si>
    <t>Neratovické nám. 1916/16</t>
  </si>
  <si>
    <t>S504</t>
  </si>
  <si>
    <t>László Szabó</t>
  </si>
  <si>
    <t>Súkromné gymnázium s vyučovacím jazykom maďarským - Magyar Tanítási Nyelvu Magángimnázium</t>
  </si>
  <si>
    <t>Hlavná 21</t>
  </si>
  <si>
    <t>S568</t>
  </si>
  <si>
    <t>Medzinárodná škola kvality (Quality Schools International)</t>
  </si>
  <si>
    <t>Súkromná spojená škola Quality Schools International</t>
  </si>
  <si>
    <t>Záhradnícka 1006/2</t>
  </si>
  <si>
    <t>S953</t>
  </si>
  <si>
    <t>TACSE - Inštitút vzdelávania, s.r.o.</t>
  </si>
  <si>
    <t>Súkromná stredná odborná škola obchodu a služieb, s vyučovacím jazykom maďarským - Magán Kereskedelmi és Szolgáltatóipari Szakközépiskola</t>
  </si>
  <si>
    <t>Mostová</t>
  </si>
  <si>
    <t>Mostová 53</t>
  </si>
  <si>
    <t>S019</t>
  </si>
  <si>
    <t>PhDr. PaedDr. Attila Takács</t>
  </si>
  <si>
    <t>Súkromná stredná odborná škola - Magán Szakközépiskola</t>
  </si>
  <si>
    <t>Fučíkova 426</t>
  </si>
  <si>
    <t>Súkromná stredná odborná škola obchodu a služieb s vyučovacím jazykom maďarským - Magán Kereskedelmi és Szolgáltatóipari Szakközépiskola</t>
  </si>
  <si>
    <t>Bátorove Kosihy</t>
  </si>
  <si>
    <t>Hlavné námestie 35</t>
  </si>
  <si>
    <t>S421</t>
  </si>
  <si>
    <t>ŽIVENA, s.r.o.</t>
  </si>
  <si>
    <t>Súkromná hotelová akadémia</t>
  </si>
  <si>
    <t>Považská Bystrica</t>
  </si>
  <si>
    <t>M. R. Štefánika 148/27</t>
  </si>
  <si>
    <t>S569</t>
  </si>
  <si>
    <t>Súkromná stredná odborná škola podnikania, n.o.</t>
  </si>
  <si>
    <t>Súkromná stredná odborná škola podnikania</t>
  </si>
  <si>
    <t>Hollého 1380</t>
  </si>
  <si>
    <t>S872</t>
  </si>
  <si>
    <t>Občianske združenie BEZ PREDSUDKOV K ĽUDSKOSTI</t>
  </si>
  <si>
    <t>Súkromná stredná odborná škola VIA HUMANA</t>
  </si>
  <si>
    <t xml:space="preserve">Kráľovská 386/11                                         </t>
  </si>
  <si>
    <t>S319</t>
  </si>
  <si>
    <t>Gos-Sk, s.r.o.</t>
  </si>
  <si>
    <t>Súkromná stredná odborná škola Gos-Sk</t>
  </si>
  <si>
    <t>Ferka Urbánka 19</t>
  </si>
  <si>
    <t>S628</t>
  </si>
  <si>
    <t>BESST, s.r.o.</t>
  </si>
  <si>
    <t>Súkromné bilingválne gymnázium BESST</t>
  </si>
  <si>
    <t>Limbová 6051/3</t>
  </si>
  <si>
    <t>S565</t>
  </si>
  <si>
    <t>Spoločnosť baletného majstra Dušana Nebylu</t>
  </si>
  <si>
    <t>Súkromné tanečné konzervatórium Dušana Nebylu</t>
  </si>
  <si>
    <t>Kalinčiakova 47</t>
  </si>
  <si>
    <t>O504017</t>
  </si>
  <si>
    <t>Mesto Sládkovičovo</t>
  </si>
  <si>
    <t>ZŠsMŠ Sándora Petöfiho s VJM</t>
  </si>
  <si>
    <t>Richterova 1171</t>
  </si>
  <si>
    <t>O501433</t>
  </si>
  <si>
    <t>Mesto Dunajská Streda</t>
  </si>
  <si>
    <t>Základná škola</t>
  </si>
  <si>
    <t>Jilemnického 11</t>
  </si>
  <si>
    <t>TC</t>
  </si>
  <si>
    <t>KTC</t>
  </si>
  <si>
    <t>Regionálny úrad školskej správy v Trenčíne</t>
  </si>
  <si>
    <t>Dubnica nad Váhom</t>
  </si>
  <si>
    <t>Školská 386/1</t>
  </si>
  <si>
    <t>Odborné učilište internátne</t>
  </si>
  <si>
    <t>Ladce</t>
  </si>
  <si>
    <t>Hviezdoslavova 114/668</t>
  </si>
  <si>
    <t>Myjava</t>
  </si>
  <si>
    <t>Továrenská 63/1</t>
  </si>
  <si>
    <t>Bilingválne slovensko - španielske gymnázium</t>
  </si>
  <si>
    <t>Nové Mesto nad Váhom</t>
  </si>
  <si>
    <t>Štúrova ulica 2590/31A</t>
  </si>
  <si>
    <t>Ul. J. Kollára 3</t>
  </si>
  <si>
    <t>SNP 1653/152</t>
  </si>
  <si>
    <t>Bystričany</t>
  </si>
  <si>
    <t>Chalmovská 679/1</t>
  </si>
  <si>
    <t xml:space="preserve">Spojená škola </t>
  </si>
  <si>
    <t>Prievidza</t>
  </si>
  <si>
    <t>Nábr. J. Kalinčiaka 4</t>
  </si>
  <si>
    <t>Úzka 2</t>
  </si>
  <si>
    <t>Púchov</t>
  </si>
  <si>
    <t>Športovcov 1461/17</t>
  </si>
  <si>
    <t>Trenčianska Teplá</t>
  </si>
  <si>
    <t>M. R. Štefánika 323/1</t>
  </si>
  <si>
    <t>Trenčín</t>
  </si>
  <si>
    <t>Ľudovíta Stárka 12</t>
  </si>
  <si>
    <t>Školská 66</t>
  </si>
  <si>
    <t>Stredná odborná škola letecko - technická</t>
  </si>
  <si>
    <t>Legionárska 160</t>
  </si>
  <si>
    <t xml:space="preserve">Regionálny úrad školskej správy v Trenčíne </t>
  </si>
  <si>
    <t>Špeciálna základná škola</t>
  </si>
  <si>
    <t>Partizánske</t>
  </si>
  <si>
    <t>Gen. Svobodu 1273/73</t>
  </si>
  <si>
    <t>VTC</t>
  </si>
  <si>
    <t>Trenčiansky samosprávny kraj</t>
  </si>
  <si>
    <t>Gymnázium Janka Jesenského</t>
  </si>
  <si>
    <t>Bánovce nad Bebravou</t>
  </si>
  <si>
    <t>Radlinského 665/2</t>
  </si>
  <si>
    <t>Partizánska cesta 76</t>
  </si>
  <si>
    <t>Školská 2</t>
  </si>
  <si>
    <t>Bratislavská 439/18</t>
  </si>
  <si>
    <t>Stredná priemyselná škola</t>
  </si>
  <si>
    <t>Obrancov mieru 343/1</t>
  </si>
  <si>
    <t>Stredná odborná škola</t>
  </si>
  <si>
    <t>Pruské</t>
  </si>
  <si>
    <t>Pruské 294</t>
  </si>
  <si>
    <t>Jablonská 301/5</t>
  </si>
  <si>
    <t>SNP 413/8</t>
  </si>
  <si>
    <t>Športová 41</t>
  </si>
  <si>
    <t>Piešťanská 2262/80</t>
  </si>
  <si>
    <t>Bzinská 11</t>
  </si>
  <si>
    <t>Stará Turá</t>
  </si>
  <si>
    <t>Športová 675</t>
  </si>
  <si>
    <t>Komenského 2/1074</t>
  </si>
  <si>
    <t>Stredná odborná škola Jána Antonína Baťu</t>
  </si>
  <si>
    <t>Námestie SNP 5</t>
  </si>
  <si>
    <t>Školská 234/8</t>
  </si>
  <si>
    <t>Jesenského 259/6</t>
  </si>
  <si>
    <t>Slov. partizánov 1129/49</t>
  </si>
  <si>
    <t>Športovcov 341/2</t>
  </si>
  <si>
    <t>Slov. partizánov 1132/52</t>
  </si>
  <si>
    <t>Školská 230</t>
  </si>
  <si>
    <t>Handlová</t>
  </si>
  <si>
    <t>Lipová 8</t>
  </si>
  <si>
    <t>Nováky</t>
  </si>
  <si>
    <t>Rastislavova 332</t>
  </si>
  <si>
    <t>Gymnázium Vavrinca Benedikta Nedožerského</t>
  </si>
  <si>
    <t>Matice slovenskej 16</t>
  </si>
  <si>
    <t>F. Madvu 2</t>
  </si>
  <si>
    <t>T. Vansovej 32</t>
  </si>
  <si>
    <t>Nábr. J. Kalinčiaka 1</t>
  </si>
  <si>
    <t>Vinohradnícka 8A</t>
  </si>
  <si>
    <t>Ul. 1. mája 905</t>
  </si>
  <si>
    <t>I.Krasku 491</t>
  </si>
  <si>
    <t>Ul. 1. mája 1264</t>
  </si>
  <si>
    <t>Gymnázium Ľudovíta Štúra</t>
  </si>
  <si>
    <t>1. mája 170/2</t>
  </si>
  <si>
    <t>Obchodná akadémia Milana Hodžu</t>
  </si>
  <si>
    <t>Martina Rázusa 1</t>
  </si>
  <si>
    <t>Pod Sokolice 14</t>
  </si>
  <si>
    <t>Jilemnického 24</t>
  </si>
  <si>
    <t>Stredná priemyselná škola stavebná Emila Belluša</t>
  </si>
  <si>
    <t>Staničná 4</t>
  </si>
  <si>
    <t>Stredná športová škola</t>
  </si>
  <si>
    <t>Kožušnícka 2</t>
  </si>
  <si>
    <t>Stredná zdravotnícka škola Celestíny Šimurkovej v Trenčíne</t>
  </si>
  <si>
    <t>Veľkomoravská 14</t>
  </si>
  <si>
    <t>Staničná 8</t>
  </si>
  <si>
    <t>C12</t>
  </si>
  <si>
    <t>Kongregácia Školských sestier de Notre Dame</t>
  </si>
  <si>
    <t>Spojená škola sv. Jozefa</t>
  </si>
  <si>
    <t>Klčové 87</t>
  </si>
  <si>
    <t>S357</t>
  </si>
  <si>
    <t>SPORT SCHOOL, s.r.o.</t>
  </si>
  <si>
    <t>Trenčianske Teplice</t>
  </si>
  <si>
    <t>Sídlisko SNP 6</t>
  </si>
  <si>
    <t>S392</t>
  </si>
  <si>
    <t>Občianske združenie AMOS Trenčín</t>
  </si>
  <si>
    <t>Zlatovská cesta 35</t>
  </si>
  <si>
    <t>S1098</t>
  </si>
  <si>
    <t>AKADÉMIA VZDELÁVANIA PRIEVIDZA s.r.o.</t>
  </si>
  <si>
    <t>Bakalárska 2</t>
  </si>
  <si>
    <t>NR</t>
  </si>
  <si>
    <t>KNR</t>
  </si>
  <si>
    <t>Regionálny úrad školskej správy v Nitre</t>
  </si>
  <si>
    <t>Levice</t>
  </si>
  <si>
    <t>Z. Nejedlého 41</t>
  </si>
  <si>
    <t>Šahy</t>
  </si>
  <si>
    <t>F. Rákócziho II. 1</t>
  </si>
  <si>
    <t>Mojmírovce</t>
  </si>
  <si>
    <t>Nám. sv.Ladislava 1791/14</t>
  </si>
  <si>
    <t>Nitra</t>
  </si>
  <si>
    <t>Párovská 1</t>
  </si>
  <si>
    <t>Červeňova 42</t>
  </si>
  <si>
    <t>Nová Ves nad Žitavou</t>
  </si>
  <si>
    <t>Hviezdoslavova 68</t>
  </si>
  <si>
    <t>Topoľčany</t>
  </si>
  <si>
    <t>Tovarnícka 1632</t>
  </si>
  <si>
    <t>Zlaté Moravce</t>
  </si>
  <si>
    <t>Prílepská 6</t>
  </si>
  <si>
    <t>VNR</t>
  </si>
  <si>
    <t>Nitriansky samosprávny kraj</t>
  </si>
  <si>
    <t>Stredná odborná škola techniky a mechanizácie - Műszaki és Gépesítési Szakközépiskola</t>
  </si>
  <si>
    <t>Hurbanovo</t>
  </si>
  <si>
    <t>1. mája 1</t>
  </si>
  <si>
    <t>Stredná priemyselná škola stavebná - Építőipari Szakközépiskola</t>
  </si>
  <si>
    <t>Konkolyho 8</t>
  </si>
  <si>
    <t>Gymnázium Hansa Selyeho s vyučovacím jazykom maďarským - Selye János Gimnázium</t>
  </si>
  <si>
    <t>Biskupa Királya 5</t>
  </si>
  <si>
    <t>Gymnázium Ľudovíta Jaroslava Šuleka</t>
  </si>
  <si>
    <t>Pohraničná 10</t>
  </si>
  <si>
    <t>Stredná odborná škola obchodu a služieb - Kereskedelmi és Szolgáltatóipari Szakközépiskola</t>
  </si>
  <si>
    <t>Budovateľská 32</t>
  </si>
  <si>
    <t>Stredná odborná škola technická - Műszaki Szakközépiskola</t>
  </si>
  <si>
    <t>Bratislavská cesta 10</t>
  </si>
  <si>
    <t>Stredná priemyselná škola strojnícka a elektrotechnická - Gépipari és Elektrotechnikai Szakközépiskola</t>
  </si>
  <si>
    <t>Petőfiho 2</t>
  </si>
  <si>
    <t>Stredná odborná škola obchodu, služieb a rozvoja vidieka - Kereskedelmi, Szolgáltatóipari és Vidékfejlesztési Szakközépiskola</t>
  </si>
  <si>
    <t>Kravany nad Dunajom</t>
  </si>
  <si>
    <t>Dunajský rad 138</t>
  </si>
  <si>
    <t>Gymnázium Andreja Vrábla</t>
  </si>
  <si>
    <t>Mierová 5</t>
  </si>
  <si>
    <t>Kálmána Kittenbergera 2</t>
  </si>
  <si>
    <t>Ul. F. Engelsa 3</t>
  </si>
  <si>
    <t>Na lúkach 18</t>
  </si>
  <si>
    <t>Stredná odborná škola služieb</t>
  </si>
  <si>
    <t>Sv. Michala 36</t>
  </si>
  <si>
    <t>Stredná odborná škola techniky a služieb</t>
  </si>
  <si>
    <t>Pod amfiteátrom 7</t>
  </si>
  <si>
    <t>Stredná priemyselná škola strojnícka a elektrotechnická</t>
  </si>
  <si>
    <t>F. Hečku 25</t>
  </si>
  <si>
    <t>Škola umeleckého priemyslu Ladislava Bielika</t>
  </si>
  <si>
    <t>Vajanského 23</t>
  </si>
  <si>
    <t>Mládežnícka 22</t>
  </si>
  <si>
    <t>Gymnázium Juraja Szondyho s vyučovacím jazykom maďarským - Szondy György Gimnázium</t>
  </si>
  <si>
    <t>Stredná odborná škola techniky a služieb - Műszaki és Szolgáltatóipari Szakközépiskola</t>
  </si>
  <si>
    <t>Slov.národ.povstania 41</t>
  </si>
  <si>
    <t>Tlmače</t>
  </si>
  <si>
    <t>Kozmálovská cesta 9</t>
  </si>
  <si>
    <t>Gymnázium Jána Amosa Komenského - Comenius Gimnázium</t>
  </si>
  <si>
    <t>Želiezovce</t>
  </si>
  <si>
    <t>Štúrova 16</t>
  </si>
  <si>
    <t>Golianova 68</t>
  </si>
  <si>
    <t>Bolečkova 2</t>
  </si>
  <si>
    <t>Slančíkovej 2</t>
  </si>
  <si>
    <t>Stredná odborná škola gastronómie a cestovného ruchu</t>
  </si>
  <si>
    <t>Levická 40</t>
  </si>
  <si>
    <t>Stredná odborná škola potravinárska</t>
  </si>
  <si>
    <t>Cabajská 6</t>
  </si>
  <si>
    <t>Stredná odborná škola stavebná</t>
  </si>
  <si>
    <t>Nábrežie mládeže 1</t>
  </si>
  <si>
    <t>Cintorínska 4</t>
  </si>
  <si>
    <t>Stredná odborná škola veterinárna</t>
  </si>
  <si>
    <t>Drážovská 8/14</t>
  </si>
  <si>
    <t>Stredná priemyselná škola stavebná</t>
  </si>
  <si>
    <t>Cabajská 4</t>
  </si>
  <si>
    <t>Fraňa Kráľa 20</t>
  </si>
  <si>
    <t>Farská 23</t>
  </si>
  <si>
    <t>Vráble</t>
  </si>
  <si>
    <t>Školská 26</t>
  </si>
  <si>
    <t>Ul. 1. mája 500</t>
  </si>
  <si>
    <t>Nové Zámky</t>
  </si>
  <si>
    <t>M. R. Štefánika 16</t>
  </si>
  <si>
    <t>Gymnázium Petra Pázmáňa s vyučovacím jazykom maďarským - Pázmány Péter Gimnázium</t>
  </si>
  <si>
    <t>Letomostie 3</t>
  </si>
  <si>
    <t>Komárňanská 28</t>
  </si>
  <si>
    <t>Stredná odborná škola dopravy a služieb</t>
  </si>
  <si>
    <t>Jesenského 1</t>
  </si>
  <si>
    <t>Zdravotnícka 3</t>
  </si>
  <si>
    <t>Stredná odborná škola stavebná - Építészeti Szakközépiskola</t>
  </si>
  <si>
    <t>Nitrianska cesta 61</t>
  </si>
  <si>
    <t>Stredná zdravotnícka škola - Egészségügyi Középiskola</t>
  </si>
  <si>
    <t>Pod kalváriou 1</t>
  </si>
  <si>
    <t>Gymnázium - Gimnázium</t>
  </si>
  <si>
    <t>Štúrovo</t>
  </si>
  <si>
    <t>Adyho 7</t>
  </si>
  <si>
    <t>Stredná odborná škola techniky, služieb a obchodu - Műszaki, Szolgáltatások és Kereskedelmi Szakközépiskola</t>
  </si>
  <si>
    <t>Svätého Štefana 81</t>
  </si>
  <si>
    <t>Šurany</t>
  </si>
  <si>
    <t>Bernolákova 37</t>
  </si>
  <si>
    <t>Nám. hrdinov 7</t>
  </si>
  <si>
    <t>Stredná odborná škola gastronómie a služieb</t>
  </si>
  <si>
    <t>Hviezdoslavova 55</t>
  </si>
  <si>
    <t>Nitrianska 61</t>
  </si>
  <si>
    <t>Gymnázium Juraja Fándlyho</t>
  </si>
  <si>
    <t>Šaľa</t>
  </si>
  <si>
    <t>Školská 3</t>
  </si>
  <si>
    <t>Nivy 2</t>
  </si>
  <si>
    <t>Stredná odborná škola chovu koní a služieb - Lótenyésztési és Szolgáltatóipari Szakközépiskola</t>
  </si>
  <si>
    <t>Štúrova 74</t>
  </si>
  <si>
    <t>17. novembra 1180/16</t>
  </si>
  <si>
    <t>Inovecká 2041</t>
  </si>
  <si>
    <t>Stredná odborná škola agrotechnická</t>
  </si>
  <si>
    <t>Stredná odborná škola drevárska</t>
  </si>
  <si>
    <t>Pílska 7</t>
  </si>
  <si>
    <t>T. Vansovej 2</t>
  </si>
  <si>
    <t>Krušovská 2091</t>
  </si>
  <si>
    <t>Tovarnícka 1609</t>
  </si>
  <si>
    <t>Gymnázium Janka Kráľa</t>
  </si>
  <si>
    <t>Slov.národ.povstania 3</t>
  </si>
  <si>
    <t>Bernolákova 26</t>
  </si>
  <si>
    <t>Slov.národ.povstania 5</t>
  </si>
  <si>
    <t>Stredná odborná škola polytechnická</t>
  </si>
  <si>
    <t>Ul. SNP 2</t>
  </si>
  <si>
    <t>Ul. 1. mája 22</t>
  </si>
  <si>
    <t>O503282</t>
  </si>
  <si>
    <t xml:space="preserve">Obec Komjatice </t>
  </si>
  <si>
    <t xml:space="preserve">ZŠ s MŠ Ondreja Cabana </t>
  </si>
  <si>
    <t>Komjatice</t>
  </si>
  <si>
    <t>Námestie A. Cabana 36</t>
  </si>
  <si>
    <t>C02</t>
  </si>
  <si>
    <t>Rímskokatolícka cirkev Biskupstvo Nitra</t>
  </si>
  <si>
    <t>Cirkevná stredná odborná škola sv.Terézie z Lisieux</t>
  </si>
  <si>
    <t>Farská 5</t>
  </si>
  <si>
    <t>C21</t>
  </si>
  <si>
    <t>Rehoľa piaristov na Slovensku</t>
  </si>
  <si>
    <t>Piaristická spojená škola sv. Jozefa Kalazanského</t>
  </si>
  <si>
    <t>Piaristická 6</t>
  </si>
  <si>
    <t>Spojená katolícka škola</t>
  </si>
  <si>
    <t>Farská 19</t>
  </si>
  <si>
    <t>Piaristická spojená škola Františka Hanáka</t>
  </si>
  <si>
    <t>A. Hlinku 44</t>
  </si>
  <si>
    <t>C32</t>
  </si>
  <si>
    <t>Reformovaná kresťanská cirkev na Slovensku</t>
  </si>
  <si>
    <t>Spojená škola Reformovanej kresťanskej cirkvi</t>
  </si>
  <si>
    <t>Rimavská Sobota</t>
  </si>
  <si>
    <t>Daxnerova 10/42</t>
  </si>
  <si>
    <t>Stredná zdravotnícka škola sv. Vincenta de Paul</t>
  </si>
  <si>
    <t>17. novembra 1056</t>
  </si>
  <si>
    <t>Piaristické gymnázium Jozefa Braneckého</t>
  </si>
  <si>
    <t>Palackého 4</t>
  </si>
  <si>
    <t>Stredná odborná škola pedagogická sv. Andreja-Svorada a Benedikta</t>
  </si>
  <si>
    <t>1. mája 7</t>
  </si>
  <si>
    <t>S929</t>
  </si>
  <si>
    <t>Ing. Marián Paulisz PM GLOBAL</t>
  </si>
  <si>
    <t>Súkromná stredná odborná škola, s vyučovacím jazykom maďarským, Magán Szakközépiskola</t>
  </si>
  <si>
    <t>Dolné Obdokovce</t>
  </si>
  <si>
    <t>Dolné Obdokovce 71</t>
  </si>
  <si>
    <t>S1086</t>
  </si>
  <si>
    <t>Lehel Tóth</t>
  </si>
  <si>
    <t>Súkromné bilingválne gymnázium</t>
  </si>
  <si>
    <t>Hodská 10</t>
  </si>
  <si>
    <t>S004</t>
  </si>
  <si>
    <t>Ing. Dezider Szokol</t>
  </si>
  <si>
    <t>Súkromná stredná odborná škola s vyučovacím jazykom maďarským - Magyar Tannyelvű Magán Szakközépiskola</t>
  </si>
  <si>
    <t>Kolárovo</t>
  </si>
  <si>
    <t>Slovenská 52</t>
  </si>
  <si>
    <t>Súkromná škola umeleckého priemyslu s vyučovacím jazykom maďarským- Iparművészeti Magániskola</t>
  </si>
  <si>
    <t>S023</t>
  </si>
  <si>
    <t>Centrum vzdelávania ANIMUS, s.r.o.</t>
  </si>
  <si>
    <t>Súkromná stredná odborná škola ANIMUS</t>
  </si>
  <si>
    <t>Akademická 4</t>
  </si>
  <si>
    <t>S846</t>
  </si>
  <si>
    <t>ŠKOLA DIZAJNU, s.r.o.</t>
  </si>
  <si>
    <t>Súkromná škola umeleckého priemyslu</t>
  </si>
  <si>
    <t>Samova 14</t>
  </si>
  <si>
    <t>S860</t>
  </si>
  <si>
    <t>SPOLOČNOSŤ HELENY MADARIOVEJ</t>
  </si>
  <si>
    <t>Súkromné konzervatórium</t>
  </si>
  <si>
    <t>Krčméryho 2</t>
  </si>
  <si>
    <t>S326</t>
  </si>
  <si>
    <t>VSOM, s.r.o.</t>
  </si>
  <si>
    <t>Súkromná spojená škola</t>
  </si>
  <si>
    <t>Sv. Štefana 36</t>
  </si>
  <si>
    <t>S026</t>
  </si>
  <si>
    <t>PhDr. Vladimír Daniš</t>
  </si>
  <si>
    <t>Gagarinova 2490/13</t>
  </si>
  <si>
    <t>S747</t>
  </si>
  <si>
    <t>DOREMI s.r.o.</t>
  </si>
  <si>
    <t>Súkromné konzervatórium Dezidera Kardoša</t>
  </si>
  <si>
    <t>ZA</t>
  </si>
  <si>
    <t>KZA</t>
  </si>
  <si>
    <t>Regionálny úrad školskej správy v Žiline</t>
  </si>
  <si>
    <t>Bytča</t>
  </si>
  <si>
    <t>Mičurova 364/1</t>
  </si>
  <si>
    <t>Gymnázium Jozefa Miloslava Hurbana</t>
  </si>
  <si>
    <t>Čadca</t>
  </si>
  <si>
    <t>17. novembra 1296</t>
  </si>
  <si>
    <t>Palárikova 2758</t>
  </si>
  <si>
    <t>Kysucké Nové Mesto</t>
  </si>
  <si>
    <t>Murgašova 580</t>
  </si>
  <si>
    <t>Liptovský Mikuláš</t>
  </si>
  <si>
    <t>Janka Alexyho 1942</t>
  </si>
  <si>
    <t>Odborné učilište</t>
  </si>
  <si>
    <t>Martin</t>
  </si>
  <si>
    <t>Stavbárska 11</t>
  </si>
  <si>
    <t>P. Mudroňa 46</t>
  </si>
  <si>
    <t>Bilingválne gymnázium Milana Hodžu</t>
  </si>
  <si>
    <t>Sučany</t>
  </si>
  <si>
    <t>Komenského 215</t>
  </si>
  <si>
    <t>Námestovo</t>
  </si>
  <si>
    <t>M. Urbana 160/45</t>
  </si>
  <si>
    <t>Gymnázium Martina Hattalu</t>
  </si>
  <si>
    <t>Trstená</t>
  </si>
  <si>
    <t>Železničiarov 278</t>
  </si>
  <si>
    <t>Gymnázium bilingválne</t>
  </si>
  <si>
    <t>Tomáša Ružičku 3</t>
  </si>
  <si>
    <t>Fatranská 3321/22</t>
  </si>
  <si>
    <t>VZA</t>
  </si>
  <si>
    <t>Žilinský samosprávny kraj</t>
  </si>
  <si>
    <t>Štefánikova 219/4</t>
  </si>
  <si>
    <t>Obchodná akadémia Dušana Metoda Janotu</t>
  </si>
  <si>
    <t>17. novembra 2701</t>
  </si>
  <si>
    <t>Ul. 17. novembra 2579</t>
  </si>
  <si>
    <t>Okružná 693</t>
  </si>
  <si>
    <t>Stredná odborná škola drevárska a stavebná</t>
  </si>
  <si>
    <t>Krásno nad Kysucou</t>
  </si>
  <si>
    <t>Krásno nad Kysucou 1642</t>
  </si>
  <si>
    <t>Turzovka</t>
  </si>
  <si>
    <t>Ľ. Štúra 35</t>
  </si>
  <si>
    <t>Gymnázium Pavla Országha Hviezdoslava</t>
  </si>
  <si>
    <t>Dolný Kubín</t>
  </si>
  <si>
    <t>Hviezdoslavovo nám. 18</t>
  </si>
  <si>
    <t>Radlinského 1725/55</t>
  </si>
  <si>
    <t>Pelhřimovská 1186/10</t>
  </si>
  <si>
    <t>Jelšavská 404</t>
  </si>
  <si>
    <t>M. Hattalu 2149</t>
  </si>
  <si>
    <t>Jesenského 2243</t>
  </si>
  <si>
    <t>Športová 1326</t>
  </si>
  <si>
    <t>Stredná priemyselná škola informačných technológií</t>
  </si>
  <si>
    <t>Nábrežná 1325</t>
  </si>
  <si>
    <t>Liptovský Hrádok</t>
  </si>
  <si>
    <t>Hradná 23</t>
  </si>
  <si>
    <t>J. Kollára 536/1</t>
  </si>
  <si>
    <t>Stredná odborná škola lesnícka a drevárska Jozefa Dekreta Matejovie</t>
  </si>
  <si>
    <t>Hradná 534</t>
  </si>
  <si>
    <t>Gymnázium Michala Miloslava Hodžu</t>
  </si>
  <si>
    <t>M. M. Hodžu 860/9</t>
  </si>
  <si>
    <t>Čs. brigády 1804</t>
  </si>
  <si>
    <t>Nábrežie K.Petroviča 1571</t>
  </si>
  <si>
    <t>Demänovská cesta 669</t>
  </si>
  <si>
    <t>Školská 8</t>
  </si>
  <si>
    <t>Vrbická 632</t>
  </si>
  <si>
    <t>Gymnázium Jozefa Lettricha</t>
  </si>
  <si>
    <t>J. Lettricha 2</t>
  </si>
  <si>
    <t>Gymnázium Viliama Paulinyho Tótha</t>
  </si>
  <si>
    <t>Malá hora 3</t>
  </si>
  <si>
    <t>Bernolákova 2</t>
  </si>
  <si>
    <t>Československej armády 24</t>
  </si>
  <si>
    <t>Zelená 2</t>
  </si>
  <si>
    <t>L. Novomeského 5/24</t>
  </si>
  <si>
    <t>Ul. Mieru 307/23</t>
  </si>
  <si>
    <t>Hattalova 968/33</t>
  </si>
  <si>
    <t>Komenského 496/37</t>
  </si>
  <si>
    <t>Š. Moyzesa 21</t>
  </si>
  <si>
    <t>Scota Viatora 4</t>
  </si>
  <si>
    <t>Scota Viatora 8</t>
  </si>
  <si>
    <t>Sládkovičova ulica 104</t>
  </si>
  <si>
    <t>Scota Viatora 6</t>
  </si>
  <si>
    <t>Turčianske Teplice</t>
  </si>
  <si>
    <t>SNP 509/116</t>
  </si>
  <si>
    <t>Nižná</t>
  </si>
  <si>
    <t>Hattalova 471</t>
  </si>
  <si>
    <t>Tvrdošín</t>
  </si>
  <si>
    <t>Školská 837</t>
  </si>
  <si>
    <t>Stredná odborná škola lesnícka</t>
  </si>
  <si>
    <t>Medvedzie 135</t>
  </si>
  <si>
    <t>Stredná priemyselná škola informačných technológií Ignáca Gessaya</t>
  </si>
  <si>
    <t>Medvedzie 133/1</t>
  </si>
  <si>
    <t>Rajec</t>
  </si>
  <si>
    <t>Javorová 5</t>
  </si>
  <si>
    <t>Veľká okružná 22</t>
  </si>
  <si>
    <t>Hlinská 29</t>
  </si>
  <si>
    <t>Varšavská cesta 1677/1</t>
  </si>
  <si>
    <t>Hlinská 31</t>
  </si>
  <si>
    <t>J. M. Hurbana 48</t>
  </si>
  <si>
    <t>Veľká okružná 32</t>
  </si>
  <si>
    <t>Rosinská cesta 4</t>
  </si>
  <si>
    <t>Hlavná 2</t>
  </si>
  <si>
    <t>Rosinská 3126/2</t>
  </si>
  <si>
    <t>Komenského 50</t>
  </si>
  <si>
    <t>Sasinkova 45</t>
  </si>
  <si>
    <t>Predmestská 82</t>
  </si>
  <si>
    <t>Tulipánová 2</t>
  </si>
  <si>
    <t>Veľká okružná 25</t>
  </si>
  <si>
    <t>Hlboká cesta 23</t>
  </si>
  <si>
    <t>O557358</t>
  </si>
  <si>
    <t>Mesto Vrútky</t>
  </si>
  <si>
    <t>Vrútky</t>
  </si>
  <si>
    <t>M. R. Štefánika 1</t>
  </si>
  <si>
    <t>O512729</t>
  </si>
  <si>
    <t>Mesto Turčianske Teplice</t>
  </si>
  <si>
    <t>Školská 447/2</t>
  </si>
  <si>
    <t>C59</t>
  </si>
  <si>
    <t>Rímskokatolícka cirkev, Žilinská diecéza</t>
  </si>
  <si>
    <t>Stredná odborná škola pedagogická sv. Márie Goretti</t>
  </si>
  <si>
    <t>Horná 137</t>
  </si>
  <si>
    <t>Stredná zdravotnícka škola sv. Františka z Assisi</t>
  </si>
  <si>
    <t>C18</t>
  </si>
  <si>
    <t>Slovenský vikariát Kongregácie sestier sv. Cyrila a Metoda</t>
  </si>
  <si>
    <t>Jašíkova 219</t>
  </si>
  <si>
    <t xml:space="preserve">Spojená škola sv. Jána Bosca </t>
  </si>
  <si>
    <t>Nová Dubnica</t>
  </si>
  <si>
    <t>Trenčianska 66/28</t>
  </si>
  <si>
    <t>C15</t>
  </si>
  <si>
    <t>Kongregácia Školských sestier sv. Františka</t>
  </si>
  <si>
    <t>Gymnázium sv. Františka z Assisi</t>
  </si>
  <si>
    <t>J. M. Hurbana 44</t>
  </si>
  <si>
    <t>Obchodná akadémia sv. Tomáša Akvinského</t>
  </si>
  <si>
    <t>Vysokoškolákov 13</t>
  </si>
  <si>
    <t>Spojená škola Kráľovnej pokoja</t>
  </si>
  <si>
    <t>Na Závaží 2</t>
  </si>
  <si>
    <t>S578</t>
  </si>
  <si>
    <t>Občianske združenie Vzdelávanie</t>
  </si>
  <si>
    <t>Sidónie Sakalovej 182</t>
  </si>
  <si>
    <t>S741</t>
  </si>
  <si>
    <t>Súkromná stredná odborná škola s.r.o.</t>
  </si>
  <si>
    <t>SNP 1202/14</t>
  </si>
  <si>
    <t>S082</t>
  </si>
  <si>
    <t>Mgr. art. Eva Ohraďanová</t>
  </si>
  <si>
    <t>Súkromné tanečné konzervatórium</t>
  </si>
  <si>
    <t>Hradná 340</t>
  </si>
  <si>
    <t>S310</t>
  </si>
  <si>
    <t>ŠKOLA, s.r.o.</t>
  </si>
  <si>
    <t>Ul. J. Lettrich č. 3</t>
  </si>
  <si>
    <t>S386</t>
  </si>
  <si>
    <t>EDUCO NO, s.r.o.</t>
  </si>
  <si>
    <t>Súkromná Spojená škola EDUCO</t>
  </si>
  <si>
    <t>Slanická osada 2178</t>
  </si>
  <si>
    <t>S196</t>
  </si>
  <si>
    <t>Ing. Alena Hrivnáková</t>
  </si>
  <si>
    <t>Bystrická cesta 174/5</t>
  </si>
  <si>
    <t>S376</t>
  </si>
  <si>
    <t>Inštitút vzdelávania a starostlivosti, s. r. o.</t>
  </si>
  <si>
    <t>Hodruša-Hámre</t>
  </si>
  <si>
    <t>Kyslá 214</t>
  </si>
  <si>
    <t>S336</t>
  </si>
  <si>
    <t>PaedDr. Beáta Matušáková</t>
  </si>
  <si>
    <t>Súkromná praktická škola</t>
  </si>
  <si>
    <t>Do Stošky 232/10</t>
  </si>
  <si>
    <t>S337</t>
  </si>
  <si>
    <t>Ing. Bernadeta Gábrišová</t>
  </si>
  <si>
    <t>S703</t>
  </si>
  <si>
    <t>Občianske združenie Pro Scholaris</t>
  </si>
  <si>
    <t>Súkromná stredná odborná škola Pro scholaris</t>
  </si>
  <si>
    <t>Hálkova 2968/22</t>
  </si>
  <si>
    <t>S381</t>
  </si>
  <si>
    <t>JUVENTAS Žilina, n.o.</t>
  </si>
  <si>
    <t>Oravská 11</t>
  </si>
  <si>
    <t>BB</t>
  </si>
  <si>
    <t>KBB</t>
  </si>
  <si>
    <t>Regionálny úrad školskej správy v Banskej Bystrici</t>
  </si>
  <si>
    <t>Gymnázium Jozefa Gregora Tajovského</t>
  </si>
  <si>
    <t>Banská Bystrica</t>
  </si>
  <si>
    <t>J.G.Tajovského 25</t>
  </si>
  <si>
    <t>Gymnázium Mikuláša Kováča</t>
  </si>
  <si>
    <t>Mládežnícka 51</t>
  </si>
  <si>
    <t>Odborné učilište internátne Viliama Gaňu</t>
  </si>
  <si>
    <t>Moskovská 17</t>
  </si>
  <si>
    <t>Ďumbierska 15</t>
  </si>
  <si>
    <t>Valaská</t>
  </si>
  <si>
    <t>Švermova 1</t>
  </si>
  <si>
    <t>Praktická škola internátna</t>
  </si>
  <si>
    <t>Lučenec</t>
  </si>
  <si>
    <t>Haličská cesta 80</t>
  </si>
  <si>
    <t>Zvolenská cesta 2396/39</t>
  </si>
  <si>
    <t>Jelšava</t>
  </si>
  <si>
    <t>Nám.Republiky 62</t>
  </si>
  <si>
    <t>Tornaľa</t>
  </si>
  <si>
    <t>Mierová 137</t>
  </si>
  <si>
    <t>Mierová 49</t>
  </si>
  <si>
    <t>Bottova 13</t>
  </si>
  <si>
    <t>Špeciálna základná škola s vyučovacím jazykom maďarským - Speciális Alapiskola</t>
  </si>
  <si>
    <t>Hviezdoslavova 24</t>
  </si>
  <si>
    <t>Želovce</t>
  </si>
  <si>
    <t>Gottwaldova 70/43</t>
  </si>
  <si>
    <t>Nová Baňa</t>
  </si>
  <si>
    <t>Školská 5</t>
  </si>
  <si>
    <t>Kremnica</t>
  </si>
  <si>
    <t>Československej armády 183/1</t>
  </si>
  <si>
    <t>Stredná odborná škola pre žiakov so sluchovým postihnutím internátna</t>
  </si>
  <si>
    <t>Kutnohorská 675/20</t>
  </si>
  <si>
    <t>VBB</t>
  </si>
  <si>
    <t>Banskobystrický samosprávny kraj</t>
  </si>
  <si>
    <t>Gymnázium Andreja Sládkoviča</t>
  </si>
  <si>
    <t>J.A Komenského 18</t>
  </si>
  <si>
    <t>Konzervatórium Jána Levoslava Bellu</t>
  </si>
  <si>
    <t>Skuteckého 27</t>
  </si>
  <si>
    <t>Tajovského 25</t>
  </si>
  <si>
    <t>Školská 7</t>
  </si>
  <si>
    <t>Kremnička 10</t>
  </si>
  <si>
    <t>Pod Bánošom 80</t>
  </si>
  <si>
    <t>Tajovského 30</t>
  </si>
  <si>
    <t>Stredná priemyselná škola Jozefa Murgaša</t>
  </si>
  <si>
    <t>Hurbanova 6</t>
  </si>
  <si>
    <t>Trieda SNP 54</t>
  </si>
  <si>
    <t>J.G.Tajovského 24</t>
  </si>
  <si>
    <t>Gymnázium Andreja Kmeťa</t>
  </si>
  <si>
    <t>Banská Štiavnica</t>
  </si>
  <si>
    <t>Kolpašská 1738/9</t>
  </si>
  <si>
    <t>Akademická 16</t>
  </si>
  <si>
    <t>Stredná odborná škola služieb a lesníctva</t>
  </si>
  <si>
    <t>Kolpašská 1586/9</t>
  </si>
  <si>
    <t>Stredná priemyselná škola Samuela Mikovíniho</t>
  </si>
  <si>
    <t>Akademická 13</t>
  </si>
  <si>
    <t>Gymnázium Jána Chalupku</t>
  </si>
  <si>
    <t>Brezno</t>
  </si>
  <si>
    <t>Štúrova 13</t>
  </si>
  <si>
    <t>Malinovského 1</t>
  </si>
  <si>
    <t>Laskomerského 3</t>
  </si>
  <si>
    <t>Detva</t>
  </si>
  <si>
    <t>Štúrova 849</t>
  </si>
  <si>
    <t>Štúrova 848</t>
  </si>
  <si>
    <t>Krupina</t>
  </si>
  <si>
    <t>M. R. Štefánika 8</t>
  </si>
  <si>
    <t>Fiľakovo</t>
  </si>
  <si>
    <t>Nám. padlých hrdinov 2</t>
  </si>
  <si>
    <t>Stredná odborná škola - Szakközépiskola</t>
  </si>
  <si>
    <t>J.Kalinčiaka 1584/8</t>
  </si>
  <si>
    <t>Gymnázium Boženy Slančíkovej Timravy</t>
  </si>
  <si>
    <t>Haličská cesta 9</t>
  </si>
  <si>
    <t>Lúčna 4</t>
  </si>
  <si>
    <t>Stredná odborná škola hotelových služieb a dopravy</t>
  </si>
  <si>
    <t>Zvolenská cesta 83</t>
  </si>
  <si>
    <t>Stredná odborná škola pedagogická - Pedagógiai Szakközépiskola</t>
  </si>
  <si>
    <t>Komenského 12</t>
  </si>
  <si>
    <t>Dukelských hrdinov 2</t>
  </si>
  <si>
    <t>Stredná priemyselná škola stavebná  Oskara Winklera - Winkler Oszkár Építöipari Szakközépiskola</t>
  </si>
  <si>
    <t>B. Němcovej 1</t>
  </si>
  <si>
    <t>Lúčna 2</t>
  </si>
  <si>
    <t>Poltár</t>
  </si>
  <si>
    <t>Železničná 5</t>
  </si>
  <si>
    <t>Gymnázium Martina Kukučína</t>
  </si>
  <si>
    <t>Revúca</t>
  </si>
  <si>
    <t>Vl. Clementisa 1166/21</t>
  </si>
  <si>
    <t>Generála Viesta 6</t>
  </si>
  <si>
    <t>Šafárikova 56</t>
  </si>
  <si>
    <t>Gymnázium Mateja Hrebendu</t>
  </si>
  <si>
    <t>Hlavná 431</t>
  </si>
  <si>
    <t>Hlavná 425</t>
  </si>
  <si>
    <t>Gymnázium Ivana Kraska - Ivan Krasko Gimnázium</t>
  </si>
  <si>
    <t>P. Hostinského 3</t>
  </si>
  <si>
    <t>K. Mikszátha 1</t>
  </si>
  <si>
    <t>Športová 1</t>
  </si>
  <si>
    <t>Stredná odborná škola technická a agropotravinárska - Műszaki, Mezőgazdasági és Élelmiszeripari Szakközépiskola</t>
  </si>
  <si>
    <t>Okružná 61</t>
  </si>
  <si>
    <t>Tisovec</t>
  </si>
  <si>
    <t>Jesenského 903</t>
  </si>
  <si>
    <t>Modrý Kameň</t>
  </si>
  <si>
    <t>Jarmočná 1</t>
  </si>
  <si>
    <t>Gymnázium  Augusta Horislava Škultétyho</t>
  </si>
  <si>
    <t>Veľký Krtíš</t>
  </si>
  <si>
    <t>Školská 21</t>
  </si>
  <si>
    <t>Poľná 10</t>
  </si>
  <si>
    <t>Zvolen</t>
  </si>
  <si>
    <t>Hronská 1467/3</t>
  </si>
  <si>
    <t>Lučenecká 2193/17</t>
  </si>
  <si>
    <t>Jabloňová 1351</t>
  </si>
  <si>
    <t>J. Švermu 1</t>
  </si>
  <si>
    <t>Sokolská 911/94</t>
  </si>
  <si>
    <t>J. Kozáčeka 4</t>
  </si>
  <si>
    <t>Gymnázium Františka Švantnera</t>
  </si>
  <si>
    <t>Bernolákova 9</t>
  </si>
  <si>
    <t>Osvety 17</t>
  </si>
  <si>
    <t>Žarnovica</t>
  </si>
  <si>
    <t>Bystrická 4</t>
  </si>
  <si>
    <t>Gymnázium Milana Rúfusa</t>
  </si>
  <si>
    <t>Žiar nad Hronom</t>
  </si>
  <si>
    <t>Ul. J. Kollára 2</t>
  </si>
  <si>
    <t>Jilemnického 1282</t>
  </si>
  <si>
    <t>C23</t>
  </si>
  <si>
    <t>Západný dištrikt Evanjelickej cirkvi a. v. na Slovensku</t>
  </si>
  <si>
    <t>Evanjelické gymnázium</t>
  </si>
  <si>
    <t>Skuteckého 5</t>
  </si>
  <si>
    <t>C04</t>
  </si>
  <si>
    <t>Rímskokatolícka cirkev Biskupstvo Banská Bystrica</t>
  </si>
  <si>
    <t>Katolícke gymnázium Štefana Moysesa</t>
  </si>
  <si>
    <t>Hurbanova 9</t>
  </si>
  <si>
    <t>Katolícka spojená škola sv. Františka Assiského</t>
  </si>
  <si>
    <t>Gwerkovej-Göllnerovej 9</t>
  </si>
  <si>
    <t>Evanjelické lýceum</t>
  </si>
  <si>
    <t>Vranovská 2</t>
  </si>
  <si>
    <t>Katolícka spojená škola sv. Vincenta de Paul</t>
  </si>
  <si>
    <t>Saratovská 87</t>
  </si>
  <si>
    <t>Katolícka spojená škola F. Fegyvernekiho s vyučovacím jazykom maďatským - Fegyverneki Ferenc Közös Igazgatású Katolikus Iskola</t>
  </si>
  <si>
    <t>Slov.národ.povstania 4</t>
  </si>
  <si>
    <t>Jesenského 836</t>
  </si>
  <si>
    <t>S435</t>
  </si>
  <si>
    <t>1. Súkromné Banskobystrické gymnázium s.r.o.</t>
  </si>
  <si>
    <t>Súkromné gymnázium Banskobystrické</t>
  </si>
  <si>
    <t>Ružová ulica 15574/15B</t>
  </si>
  <si>
    <t>S570</t>
  </si>
  <si>
    <t>Ing. Jaroslava Marušková, CSc.</t>
  </si>
  <si>
    <t>Drieňová 12</t>
  </si>
  <si>
    <t>S815</t>
  </si>
  <si>
    <t>Deutsch-Slowakische Akademien, a.s.</t>
  </si>
  <si>
    <t>Súkromné gymnázium DSA</t>
  </si>
  <si>
    <t>Nám. arm. gen. L. Svobodu 16</t>
  </si>
  <si>
    <t>S372</t>
  </si>
  <si>
    <t>Európske vzdelávacie strediská pre povolanie a spoločnosť n.o., Europäische Bildungswerke für Beruf und Gesellschaft e.V.</t>
  </si>
  <si>
    <t>Súkromná stredná odborná škola pedagogická EBG</t>
  </si>
  <si>
    <t>S162</t>
  </si>
  <si>
    <t>Železiarne Podbrezová, a.s.</t>
  </si>
  <si>
    <t>Súkromná spojená škola Železiarne Podbrezová</t>
  </si>
  <si>
    <t>Podbrezová</t>
  </si>
  <si>
    <t>Družby 554/64</t>
  </si>
  <si>
    <t>S907</t>
  </si>
  <si>
    <t>MAGIKOS</t>
  </si>
  <si>
    <t>Záhradná 12</t>
  </si>
  <si>
    <t>Humenné</t>
  </si>
  <si>
    <t>Lesná 909/28</t>
  </si>
  <si>
    <t>S486</t>
  </si>
  <si>
    <t>Branislav Becher</t>
  </si>
  <si>
    <t>Gemerská cesta 1</t>
  </si>
  <si>
    <t>Súkromná stredná odborná škola polytechnická DSA</t>
  </si>
  <si>
    <t>Novozámocká 220</t>
  </si>
  <si>
    <t>S482</t>
  </si>
  <si>
    <t>FEVE, s.r.o.</t>
  </si>
  <si>
    <t>Železničná 2</t>
  </si>
  <si>
    <t>S904</t>
  </si>
  <si>
    <t>Súkromná škola Rimavská Sobota, n.o.</t>
  </si>
  <si>
    <t>Súkromná stredná odborná škola  Magán Szakkozépiskola</t>
  </si>
  <si>
    <t>L. Novomeského 2070</t>
  </si>
  <si>
    <t>Súkromné Gymnázium DSA</t>
  </si>
  <si>
    <t>Sabinov</t>
  </si>
  <si>
    <t>Komenského 40</t>
  </si>
  <si>
    <t>Súkromná stredná odborná škola DSA</t>
  </si>
  <si>
    <t>Trebišov</t>
  </si>
  <si>
    <t>Koniarekova 17</t>
  </si>
  <si>
    <t>S664</t>
  </si>
  <si>
    <t>Škola istoty a nádeje, o.z.</t>
  </si>
  <si>
    <t>Súkromná stredná odborná škola obchodu a služieb</t>
  </si>
  <si>
    <t>Očová</t>
  </si>
  <si>
    <t>Partizánska 8</t>
  </si>
  <si>
    <t>S550</t>
  </si>
  <si>
    <t>Kongruencia spol. s r.o.</t>
  </si>
  <si>
    <t>Nám. Mládeže 587/17</t>
  </si>
  <si>
    <t>S375</t>
  </si>
  <si>
    <t>PaedDr. Ingrid Pinková,  ArtD.</t>
  </si>
  <si>
    <t>J. Jesenského 624/42</t>
  </si>
  <si>
    <t>S030</t>
  </si>
  <si>
    <t>Ing. Mariana Hriňová</t>
  </si>
  <si>
    <t>Môťovská cesta 8164</t>
  </si>
  <si>
    <t>S973</t>
  </si>
  <si>
    <t>VAZI, n. o.</t>
  </si>
  <si>
    <t>Hliník nad Hronom</t>
  </si>
  <si>
    <t>Kopaničná 237</t>
  </si>
  <si>
    <t>S623</t>
  </si>
  <si>
    <t>Swedish Education Group - SE group, s.r.o.</t>
  </si>
  <si>
    <t>P. Križku 390/4</t>
  </si>
  <si>
    <t>S071</t>
  </si>
  <si>
    <t>eMKLub</t>
  </si>
  <si>
    <t>Dolná 48/19</t>
  </si>
  <si>
    <t>Súkromná obchodná akadémia DSA</t>
  </si>
  <si>
    <t>Námestie Matice slovenskej 23</t>
  </si>
  <si>
    <t>S509</t>
  </si>
  <si>
    <t>InTech Žiar nad Hronom, z.p.o.</t>
  </si>
  <si>
    <t>Súkromná stredná odborná škola technická</t>
  </si>
  <si>
    <t>Dr. Janského 10</t>
  </si>
  <si>
    <t>PO</t>
  </si>
  <si>
    <t>KPO</t>
  </si>
  <si>
    <t>Regionálny úrad školskej správy v Prešove</t>
  </si>
  <si>
    <t>Pod papierňou 2671</t>
  </si>
  <si>
    <t>Komenského 3</t>
  </si>
  <si>
    <t>Kežmarok</t>
  </si>
  <si>
    <t>Kostolné námestie 28</t>
  </si>
  <si>
    <t>Veľká Lomnica</t>
  </si>
  <si>
    <t>Železničná 131/65</t>
  </si>
  <si>
    <t>Levoča</t>
  </si>
  <si>
    <t>Námestie Štefana Kluberta 1</t>
  </si>
  <si>
    <t>Nám. Štefana Kluberta 1</t>
  </si>
  <si>
    <t>Nám. Štefana Kluberta 2</t>
  </si>
  <si>
    <t>Medzilaborce</t>
  </si>
  <si>
    <t>Duchnovičova 479</t>
  </si>
  <si>
    <t>Šrobárova 20</t>
  </si>
  <si>
    <t>Dominika Tatarku 4666/7</t>
  </si>
  <si>
    <t>Partizánska 2</t>
  </si>
  <si>
    <t>Spišský Štiavnik</t>
  </si>
  <si>
    <t>Slnečná 421</t>
  </si>
  <si>
    <t>Chminianske Jakubovany</t>
  </si>
  <si>
    <t>Chminianske Jakubovany 21</t>
  </si>
  <si>
    <t>Prešov</t>
  </si>
  <si>
    <t>Masarykova 11174/20D</t>
  </si>
  <si>
    <t>Matice slovenskej 11</t>
  </si>
  <si>
    <t>Masarykova 11175/20C</t>
  </si>
  <si>
    <t>Spojená škola Pavla Sabadoša internátna</t>
  </si>
  <si>
    <t>Duklianska 2</t>
  </si>
  <si>
    <t>Lipany</t>
  </si>
  <si>
    <t>Tehelná 23</t>
  </si>
  <si>
    <t>SNP 15</t>
  </si>
  <si>
    <t>Snina</t>
  </si>
  <si>
    <t>Palárikova 1602/1</t>
  </si>
  <si>
    <t>Stará Ľubovňa</t>
  </si>
  <si>
    <t>Levočská 24</t>
  </si>
  <si>
    <t>Svidník</t>
  </si>
  <si>
    <t>Partizánska 52</t>
  </si>
  <si>
    <t>Vranov nad Topľou</t>
  </si>
  <si>
    <t>Budovateľská 1309</t>
  </si>
  <si>
    <t>M. R. Štefánika 140</t>
  </si>
  <si>
    <t>VPO</t>
  </si>
  <si>
    <t>Prešovský samosprávny kraj</t>
  </si>
  <si>
    <t>Gymnázium Leonarda Stöckela</t>
  </si>
  <si>
    <t>Jiráskova 12</t>
  </si>
  <si>
    <t>Štefánikova 64</t>
  </si>
  <si>
    <t>Spojená škola Juraja Henischa</t>
  </si>
  <si>
    <t>Slovenská 5</t>
  </si>
  <si>
    <t>Stredná odborná škola ekonomiky, hotelierstva a služieb Jána Andraščíka</t>
  </si>
  <si>
    <t>Pod Vinbargom 3</t>
  </si>
  <si>
    <t>Komenského 5</t>
  </si>
  <si>
    <t>Gymnázium arm. gen. Ludvíka Svobodu</t>
  </si>
  <si>
    <t>Komenského 4</t>
  </si>
  <si>
    <t>Štefánikova 28</t>
  </si>
  <si>
    <t>Mierová 1973/79</t>
  </si>
  <si>
    <t>Štefánikova 1550/20</t>
  </si>
  <si>
    <t>Družstevná 1474/19</t>
  </si>
  <si>
    <t>Lipová 32</t>
  </si>
  <si>
    <t>Hviezdoslavova 20</t>
  </si>
  <si>
    <t>Hotelová akadémia Otta Brucknera</t>
  </si>
  <si>
    <t>Dr. Alexandra 29</t>
  </si>
  <si>
    <t>Garbiarska 1</t>
  </si>
  <si>
    <t>Stredná odborná škola agropotravinárska a technická</t>
  </si>
  <si>
    <t>Kušnierska brána 349/2</t>
  </si>
  <si>
    <t>Slavkovská 19</t>
  </si>
  <si>
    <t>Gymnázium Janka Francisciho - Rimavského</t>
  </si>
  <si>
    <t>Kláštorská 37</t>
  </si>
  <si>
    <t>Bottova 15A</t>
  </si>
  <si>
    <t>Stredná odborná škola služieb Majstra Pavla</t>
  </si>
  <si>
    <t>Kukučínova 9</t>
  </si>
  <si>
    <t>Duchnovičova 506</t>
  </si>
  <si>
    <t>Kukučínova 4239/1</t>
  </si>
  <si>
    <t>Murgašova 94</t>
  </si>
  <si>
    <t>Hlavná 1400/1</t>
  </si>
  <si>
    <t>Stredná odborná škola remesiel a služieb</t>
  </si>
  <si>
    <t>Okružná 761/25</t>
  </si>
  <si>
    <t>Kukučínova 483/12</t>
  </si>
  <si>
    <t>Stredná priemyselná škola techniky a dizajnu</t>
  </si>
  <si>
    <t>Mnoheľova 828</t>
  </si>
  <si>
    <t>Dlhé hony 5766/16</t>
  </si>
  <si>
    <t>Levočská 5</t>
  </si>
  <si>
    <t>Stredná odborná škola polytechnická Jána Antonína Baťu</t>
  </si>
  <si>
    <t>Svit</t>
  </si>
  <si>
    <t>Štefánikova 39</t>
  </si>
  <si>
    <t>Stredná odborná škola hotelová</t>
  </si>
  <si>
    <t>Vysoké Tatry</t>
  </si>
  <si>
    <t>Horný Smokovec 26</t>
  </si>
  <si>
    <t>Konštantínova 2</t>
  </si>
  <si>
    <t>Gymnázium Jána Adama Raymana</t>
  </si>
  <si>
    <t>Mudroňova 20</t>
  </si>
  <si>
    <t>Baštová 32</t>
  </si>
  <si>
    <t>Ľ. Podjavorinskej 22</t>
  </si>
  <si>
    <t>Masarykova 24</t>
  </si>
  <si>
    <t>Spojená škola Tarasa Ševčenka s vyučovacím jazykom ukrajinským</t>
  </si>
  <si>
    <t>Sládkovičova 4</t>
  </si>
  <si>
    <t>Volgogradská 3</t>
  </si>
  <si>
    <t>Sídlisko duklianskych hrdinov 3</t>
  </si>
  <si>
    <t>Kollárova 10</t>
  </si>
  <si>
    <t>Kmeťovo stromoradie 5</t>
  </si>
  <si>
    <t>Košická 20</t>
  </si>
  <si>
    <t>Volgogradská 1</t>
  </si>
  <si>
    <t>Plzenská 1</t>
  </si>
  <si>
    <t>Plzenská 10</t>
  </si>
  <si>
    <t>Duklianska 1</t>
  </si>
  <si>
    <t>Sládkovičova 36</t>
  </si>
  <si>
    <t>Vodárenská 3</t>
  </si>
  <si>
    <t>Komenského 16</t>
  </si>
  <si>
    <t>SNP 16</t>
  </si>
  <si>
    <t>Študentská 4</t>
  </si>
  <si>
    <t>Sládkovičova 2723/120</t>
  </si>
  <si>
    <t>Partizánska 1059</t>
  </si>
  <si>
    <t>Gymnázium Terézie Vansovej</t>
  </si>
  <si>
    <t>17. novembra 6</t>
  </si>
  <si>
    <t>Jarmočná 108</t>
  </si>
  <si>
    <t>Levočská 40</t>
  </si>
  <si>
    <t>Stropkov</t>
  </si>
  <si>
    <t>Konštantínova 1751/64</t>
  </si>
  <si>
    <t>Hviezdoslavova 44</t>
  </si>
  <si>
    <t>Gymnázium duklianskych hrdinov</t>
  </si>
  <si>
    <t>Centrálna 464</t>
  </si>
  <si>
    <t>Stredná odborná škola polytechnická a služieb arm. gen. L. Svobodu</t>
  </si>
  <si>
    <t>Bardejovská 715/18</t>
  </si>
  <si>
    <t>Sovietskych hrdinov 369/24</t>
  </si>
  <si>
    <t>Čaklov</t>
  </si>
  <si>
    <t>Čaklov 249</t>
  </si>
  <si>
    <t>Gymnázium Cyrila Daxnera</t>
  </si>
  <si>
    <t>Dr. C. Daxnera 88/3</t>
  </si>
  <si>
    <t>Daxnerova 88</t>
  </si>
  <si>
    <t>A. Dubčeka 963/2</t>
  </si>
  <si>
    <t>Lúčna 1055</t>
  </si>
  <si>
    <t>O523836</t>
  </si>
  <si>
    <t>Mesto Spišská Stará Ves</t>
  </si>
  <si>
    <t>Spišská Stará Ves</t>
  </si>
  <si>
    <t>Štúrova 231/123</t>
  </si>
  <si>
    <t>O527840</t>
  </si>
  <si>
    <t>Mesto Stropkov</t>
  </si>
  <si>
    <t>O519197</t>
  </si>
  <si>
    <t>Mesto Giraltovce</t>
  </si>
  <si>
    <t>Giraltovce</t>
  </si>
  <si>
    <t>Dukelská 26/30</t>
  </si>
  <si>
    <t>C06</t>
  </si>
  <si>
    <t>Rímskokatolícka cirkev Biskupstvo Spišské Podhradie</t>
  </si>
  <si>
    <t>Cirkevná spojená škola</t>
  </si>
  <si>
    <t>Okružná 2062/25</t>
  </si>
  <si>
    <t>C07</t>
  </si>
  <si>
    <t>Gréckokatolícke arcibiskupstvo Prešov</t>
  </si>
  <si>
    <t>Gymnázium sv. Jána Zlatoústeho</t>
  </si>
  <si>
    <t>Lesná 28</t>
  </si>
  <si>
    <t>C24</t>
  </si>
  <si>
    <t>Východný dištrikt Evanjelickej cirkvi augsburského vyznania na Slovensku</t>
  </si>
  <si>
    <t>Evanjelické gymnázium Jána Ámosa Komenského</t>
  </si>
  <si>
    <t>Škultétyho 10</t>
  </si>
  <si>
    <t>Gymnázium sv. Františka Assiského</t>
  </si>
  <si>
    <t>Kláštorská 24</t>
  </si>
  <si>
    <t>Spojená škola Jána Vojtaššáka internátna</t>
  </si>
  <si>
    <t>Kláštorská 24/a</t>
  </si>
  <si>
    <t>Stredná zdravotnícka škola Štefana Kluberta</t>
  </si>
  <si>
    <t>Kláštorská 24A</t>
  </si>
  <si>
    <t>Evanjelická spojená škola</t>
  </si>
  <si>
    <t>Komenského 10</t>
  </si>
  <si>
    <t>M. R. Štefánika 19</t>
  </si>
  <si>
    <t>Spojená škola sv. Jána Pavla II.</t>
  </si>
  <si>
    <t>Dlhé hony 3522/2</t>
  </si>
  <si>
    <t>Evanjelická spojená škola internátna</t>
  </si>
  <si>
    <t>Červenica</t>
  </si>
  <si>
    <t>Červenica 114</t>
  </si>
  <si>
    <t>Námestie legionárov 3</t>
  </si>
  <si>
    <t>Spojená škola bl. biskupa Gojdiča</t>
  </si>
  <si>
    <t>Bernolákova 21</t>
  </si>
  <si>
    <t>C43</t>
  </si>
  <si>
    <t>Rád sestier sv. Bazila Veľkého</t>
  </si>
  <si>
    <t>Stredná zdravotnícka škola sv. Bazila Veľkého</t>
  </si>
  <si>
    <t>Kmeťovo stromoradie 1</t>
  </si>
  <si>
    <t>Gymnázium sv. Andreja</t>
  </si>
  <si>
    <t>Námestie A. Hlinku 5</t>
  </si>
  <si>
    <t>Cirkevné gymnázium Štefana Mišíka</t>
  </si>
  <si>
    <t>Spišská Nová Ves</t>
  </si>
  <si>
    <t>Radničné námestie 271/8</t>
  </si>
  <si>
    <t>Spojená škola sv. Klementa Hofbauera internátna</t>
  </si>
  <si>
    <t>Podolínec</t>
  </si>
  <si>
    <t>Kláštorná 2</t>
  </si>
  <si>
    <t>Stredná odborná škola sv. Klementa Hofbauera</t>
  </si>
  <si>
    <t>Cirkevné gymnázium sv. Mikuláša</t>
  </si>
  <si>
    <t>Štúrova 383/3</t>
  </si>
  <si>
    <t>S528</t>
  </si>
  <si>
    <t>Biela voda, n.o.</t>
  </si>
  <si>
    <t>Súkromná spojená škola, Biela voda</t>
  </si>
  <si>
    <t>Nad traťou 1342/28</t>
  </si>
  <si>
    <t>S524</t>
  </si>
  <si>
    <t>Life Academy, s. r. o.</t>
  </si>
  <si>
    <t>Rovná 597/15</t>
  </si>
  <si>
    <t>S443</t>
  </si>
  <si>
    <t>Tatranská akadémia n.o.</t>
  </si>
  <si>
    <t>Ul. 29. augusta 4812</t>
  </si>
  <si>
    <t>S032</t>
  </si>
  <si>
    <t>Andrej Šoltýs</t>
  </si>
  <si>
    <t>Petrovianska 34</t>
  </si>
  <si>
    <t>S419</t>
  </si>
  <si>
    <t>Mgr. Eva Turáková</t>
  </si>
  <si>
    <t>S567</t>
  </si>
  <si>
    <t>Európska vzdelávacia agentúra ELBA, n.o. /European Educational Agency ELBA, n.o./</t>
  </si>
  <si>
    <t>Súkromná spojená škola European English School</t>
  </si>
  <si>
    <t>Solivarská 28</t>
  </si>
  <si>
    <t>S033</t>
  </si>
  <si>
    <t>Ing. Emil Blicha - ELBA</t>
  </si>
  <si>
    <t>Súkromná stredná odborná škola ELBA</t>
  </si>
  <si>
    <t>Smetanova 2</t>
  </si>
  <si>
    <t>S571</t>
  </si>
  <si>
    <t>MLADOSŤ n.o.</t>
  </si>
  <si>
    <t>Súkromná stredná odborná škola hotelierstva a gastronómie Mladosť</t>
  </si>
  <si>
    <t>Pod Kalváriou 36</t>
  </si>
  <si>
    <t>Súkromná stredná športová škola ELBA</t>
  </si>
  <si>
    <t>S1056</t>
  </si>
  <si>
    <t>SKDK Prešov s.r.o.</t>
  </si>
  <si>
    <t>M. Benku 7</t>
  </si>
  <si>
    <t>Súkromné odborné učilište ELBA</t>
  </si>
  <si>
    <t>Svinia</t>
  </si>
  <si>
    <t>Záhradnícka 83/19</t>
  </si>
  <si>
    <t>S575</t>
  </si>
  <si>
    <t>Ing. Marián Hybeľ</t>
  </si>
  <si>
    <t>Súkromné odborné učilište</t>
  </si>
  <si>
    <t>Hlavná 6</t>
  </si>
  <si>
    <t>S496</t>
  </si>
  <si>
    <t>K.B.REAL, s.r.o.</t>
  </si>
  <si>
    <t>Dukelská 33</t>
  </si>
  <si>
    <t>S969</t>
  </si>
  <si>
    <t>Mgr. Ľubomír Jakubek</t>
  </si>
  <si>
    <t>Dom Odborov Antona Bernoláka 51/blok B</t>
  </si>
  <si>
    <t>KE</t>
  </si>
  <si>
    <t>KKE</t>
  </si>
  <si>
    <t>Regionálny úrad školskej správy v Košiciach</t>
  </si>
  <si>
    <t>Prakovce</t>
  </si>
  <si>
    <t>Breziny 256</t>
  </si>
  <si>
    <t>Moldava nad Bodvou</t>
  </si>
  <si>
    <t>Hlavná 53</t>
  </si>
  <si>
    <t>Ždaňa</t>
  </si>
  <si>
    <t>Abovská 244/18</t>
  </si>
  <si>
    <t>Košice-Sever</t>
  </si>
  <si>
    <t>Park mládeže 5</t>
  </si>
  <si>
    <t>Bankov 15</t>
  </si>
  <si>
    <t>Gymnázium Milana Rastislava Štefánika</t>
  </si>
  <si>
    <t>Nám. L. Novomeského 4</t>
  </si>
  <si>
    <t>Vojenská 13</t>
  </si>
  <si>
    <t>Stredná odborná škola železničná</t>
  </si>
  <si>
    <t>Palackého 14</t>
  </si>
  <si>
    <t>Košice-Juh</t>
  </si>
  <si>
    <t>Alejová 6</t>
  </si>
  <si>
    <t>Košice-Vyšné Opátske</t>
  </si>
  <si>
    <t>Opatovská cesta 101</t>
  </si>
  <si>
    <t>Michalovce</t>
  </si>
  <si>
    <t>Školská 12</t>
  </si>
  <si>
    <t>Pavlovce nad Uhom</t>
  </si>
  <si>
    <t>Kapušianska 2</t>
  </si>
  <si>
    <t>Veľké Kapušany</t>
  </si>
  <si>
    <t>J. Dózsu 32</t>
  </si>
  <si>
    <t>Dobšiná</t>
  </si>
  <si>
    <t>Nová 803</t>
  </si>
  <si>
    <t>Rožňava</t>
  </si>
  <si>
    <t>Zeleného stromu 8</t>
  </si>
  <si>
    <t>Rudňany</t>
  </si>
  <si>
    <t>Zimné 465</t>
  </si>
  <si>
    <t>J. Fabiniho 3</t>
  </si>
  <si>
    <t>Spišské Vlachy</t>
  </si>
  <si>
    <t>Partizánska 13</t>
  </si>
  <si>
    <t>Kráľovský Chlmec</t>
  </si>
  <si>
    <t>F. Rákocziho 432/28</t>
  </si>
  <si>
    <t>Poľná 1</t>
  </si>
  <si>
    <t>VKE</t>
  </si>
  <si>
    <t>Košický samosprávny kraj</t>
  </si>
  <si>
    <t>Gelnica</t>
  </si>
  <si>
    <t>SNP 1</t>
  </si>
  <si>
    <t>Prakovce 282</t>
  </si>
  <si>
    <t>Gymnázium Štefana Moysesa</t>
  </si>
  <si>
    <t>Školská 13</t>
  </si>
  <si>
    <t>Stredná odborná škola agrotechnická - Agrotechnikai Szakközépiskola</t>
  </si>
  <si>
    <t>Hlavná 54</t>
  </si>
  <si>
    <t>Watsonova 61</t>
  </si>
  <si>
    <t>Komenského 44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</si>
  <si>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</si>
  <si>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</si>
  <si>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</si>
  <si>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</si>
  <si>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Timonova 2</t>
  </si>
  <si>
    <t>Stredná odborná škola obchodu a služieb Jána Bocatia</t>
  </si>
  <si>
    <t>Bocatiova 1</t>
  </si>
  <si>
    <t>Stredná odborná škola technická a ekonomická Jozefa Szakkayho - Szakkay József Műszaki és Közgazdasági Szakközépiskola</t>
  </si>
  <si>
    <t>Grešákova 1</t>
  </si>
  <si>
    <t>Hlavná 113</t>
  </si>
  <si>
    <t>Lermontovova 1</t>
  </si>
  <si>
    <t>Komenského 2</t>
  </si>
  <si>
    <t>Moyzesova 17</t>
  </si>
  <si>
    <t>Jakobyho 15</t>
  </si>
  <si>
    <t>Stredná odborná škola priemyselných technológii</t>
  </si>
  <si>
    <t>Košice-Šaca</t>
  </si>
  <si>
    <t>Učňovská 5</t>
  </si>
  <si>
    <t>Košice-Západ</t>
  </si>
  <si>
    <t>Trebišovská 12</t>
  </si>
  <si>
    <t>Trieda SNP 104</t>
  </si>
  <si>
    <t>Konzervatórium Jozefa Adamoviča</t>
  </si>
  <si>
    <t>Košice-Dargovských hrdinov</t>
  </si>
  <si>
    <t>Exnárova 8</t>
  </si>
  <si>
    <t>Košice-Barca</t>
  </si>
  <si>
    <t>Námestie mladých poľnohospodárov 2</t>
  </si>
  <si>
    <t>Alejová 1</t>
  </si>
  <si>
    <t>Južná trieda 10</t>
  </si>
  <si>
    <t>Moldavská cesta 2</t>
  </si>
  <si>
    <t>Gemerská 1</t>
  </si>
  <si>
    <t>Ostrovského 1</t>
  </si>
  <si>
    <t>Kukučínova 23</t>
  </si>
  <si>
    <t>Kukučínova 40</t>
  </si>
  <si>
    <t>Košice-Nad jazerom</t>
  </si>
  <si>
    <t>Polárna 1</t>
  </si>
  <si>
    <t>Opatovská cesta 7</t>
  </si>
  <si>
    <t>Ľ. Štúra 26</t>
  </si>
  <si>
    <t>Gymnázium Pavla Horova</t>
  </si>
  <si>
    <t>Masarykova 1</t>
  </si>
  <si>
    <t>Školská 4</t>
  </si>
  <si>
    <t>Partizánska 1</t>
  </si>
  <si>
    <t>Masarykova 27</t>
  </si>
  <si>
    <t>Strážske</t>
  </si>
  <si>
    <t>Mierová 727</t>
  </si>
  <si>
    <t>Zoltána Fábryho 1</t>
  </si>
  <si>
    <t>Stredná odborná škola techniky a služieb - Műszaki és Szolgáltóipari Szakközépiskola</t>
  </si>
  <si>
    <t>Janka Kráľa 25</t>
  </si>
  <si>
    <t>SNP 607</t>
  </si>
  <si>
    <t>Gymnázium Pavla Jozefa Šafárika - Pavol Jozef Šafárik Gimnázium</t>
  </si>
  <si>
    <t>Akademika Hronca 1</t>
  </si>
  <si>
    <t>Akademika Hronca 8</t>
  </si>
  <si>
    <t>Rožňavská Baňa 211</t>
  </si>
  <si>
    <t>Hviezdoslavova 5</t>
  </si>
  <si>
    <t>Námestie 1. mája č. 1</t>
  </si>
  <si>
    <t>Sobrance</t>
  </si>
  <si>
    <t>Kpt. Nálepku 6</t>
  </si>
  <si>
    <t>Námestie slobody 12</t>
  </si>
  <si>
    <t>Krompachy</t>
  </si>
  <si>
    <t>Lorencova ulica 46</t>
  </si>
  <si>
    <t>Javorová 16</t>
  </si>
  <si>
    <t>Radničné námestie 300/1</t>
  </si>
  <si>
    <t>Filinského 7</t>
  </si>
  <si>
    <t>Stredná odborná škola ekonomická</t>
  </si>
  <si>
    <t>Stojan 1</t>
  </si>
  <si>
    <t>Markušovská cesta 4</t>
  </si>
  <si>
    <t>Hviezdoslavova 6</t>
  </si>
  <si>
    <t>Horešská 18</t>
  </si>
  <si>
    <t>Stredná odborná škola techniky a remesiel - Műszaki Szakok és Mesterségek Szakközépiskola</t>
  </si>
  <si>
    <t>Rákocziho 23</t>
  </si>
  <si>
    <t>Stredná odborná škola agrotechnických a gastronomických služieb - Agrártechnikai és Gasztronómiai Szolgáltatási Szakközépiskola</t>
  </si>
  <si>
    <t>Pribeník</t>
  </si>
  <si>
    <t>J. Majlátha 2</t>
  </si>
  <si>
    <t>Sečovce</t>
  </si>
  <si>
    <t>Kollárova 17</t>
  </si>
  <si>
    <t>Komenského 32</t>
  </si>
  <si>
    <t>Komenského 3425/18</t>
  </si>
  <si>
    <t>O525529</t>
  </si>
  <si>
    <t>Mesto Rožňava</t>
  </si>
  <si>
    <t>J. A. Komenského 5</t>
  </si>
  <si>
    <t>C03</t>
  </si>
  <si>
    <t>Košická arcidiecéza</t>
  </si>
  <si>
    <t>Jiráskova 5</t>
  </si>
  <si>
    <t>Duchnovičova 24</t>
  </si>
  <si>
    <t>Ulica Československej armády 1450/39</t>
  </si>
  <si>
    <t>C71</t>
  </si>
  <si>
    <t>Rád premonštrátov - Opátstvo Jasov</t>
  </si>
  <si>
    <t>Premonštrátske gymnázium</t>
  </si>
  <si>
    <t>Kováčska 28</t>
  </si>
  <si>
    <t>Stredná zdravotnícka škola sv. Alžbety</t>
  </si>
  <si>
    <t>Mäsiarska 25</t>
  </si>
  <si>
    <t>Spojená škola sv. Košických mučeníkov</t>
  </si>
  <si>
    <t>Košice-Sídlisko KVP</t>
  </si>
  <si>
    <t>Čordákova 50</t>
  </si>
  <si>
    <t>Gymnázium sv. Edity Steinovej</t>
  </si>
  <si>
    <t>Charkovská 1</t>
  </si>
  <si>
    <t>C08</t>
  </si>
  <si>
    <t>Gréckokatolícka eparchia Košice</t>
  </si>
  <si>
    <t>Stredná odborná škola pedagogická sv. Cyrila a Metoda</t>
  </si>
  <si>
    <t>Južná trieda 48</t>
  </si>
  <si>
    <t>C45</t>
  </si>
  <si>
    <t>Michalovsko-košická pravoslávna eparchia v Michalovciach</t>
  </si>
  <si>
    <t>Stredná odborná škola sv. Cyrila a Metoda</t>
  </si>
  <si>
    <t>Tehliarska 2</t>
  </si>
  <si>
    <t>Gymnázium sv. Moniky</t>
  </si>
  <si>
    <t>Tarasa Ševčenka 1</t>
  </si>
  <si>
    <t>Katolícka spojená škola sv. Mikuláša</t>
  </si>
  <si>
    <t>Duklianska 16</t>
  </si>
  <si>
    <t>Švermova 10</t>
  </si>
  <si>
    <t>C19</t>
  </si>
  <si>
    <t>Spišská katolícka charita</t>
  </si>
  <si>
    <t>Spojená škola sv. Maximiliána Mária Kolbeho</t>
  </si>
  <si>
    <t>Gaštanová 11</t>
  </si>
  <si>
    <t>Stredná zdravotnícka škola milosrdného Samaritána</t>
  </si>
  <si>
    <t>Sovietskych hrdinov 80</t>
  </si>
  <si>
    <t>Cirkevné gymnázium sv. Jána Krstiteľa</t>
  </si>
  <si>
    <t>M. R. Štefánika 9</t>
  </si>
  <si>
    <t>Stredná odborná škola služieb a priemyslu sv. Jozafáta</t>
  </si>
  <si>
    <t>Komenského 1963/10</t>
  </si>
  <si>
    <t>Školská 650</t>
  </si>
  <si>
    <t>S696</t>
  </si>
  <si>
    <t>KOŠICKÁ AKADÉMIA, n.o.</t>
  </si>
  <si>
    <t>Súkromná stredná odborná škola ekonomická KOŠICKÁ AKADÉMIA</t>
  </si>
  <si>
    <t>Tajovského 15</t>
  </si>
  <si>
    <t>S428</t>
  </si>
  <si>
    <t>FUTURE, n.o.</t>
  </si>
  <si>
    <t>Súkromné gymnázium FUTURUM</t>
  </si>
  <si>
    <t>Moyzesova 5</t>
  </si>
  <si>
    <t>S222</t>
  </si>
  <si>
    <t>Juraj Sninský</t>
  </si>
  <si>
    <t>Zádielska 12</t>
  </si>
  <si>
    <t>S480</t>
  </si>
  <si>
    <t>Mgr. Anna Uchnárová</t>
  </si>
  <si>
    <t>Košice-Myslava</t>
  </si>
  <si>
    <t>Myslavská 401</t>
  </si>
  <si>
    <t>S161</t>
  </si>
  <si>
    <t>PhDr. Jarmila Uhríková</t>
  </si>
  <si>
    <t>Súkromná škola umeleckého priemyslu filmová</t>
  </si>
  <si>
    <t>Petzvalova 2</t>
  </si>
  <si>
    <t>S615</t>
  </si>
  <si>
    <t>SGCR s. r. o.</t>
  </si>
  <si>
    <t>Katkin park 2</t>
  </si>
  <si>
    <t>S411</t>
  </si>
  <si>
    <t>JUVENTUS SLOVAKIA, s.r.o.</t>
  </si>
  <si>
    <t>Súkromná stredná odborná škola ekonomicko-technická</t>
  </si>
  <si>
    <t>Postupimská 37</t>
  </si>
  <si>
    <t>S522</t>
  </si>
  <si>
    <t>Kultúrne združenie občanov rómskej národnosti Košického kraja, n.o.</t>
  </si>
  <si>
    <t>Požiarnická 1</t>
  </si>
  <si>
    <t>S001</t>
  </si>
  <si>
    <t>PAMIKO, s.r.o. Košice</t>
  </si>
  <si>
    <t>Súkromná stredná odborná škola PAMIKO</t>
  </si>
  <si>
    <t>S399</t>
  </si>
  <si>
    <t>SŠG, s.r.o.</t>
  </si>
  <si>
    <t>Užhorodská 39</t>
  </si>
  <si>
    <t>Súkromné hudobné a dramatické konzervatórium</t>
  </si>
  <si>
    <t>S1076</t>
  </si>
  <si>
    <t>Ing. Miroslav Krištan</t>
  </si>
  <si>
    <t>Bukovecká 17</t>
  </si>
  <si>
    <t>S164</t>
  </si>
  <si>
    <t>Dobrá škola, n. o.</t>
  </si>
  <si>
    <t>Dneperská 1</t>
  </si>
  <si>
    <t>S835</t>
  </si>
  <si>
    <t>Ing. Veronika Ondová</t>
  </si>
  <si>
    <t>Klokočov</t>
  </si>
  <si>
    <t>Klokočov 90</t>
  </si>
  <si>
    <t>S711</t>
  </si>
  <si>
    <t>Občianske združenie Nová cesta</t>
  </si>
  <si>
    <t>Súkromná stredná odborná škola Nová cesta Magán Szakközépiskola Új út</t>
  </si>
  <si>
    <t>Malčice</t>
  </si>
  <si>
    <t>Hlavná 265</t>
  </si>
  <si>
    <t>S407</t>
  </si>
  <si>
    <t>MUDr. Mária Dufincová</t>
  </si>
  <si>
    <t>Súkromná hotelová akadémia - Dufincova</t>
  </si>
  <si>
    <t>Školská 31</t>
  </si>
  <si>
    <t>S922</t>
  </si>
  <si>
    <t>EDURAM s.r.o.</t>
  </si>
  <si>
    <t>Súkromná spojená škola EDURAM</t>
  </si>
  <si>
    <t>Maurerova 55</t>
  </si>
  <si>
    <t>S1075</t>
  </si>
  <si>
    <t>PaedDr. Martin Farbár</t>
  </si>
  <si>
    <t>29. augusta 2340/38A</t>
  </si>
  <si>
    <t>SPOLU</t>
  </si>
  <si>
    <t>Použité skratky</t>
  </si>
  <si>
    <t>ČSK - člen skúšobnej komisie</t>
  </si>
  <si>
    <t>PSK - predseda skúšobnej komisie</t>
  </si>
  <si>
    <t>ČPMK - člen predmetovej maturitnej komisie</t>
  </si>
  <si>
    <t>PPMK - predseda predmetovej maturitnej komisie</t>
  </si>
  <si>
    <t>Mallého 2</t>
  </si>
  <si>
    <t>Štúrova 1205/16</t>
  </si>
  <si>
    <t>Stredná športová škola*</t>
  </si>
  <si>
    <t>Rosinská cesta 6</t>
  </si>
  <si>
    <t>Spojená škola Samuela Mikovíniho</t>
  </si>
  <si>
    <t>NIVAM</t>
  </si>
  <si>
    <r>
      <t>Finančné prostriedky
MATURITY
CELKOM
v (</t>
    </r>
    <r>
      <rPr>
        <sz val="11"/>
        <color theme="1"/>
        <rFont val="Calibri"/>
        <family val="2"/>
        <charset val="238"/>
      </rPr>
      <t>€)</t>
    </r>
  </si>
  <si>
    <t>BA Súčet</t>
  </si>
  <si>
    <t>TV Súčet</t>
  </si>
  <si>
    <t>TC Súčet</t>
  </si>
  <si>
    <t>NR Súčet</t>
  </si>
  <si>
    <t>ZA Súčet</t>
  </si>
  <si>
    <t>BB Súčet</t>
  </si>
  <si>
    <t>PO Súčet</t>
  </si>
  <si>
    <t>KE Súčet</t>
  </si>
  <si>
    <t>Celkový súčet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</si>
</sst>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7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242424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4" fillId="0" borderId="0"/>
    <xf numFmtId="0" fontId="10" fillId="0" borderId="0"/>
  </cellStyleXfs>
  <cellXfs count="261">
    <xf numFmtId="0" fontId="0" fillId="0" borderId="0" xfId="0"/>
    <xf numFmtId="0" fontId="3" fillId="0" borderId="0" xfId="0" applyFont="1"/>
    <xf numFmtId="2" fontId="4" fillId="0" borderId="0" xfId="0" applyNumberFormat="1" applyFont="1"/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3" fontId="6" fillId="2" borderId="2" xfId="0" applyNumberFormat="1" applyFont="1" applyFill="1" applyBorder="1" applyAlignment="1">
      <alignment horizontal="center" vertical="center" textRotation="90" wrapText="1"/>
    </xf>
    <xf numFmtId="3" fontId="6" fillId="2" borderId="3" xfId="0" applyNumberFormat="1" applyFont="1" applyFill="1" applyBorder="1" applyAlignment="1">
      <alignment horizontal="center" vertical="center" textRotation="90" wrapText="1"/>
    </xf>
    <xf numFmtId="3" fontId="6" fillId="2" borderId="4" xfId="0" applyNumberFormat="1" applyFont="1" applyFill="1" applyBorder="1" applyAlignment="1">
      <alignment horizontal="center" vertical="center" textRotation="90" wrapText="1"/>
    </xf>
    <xf numFmtId="3" fontId="6" fillId="2" borderId="5" xfId="0" applyNumberFormat="1" applyFont="1" applyFill="1" applyBorder="1" applyAlignment="1">
      <alignment horizontal="center" vertical="center" textRotation="90" wrapText="1"/>
    </xf>
    <xf numFmtId="4" fontId="7" fillId="3" borderId="2" xfId="0" applyNumberFormat="1" applyFont="1" applyFill="1" applyBorder="1" applyAlignment="1">
      <alignment horizontal="center" vertical="center" textRotation="90" wrapText="1"/>
    </xf>
    <xf numFmtId="4" fontId="7" fillId="3" borderId="3" xfId="0" applyNumberFormat="1" applyFont="1" applyFill="1" applyBorder="1" applyAlignment="1">
      <alignment horizontal="center" vertical="center" textRotation="90" wrapText="1"/>
    </xf>
    <xf numFmtId="4" fontId="7" fillId="3" borderId="5" xfId="0" applyNumberFormat="1" applyFont="1" applyFill="1" applyBorder="1" applyAlignment="1">
      <alignment horizontal="center" vertical="center" textRotation="90" wrapText="1"/>
    </xf>
    <xf numFmtId="4" fontId="7" fillId="4" borderId="6" xfId="0" applyNumberFormat="1" applyFont="1" applyFill="1" applyBorder="1" applyAlignment="1">
      <alignment horizontal="center" vertical="center" textRotation="90" wrapText="1"/>
    </xf>
    <xf numFmtId="3" fontId="7" fillId="5" borderId="7" xfId="0" applyNumberFormat="1" applyFont="1" applyFill="1" applyBorder="1" applyAlignment="1">
      <alignment horizontal="center" vertical="center" textRotation="90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3" fontId="9" fillId="6" borderId="8" xfId="1" applyNumberFormat="1" applyFont="1" applyFill="1" applyBorder="1" applyAlignment="1">
      <alignment horizontal="center" vertical="center" wrapText="1"/>
    </xf>
    <xf numFmtId="3" fontId="9" fillId="6" borderId="9" xfId="1" applyNumberFormat="1" applyFont="1" applyFill="1" applyBorder="1" applyAlignment="1">
      <alignment horizontal="center" vertical="center" wrapText="1"/>
    </xf>
    <xf numFmtId="3" fontId="9" fillId="6" borderId="10" xfId="1" applyNumberFormat="1" applyFont="1" applyFill="1" applyBorder="1" applyAlignment="1">
      <alignment horizontal="center" vertical="center" wrapText="1"/>
    </xf>
    <xf numFmtId="3" fontId="9" fillId="6" borderId="11" xfId="1" applyNumberFormat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center" vertical="center" wrapText="1"/>
    </xf>
    <xf numFmtId="4" fontId="9" fillId="6" borderId="9" xfId="1" applyNumberFormat="1" applyFont="1" applyFill="1" applyBorder="1" applyAlignment="1">
      <alignment horizontal="center" vertical="center" wrapText="1"/>
    </xf>
    <xf numFmtId="4" fontId="9" fillId="6" borderId="11" xfId="1" applyNumberFormat="1" applyFont="1" applyFill="1" applyBorder="1" applyAlignment="1">
      <alignment horizontal="center" vertical="center" wrapText="1"/>
    </xf>
    <xf numFmtId="4" fontId="9" fillId="6" borderId="12" xfId="1" applyNumberFormat="1" applyFont="1" applyFill="1" applyBorder="1" applyAlignment="1">
      <alignment horizontal="center" vertical="center" wrapText="1"/>
    </xf>
    <xf numFmtId="3" fontId="9" fillId="6" borderId="13" xfId="1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0" fillId="0" borderId="14" xfId="0" applyFont="1" applyFill="1" applyBorder="1"/>
    <xf numFmtId="0" fontId="10" fillId="0" borderId="15" xfId="0" applyFont="1" applyFill="1" applyBorder="1"/>
    <xf numFmtId="3" fontId="11" fillId="0" borderId="16" xfId="0" applyNumberFormat="1" applyFont="1" applyBorder="1" applyAlignment="1">
      <alignment vertical="center" wrapText="1"/>
    </xf>
    <xf numFmtId="3" fontId="11" fillId="0" borderId="17" xfId="0" applyNumberFormat="1" applyFont="1" applyBorder="1" applyAlignment="1">
      <alignment vertical="center" wrapText="1"/>
    </xf>
    <xf numFmtId="3" fontId="11" fillId="0" borderId="18" xfId="0" applyNumberFormat="1" applyFont="1" applyBorder="1" applyAlignment="1">
      <alignment vertical="center" wrapText="1"/>
    </xf>
    <xf numFmtId="4" fontId="5" fillId="0" borderId="16" xfId="0" applyNumberFormat="1" applyFont="1" applyBorder="1" applyAlignment="1">
      <alignment vertical="center" wrapText="1"/>
    </xf>
    <xf numFmtId="4" fontId="5" fillId="0" borderId="17" xfId="0" applyNumberFormat="1" applyFont="1" applyBorder="1" applyAlignment="1">
      <alignment vertical="center" wrapText="1"/>
    </xf>
    <xf numFmtId="4" fontId="5" fillId="0" borderId="18" xfId="0" applyNumberFormat="1" applyFont="1" applyBorder="1" applyAlignment="1">
      <alignment vertical="center" wrapText="1"/>
    </xf>
    <xf numFmtId="4" fontId="5" fillId="0" borderId="19" xfId="0" applyNumberFormat="1" applyFont="1" applyBorder="1" applyAlignment="1">
      <alignment vertical="center" wrapText="1"/>
    </xf>
    <xf numFmtId="3" fontId="5" fillId="0" borderId="20" xfId="0" applyNumberFormat="1" applyFont="1" applyBorder="1" applyAlignment="1">
      <alignment vertical="center" wrapText="1"/>
    </xf>
    <xf numFmtId="3" fontId="11" fillId="0" borderId="21" xfId="0" applyNumberFormat="1" applyFont="1" applyBorder="1" applyAlignment="1">
      <alignment vertical="center" wrapText="1"/>
    </xf>
    <xf numFmtId="3" fontId="11" fillId="0" borderId="14" xfId="0" applyNumberFormat="1" applyFont="1" applyBorder="1" applyAlignment="1">
      <alignment vertical="center" wrapText="1"/>
    </xf>
    <xf numFmtId="3" fontId="11" fillId="0" borderId="22" xfId="0" applyNumberFormat="1" applyFont="1" applyBorder="1" applyAlignment="1">
      <alignment vertical="center" wrapText="1"/>
    </xf>
    <xf numFmtId="4" fontId="5" fillId="0" borderId="21" xfId="0" applyNumberFormat="1" applyFont="1" applyBorder="1" applyAlignment="1">
      <alignment vertical="center" wrapText="1"/>
    </xf>
    <xf numFmtId="4" fontId="5" fillId="0" borderId="14" xfId="0" applyNumberFormat="1" applyFont="1" applyBorder="1" applyAlignment="1">
      <alignment vertical="center" wrapText="1"/>
    </xf>
    <xf numFmtId="4" fontId="5" fillId="0" borderId="23" xfId="0" applyNumberFormat="1" applyFont="1" applyBorder="1" applyAlignment="1">
      <alignment vertical="center" wrapText="1"/>
    </xf>
    <xf numFmtId="4" fontId="5" fillId="0" borderId="24" xfId="0" applyNumberFormat="1" applyFont="1" applyBorder="1" applyAlignment="1">
      <alignment vertical="center" wrapText="1"/>
    </xf>
    <xf numFmtId="4" fontId="5" fillId="0" borderId="25" xfId="0" applyNumberFormat="1" applyFont="1" applyBorder="1" applyAlignment="1">
      <alignment vertical="center" wrapText="1"/>
    </xf>
    <xf numFmtId="3" fontId="5" fillId="0" borderId="26" xfId="0" applyNumberFormat="1" applyFont="1" applyBorder="1" applyAlignment="1">
      <alignment vertical="center" wrapText="1"/>
    </xf>
    <xf numFmtId="0" fontId="10" fillId="0" borderId="14" xfId="2" applyFont="1" applyFill="1" applyBorder="1" applyAlignment="1">
      <alignment horizontal="center"/>
    </xf>
    <xf numFmtId="3" fontId="11" fillId="0" borderId="15" xfId="0" applyNumberFormat="1" applyFont="1" applyBorder="1" applyAlignment="1">
      <alignment vertical="center" wrapText="1"/>
    </xf>
    <xf numFmtId="0" fontId="10" fillId="7" borderId="15" xfId="0" applyFont="1" applyFill="1" applyBorder="1"/>
    <xf numFmtId="3" fontId="11" fillId="0" borderId="21" xfId="0" applyNumberFormat="1" applyFont="1" applyFill="1" applyBorder="1" applyAlignment="1">
      <alignment vertical="center" wrapText="1"/>
    </xf>
    <xf numFmtId="3" fontId="11" fillId="0" borderId="14" xfId="0" applyNumberFormat="1" applyFont="1" applyFill="1" applyBorder="1" applyAlignment="1">
      <alignment vertical="center" wrapText="1"/>
    </xf>
    <xf numFmtId="3" fontId="11" fillId="0" borderId="15" xfId="0" applyNumberFormat="1" applyFont="1" applyFill="1" applyBorder="1" applyAlignment="1">
      <alignment vertical="center" wrapText="1"/>
    </xf>
    <xf numFmtId="3" fontId="11" fillId="0" borderId="22" xfId="0" applyNumberFormat="1" applyFont="1" applyFill="1" applyBorder="1" applyAlignment="1">
      <alignment vertical="center" wrapText="1"/>
    </xf>
    <xf numFmtId="4" fontId="5" fillId="0" borderId="14" xfId="0" applyNumberFormat="1" applyFont="1" applyFill="1" applyBorder="1" applyAlignment="1">
      <alignment vertical="center" wrapText="1"/>
    </xf>
    <xf numFmtId="0" fontId="10" fillId="8" borderId="14" xfId="0" applyFont="1" applyFill="1" applyBorder="1" applyAlignment="1">
      <alignment horizontal="center"/>
    </xf>
    <xf numFmtId="3" fontId="11" fillId="7" borderId="21" xfId="0" applyNumberFormat="1" applyFont="1" applyFill="1" applyBorder="1" applyAlignment="1">
      <alignment vertical="center" wrapText="1"/>
    </xf>
    <xf numFmtId="3" fontId="11" fillId="7" borderId="14" xfId="0" applyNumberFormat="1" applyFont="1" applyFill="1" applyBorder="1" applyAlignment="1">
      <alignment vertical="center" wrapText="1"/>
    </xf>
    <xf numFmtId="3" fontId="11" fillId="7" borderId="15" xfId="0" applyNumberFormat="1" applyFont="1" applyFill="1" applyBorder="1" applyAlignment="1">
      <alignment vertical="center" wrapText="1"/>
    </xf>
    <xf numFmtId="3" fontId="11" fillId="7" borderId="22" xfId="0" applyNumberFormat="1" applyFont="1" applyFill="1" applyBorder="1" applyAlignment="1">
      <alignment vertical="center" wrapText="1"/>
    </xf>
    <xf numFmtId="4" fontId="5" fillId="7" borderId="14" xfId="0" applyNumberFormat="1" applyFont="1" applyFill="1" applyBorder="1" applyAlignment="1">
      <alignment vertical="center" wrapText="1"/>
    </xf>
    <xf numFmtId="0" fontId="10" fillId="0" borderId="27" xfId="0" applyFont="1" applyFill="1" applyBorder="1" applyAlignment="1">
      <alignment horizontal="center"/>
    </xf>
    <xf numFmtId="0" fontId="10" fillId="8" borderId="27" xfId="0" applyFont="1" applyFill="1" applyBorder="1" applyAlignment="1">
      <alignment horizontal="center"/>
    </xf>
    <xf numFmtId="0" fontId="10" fillId="8" borderId="28" xfId="0" applyFont="1" applyFill="1" applyBorder="1" applyAlignment="1">
      <alignment horizontal="center" vertical="center"/>
    </xf>
    <xf numFmtId="0" fontId="10" fillId="0" borderId="27" xfId="0" applyFont="1" applyFill="1" applyBorder="1"/>
    <xf numFmtId="0" fontId="10" fillId="0" borderId="28" xfId="0" applyFont="1" applyFill="1" applyBorder="1"/>
    <xf numFmtId="0" fontId="12" fillId="0" borderId="0" xfId="0" applyFont="1" applyFill="1"/>
    <xf numFmtId="0" fontId="10" fillId="8" borderId="14" xfId="0" applyFont="1" applyFill="1" applyBorder="1"/>
    <xf numFmtId="0" fontId="13" fillId="0" borderId="14" xfId="0" applyFont="1" applyFill="1" applyBorder="1"/>
    <xf numFmtId="0" fontId="10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14" xfId="0" applyFont="1" applyBorder="1"/>
    <xf numFmtId="0" fontId="10" fillId="0" borderId="15" xfId="0" applyFont="1" applyBorder="1"/>
    <xf numFmtId="0" fontId="10" fillId="0" borderId="21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14" xfId="3" applyFont="1" applyBorder="1" applyAlignment="1">
      <alignment vertical="center"/>
    </xf>
    <xf numFmtId="0" fontId="10" fillId="0" borderId="15" xfId="3" applyFont="1" applyBorder="1" applyAlignment="1">
      <alignment vertical="center"/>
    </xf>
    <xf numFmtId="0" fontId="10" fillId="0" borderId="21" xfId="0" applyFont="1" applyFill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9" xfId="2" applyFont="1" applyFill="1" applyBorder="1" applyAlignment="1">
      <alignment horizontal="center"/>
    </xf>
    <xf numFmtId="0" fontId="10" fillId="0" borderId="22" xfId="0" applyFont="1" applyFill="1" applyBorder="1"/>
    <xf numFmtId="0" fontId="10" fillId="0" borderId="23" xfId="0" applyFont="1" applyFill="1" applyBorder="1" applyAlignment="1">
      <alignment horizontal="center"/>
    </xf>
    <xf numFmtId="0" fontId="10" fillId="0" borderId="23" xfId="0" applyFont="1" applyFill="1" applyBorder="1"/>
    <xf numFmtId="0" fontId="10" fillId="0" borderId="30" xfId="0" applyFont="1" applyFill="1" applyBorder="1"/>
    <xf numFmtId="0" fontId="10" fillId="0" borderId="31" xfId="2" applyFont="1" applyFill="1" applyBorder="1" applyAlignment="1">
      <alignment horizontal="center"/>
    </xf>
    <xf numFmtId="0" fontId="10" fillId="0" borderId="31" xfId="0" applyFont="1" applyFill="1" applyBorder="1"/>
    <xf numFmtId="0" fontId="10" fillId="0" borderId="32" xfId="0" applyFont="1" applyFill="1" applyBorder="1"/>
    <xf numFmtId="3" fontId="11" fillId="0" borderId="33" xfId="0" applyNumberFormat="1" applyFont="1" applyBorder="1" applyAlignment="1">
      <alignment vertical="center" wrapText="1"/>
    </xf>
    <xf numFmtId="3" fontId="11" fillId="0" borderId="28" xfId="0" applyNumberFormat="1" applyFont="1" applyBorder="1" applyAlignment="1">
      <alignment vertical="center" wrapText="1"/>
    </xf>
    <xf numFmtId="3" fontId="11" fillId="0" borderId="34" xfId="0" applyNumberFormat="1" applyFont="1" applyBorder="1" applyAlignment="1">
      <alignment vertical="center" wrapText="1"/>
    </xf>
    <xf numFmtId="4" fontId="5" fillId="0" borderId="33" xfId="0" applyNumberFormat="1" applyFont="1" applyBorder="1" applyAlignment="1">
      <alignment vertical="center" wrapText="1"/>
    </xf>
    <xf numFmtId="4" fontId="5" fillId="0" borderId="28" xfId="0" applyNumberFormat="1" applyFont="1" applyBorder="1" applyAlignment="1">
      <alignment vertical="center" wrapText="1"/>
    </xf>
    <xf numFmtId="4" fontId="5" fillId="0" borderId="27" xfId="0" applyNumberFormat="1" applyFont="1" applyBorder="1" applyAlignment="1">
      <alignment vertical="center" wrapText="1"/>
    </xf>
    <xf numFmtId="4" fontId="5" fillId="0" borderId="35" xfId="0" applyNumberFormat="1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 wrapText="1"/>
    </xf>
    <xf numFmtId="3" fontId="5" fillId="0" borderId="36" xfId="0" applyNumberFormat="1" applyFont="1" applyBorder="1" applyAlignment="1">
      <alignment vertical="center" wrapText="1"/>
    </xf>
    <xf numFmtId="0" fontId="0" fillId="9" borderId="37" xfId="0" applyFill="1" applyBorder="1"/>
    <xf numFmtId="0" fontId="0" fillId="9" borderId="38" xfId="0" applyFill="1" applyBorder="1"/>
    <xf numFmtId="0" fontId="0" fillId="9" borderId="39" xfId="0" applyFill="1" applyBorder="1"/>
    <xf numFmtId="3" fontId="2" fillId="9" borderId="37" xfId="0" applyNumberFormat="1" applyFont="1" applyFill="1" applyBorder="1"/>
    <xf numFmtId="3" fontId="2" fillId="9" borderId="40" xfId="0" applyNumberFormat="1" applyFont="1" applyFill="1" applyBorder="1"/>
    <xf numFmtId="3" fontId="2" fillId="9" borderId="41" xfId="0" applyNumberFormat="1" applyFont="1" applyFill="1" applyBorder="1"/>
    <xf numFmtId="3" fontId="2" fillId="9" borderId="42" xfId="0" applyNumberFormat="1" applyFont="1" applyFill="1" applyBorder="1"/>
    <xf numFmtId="0" fontId="0" fillId="0" borderId="0" xfId="0" applyFill="1"/>
    <xf numFmtId="3" fontId="0" fillId="9" borderId="37" xfId="0" applyNumberFormat="1" applyFill="1" applyBorder="1"/>
    <xf numFmtId="3" fontId="0" fillId="9" borderId="43" xfId="0" applyNumberFormat="1" applyFill="1" applyBorder="1"/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vertical="center"/>
    </xf>
    <xf numFmtId="3" fontId="11" fillId="0" borderId="17" xfId="0" applyNumberFormat="1" applyFont="1" applyFill="1" applyBorder="1" applyAlignment="1">
      <alignment vertical="center" wrapText="1"/>
    </xf>
    <xf numFmtId="3" fontId="11" fillId="0" borderId="18" xfId="0" applyNumberFormat="1" applyFont="1" applyFill="1" applyBorder="1" applyAlignment="1">
      <alignment vertical="center" wrapText="1"/>
    </xf>
    <xf numFmtId="4" fontId="5" fillId="0" borderId="20" xfId="0" applyNumberFormat="1" applyFont="1" applyBorder="1" applyAlignment="1">
      <alignment vertical="center" wrapText="1"/>
    </xf>
    <xf numFmtId="3" fontId="5" fillId="0" borderId="20" xfId="0" applyNumberFormat="1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/>
    </xf>
    <xf numFmtId="4" fontId="5" fillId="0" borderId="22" xfId="0" applyNumberFormat="1" applyFont="1" applyBorder="1" applyAlignment="1">
      <alignment vertical="center" wrapText="1"/>
    </xf>
    <xf numFmtId="4" fontId="5" fillId="0" borderId="44" xfId="0" applyNumberFormat="1" applyFont="1" applyBorder="1" applyAlignment="1">
      <alignment vertical="center" wrapText="1"/>
    </xf>
    <xf numFmtId="3" fontId="5" fillId="0" borderId="44" xfId="0" applyNumberFormat="1" applyFont="1" applyFill="1" applyBorder="1" applyAlignment="1">
      <alignment vertical="center" wrapText="1"/>
    </xf>
    <xf numFmtId="4" fontId="5" fillId="0" borderId="21" xfId="0" applyNumberFormat="1" applyFont="1" applyFill="1" applyBorder="1" applyAlignment="1">
      <alignment vertical="center" wrapText="1"/>
    </xf>
    <xf numFmtId="4" fontId="5" fillId="0" borderId="22" xfId="0" applyNumberFormat="1" applyFont="1" applyFill="1" applyBorder="1" applyAlignment="1">
      <alignment vertical="center" wrapText="1"/>
    </xf>
    <xf numFmtId="4" fontId="5" fillId="0" borderId="44" xfId="0" applyNumberFormat="1" applyFont="1" applyFill="1" applyBorder="1" applyAlignment="1">
      <alignment vertical="center" wrapText="1"/>
    </xf>
    <xf numFmtId="0" fontId="10" fillId="0" borderId="14" xfId="2" applyFont="1" applyFill="1" applyBorder="1" applyAlignment="1">
      <alignment horizontal="center" vertical="center"/>
    </xf>
    <xf numFmtId="3" fontId="10" fillId="0" borderId="21" xfId="0" applyNumberFormat="1" applyFont="1" applyBorder="1" applyAlignment="1">
      <alignment vertical="center" wrapText="1"/>
    </xf>
    <xf numFmtId="3" fontId="10" fillId="0" borderId="14" xfId="0" applyNumberFormat="1" applyFont="1" applyBorder="1" applyAlignment="1">
      <alignment vertical="center" wrapText="1"/>
    </xf>
    <xf numFmtId="3" fontId="10" fillId="0" borderId="22" xfId="0" applyNumberFormat="1" applyFont="1" applyBorder="1" applyAlignment="1">
      <alignment vertical="center" wrapText="1"/>
    </xf>
    <xf numFmtId="4" fontId="15" fillId="0" borderId="21" xfId="0" applyNumberFormat="1" applyFont="1" applyBorder="1" applyAlignment="1">
      <alignment vertical="center" wrapText="1"/>
    </xf>
    <xf numFmtId="4" fontId="15" fillId="0" borderId="14" xfId="0" applyNumberFormat="1" applyFont="1" applyBorder="1" applyAlignment="1">
      <alignment vertical="center" wrapText="1"/>
    </xf>
    <xf numFmtId="4" fontId="15" fillId="0" borderId="22" xfId="0" applyNumberFormat="1" applyFont="1" applyBorder="1" applyAlignment="1">
      <alignment vertical="center" wrapText="1"/>
    </xf>
    <xf numFmtId="4" fontId="15" fillId="0" borderId="44" xfId="0" applyNumberFormat="1" applyFont="1" applyBorder="1" applyAlignment="1">
      <alignment vertical="center" wrapText="1"/>
    </xf>
    <xf numFmtId="3" fontId="15" fillId="0" borderId="44" xfId="0" applyNumberFormat="1" applyFont="1" applyFill="1" applyBorder="1" applyAlignment="1">
      <alignment vertical="center" wrapText="1"/>
    </xf>
    <xf numFmtId="0" fontId="16" fillId="0" borderId="0" xfId="0" applyFont="1"/>
    <xf numFmtId="0" fontId="11" fillId="0" borderId="22" xfId="0" applyFont="1" applyFill="1" applyBorder="1" applyAlignment="1">
      <alignment vertical="center"/>
    </xf>
    <xf numFmtId="3" fontId="5" fillId="0" borderId="44" xfId="0" applyNumberFormat="1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22" xfId="0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3" fontId="10" fillId="7" borderId="21" xfId="4" applyNumberFormat="1" applyFont="1" applyFill="1" applyBorder="1" applyAlignment="1">
      <alignment vertical="center"/>
    </xf>
    <xf numFmtId="3" fontId="10" fillId="7" borderId="14" xfId="4" applyNumberFormat="1" applyFont="1" applyFill="1" applyBorder="1" applyAlignment="1">
      <alignment vertical="center"/>
    </xf>
    <xf numFmtId="3" fontId="10" fillId="7" borderId="22" xfId="4" applyNumberFormat="1" applyFont="1" applyFill="1" applyBorder="1" applyAlignment="1">
      <alignment vertical="center"/>
    </xf>
    <xf numFmtId="0" fontId="11" fillId="0" borderId="21" xfId="4" applyFont="1" applyBorder="1" applyAlignment="1">
      <alignment horizontal="center" vertical="center"/>
    </xf>
    <xf numFmtId="0" fontId="11" fillId="0" borderId="14" xfId="4" applyFont="1" applyBorder="1" applyAlignment="1">
      <alignment horizontal="center" vertical="center"/>
    </xf>
    <xf numFmtId="0" fontId="10" fillId="0" borderId="15" xfId="4" applyFont="1" applyBorder="1" applyAlignment="1">
      <alignment horizontal="center" vertical="center"/>
    </xf>
    <xf numFmtId="0" fontId="10" fillId="0" borderId="14" xfId="4" applyFont="1" applyBorder="1" applyAlignment="1">
      <alignment vertical="center"/>
    </xf>
    <xf numFmtId="0" fontId="10" fillId="0" borderId="14" xfId="4" applyFont="1" applyBorder="1" applyAlignment="1">
      <alignment vertical="center" wrapText="1"/>
    </xf>
    <xf numFmtId="0" fontId="11" fillId="0" borderId="14" xfId="4" applyFont="1" applyBorder="1" applyAlignment="1">
      <alignment vertical="center"/>
    </xf>
    <xf numFmtId="0" fontId="10" fillId="0" borderId="22" xfId="4" applyFont="1" applyBorder="1" applyAlignment="1">
      <alignment vertical="center"/>
    </xf>
    <xf numFmtId="4" fontId="15" fillId="7" borderId="14" xfId="4" applyNumberFormat="1" applyFont="1" applyFill="1" applyBorder="1" applyAlignment="1">
      <alignment vertical="center"/>
    </xf>
    <xf numFmtId="0" fontId="10" fillId="0" borderId="21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center" vertical="center"/>
    </xf>
    <xf numFmtId="4" fontId="15" fillId="7" borderId="21" xfId="4" applyNumberFormat="1" applyFont="1" applyFill="1" applyBorder="1" applyAlignment="1">
      <alignment vertical="center"/>
    </xf>
    <xf numFmtId="0" fontId="10" fillId="0" borderId="22" xfId="0" applyFont="1" applyFill="1" applyBorder="1" applyAlignment="1">
      <alignment vertical="center" wrapText="1"/>
    </xf>
    <xf numFmtId="0" fontId="10" fillId="7" borderId="14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vertical="center" wrapText="1"/>
    </xf>
    <xf numFmtId="0" fontId="10" fillId="7" borderId="22" xfId="0" applyFont="1" applyFill="1" applyBorder="1" applyAlignment="1">
      <alignment vertical="center" wrapText="1"/>
    </xf>
    <xf numFmtId="3" fontId="10" fillId="7" borderId="21" xfId="0" applyNumberFormat="1" applyFont="1" applyFill="1" applyBorder="1" applyAlignment="1">
      <alignment vertical="center" wrapText="1"/>
    </xf>
    <xf numFmtId="3" fontId="10" fillId="7" borderId="14" xfId="0" applyNumberFormat="1" applyFont="1" applyFill="1" applyBorder="1" applyAlignment="1">
      <alignment vertical="center" wrapText="1"/>
    </xf>
    <xf numFmtId="3" fontId="10" fillId="7" borderId="22" xfId="0" applyNumberFormat="1" applyFont="1" applyFill="1" applyBorder="1" applyAlignment="1">
      <alignment vertical="center" wrapText="1"/>
    </xf>
    <xf numFmtId="4" fontId="15" fillId="7" borderId="21" xfId="0" applyNumberFormat="1" applyFont="1" applyFill="1" applyBorder="1" applyAlignment="1">
      <alignment vertical="center" wrapText="1"/>
    </xf>
    <xf numFmtId="4" fontId="15" fillId="7" borderId="14" xfId="0" applyNumberFormat="1" applyFont="1" applyFill="1" applyBorder="1" applyAlignment="1">
      <alignment vertical="center" wrapText="1"/>
    </xf>
    <xf numFmtId="4" fontId="15" fillId="7" borderId="22" xfId="0" applyNumberFormat="1" applyFont="1" applyFill="1" applyBorder="1" applyAlignment="1">
      <alignment vertical="center" wrapText="1"/>
    </xf>
    <xf numFmtId="4" fontId="15" fillId="7" borderId="44" xfId="0" applyNumberFormat="1" applyFont="1" applyFill="1" applyBorder="1" applyAlignment="1">
      <alignment vertical="center" wrapText="1"/>
    </xf>
    <xf numFmtId="3" fontId="15" fillId="7" borderId="44" xfId="0" applyNumberFormat="1" applyFont="1" applyFill="1" applyBorder="1" applyAlignment="1">
      <alignment vertical="center" wrapText="1"/>
    </xf>
    <xf numFmtId="0" fontId="10" fillId="6" borderId="14" xfId="2" applyFont="1" applyFill="1" applyBorder="1" applyAlignment="1">
      <alignment horizontal="center"/>
    </xf>
    <xf numFmtId="0" fontId="10" fillId="0" borderId="14" xfId="0" applyFont="1" applyFill="1" applyBorder="1" applyAlignment="1"/>
    <xf numFmtId="0" fontId="10" fillId="0" borderId="15" xfId="0" applyFont="1" applyFill="1" applyBorder="1" applyAlignment="1"/>
    <xf numFmtId="0" fontId="10" fillId="6" borderId="14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/>
    </xf>
    <xf numFmtId="0" fontId="10" fillId="0" borderId="14" xfId="0" applyFont="1" applyFill="1" applyBorder="1" applyAlignment="1">
      <alignment wrapText="1"/>
    </xf>
    <xf numFmtId="0" fontId="10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7" borderId="14" xfId="0" applyFont="1" applyFill="1" applyBorder="1" applyAlignment="1">
      <alignment vertical="center"/>
    </xf>
    <xf numFmtId="0" fontId="10" fillId="7" borderId="15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vertical="center"/>
    </xf>
    <xf numFmtId="4" fontId="5" fillId="7" borderId="21" xfId="0" applyNumberFormat="1" applyFont="1" applyFill="1" applyBorder="1" applyAlignment="1">
      <alignment vertical="center" wrapText="1"/>
    </xf>
    <xf numFmtId="4" fontId="5" fillId="7" borderId="22" xfId="0" applyNumberFormat="1" applyFont="1" applyFill="1" applyBorder="1" applyAlignment="1">
      <alignment vertical="center" wrapText="1"/>
    </xf>
    <xf numFmtId="4" fontId="5" fillId="7" borderId="44" xfId="0" applyNumberFormat="1" applyFont="1" applyFill="1" applyBorder="1" applyAlignment="1">
      <alignment vertical="center" wrapText="1"/>
    </xf>
    <xf numFmtId="3" fontId="5" fillId="7" borderId="44" xfId="0" applyNumberFormat="1" applyFont="1" applyFill="1" applyBorder="1" applyAlignment="1">
      <alignment vertical="center" wrapText="1"/>
    </xf>
    <xf numFmtId="0" fontId="11" fillId="0" borderId="14" xfId="0" applyFont="1" applyBorder="1"/>
    <xf numFmtId="0" fontId="11" fillId="0" borderId="22" xfId="0" applyFont="1" applyBorder="1"/>
    <xf numFmtId="0" fontId="11" fillId="7" borderId="14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vertical="center" wrapText="1"/>
    </xf>
    <xf numFmtId="0" fontId="11" fillId="7" borderId="22" xfId="0" applyFont="1" applyFill="1" applyBorder="1" applyAlignment="1">
      <alignment vertical="center"/>
    </xf>
    <xf numFmtId="3" fontId="11" fillId="0" borderId="21" xfId="0" applyNumberFormat="1" applyFont="1" applyBorder="1" applyAlignment="1">
      <alignment vertical="center"/>
    </xf>
    <xf numFmtId="3" fontId="11" fillId="0" borderId="14" xfId="0" applyNumberFormat="1" applyFont="1" applyBorder="1" applyAlignment="1">
      <alignment vertical="center"/>
    </xf>
    <xf numFmtId="3" fontId="10" fillId="7" borderId="14" xfId="0" applyNumberFormat="1" applyFont="1" applyFill="1" applyBorder="1" applyAlignment="1">
      <alignment vertical="center"/>
    </xf>
    <xf numFmtId="3" fontId="11" fillId="0" borderId="22" xfId="0" applyNumberFormat="1" applyFont="1" applyBorder="1" applyAlignment="1">
      <alignment vertical="center"/>
    </xf>
    <xf numFmtId="0" fontId="11" fillId="0" borderId="21" xfId="0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22" xfId="0" applyFont="1" applyFill="1" applyBorder="1" applyAlignment="1">
      <alignment horizontal="right" vertical="center"/>
    </xf>
    <xf numFmtId="4" fontId="5" fillId="0" borderId="21" xfId="0" applyNumberFormat="1" applyFont="1" applyFill="1" applyBorder="1" applyAlignment="1">
      <alignment horizontal="right" vertical="center"/>
    </xf>
    <xf numFmtId="4" fontId="5" fillId="0" borderId="14" xfId="0" applyNumberFormat="1" applyFont="1" applyFill="1" applyBorder="1" applyAlignment="1">
      <alignment horizontal="right" vertical="center"/>
    </xf>
    <xf numFmtId="4" fontId="5" fillId="0" borderId="22" xfId="0" applyNumberFormat="1" applyFont="1" applyFill="1" applyBorder="1" applyAlignment="1">
      <alignment horizontal="right" vertical="center"/>
    </xf>
    <xf numFmtId="4" fontId="5" fillId="0" borderId="44" xfId="0" applyNumberFormat="1" applyFont="1" applyFill="1" applyBorder="1" applyAlignment="1">
      <alignment horizontal="right" vertical="center"/>
    </xf>
    <xf numFmtId="0" fontId="10" fillId="7" borderId="14" xfId="0" applyFont="1" applyFill="1" applyBorder="1"/>
    <xf numFmtId="0" fontId="10" fillId="7" borderId="14" xfId="0" applyFont="1" applyFill="1" applyBorder="1" applyAlignment="1">
      <alignment horizontal="center"/>
    </xf>
    <xf numFmtId="0" fontId="10" fillId="7" borderId="22" xfId="0" applyFont="1" applyFill="1" applyBorder="1"/>
    <xf numFmtId="4" fontId="5" fillId="0" borderId="34" xfId="0" applyNumberFormat="1" applyFont="1" applyBorder="1" applyAlignment="1">
      <alignment vertical="center" wrapText="1"/>
    </xf>
    <xf numFmtId="4" fontId="5" fillId="0" borderId="45" xfId="0" applyNumberFormat="1" applyFont="1" applyBorder="1" applyAlignment="1">
      <alignment vertical="center" wrapText="1"/>
    </xf>
    <xf numFmtId="3" fontId="5" fillId="0" borderId="45" xfId="0" applyNumberFormat="1" applyFont="1" applyBorder="1" applyAlignment="1">
      <alignment vertical="center" wrapText="1"/>
    </xf>
    <xf numFmtId="0" fontId="3" fillId="9" borderId="37" xfId="0" applyFont="1" applyFill="1" applyBorder="1"/>
    <xf numFmtId="0" fontId="3" fillId="9" borderId="38" xfId="0" applyFont="1" applyFill="1" applyBorder="1"/>
    <xf numFmtId="0" fontId="3" fillId="9" borderId="38" xfId="0" applyFont="1" applyFill="1" applyBorder="1" applyAlignment="1">
      <alignment wrapText="1"/>
    </xf>
    <xf numFmtId="0" fontId="3" fillId="9" borderId="39" xfId="0" applyFont="1" applyFill="1" applyBorder="1"/>
    <xf numFmtId="4" fontId="5" fillId="9" borderId="37" xfId="0" applyNumberFormat="1" applyFont="1" applyFill="1" applyBorder="1" applyAlignment="1">
      <alignment vertical="center" wrapText="1"/>
    </xf>
    <xf numFmtId="3" fontId="5" fillId="9" borderId="42" xfId="0" applyNumberFormat="1" applyFont="1" applyFill="1" applyBorder="1" applyAlignment="1">
      <alignment vertical="center" wrapText="1"/>
    </xf>
    <xf numFmtId="0" fontId="11" fillId="9" borderId="37" xfId="0" applyFont="1" applyFill="1" applyBorder="1"/>
    <xf numFmtId="0" fontId="11" fillId="9" borderId="38" xfId="0" applyFont="1" applyFill="1" applyBorder="1"/>
    <xf numFmtId="0" fontId="11" fillId="9" borderId="39" xfId="0" applyFont="1" applyFill="1" applyBorder="1"/>
    <xf numFmtId="3" fontId="11" fillId="9" borderId="37" xfId="0" applyNumberFormat="1" applyFont="1" applyFill="1" applyBorder="1"/>
    <xf numFmtId="3" fontId="11" fillId="9" borderId="40" xfId="0" applyNumberFormat="1" applyFont="1" applyFill="1" applyBorder="1"/>
    <xf numFmtId="3" fontId="11" fillId="9" borderId="41" xfId="0" applyNumberFormat="1" applyFont="1" applyFill="1" applyBorder="1"/>
    <xf numFmtId="3" fontId="5" fillId="9" borderId="37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3" fontId="5" fillId="9" borderId="42" xfId="0" applyNumberFormat="1" applyFont="1" applyFill="1" applyBorder="1"/>
    <xf numFmtId="3" fontId="17" fillId="0" borderId="14" xfId="0" applyNumberFormat="1" applyFont="1" applyBorder="1" applyAlignment="1">
      <alignment vertical="center" wrapText="1"/>
    </xf>
    <xf numFmtId="0" fontId="0" fillId="0" borderId="0" xfId="0" applyBorder="1"/>
    <xf numFmtId="0" fontId="2" fillId="10" borderId="46" xfId="0" applyFont="1" applyFill="1" applyBorder="1" applyAlignment="1">
      <alignment horizontal="center" vertical="center" wrapText="1"/>
    </xf>
    <xf numFmtId="0" fontId="2" fillId="10" borderId="47" xfId="0" applyFont="1" applyFill="1" applyBorder="1" applyAlignment="1">
      <alignment horizontal="center" vertical="center" wrapText="1"/>
    </xf>
    <xf numFmtId="0" fontId="2" fillId="10" borderId="48" xfId="0" applyFont="1" applyFill="1" applyBorder="1" applyAlignment="1">
      <alignment horizontal="center" vertical="center" wrapText="1"/>
    </xf>
    <xf numFmtId="0" fontId="2" fillId="11" borderId="4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3" fontId="0" fillId="11" borderId="26" xfId="0" applyNumberFormat="1" applyFill="1" applyBorder="1"/>
    <xf numFmtId="0" fontId="0" fillId="0" borderId="21" xfId="0" applyBorder="1"/>
    <xf numFmtId="0" fontId="0" fillId="0" borderId="14" xfId="0" applyBorder="1"/>
    <xf numFmtId="0" fontId="0" fillId="0" borderId="15" xfId="0" applyBorder="1"/>
    <xf numFmtId="3" fontId="0" fillId="11" borderId="44" xfId="0" applyNumberFormat="1" applyFill="1" applyBorder="1"/>
    <xf numFmtId="0" fontId="2" fillId="12" borderId="21" xfId="0" applyFont="1" applyFill="1" applyBorder="1"/>
    <xf numFmtId="3" fontId="2" fillId="12" borderId="44" xfId="0" applyNumberFormat="1" applyFont="1" applyFill="1" applyBorder="1"/>
    <xf numFmtId="0" fontId="2" fillId="0" borderId="0" xfId="0" applyFont="1"/>
    <xf numFmtId="0" fontId="2" fillId="13" borderId="37" xfId="0" applyFont="1" applyFill="1" applyBorder="1" applyAlignment="1">
      <alignment horizontal="center" vertical="center"/>
    </xf>
    <xf numFmtId="3" fontId="2" fillId="12" borderId="42" xfId="0" applyNumberFormat="1" applyFont="1" applyFill="1" applyBorder="1"/>
    <xf numFmtId="0" fontId="2" fillId="13" borderId="53" xfId="0" applyFont="1" applyFill="1" applyBorder="1"/>
    <xf numFmtId="3" fontId="0" fillId="0" borderId="0" xfId="0" applyNumberFormat="1"/>
    <xf numFmtId="0" fontId="3" fillId="0" borderId="1" xfId="0" applyFont="1" applyBorder="1"/>
    <xf numFmtId="0" fontId="2" fillId="12" borderId="15" xfId="0" applyFont="1" applyFill="1" applyBorder="1" applyAlignment="1"/>
    <xf numFmtId="0" fontId="0" fillId="0" borderId="49" xfId="0" applyBorder="1" applyAlignment="1"/>
    <xf numFmtId="0" fontId="0" fillId="0" borderId="50" xfId="0" applyBorder="1" applyAlignment="1"/>
    <xf numFmtId="0" fontId="2" fillId="13" borderId="51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" fillId="13" borderId="51" xfId="0" applyFont="1" applyFill="1" applyBorder="1" applyAlignment="1"/>
    <xf numFmtId="0" fontId="0" fillId="0" borderId="52" xfId="0" applyBorder="1" applyAlignment="1"/>
    <xf numFmtId="0" fontId="3" fillId="0" borderId="0" xfId="0" applyFont="1" applyBorder="1"/>
    <xf numFmtId="0" fontId="2" fillId="0" borderId="49" xfId="0" applyFont="1" applyBorder="1" applyAlignment="1"/>
    <xf numFmtId="0" fontId="2" fillId="0" borderId="50" xfId="0" applyFont="1" applyBorder="1" applyAlignment="1"/>
  </cellXfs>
  <cellStyles count="5">
    <cellStyle name="Normálna" xfId="0" builtinId="0"/>
    <cellStyle name="Normálna 4" xfId="1" xr:uid="{28C0A85D-DC91-444E-99C4-7A127BA5795F}"/>
    <cellStyle name="Normálna 6" xfId="2" xr:uid="{A2B10259-0B68-430D-AC7F-E05AA6B6A2CF}"/>
    <cellStyle name="normálne 2" xfId="4" xr:uid="{65062494-AD3A-488B-BC1B-7B06FC64D06C}"/>
    <cellStyle name="normálne 2 2" xfId="3" xr:uid="{58F5347D-55E0-4ADF-9427-D043324A3BD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ela.gejdosova/Desktop/K&#243;pia%20-%20Z&#250;&#269;tovanie%20zria&#271;ovatelia%20Bratislava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ela.gejdosova/Desktop/Maturity%20j&#250;n%202023%20datab&#225;za%20na%20doplnenie_niva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ela.gejdosova/Desktop/MATURITY%20JUN%202023%20RIADNY%20TERMI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ela.gejdosova/Desktop/Maturity%20j&#250;n%202023%20Tren&#269;&#237;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ela.gejdosova/Desktop/K&#243;pia%20-%20Maturity%20j&#250;n%202023%20datab&#225;za%20N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ela.gejdosova/Desktop/K&#243;pia%20-%20Maturity%20j&#250;n%202023%20datab&#225;za_R&#218;&#352;S%20Z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ela.gejdosova/Desktop/MATURITY%202023/Maturity%202023/Maturity%20BB%202023/K&#243;pia%20-%20MS_06_2023_databaza_na%20doplnenie_RUSS_BB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ela.gejdosova/Desktop/K&#243;pia%20-%20Maturity%20j&#250;n%202023%20Pre&#353;ov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ela.gejdosova/Desktop/K&#243;pia%20-%20Maturity%20j&#250;n%202023%20datab&#225;za%20na%20doplnenie_K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 refreshError="1">
        <row r="4">
          <cell r="F4">
            <v>17337097</v>
          </cell>
          <cell r="G4" t="str">
            <v>Gymnázium Federica Garcíu Lorcu</v>
          </cell>
          <cell r="H4" t="str">
            <v>Bratislava-Podunajské Biskupice</v>
          </cell>
          <cell r="I4" t="str">
            <v>Hronská 3</v>
          </cell>
          <cell r="J4">
            <v>17</v>
          </cell>
          <cell r="K4"/>
          <cell r="L4">
            <v>52</v>
          </cell>
          <cell r="M4"/>
          <cell r="N4"/>
          <cell r="O4">
            <v>22</v>
          </cell>
          <cell r="P4">
            <v>1</v>
          </cell>
          <cell r="Q4"/>
          <cell r="R4">
            <v>481</v>
          </cell>
          <cell r="S4">
            <v>45</v>
          </cell>
          <cell r="T4">
            <v>1742</v>
          </cell>
          <cell r="U4">
            <v>0</v>
          </cell>
        </row>
        <row r="5">
          <cell r="F5">
            <v>42262488</v>
          </cell>
          <cell r="G5" t="str">
            <v>Gymnázium</v>
          </cell>
          <cell r="H5" t="str">
            <v>Bratislava-Ružinov</v>
          </cell>
          <cell r="I5" t="str">
            <v>Metodova 2</v>
          </cell>
          <cell r="J5">
            <v>14</v>
          </cell>
          <cell r="K5">
            <v>3</v>
          </cell>
          <cell r="L5">
            <v>46</v>
          </cell>
          <cell r="M5">
            <v>5</v>
          </cell>
          <cell r="N5">
            <v>2</v>
          </cell>
          <cell r="O5">
            <v>20</v>
          </cell>
          <cell r="P5">
            <v>3</v>
          </cell>
          <cell r="Q5">
            <v>56</v>
          </cell>
          <cell r="R5">
            <v>410</v>
          </cell>
          <cell r="S5">
            <v>107</v>
          </cell>
          <cell r="T5">
            <v>1541</v>
          </cell>
          <cell r="U5">
            <v>0</v>
          </cell>
        </row>
        <row r="6">
          <cell r="F6">
            <v>36075213</v>
          </cell>
          <cell r="G6" t="str">
            <v>Spojená škola</v>
          </cell>
          <cell r="H6" t="str">
            <v>Bratislava-Ružinov</v>
          </cell>
          <cell r="I6" t="str">
            <v>Novohradská 3</v>
          </cell>
          <cell r="J6">
            <v>26</v>
          </cell>
          <cell r="K6"/>
          <cell r="L6">
            <v>85</v>
          </cell>
          <cell r="M6"/>
          <cell r="N6"/>
          <cell r="O6">
            <v>29</v>
          </cell>
          <cell r="P6">
            <v>4</v>
          </cell>
          <cell r="Q6"/>
          <cell r="R6">
            <v>683</v>
          </cell>
          <cell r="S6">
            <v>234</v>
          </cell>
          <cell r="T6">
            <v>2847.5</v>
          </cell>
          <cell r="U6">
            <v>0</v>
          </cell>
        </row>
        <row r="7">
          <cell r="F7">
            <v>17319153</v>
          </cell>
          <cell r="G7" t="str">
            <v>Spojená škola internátna pre deti a žiakov so sluchovým postihnutím</v>
          </cell>
          <cell r="H7" t="str">
            <v>Bratislava-Nové Mesto</v>
          </cell>
          <cell r="I7" t="str">
            <v>Hrdličkova 17</v>
          </cell>
          <cell r="J7">
            <v>4</v>
          </cell>
          <cell r="K7">
            <v>2</v>
          </cell>
          <cell r="L7">
            <v>22</v>
          </cell>
          <cell r="M7">
            <v>12</v>
          </cell>
          <cell r="N7"/>
          <cell r="O7">
            <v>7</v>
          </cell>
          <cell r="P7">
            <v>2</v>
          </cell>
          <cell r="Q7">
            <v>0</v>
          </cell>
          <cell r="R7">
            <v>128</v>
          </cell>
          <cell r="S7">
            <v>80</v>
          </cell>
          <cell r="T7">
            <v>737</v>
          </cell>
          <cell r="U7">
            <v>0</v>
          </cell>
        </row>
        <row r="8">
          <cell r="F8">
            <v>605751</v>
          </cell>
          <cell r="G8" t="str">
            <v>Gymnázium</v>
          </cell>
          <cell r="H8" t="str">
            <v>Bratislava-Dúbravka</v>
          </cell>
          <cell r="I8" t="str">
            <v>Bilíkova 24</v>
          </cell>
          <cell r="J8">
            <v>21</v>
          </cell>
          <cell r="K8"/>
          <cell r="L8">
            <v>46</v>
          </cell>
          <cell r="M8"/>
          <cell r="N8"/>
          <cell r="O8">
            <v>21</v>
          </cell>
          <cell r="P8">
            <v>2</v>
          </cell>
          <cell r="Q8"/>
          <cell r="R8">
            <v>389</v>
          </cell>
          <cell r="S8">
            <v>136</v>
          </cell>
          <cell r="T8">
            <v>1541</v>
          </cell>
          <cell r="U8">
            <v>0</v>
          </cell>
        </row>
        <row r="9">
          <cell r="F9">
            <v>31780407</v>
          </cell>
          <cell r="G9" t="str">
            <v>Spojená škola</v>
          </cell>
          <cell r="H9" t="str">
            <v>Bratislava-Dúbravka</v>
          </cell>
          <cell r="I9" t="str">
            <v>J. Valašťana Dolinského 1</v>
          </cell>
          <cell r="J9"/>
          <cell r="K9"/>
          <cell r="L9"/>
          <cell r="M9"/>
          <cell r="N9"/>
          <cell r="O9"/>
          <cell r="P9"/>
          <cell r="Q9"/>
          <cell r="R9"/>
          <cell r="S9"/>
          <cell r="T9">
            <v>0</v>
          </cell>
          <cell r="U9">
            <v>0</v>
          </cell>
        </row>
        <row r="10">
          <cell r="F10">
            <v>17337054</v>
          </cell>
          <cell r="G10" t="str">
            <v>Gymnázium</v>
          </cell>
          <cell r="H10" t="str">
            <v>Bratislava-Karlova Ves</v>
          </cell>
          <cell r="I10" t="str">
            <v>Ladislava Sáru 1</v>
          </cell>
          <cell r="J10">
            <v>22</v>
          </cell>
          <cell r="K10"/>
          <cell r="L10">
            <v>65</v>
          </cell>
          <cell r="M10"/>
          <cell r="N10">
            <v>1</v>
          </cell>
          <cell r="O10">
            <v>23</v>
          </cell>
          <cell r="P10">
            <v>1</v>
          </cell>
          <cell r="Q10">
            <v>10</v>
          </cell>
          <cell r="R10">
            <v>522</v>
          </cell>
          <cell r="S10">
            <v>166</v>
          </cell>
          <cell r="T10">
            <v>2177.5</v>
          </cell>
          <cell r="U10">
            <v>0</v>
          </cell>
        </row>
        <row r="11">
          <cell r="F11">
            <v>30778964</v>
          </cell>
          <cell r="G11" t="str">
            <v>Spojená škola</v>
          </cell>
          <cell r="H11" t="str">
            <v>Bratislava-Karlova Ves</v>
          </cell>
          <cell r="I11" t="str">
            <v>Mokrohájska cesta 3</v>
          </cell>
          <cell r="J11">
            <v>10</v>
          </cell>
          <cell r="K11">
            <v>2</v>
          </cell>
          <cell r="L11">
            <v>27</v>
          </cell>
          <cell r="M11">
            <v>10</v>
          </cell>
          <cell r="N11"/>
          <cell r="O11">
            <v>14</v>
          </cell>
          <cell r="P11">
            <v>4</v>
          </cell>
          <cell r="Q11"/>
          <cell r="R11">
            <v>218</v>
          </cell>
          <cell r="S11">
            <v>71</v>
          </cell>
          <cell r="T11">
            <v>904.5</v>
          </cell>
          <cell r="U11">
            <v>0</v>
          </cell>
        </row>
        <row r="12">
          <cell r="F12">
            <v>31769446</v>
          </cell>
          <cell r="G12" t="str">
            <v>Spojená škola</v>
          </cell>
          <cell r="H12" t="str">
            <v>Bratislava-Karlova Ves</v>
          </cell>
          <cell r="I12" t="str">
            <v>Dúbravská cesta 1</v>
          </cell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>
            <v>0</v>
          </cell>
          <cell r="U12">
            <v>0</v>
          </cell>
        </row>
        <row r="13">
          <cell r="F13">
            <v>54732662</v>
          </cell>
          <cell r="G13" t="str">
            <v>Spojená škola internátna</v>
          </cell>
          <cell r="H13" t="str">
            <v>Bratislava-Karlova Ves</v>
          </cell>
          <cell r="I13" t="str">
            <v>Dúbravská cesta 1</v>
          </cell>
          <cell r="J13">
            <v>2</v>
          </cell>
          <cell r="K13"/>
          <cell r="L13">
            <v>4</v>
          </cell>
          <cell r="M13"/>
          <cell r="N13"/>
          <cell r="O13">
            <v>2</v>
          </cell>
          <cell r="P13"/>
          <cell r="Q13"/>
          <cell r="R13">
            <v>11</v>
          </cell>
          <cell r="S13"/>
          <cell r="T13">
            <v>134</v>
          </cell>
          <cell r="U13">
            <v>0</v>
          </cell>
        </row>
        <row r="14">
          <cell r="F14">
            <v>30775426</v>
          </cell>
          <cell r="G14" t="str">
            <v>Obchodná akadémia Imricha Karvaša</v>
          </cell>
          <cell r="H14" t="str">
            <v>Bratislava-Petržalka</v>
          </cell>
          <cell r="I14" t="str">
            <v>Hrobákova 11</v>
          </cell>
          <cell r="J14">
            <v>10</v>
          </cell>
          <cell r="K14"/>
          <cell r="L14">
            <v>63</v>
          </cell>
          <cell r="M14"/>
          <cell r="N14"/>
          <cell r="O14">
            <v>12</v>
          </cell>
          <cell r="P14">
            <v>2</v>
          </cell>
          <cell r="Q14"/>
          <cell r="R14">
            <v>365</v>
          </cell>
          <cell r="S14">
            <v>134</v>
          </cell>
          <cell r="T14">
            <v>2110.5</v>
          </cell>
          <cell r="U14">
            <v>0</v>
          </cell>
        </row>
        <row r="15">
          <cell r="F15">
            <v>31780610</v>
          </cell>
          <cell r="G15" t="str">
            <v>Spojená škola</v>
          </cell>
          <cell r="H15" t="str">
            <v>Malacky</v>
          </cell>
          <cell r="I15" t="str">
            <v>Pribinova 16/1</v>
          </cell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>
            <v>0</v>
          </cell>
          <cell r="U15">
            <v>0</v>
          </cell>
        </row>
        <row r="16">
          <cell r="F16">
            <v>500798</v>
          </cell>
          <cell r="G16" t="str">
            <v>Reedukačné centrum</v>
          </cell>
          <cell r="H16" t="str">
            <v>Sološnica</v>
          </cell>
          <cell r="I16" t="str">
            <v>Sološnica 3</v>
          </cell>
          <cell r="J16">
            <v>1</v>
          </cell>
          <cell r="K16"/>
          <cell r="L16">
            <v>3</v>
          </cell>
          <cell r="M16"/>
          <cell r="N16"/>
          <cell r="O16">
            <v>1</v>
          </cell>
          <cell r="P16"/>
          <cell r="Q16"/>
          <cell r="R16">
            <v>9</v>
          </cell>
          <cell r="S16"/>
          <cell r="T16">
            <v>100.5</v>
          </cell>
          <cell r="U16">
            <v>0</v>
          </cell>
        </row>
        <row r="17">
          <cell r="F17">
            <v>17050162</v>
          </cell>
          <cell r="G17" t="str">
            <v>Reedukačné centrum</v>
          </cell>
          <cell r="H17" t="str">
            <v>Veľké Leváre</v>
          </cell>
          <cell r="I17" t="str">
            <v>Veľké Leváre 1106</v>
          </cell>
          <cell r="J17">
            <v>1</v>
          </cell>
          <cell r="K17"/>
          <cell r="L17">
            <v>2</v>
          </cell>
          <cell r="M17"/>
          <cell r="N17"/>
          <cell r="O17">
            <v>1</v>
          </cell>
          <cell r="P17"/>
          <cell r="Q17"/>
          <cell r="R17">
            <v>2</v>
          </cell>
          <cell r="S17"/>
          <cell r="T17">
            <v>67</v>
          </cell>
          <cell r="U17">
            <v>0</v>
          </cell>
        </row>
        <row r="18">
          <cell r="F18">
            <v>35629428</v>
          </cell>
          <cell r="G18" t="str">
            <v>Spojená škola</v>
          </cell>
          <cell r="H18" t="str">
            <v>Pezinok</v>
          </cell>
          <cell r="I18" t="str">
            <v>Komenského 25</v>
          </cell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>
            <v>0</v>
          </cell>
          <cell r="U18">
            <v>0</v>
          </cell>
        </row>
        <row r="19">
          <cell r="F19">
            <v>42175372</v>
          </cell>
          <cell r="G19" t="str">
            <v>Spojená škola</v>
          </cell>
          <cell r="H19" t="str">
            <v>Senec</v>
          </cell>
          <cell r="I19" t="str">
            <v>Trnavská 2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>
            <v>0</v>
          </cell>
          <cell r="U19">
            <v>0</v>
          </cell>
        </row>
        <row r="20">
          <cell r="F20">
            <v>17337101</v>
          </cell>
          <cell r="G20" t="str">
            <v>Gymnázium</v>
          </cell>
          <cell r="H20" t="str">
            <v>Bratislava-Staré Mesto</v>
          </cell>
          <cell r="I20" t="str">
            <v>Grösslingová 18</v>
          </cell>
          <cell r="J20">
            <v>15</v>
          </cell>
          <cell r="K20">
            <v>0</v>
          </cell>
          <cell r="L20">
            <v>47</v>
          </cell>
          <cell r="M20">
            <v>0</v>
          </cell>
          <cell r="N20">
            <v>0</v>
          </cell>
          <cell r="O20">
            <v>25</v>
          </cell>
          <cell r="P20">
            <v>1</v>
          </cell>
          <cell r="Q20">
            <v>0</v>
          </cell>
          <cell r="R20">
            <v>455</v>
          </cell>
          <cell r="S20">
            <v>17</v>
          </cell>
          <cell r="T20">
            <v>1574.5</v>
          </cell>
          <cell r="U20">
            <v>0</v>
          </cell>
        </row>
        <row r="21">
          <cell r="F21">
            <v>17337046</v>
          </cell>
          <cell r="G21" t="str">
            <v>Gymnázium Jána Papánka</v>
          </cell>
          <cell r="H21" t="str">
            <v>Bratislava-Staré Mesto</v>
          </cell>
          <cell r="I21" t="str">
            <v>Vazovova 6</v>
          </cell>
          <cell r="J21">
            <v>11</v>
          </cell>
          <cell r="K21">
            <v>0</v>
          </cell>
          <cell r="L21">
            <v>30</v>
          </cell>
          <cell r="M21">
            <v>0</v>
          </cell>
          <cell r="N21">
            <v>0</v>
          </cell>
          <cell r="O21">
            <v>12</v>
          </cell>
          <cell r="P21">
            <v>1</v>
          </cell>
          <cell r="Q21">
            <v>0</v>
          </cell>
          <cell r="R21">
            <v>259</v>
          </cell>
          <cell r="S21">
            <v>43</v>
          </cell>
          <cell r="T21">
            <v>1005</v>
          </cell>
          <cell r="U21">
            <v>0</v>
          </cell>
        </row>
        <row r="22">
          <cell r="F22">
            <v>605808</v>
          </cell>
          <cell r="G22" t="str">
            <v>Konzervatórium</v>
          </cell>
          <cell r="H22" t="str">
            <v>Bratislava-Staré Mesto</v>
          </cell>
          <cell r="I22" t="str">
            <v>Tolstého 11</v>
          </cell>
          <cell r="J22">
            <v>16</v>
          </cell>
          <cell r="K22">
            <v>7</v>
          </cell>
          <cell r="L22">
            <v>56</v>
          </cell>
          <cell r="M22">
            <v>22</v>
          </cell>
          <cell r="N22">
            <v>1</v>
          </cell>
          <cell r="O22">
            <v>23</v>
          </cell>
          <cell r="P22">
            <v>1</v>
          </cell>
          <cell r="Q22">
            <v>5</v>
          </cell>
          <cell r="R22">
            <v>487</v>
          </cell>
          <cell r="S22">
            <v>25</v>
          </cell>
          <cell r="T22">
            <v>1876</v>
          </cell>
          <cell r="U22">
            <v>0</v>
          </cell>
        </row>
        <row r="23">
          <cell r="F23">
            <v>30775353</v>
          </cell>
          <cell r="G23" t="str">
            <v>Stredná priemyselná škola elektrotechnická</v>
          </cell>
          <cell r="H23" t="str">
            <v>Bratislava-Staré Mesto</v>
          </cell>
          <cell r="I23" t="str">
            <v>Zochova 9</v>
          </cell>
          <cell r="J23">
            <v>11</v>
          </cell>
          <cell r="K23">
            <v>0</v>
          </cell>
          <cell r="L23">
            <v>39</v>
          </cell>
          <cell r="M23">
            <v>0</v>
          </cell>
          <cell r="N23">
            <v>1</v>
          </cell>
          <cell r="O23">
            <v>16</v>
          </cell>
          <cell r="P23">
            <v>1</v>
          </cell>
          <cell r="Q23">
            <v>7</v>
          </cell>
          <cell r="R23">
            <v>373</v>
          </cell>
          <cell r="S23">
            <v>67</v>
          </cell>
          <cell r="T23">
            <v>1306.5</v>
          </cell>
          <cell r="U23">
            <v>0</v>
          </cell>
        </row>
        <row r="24">
          <cell r="F24">
            <v>30775396</v>
          </cell>
          <cell r="G24" t="str">
            <v>Stredná priemyselná škola strojnícka</v>
          </cell>
          <cell r="H24" t="str">
            <v>Bratislava-Staré Mesto</v>
          </cell>
          <cell r="I24" t="str">
            <v>Fajnorovo nábrežie 5</v>
          </cell>
          <cell r="J24">
            <v>10</v>
          </cell>
          <cell r="K24">
            <v>0</v>
          </cell>
          <cell r="L24">
            <v>39</v>
          </cell>
          <cell r="M24">
            <v>0</v>
          </cell>
          <cell r="N24">
            <v>0</v>
          </cell>
          <cell r="O24">
            <v>13</v>
          </cell>
          <cell r="P24">
            <v>1</v>
          </cell>
          <cell r="Q24">
            <v>0</v>
          </cell>
          <cell r="R24">
            <v>294</v>
          </cell>
          <cell r="S24">
            <v>77</v>
          </cell>
          <cell r="T24">
            <v>1306.5</v>
          </cell>
          <cell r="U24">
            <v>0</v>
          </cell>
        </row>
        <row r="25">
          <cell r="F25">
            <v>30775302</v>
          </cell>
          <cell r="G25" t="str">
            <v>Tanečné konzervatórium Evy Jaczovej</v>
          </cell>
          <cell r="H25" t="str">
            <v>Bratislava-Staré Mesto</v>
          </cell>
          <cell r="I25" t="str">
            <v>Gorazdova 20</v>
          </cell>
          <cell r="J25">
            <v>4</v>
          </cell>
          <cell r="K25">
            <v>0</v>
          </cell>
          <cell r="L25">
            <v>25</v>
          </cell>
          <cell r="M25">
            <v>0</v>
          </cell>
          <cell r="N25">
            <v>0</v>
          </cell>
          <cell r="O25">
            <v>3</v>
          </cell>
          <cell r="P25">
            <v>1</v>
          </cell>
          <cell r="Q25">
            <v>0</v>
          </cell>
          <cell r="R25">
            <v>189</v>
          </cell>
          <cell r="S25">
            <v>86</v>
          </cell>
          <cell r="T25">
            <v>837.5</v>
          </cell>
          <cell r="U25">
            <v>0</v>
          </cell>
        </row>
        <row r="26">
          <cell r="F26">
            <v>17337089</v>
          </cell>
          <cell r="G26" t="str">
            <v>Základná škola a GYMNÁZIUM s vyučovacím jazykom maďarským - Magyar Tannyelvű Alapiskola és Gimnázium</v>
          </cell>
          <cell r="H26" t="str">
            <v>Bratislava-Staré Mesto</v>
          </cell>
          <cell r="I26" t="str">
            <v>Dunajská 13</v>
          </cell>
          <cell r="J26">
            <v>3</v>
          </cell>
          <cell r="K26">
            <v>0</v>
          </cell>
          <cell r="L26">
            <v>16</v>
          </cell>
          <cell r="M26">
            <v>0</v>
          </cell>
          <cell r="N26">
            <v>0</v>
          </cell>
          <cell r="O26">
            <v>5</v>
          </cell>
          <cell r="P26">
            <v>1</v>
          </cell>
          <cell r="Q26">
            <v>0</v>
          </cell>
          <cell r="R26">
            <v>170</v>
          </cell>
          <cell r="S26">
            <v>68</v>
          </cell>
          <cell r="T26">
            <v>536</v>
          </cell>
          <cell r="U26">
            <v>145.6</v>
          </cell>
        </row>
        <row r="27">
          <cell r="F27">
            <v>17337062</v>
          </cell>
          <cell r="G27" t="str">
            <v>Gymnázium Ivana Horvátha</v>
          </cell>
          <cell r="H27" t="str">
            <v>Bratislava-Ružinov</v>
          </cell>
          <cell r="I27" t="str">
            <v>Ivana Horvátha 14</v>
          </cell>
          <cell r="J27">
            <v>14</v>
          </cell>
          <cell r="K27">
            <v>0</v>
          </cell>
          <cell r="L27">
            <v>42</v>
          </cell>
          <cell r="M27">
            <v>0</v>
          </cell>
          <cell r="N27">
            <v>0</v>
          </cell>
          <cell r="O27">
            <v>17</v>
          </cell>
          <cell r="P27">
            <v>1</v>
          </cell>
          <cell r="Q27">
            <v>0</v>
          </cell>
          <cell r="R27">
            <v>356</v>
          </cell>
          <cell r="S27">
            <v>64</v>
          </cell>
          <cell r="T27">
            <v>1407</v>
          </cell>
          <cell r="U27">
            <v>0</v>
          </cell>
        </row>
        <row r="28">
          <cell r="F28">
            <v>605786</v>
          </cell>
          <cell r="G28" t="str">
            <v>Gymnázium Ladislava Novomeského</v>
          </cell>
          <cell r="H28" t="str">
            <v>Bratislava-Ružinov</v>
          </cell>
          <cell r="I28" t="str">
            <v>Tomášikova 2</v>
          </cell>
          <cell r="J28">
            <v>12</v>
          </cell>
          <cell r="K28">
            <v>0</v>
          </cell>
          <cell r="L28">
            <v>31</v>
          </cell>
          <cell r="M28">
            <v>0</v>
          </cell>
          <cell r="N28">
            <v>0</v>
          </cell>
          <cell r="O28">
            <v>14</v>
          </cell>
          <cell r="P28">
            <v>1</v>
          </cell>
          <cell r="Q28">
            <v>0</v>
          </cell>
          <cell r="R28">
            <v>376</v>
          </cell>
          <cell r="S28">
            <v>4</v>
          </cell>
          <cell r="T28">
            <v>1038.5</v>
          </cell>
          <cell r="U28">
            <v>0</v>
          </cell>
        </row>
        <row r="29">
          <cell r="F29">
            <v>17327652</v>
          </cell>
          <cell r="G29" t="str">
            <v>Obchodná akadémia</v>
          </cell>
          <cell r="H29" t="str">
            <v>Bratislava-Ružinov</v>
          </cell>
          <cell r="I29" t="str">
            <v>Nevädzová 3</v>
          </cell>
          <cell r="J29">
            <v>7</v>
          </cell>
          <cell r="K29">
            <v>0</v>
          </cell>
          <cell r="L29">
            <v>31</v>
          </cell>
          <cell r="M29">
            <v>0</v>
          </cell>
          <cell r="N29">
            <v>1</v>
          </cell>
          <cell r="O29">
            <v>7</v>
          </cell>
          <cell r="P29">
            <v>1</v>
          </cell>
          <cell r="Q29">
            <v>2</v>
          </cell>
          <cell r="R29">
            <v>241</v>
          </cell>
          <cell r="S29">
            <v>17</v>
          </cell>
          <cell r="T29">
            <v>1038.5</v>
          </cell>
          <cell r="U29">
            <v>0</v>
          </cell>
        </row>
        <row r="30">
          <cell r="F30">
            <v>30866499</v>
          </cell>
          <cell r="G30" t="str">
            <v>Spojená škola</v>
          </cell>
          <cell r="H30" t="str">
            <v>Bratislava-Ružinov</v>
          </cell>
          <cell r="I30" t="str">
            <v>Tokajícka 24</v>
          </cell>
          <cell r="J30">
            <v>5</v>
          </cell>
          <cell r="K30">
            <v>0</v>
          </cell>
          <cell r="L30">
            <v>32</v>
          </cell>
          <cell r="M30">
            <v>0</v>
          </cell>
          <cell r="N30">
            <v>0</v>
          </cell>
          <cell r="O30">
            <v>5</v>
          </cell>
          <cell r="P30">
            <v>1</v>
          </cell>
          <cell r="Q30">
            <v>0</v>
          </cell>
          <cell r="R30">
            <v>218</v>
          </cell>
          <cell r="S30">
            <v>84</v>
          </cell>
          <cell r="T30">
            <v>1072</v>
          </cell>
          <cell r="U30">
            <v>0</v>
          </cell>
        </row>
        <row r="31">
          <cell r="F31">
            <v>53242726</v>
          </cell>
          <cell r="G31" t="str">
            <v>Spojená škola</v>
          </cell>
          <cell r="H31" t="str">
            <v>Bratislava-Ružinov</v>
          </cell>
          <cell r="I31" t="str">
            <v>Ostredková 10</v>
          </cell>
          <cell r="J31">
            <v>8</v>
          </cell>
          <cell r="K31">
            <v>0</v>
          </cell>
          <cell r="L31">
            <v>36</v>
          </cell>
          <cell r="M31">
            <v>0</v>
          </cell>
          <cell r="N31">
            <v>0</v>
          </cell>
          <cell r="O31">
            <v>10</v>
          </cell>
          <cell r="P31">
            <v>1</v>
          </cell>
          <cell r="Q31">
            <v>0</v>
          </cell>
          <cell r="R31">
            <v>304</v>
          </cell>
          <cell r="S31">
            <v>80</v>
          </cell>
          <cell r="T31">
            <v>1206</v>
          </cell>
          <cell r="U31">
            <v>0</v>
          </cell>
        </row>
        <row r="32">
          <cell r="F32">
            <v>31797920</v>
          </cell>
          <cell r="G32" t="str">
            <v>Stredná odborná škola dopravná</v>
          </cell>
          <cell r="H32" t="str">
            <v>Bratislava-Ružinov</v>
          </cell>
          <cell r="I32" t="str">
            <v>Kvačalova 20</v>
          </cell>
          <cell r="J32">
            <v>5</v>
          </cell>
          <cell r="K32">
            <v>0</v>
          </cell>
          <cell r="L32">
            <v>31</v>
          </cell>
          <cell r="M32">
            <v>0</v>
          </cell>
          <cell r="N32">
            <v>0</v>
          </cell>
          <cell r="O32">
            <v>7</v>
          </cell>
          <cell r="P32">
            <v>1</v>
          </cell>
          <cell r="Q32">
            <v>0</v>
          </cell>
          <cell r="R32">
            <v>236</v>
          </cell>
          <cell r="S32">
            <v>103</v>
          </cell>
          <cell r="T32">
            <v>1038.5</v>
          </cell>
          <cell r="U32">
            <v>0</v>
          </cell>
        </row>
        <row r="33">
          <cell r="F33">
            <v>42253900</v>
          </cell>
          <cell r="G33" t="str">
            <v>Stredná odborná škola chemická</v>
          </cell>
          <cell r="H33" t="str">
            <v>Bratislava-Ružinov</v>
          </cell>
          <cell r="I33" t="str">
            <v>Vlčie hrdlo 50</v>
          </cell>
          <cell r="J33">
            <v>3</v>
          </cell>
          <cell r="K33">
            <v>0</v>
          </cell>
          <cell r="L33">
            <v>16</v>
          </cell>
          <cell r="M33">
            <v>0</v>
          </cell>
          <cell r="N33">
            <v>0</v>
          </cell>
          <cell r="O33">
            <v>2</v>
          </cell>
          <cell r="P33">
            <v>1</v>
          </cell>
          <cell r="Q33">
            <v>0</v>
          </cell>
          <cell r="R33">
            <v>51</v>
          </cell>
          <cell r="S33">
            <v>56</v>
          </cell>
          <cell r="T33">
            <v>536</v>
          </cell>
          <cell r="U33">
            <v>0</v>
          </cell>
        </row>
        <row r="34">
          <cell r="F34">
            <v>17053871</v>
          </cell>
          <cell r="G34" t="str">
            <v>Stredná odborná škola kaderníctva a vizážistiky</v>
          </cell>
          <cell r="H34" t="str">
            <v>Bratislava-Ružinov</v>
          </cell>
          <cell r="I34" t="str">
            <v>Svätoplukova 2</v>
          </cell>
          <cell r="J34">
            <v>3</v>
          </cell>
          <cell r="K34">
            <v>0</v>
          </cell>
          <cell r="L34">
            <v>10</v>
          </cell>
          <cell r="M34">
            <v>0</v>
          </cell>
          <cell r="N34">
            <v>0</v>
          </cell>
          <cell r="O34">
            <v>4</v>
          </cell>
          <cell r="P34">
            <v>1</v>
          </cell>
          <cell r="Q34">
            <v>0</v>
          </cell>
          <cell r="R34">
            <v>40</v>
          </cell>
          <cell r="S34">
            <v>20</v>
          </cell>
          <cell r="T34">
            <v>335</v>
          </cell>
          <cell r="U34">
            <v>0</v>
          </cell>
        </row>
        <row r="35">
          <cell r="F35">
            <v>893463</v>
          </cell>
          <cell r="G35" t="str">
            <v>Stredná odborná škola obchodu a služieb Samuela Jurkoviča</v>
          </cell>
          <cell r="H35" t="str">
            <v>Bratislava-Ružinov</v>
          </cell>
          <cell r="I35" t="str">
            <v>Sklenárova 1</v>
          </cell>
          <cell r="J35">
            <v>5</v>
          </cell>
          <cell r="K35">
            <v>0</v>
          </cell>
          <cell r="L35">
            <v>28</v>
          </cell>
          <cell r="M35">
            <v>0</v>
          </cell>
          <cell r="N35">
            <v>0</v>
          </cell>
          <cell r="O35">
            <v>6</v>
          </cell>
          <cell r="P35">
            <v>2</v>
          </cell>
          <cell r="Q35">
            <v>0</v>
          </cell>
          <cell r="R35">
            <v>151</v>
          </cell>
          <cell r="S35">
            <v>71</v>
          </cell>
          <cell r="T35">
            <v>938</v>
          </cell>
          <cell r="U35">
            <v>0</v>
          </cell>
        </row>
        <row r="36">
          <cell r="F36">
            <v>42128790</v>
          </cell>
          <cell r="G36" t="str">
            <v>Stredná odborná škola technológií a remesiel</v>
          </cell>
          <cell r="H36" t="str">
            <v>Bratislava-Ružinov</v>
          </cell>
          <cell r="I36" t="str">
            <v>Ivanská cesta 21</v>
          </cell>
          <cell r="J36">
            <v>6</v>
          </cell>
          <cell r="K36">
            <v>0</v>
          </cell>
          <cell r="L36">
            <v>31</v>
          </cell>
          <cell r="M36">
            <v>0</v>
          </cell>
          <cell r="N36">
            <v>0</v>
          </cell>
          <cell r="O36">
            <v>8</v>
          </cell>
          <cell r="P36">
            <v>1</v>
          </cell>
          <cell r="Q36">
            <v>0</v>
          </cell>
          <cell r="R36">
            <v>231</v>
          </cell>
          <cell r="S36">
            <v>77</v>
          </cell>
          <cell r="T36">
            <v>1038.5</v>
          </cell>
          <cell r="U36">
            <v>0</v>
          </cell>
        </row>
        <row r="37">
          <cell r="F37">
            <v>30775311</v>
          </cell>
          <cell r="G37" t="str">
            <v>Stredná priemyselná škola dopravná</v>
          </cell>
          <cell r="H37" t="str">
            <v>Bratislava-Ružinov</v>
          </cell>
          <cell r="I37" t="str">
            <v>Kvačalova 20</v>
          </cell>
          <cell r="J37">
            <v>6</v>
          </cell>
          <cell r="K37">
            <v>0</v>
          </cell>
          <cell r="L37">
            <v>26</v>
          </cell>
          <cell r="M37">
            <v>0</v>
          </cell>
          <cell r="N37">
            <v>0</v>
          </cell>
          <cell r="O37">
            <v>10</v>
          </cell>
          <cell r="P37">
            <v>1</v>
          </cell>
          <cell r="Q37">
            <v>0</v>
          </cell>
          <cell r="R37">
            <v>129</v>
          </cell>
          <cell r="S37">
            <v>97</v>
          </cell>
          <cell r="T37">
            <v>871</v>
          </cell>
          <cell r="U37">
            <v>0</v>
          </cell>
        </row>
        <row r="38">
          <cell r="F38">
            <v>42253888</v>
          </cell>
          <cell r="G38" t="str">
            <v>Stredná priemyselná škola stavebná a geodetická</v>
          </cell>
          <cell r="H38" t="str">
            <v>Bratislava-Ružinov</v>
          </cell>
          <cell r="I38" t="str">
            <v>Drieňová 35</v>
          </cell>
          <cell r="J38">
            <v>6</v>
          </cell>
          <cell r="K38">
            <v>0</v>
          </cell>
          <cell r="L38">
            <v>22</v>
          </cell>
          <cell r="M38">
            <v>0</v>
          </cell>
          <cell r="N38">
            <v>0</v>
          </cell>
          <cell r="O38">
            <v>8</v>
          </cell>
          <cell r="P38">
            <v>1</v>
          </cell>
          <cell r="Q38">
            <v>0</v>
          </cell>
          <cell r="R38">
            <v>115</v>
          </cell>
          <cell r="S38">
            <v>62</v>
          </cell>
          <cell r="T38">
            <v>737</v>
          </cell>
          <cell r="U38">
            <v>0</v>
          </cell>
        </row>
        <row r="39">
          <cell r="F39">
            <v>607304</v>
          </cell>
          <cell r="G39" t="str">
            <v>Stredná zdravotnícka škola</v>
          </cell>
          <cell r="H39" t="str">
            <v>Bratislava-Ružinov</v>
          </cell>
          <cell r="I39" t="str">
            <v>Záhradnícka 44</v>
          </cell>
          <cell r="J39">
            <v>18</v>
          </cell>
          <cell r="K39">
            <v>0</v>
          </cell>
          <cell r="L39">
            <v>75</v>
          </cell>
          <cell r="M39">
            <v>0</v>
          </cell>
          <cell r="N39">
            <v>1</v>
          </cell>
          <cell r="O39">
            <v>22</v>
          </cell>
          <cell r="P39">
            <v>2</v>
          </cell>
          <cell r="Q39">
            <v>2</v>
          </cell>
          <cell r="R39">
            <v>596</v>
          </cell>
          <cell r="S39">
            <v>29</v>
          </cell>
          <cell r="T39">
            <v>2512.5</v>
          </cell>
          <cell r="U39">
            <v>3808.28</v>
          </cell>
        </row>
        <row r="40">
          <cell r="F40">
            <v>17314909</v>
          </cell>
          <cell r="G40" t="str">
            <v>Škola umeleckého priemyslu</v>
          </cell>
          <cell r="H40" t="str">
            <v>Bratislava-Ružinov</v>
          </cell>
          <cell r="I40" t="str">
            <v>Sklenárova 7</v>
          </cell>
          <cell r="J40">
            <v>5</v>
          </cell>
          <cell r="K40">
            <v>1</v>
          </cell>
          <cell r="L40">
            <v>35</v>
          </cell>
          <cell r="M40">
            <v>1</v>
          </cell>
          <cell r="N40">
            <v>0</v>
          </cell>
          <cell r="O40">
            <v>7</v>
          </cell>
          <cell r="P40">
            <v>2</v>
          </cell>
          <cell r="Q40">
            <v>0</v>
          </cell>
          <cell r="R40">
            <v>163</v>
          </cell>
          <cell r="S40">
            <v>102</v>
          </cell>
          <cell r="T40">
            <v>1172.5</v>
          </cell>
          <cell r="U40">
            <v>0</v>
          </cell>
        </row>
        <row r="41">
          <cell r="F41">
            <v>31780466</v>
          </cell>
          <cell r="G41" t="str">
            <v>Hotelová akadémia</v>
          </cell>
          <cell r="H41" t="str">
            <v>Bratislava-Nové Mesto</v>
          </cell>
          <cell r="I41" t="str">
            <v>Mikovíniho 1</v>
          </cell>
          <cell r="J41">
            <v>8</v>
          </cell>
          <cell r="K41">
            <v>2</v>
          </cell>
          <cell r="L41">
            <v>37</v>
          </cell>
          <cell r="M41">
            <v>6</v>
          </cell>
          <cell r="N41">
            <v>4</v>
          </cell>
          <cell r="O41">
            <v>10</v>
          </cell>
          <cell r="P41">
            <v>1</v>
          </cell>
          <cell r="Q41">
            <v>99</v>
          </cell>
          <cell r="R41">
            <v>235</v>
          </cell>
          <cell r="S41">
            <v>69</v>
          </cell>
          <cell r="T41">
            <v>1239.5</v>
          </cell>
          <cell r="U41">
            <v>0</v>
          </cell>
        </row>
        <row r="42">
          <cell r="F42">
            <v>30775418</v>
          </cell>
          <cell r="G42" t="str">
            <v>Obchodná akadémia</v>
          </cell>
          <cell r="H42" t="str">
            <v>Bratislava-Nové Mesto</v>
          </cell>
          <cell r="I42" t="str">
            <v>Račianska 107</v>
          </cell>
          <cell r="J42">
            <v>7</v>
          </cell>
          <cell r="K42">
            <v>7</v>
          </cell>
          <cell r="L42">
            <v>29</v>
          </cell>
          <cell r="M42">
            <v>21</v>
          </cell>
          <cell r="N42">
            <v>11</v>
          </cell>
          <cell r="O42">
            <v>14</v>
          </cell>
          <cell r="P42">
            <v>0</v>
          </cell>
          <cell r="Q42">
            <v>229</v>
          </cell>
          <cell r="R42">
            <v>288</v>
          </cell>
          <cell r="S42">
            <v>0</v>
          </cell>
          <cell r="T42">
            <v>971.5</v>
          </cell>
          <cell r="U42">
            <v>151.19999999999999</v>
          </cell>
        </row>
        <row r="43">
          <cell r="F43">
            <v>17314895</v>
          </cell>
          <cell r="G43" t="str">
            <v>Stredná odborná škola beauty služieb</v>
          </cell>
          <cell r="H43" t="str">
            <v>Bratislava-Nové Mesto</v>
          </cell>
          <cell r="I43" t="str">
            <v>Račianska 105</v>
          </cell>
          <cell r="J43">
            <v>7</v>
          </cell>
          <cell r="K43">
            <v>0</v>
          </cell>
          <cell r="L43">
            <v>37</v>
          </cell>
          <cell r="M43">
            <v>0</v>
          </cell>
          <cell r="N43">
            <v>0</v>
          </cell>
          <cell r="O43">
            <v>11</v>
          </cell>
          <cell r="P43">
            <v>2</v>
          </cell>
          <cell r="Q43">
            <v>0</v>
          </cell>
          <cell r="R43">
            <v>290</v>
          </cell>
          <cell r="S43">
            <v>48</v>
          </cell>
          <cell r="T43">
            <v>1239.5</v>
          </cell>
          <cell r="U43">
            <v>0</v>
          </cell>
        </row>
        <row r="44">
          <cell r="F44">
            <v>894915</v>
          </cell>
          <cell r="G44" t="str">
            <v>Stredná odborná škola polygrafická</v>
          </cell>
          <cell r="H44" t="str">
            <v>Bratislava-Nové Mesto</v>
          </cell>
          <cell r="I44" t="str">
            <v>Račianska 190</v>
          </cell>
          <cell r="J44">
            <v>5</v>
          </cell>
          <cell r="K44">
            <v>0</v>
          </cell>
          <cell r="L44">
            <v>26</v>
          </cell>
          <cell r="M44">
            <v>0</v>
          </cell>
          <cell r="N44">
            <v>0</v>
          </cell>
          <cell r="O44">
            <v>5</v>
          </cell>
          <cell r="P44">
            <v>1</v>
          </cell>
          <cell r="Q44">
            <v>0</v>
          </cell>
          <cell r="R44">
            <v>189</v>
          </cell>
          <cell r="S44">
            <v>53</v>
          </cell>
          <cell r="T44">
            <v>871</v>
          </cell>
          <cell r="U44">
            <v>0</v>
          </cell>
        </row>
        <row r="45">
          <cell r="F45">
            <v>31787088</v>
          </cell>
          <cell r="G45" t="str">
            <v>ŠKOLA PRE MIMORIADNE NADANÉ DETI a Gymnázium</v>
          </cell>
          <cell r="H45" t="str">
            <v>Bratislava-Nové Mesto</v>
          </cell>
          <cell r="I45" t="str">
            <v>Teplická 7</v>
          </cell>
          <cell r="J45">
            <v>17</v>
          </cell>
          <cell r="K45">
            <v>0</v>
          </cell>
          <cell r="L45">
            <v>49</v>
          </cell>
          <cell r="M45">
            <v>0</v>
          </cell>
          <cell r="N45">
            <v>1</v>
          </cell>
          <cell r="O45">
            <v>19</v>
          </cell>
          <cell r="P45">
            <v>1</v>
          </cell>
          <cell r="Q45">
            <v>30</v>
          </cell>
          <cell r="R45">
            <v>438</v>
          </cell>
          <cell r="S45">
            <v>53</v>
          </cell>
          <cell r="T45">
            <v>1641.5</v>
          </cell>
          <cell r="U45">
            <v>0</v>
          </cell>
        </row>
        <row r="46">
          <cell r="F46">
            <v>17337071</v>
          </cell>
          <cell r="G46" t="str">
            <v>Gymnázium</v>
          </cell>
          <cell r="H46" t="str">
            <v>Bratislava-Rača</v>
          </cell>
          <cell r="I46" t="str">
            <v>Hubeného 23</v>
          </cell>
          <cell r="J46">
            <v>11</v>
          </cell>
          <cell r="K46">
            <v>0</v>
          </cell>
          <cell r="L46">
            <v>30</v>
          </cell>
          <cell r="M46">
            <v>0</v>
          </cell>
          <cell r="N46">
            <v>1</v>
          </cell>
          <cell r="O46">
            <v>13</v>
          </cell>
          <cell r="P46">
            <v>1</v>
          </cell>
          <cell r="Q46">
            <v>12</v>
          </cell>
          <cell r="R46">
            <v>223</v>
          </cell>
          <cell r="S46">
            <v>99</v>
          </cell>
          <cell r="T46">
            <v>1005</v>
          </cell>
          <cell r="U46">
            <v>0</v>
          </cell>
        </row>
        <row r="47">
          <cell r="F47">
            <v>893471</v>
          </cell>
          <cell r="G47" t="str">
            <v>Stredná odborná škola hotelových služieb a obchodu</v>
          </cell>
          <cell r="H47" t="str">
            <v>Bratislava-Rača</v>
          </cell>
          <cell r="I47" t="str">
            <v>Na pántoch 9</v>
          </cell>
          <cell r="J47">
            <v>7</v>
          </cell>
          <cell r="K47">
            <v>0</v>
          </cell>
          <cell r="L47">
            <v>24</v>
          </cell>
          <cell r="M47">
            <v>0</v>
          </cell>
          <cell r="N47">
            <v>0</v>
          </cell>
          <cell r="O47">
            <v>9</v>
          </cell>
          <cell r="P47">
            <v>0</v>
          </cell>
          <cell r="Q47">
            <v>0</v>
          </cell>
          <cell r="R47">
            <v>219</v>
          </cell>
          <cell r="S47">
            <v>0</v>
          </cell>
          <cell r="T47">
            <v>804</v>
          </cell>
          <cell r="U47">
            <v>114.5</v>
          </cell>
        </row>
        <row r="48">
          <cell r="F48">
            <v>17055415</v>
          </cell>
          <cell r="G48" t="str">
            <v>Stredná odborná škola informačných technológií</v>
          </cell>
          <cell r="H48" t="str">
            <v>Bratislava-Rača</v>
          </cell>
          <cell r="I48" t="str">
            <v>Hlinícka 1</v>
          </cell>
          <cell r="J48">
            <v>8</v>
          </cell>
          <cell r="K48">
            <v>3</v>
          </cell>
          <cell r="L48">
            <v>39</v>
          </cell>
          <cell r="M48">
            <v>7</v>
          </cell>
          <cell r="N48">
            <v>6</v>
          </cell>
          <cell r="O48">
            <v>12</v>
          </cell>
          <cell r="P48">
            <v>1</v>
          </cell>
          <cell r="Q48">
            <v>69</v>
          </cell>
          <cell r="R48">
            <v>412</v>
          </cell>
          <cell r="S48">
            <v>33</v>
          </cell>
          <cell r="T48">
            <v>1306.5</v>
          </cell>
          <cell r="U48">
            <v>234.6</v>
          </cell>
        </row>
        <row r="49">
          <cell r="F49">
            <v>30775400</v>
          </cell>
          <cell r="G49" t="str">
            <v>Stredná odborná škola masmediálnych a informačných štúdií</v>
          </cell>
          <cell r="H49" t="str">
            <v>Bratislava-Rača</v>
          </cell>
          <cell r="I49" t="str">
            <v>Kadnárova 7</v>
          </cell>
          <cell r="J49">
            <v>4</v>
          </cell>
          <cell r="K49">
            <v>0</v>
          </cell>
          <cell r="L49">
            <v>18</v>
          </cell>
          <cell r="M49">
            <v>0</v>
          </cell>
          <cell r="N49">
            <v>0</v>
          </cell>
          <cell r="O49">
            <v>4</v>
          </cell>
          <cell r="P49">
            <v>1</v>
          </cell>
          <cell r="Q49">
            <v>0</v>
          </cell>
          <cell r="R49">
            <v>88</v>
          </cell>
          <cell r="S49">
            <v>50</v>
          </cell>
          <cell r="T49">
            <v>603</v>
          </cell>
          <cell r="U49">
            <v>0</v>
          </cell>
        </row>
        <row r="50">
          <cell r="F50">
            <v>893161</v>
          </cell>
          <cell r="G50" t="str">
            <v>Stredná odborná škola elektrotechnická</v>
          </cell>
          <cell r="H50" t="str">
            <v>Bratislava-Vajnory</v>
          </cell>
          <cell r="I50" t="str">
            <v>Rybničná 59</v>
          </cell>
          <cell r="J50">
            <v>4</v>
          </cell>
          <cell r="K50">
            <v>1</v>
          </cell>
          <cell r="L50">
            <v>24</v>
          </cell>
          <cell r="M50">
            <v>2</v>
          </cell>
          <cell r="N50">
            <v>0</v>
          </cell>
          <cell r="O50">
            <v>5</v>
          </cell>
          <cell r="P50">
            <v>1</v>
          </cell>
          <cell r="Q50">
            <v>0</v>
          </cell>
          <cell r="R50">
            <v>191</v>
          </cell>
          <cell r="S50">
            <v>0</v>
          </cell>
          <cell r="T50">
            <v>804</v>
          </cell>
          <cell r="U50">
            <v>0</v>
          </cell>
        </row>
        <row r="51">
          <cell r="F51">
            <v>30775361</v>
          </cell>
          <cell r="G51" t="str">
            <v>Stredná odborná škola pedagogická</v>
          </cell>
          <cell r="H51" t="str">
            <v>Bratislava-Dúbravka</v>
          </cell>
          <cell r="I51" t="str">
            <v>Bullova 2</v>
          </cell>
          <cell r="J51">
            <v>9</v>
          </cell>
          <cell r="K51">
            <v>1</v>
          </cell>
          <cell r="L51">
            <v>59</v>
          </cell>
          <cell r="M51">
            <v>2</v>
          </cell>
          <cell r="N51">
            <v>1</v>
          </cell>
          <cell r="O51">
            <v>13</v>
          </cell>
          <cell r="P51">
            <v>2</v>
          </cell>
          <cell r="Q51">
            <v>25</v>
          </cell>
          <cell r="R51">
            <v>593</v>
          </cell>
          <cell r="S51">
            <v>36</v>
          </cell>
          <cell r="T51">
            <v>1976.5</v>
          </cell>
          <cell r="U51">
            <v>113.6</v>
          </cell>
        </row>
        <row r="52">
          <cell r="F52">
            <v>17319161</v>
          </cell>
          <cell r="G52" t="str">
            <v>Stredná priemyselná škola elektrotechnická</v>
          </cell>
          <cell r="H52" t="str">
            <v>Bratislava-Dúbravka</v>
          </cell>
          <cell r="I52" t="str">
            <v>Karola Adlera 5</v>
          </cell>
          <cell r="J52">
            <v>10</v>
          </cell>
          <cell r="K52">
            <v>0</v>
          </cell>
          <cell r="L52">
            <v>60</v>
          </cell>
          <cell r="M52">
            <v>0</v>
          </cell>
          <cell r="N52">
            <v>0</v>
          </cell>
          <cell r="O52">
            <v>14</v>
          </cell>
          <cell r="P52">
            <v>1</v>
          </cell>
          <cell r="Q52">
            <v>0</v>
          </cell>
          <cell r="R52">
            <v>624</v>
          </cell>
          <cell r="S52">
            <v>141</v>
          </cell>
          <cell r="T52">
            <v>2010</v>
          </cell>
          <cell r="U52">
            <v>0</v>
          </cell>
        </row>
        <row r="53">
          <cell r="F53">
            <v>30775329</v>
          </cell>
          <cell r="G53" t="str">
            <v>Škola umeleckého priemyslu Josefa Vydru</v>
          </cell>
          <cell r="H53" t="str">
            <v>Bratislava-Karlova Ves</v>
          </cell>
          <cell r="I53" t="str">
            <v>Dúbravská cesta 11</v>
          </cell>
          <cell r="J53">
            <v>9</v>
          </cell>
          <cell r="K53">
            <v>2</v>
          </cell>
          <cell r="L53">
            <v>45</v>
          </cell>
          <cell r="M53">
            <v>2</v>
          </cell>
          <cell r="N53">
            <v>0</v>
          </cell>
          <cell r="O53">
            <v>18</v>
          </cell>
          <cell r="P53">
            <v>1</v>
          </cell>
          <cell r="Q53">
            <v>0</v>
          </cell>
          <cell r="R53">
            <v>458</v>
          </cell>
          <cell r="S53">
            <v>84</v>
          </cell>
          <cell r="T53">
            <v>1507.5</v>
          </cell>
          <cell r="U53">
            <v>0</v>
          </cell>
        </row>
        <row r="54">
          <cell r="F54">
            <v>605760</v>
          </cell>
          <cell r="G54" t="str">
            <v>Gymnázium Alberta Einsteina</v>
          </cell>
          <cell r="H54" t="str">
            <v>Bratislava-Petržalka</v>
          </cell>
          <cell r="I54" t="str">
            <v>Einsteinova 35</v>
          </cell>
          <cell r="J54">
            <v>10</v>
          </cell>
          <cell r="K54">
            <v>0</v>
          </cell>
          <cell r="L54">
            <v>30</v>
          </cell>
          <cell r="M54">
            <v>0</v>
          </cell>
          <cell r="N54">
            <v>0</v>
          </cell>
          <cell r="O54">
            <v>18</v>
          </cell>
          <cell r="P54">
            <v>1</v>
          </cell>
          <cell r="Q54">
            <v>0</v>
          </cell>
          <cell r="R54">
            <v>193</v>
          </cell>
          <cell r="S54">
            <v>95</v>
          </cell>
          <cell r="T54">
            <v>1005</v>
          </cell>
          <cell r="U54">
            <v>0</v>
          </cell>
        </row>
        <row r="55">
          <cell r="F55">
            <v>30775434</v>
          </cell>
          <cell r="G55" t="str">
            <v>Obchodná akadémia</v>
          </cell>
          <cell r="H55" t="str">
            <v>Bratislava-Petržalka</v>
          </cell>
          <cell r="I55" t="str">
            <v>Dudova 4</v>
          </cell>
          <cell r="J55">
            <v>10</v>
          </cell>
          <cell r="K55">
            <v>0</v>
          </cell>
          <cell r="L55">
            <v>53</v>
          </cell>
          <cell r="M55">
            <v>0</v>
          </cell>
          <cell r="N55">
            <v>1</v>
          </cell>
          <cell r="O55">
            <v>14</v>
          </cell>
          <cell r="P55">
            <v>1</v>
          </cell>
          <cell r="Q55">
            <v>19</v>
          </cell>
          <cell r="R55">
            <v>426</v>
          </cell>
          <cell r="S55">
            <v>132</v>
          </cell>
          <cell r="T55">
            <v>1775.5</v>
          </cell>
          <cell r="U55">
            <v>0</v>
          </cell>
        </row>
        <row r="56">
          <cell r="F56">
            <v>53242742</v>
          </cell>
          <cell r="G56" t="str">
            <v>Spojená škola</v>
          </cell>
          <cell r="H56" t="str">
            <v>Bratislava-Petržalka</v>
          </cell>
          <cell r="I56" t="str">
            <v>Pankúchova 6</v>
          </cell>
          <cell r="J56">
            <v>13</v>
          </cell>
          <cell r="K56">
            <v>0</v>
          </cell>
          <cell r="L56">
            <v>36</v>
          </cell>
          <cell r="M56">
            <v>0</v>
          </cell>
          <cell r="N56">
            <v>2</v>
          </cell>
          <cell r="O56">
            <v>12</v>
          </cell>
          <cell r="P56">
            <v>1</v>
          </cell>
          <cell r="Q56">
            <v>19</v>
          </cell>
          <cell r="R56">
            <v>324</v>
          </cell>
          <cell r="S56">
            <v>89</v>
          </cell>
          <cell r="T56">
            <v>1206</v>
          </cell>
          <cell r="U56">
            <v>0</v>
          </cell>
        </row>
        <row r="57">
          <cell r="F57">
            <v>17054281</v>
          </cell>
          <cell r="G57" t="str">
            <v>Stredná odborná škola gastronómie a hotelových služieb</v>
          </cell>
          <cell r="H57" t="str">
            <v>Bratislava-Petržalka</v>
          </cell>
          <cell r="I57" t="str">
            <v>Farského 9</v>
          </cell>
          <cell r="J57">
            <v>5</v>
          </cell>
          <cell r="K57">
            <v>11</v>
          </cell>
          <cell r="L57">
            <v>27</v>
          </cell>
          <cell r="M57">
            <v>25</v>
          </cell>
          <cell r="N57">
            <v>15</v>
          </cell>
          <cell r="O57">
            <v>7</v>
          </cell>
          <cell r="P57">
            <v>1</v>
          </cell>
          <cell r="Q57">
            <v>137</v>
          </cell>
          <cell r="R57">
            <v>224</v>
          </cell>
          <cell r="S57">
            <v>115</v>
          </cell>
          <cell r="T57">
            <v>904.5</v>
          </cell>
          <cell r="U57">
            <v>0</v>
          </cell>
        </row>
        <row r="58">
          <cell r="F58">
            <v>17327717</v>
          </cell>
          <cell r="G58" t="str">
            <v>Stredná odborná škola podnikania</v>
          </cell>
          <cell r="H58" t="str">
            <v>Bratislava-Petržalka</v>
          </cell>
          <cell r="I58" t="str">
            <v>Strečnianska 20</v>
          </cell>
          <cell r="J58">
            <v>4</v>
          </cell>
          <cell r="K58">
            <v>0</v>
          </cell>
          <cell r="L58">
            <v>20</v>
          </cell>
          <cell r="M58">
            <v>0</v>
          </cell>
          <cell r="N58">
            <v>0</v>
          </cell>
          <cell r="O58">
            <v>6</v>
          </cell>
          <cell r="P58">
            <v>1</v>
          </cell>
          <cell r="Q58">
            <v>0</v>
          </cell>
          <cell r="R58">
            <v>153</v>
          </cell>
          <cell r="S58">
            <v>16</v>
          </cell>
          <cell r="T58">
            <v>670</v>
          </cell>
          <cell r="U58">
            <v>0</v>
          </cell>
        </row>
        <row r="59">
          <cell r="F59">
            <v>17050332</v>
          </cell>
          <cell r="G59" t="str">
            <v>Stredná odborná škola technická</v>
          </cell>
          <cell r="H59" t="str">
            <v>Bratislava-Petržalka</v>
          </cell>
          <cell r="I59" t="str">
            <v>Vranovská 4</v>
          </cell>
          <cell r="J59">
            <v>2</v>
          </cell>
          <cell r="K59">
            <v>0</v>
          </cell>
          <cell r="L59">
            <v>4</v>
          </cell>
          <cell r="M59">
            <v>0</v>
          </cell>
          <cell r="N59">
            <v>0</v>
          </cell>
          <cell r="O59">
            <v>2</v>
          </cell>
          <cell r="P59">
            <v>0</v>
          </cell>
          <cell r="Q59">
            <v>0</v>
          </cell>
          <cell r="R59">
            <v>40</v>
          </cell>
          <cell r="S59">
            <v>0</v>
          </cell>
          <cell r="T59">
            <v>134</v>
          </cell>
          <cell r="U59">
            <v>0</v>
          </cell>
        </row>
        <row r="60">
          <cell r="F60">
            <v>17327661</v>
          </cell>
          <cell r="G60" t="str">
            <v>Stredná priemyselná škola elektrotechnická</v>
          </cell>
          <cell r="H60" t="str">
            <v>Bratislava-Petržalka</v>
          </cell>
          <cell r="I60" t="str">
            <v>Hálova 16</v>
          </cell>
          <cell r="J60">
            <v>9</v>
          </cell>
          <cell r="K60">
            <v>0</v>
          </cell>
          <cell r="L60">
            <v>41</v>
          </cell>
          <cell r="M60">
            <v>0</v>
          </cell>
          <cell r="N60">
            <v>0</v>
          </cell>
          <cell r="O60">
            <v>13</v>
          </cell>
          <cell r="P60">
            <v>1</v>
          </cell>
          <cell r="Q60">
            <v>0</v>
          </cell>
          <cell r="R60">
            <v>387</v>
          </cell>
          <cell r="S60">
            <v>46</v>
          </cell>
          <cell r="T60">
            <v>1373.5</v>
          </cell>
          <cell r="U60">
            <v>0</v>
          </cell>
        </row>
        <row r="61">
          <cell r="F61">
            <v>31793185</v>
          </cell>
          <cell r="G61" t="str">
            <v>Stredná zdravotnícka škola</v>
          </cell>
          <cell r="H61" t="str">
            <v>Bratislava-Petržalka</v>
          </cell>
          <cell r="I61" t="str">
            <v>Strečnianska 20</v>
          </cell>
          <cell r="J61">
            <v>12</v>
          </cell>
          <cell r="K61">
            <v>0</v>
          </cell>
          <cell r="L61">
            <v>59</v>
          </cell>
          <cell r="M61">
            <v>0</v>
          </cell>
          <cell r="N61">
            <v>0</v>
          </cell>
          <cell r="O61">
            <v>15</v>
          </cell>
          <cell r="P61">
            <v>1</v>
          </cell>
          <cell r="Q61">
            <v>0</v>
          </cell>
          <cell r="R61">
            <v>478</v>
          </cell>
          <cell r="S61">
            <v>0</v>
          </cell>
          <cell r="T61">
            <v>1976.5</v>
          </cell>
          <cell r="U61">
            <v>1045.8</v>
          </cell>
        </row>
        <row r="62">
          <cell r="F62">
            <v>160229</v>
          </cell>
          <cell r="G62" t="str">
            <v>Gymnázium</v>
          </cell>
          <cell r="H62" t="str">
            <v>Malacky</v>
          </cell>
          <cell r="I62" t="str">
            <v>1. mája 8</v>
          </cell>
          <cell r="J62">
            <v>5</v>
          </cell>
          <cell r="K62">
            <v>0</v>
          </cell>
          <cell r="L62">
            <v>12</v>
          </cell>
          <cell r="M62">
            <v>0</v>
          </cell>
          <cell r="N62">
            <v>0</v>
          </cell>
          <cell r="O62">
            <v>8</v>
          </cell>
          <cell r="P62">
            <v>1</v>
          </cell>
          <cell r="Q62">
            <v>0</v>
          </cell>
          <cell r="R62">
            <v>76</v>
          </cell>
          <cell r="S62">
            <v>20</v>
          </cell>
          <cell r="T62">
            <v>402</v>
          </cell>
          <cell r="U62">
            <v>0</v>
          </cell>
        </row>
        <row r="63">
          <cell r="F63">
            <v>17050197</v>
          </cell>
          <cell r="G63" t="str">
            <v>Gymnázium Karola Štúra</v>
          </cell>
          <cell r="H63" t="str">
            <v>Modra</v>
          </cell>
          <cell r="I63" t="str">
            <v>Nám. slobody 5</v>
          </cell>
          <cell r="J63">
            <v>10</v>
          </cell>
          <cell r="K63">
            <v>0</v>
          </cell>
          <cell r="L63">
            <v>21</v>
          </cell>
          <cell r="M63">
            <v>0</v>
          </cell>
          <cell r="N63">
            <v>1</v>
          </cell>
          <cell r="O63">
            <v>10</v>
          </cell>
          <cell r="P63">
            <v>1</v>
          </cell>
          <cell r="Q63">
            <v>3</v>
          </cell>
          <cell r="R63">
            <v>179</v>
          </cell>
          <cell r="S63">
            <v>46</v>
          </cell>
          <cell r="T63">
            <v>703.5</v>
          </cell>
          <cell r="U63">
            <v>7.15</v>
          </cell>
        </row>
        <row r="64">
          <cell r="F64">
            <v>162787</v>
          </cell>
          <cell r="G64" t="str">
            <v>Stredná odborná škola pedagogická</v>
          </cell>
          <cell r="H64" t="str">
            <v>Modra</v>
          </cell>
          <cell r="I64" t="str">
            <v>Sokolská 6</v>
          </cell>
          <cell r="J64">
            <v>10</v>
          </cell>
          <cell r="K64">
            <v>0</v>
          </cell>
          <cell r="L64">
            <v>47</v>
          </cell>
          <cell r="M64">
            <v>0</v>
          </cell>
          <cell r="N64">
            <v>1</v>
          </cell>
          <cell r="O64">
            <v>12</v>
          </cell>
          <cell r="P64">
            <v>1</v>
          </cell>
          <cell r="Q64">
            <v>12</v>
          </cell>
          <cell r="R64">
            <v>485</v>
          </cell>
          <cell r="S64">
            <v>26</v>
          </cell>
          <cell r="T64">
            <v>1574.5</v>
          </cell>
          <cell r="U64">
            <v>140.85</v>
          </cell>
        </row>
        <row r="65">
          <cell r="F65">
            <v>162311</v>
          </cell>
          <cell r="G65" t="str">
            <v>Stredná odborná škola vinársko - ovocinárska</v>
          </cell>
          <cell r="H65" t="str">
            <v>Modra</v>
          </cell>
          <cell r="I65" t="str">
            <v>Kostolná 3</v>
          </cell>
          <cell r="J65">
            <v>5</v>
          </cell>
          <cell r="K65">
            <v>0</v>
          </cell>
          <cell r="L65">
            <v>28</v>
          </cell>
          <cell r="M65">
            <v>0</v>
          </cell>
          <cell r="N65">
            <v>0</v>
          </cell>
          <cell r="O65">
            <v>9</v>
          </cell>
          <cell r="P65">
            <v>1</v>
          </cell>
          <cell r="Q65">
            <v>0</v>
          </cell>
          <cell r="R65">
            <v>197</v>
          </cell>
          <cell r="S65">
            <v>61</v>
          </cell>
          <cell r="T65">
            <v>938</v>
          </cell>
          <cell r="U65">
            <v>0</v>
          </cell>
        </row>
        <row r="66">
          <cell r="F66">
            <v>17050201</v>
          </cell>
          <cell r="G66" t="str">
            <v>Gymnázium</v>
          </cell>
          <cell r="H66" t="str">
            <v>Pezinok</v>
          </cell>
          <cell r="I66" t="str">
            <v>Senecká 2</v>
          </cell>
          <cell r="J66">
            <v>7</v>
          </cell>
          <cell r="K66">
            <v>0</v>
          </cell>
          <cell r="L66">
            <v>21</v>
          </cell>
          <cell r="M66">
            <v>0</v>
          </cell>
          <cell r="N66">
            <v>0</v>
          </cell>
          <cell r="O66">
            <v>8</v>
          </cell>
          <cell r="P66">
            <v>1</v>
          </cell>
          <cell r="Q66">
            <v>0</v>
          </cell>
          <cell r="R66">
            <v>157</v>
          </cell>
          <cell r="S66">
            <v>47</v>
          </cell>
          <cell r="T66">
            <v>703.5</v>
          </cell>
          <cell r="U66">
            <v>0</v>
          </cell>
        </row>
        <row r="67">
          <cell r="F67">
            <v>31874452</v>
          </cell>
          <cell r="G67" t="str">
            <v>Obchodná akadémia</v>
          </cell>
          <cell r="H67" t="str">
            <v>Pezinok</v>
          </cell>
          <cell r="I67" t="str">
            <v>Myslenická 1</v>
          </cell>
          <cell r="J67">
            <v>4</v>
          </cell>
          <cell r="K67">
            <v>0</v>
          </cell>
          <cell r="L67">
            <v>16</v>
          </cell>
          <cell r="M67">
            <v>0</v>
          </cell>
          <cell r="N67">
            <v>1</v>
          </cell>
          <cell r="O67">
            <v>2</v>
          </cell>
          <cell r="P67">
            <v>1</v>
          </cell>
          <cell r="Q67">
            <v>10</v>
          </cell>
          <cell r="R67">
            <v>23</v>
          </cell>
          <cell r="S67">
            <v>123</v>
          </cell>
          <cell r="T67">
            <v>536</v>
          </cell>
          <cell r="U67">
            <v>12.2</v>
          </cell>
        </row>
        <row r="68">
          <cell r="F68">
            <v>351822</v>
          </cell>
          <cell r="G68" t="str">
            <v>Stredná odborná škola podnikania a služieb</v>
          </cell>
          <cell r="H68" t="str">
            <v>Pezinok</v>
          </cell>
          <cell r="I68" t="str">
            <v>Myslenická 1</v>
          </cell>
          <cell r="J68">
            <v>1</v>
          </cell>
          <cell r="K68">
            <v>0</v>
          </cell>
          <cell r="L68">
            <v>4</v>
          </cell>
          <cell r="M68">
            <v>0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29</v>
          </cell>
          <cell r="S68">
            <v>0</v>
          </cell>
          <cell r="T68">
            <v>134</v>
          </cell>
          <cell r="U68">
            <v>0</v>
          </cell>
        </row>
        <row r="69">
          <cell r="F69">
            <v>42128919</v>
          </cell>
          <cell r="G69" t="str">
            <v>Spojená škola</v>
          </cell>
          <cell r="H69" t="str">
            <v>Ivanka pri Dunaji</v>
          </cell>
          <cell r="I69" t="str">
            <v>ul. SNP 30</v>
          </cell>
          <cell r="J69">
            <v>13</v>
          </cell>
          <cell r="K69">
            <v>0</v>
          </cell>
          <cell r="L69">
            <v>54</v>
          </cell>
          <cell r="M69">
            <v>0</v>
          </cell>
          <cell r="N69">
            <v>2</v>
          </cell>
          <cell r="O69">
            <v>12</v>
          </cell>
          <cell r="P69">
            <v>2</v>
          </cell>
          <cell r="Q69">
            <v>31</v>
          </cell>
          <cell r="R69">
            <v>287</v>
          </cell>
          <cell r="S69">
            <v>93</v>
          </cell>
          <cell r="T69">
            <v>1809</v>
          </cell>
          <cell r="U69">
            <v>0</v>
          </cell>
        </row>
        <row r="70">
          <cell r="F70">
            <v>52585212</v>
          </cell>
          <cell r="G70" t="str">
            <v>Spojená škola</v>
          </cell>
          <cell r="H70" t="str">
            <v>Malinovo</v>
          </cell>
          <cell r="I70" t="str">
            <v>Bratislavská 44</v>
          </cell>
          <cell r="J70">
            <v>5</v>
          </cell>
          <cell r="K70">
            <v>0</v>
          </cell>
          <cell r="L70">
            <v>27</v>
          </cell>
          <cell r="M70">
            <v>0</v>
          </cell>
          <cell r="N70">
            <v>0</v>
          </cell>
          <cell r="O70">
            <v>5</v>
          </cell>
          <cell r="P70">
            <v>1</v>
          </cell>
          <cell r="Q70">
            <v>0</v>
          </cell>
          <cell r="R70">
            <v>163</v>
          </cell>
          <cell r="S70">
            <v>104</v>
          </cell>
          <cell r="T70">
            <v>904.5</v>
          </cell>
          <cell r="U70">
            <v>0</v>
          </cell>
        </row>
        <row r="71">
          <cell r="F71">
            <v>160326</v>
          </cell>
          <cell r="G71" t="str">
            <v>Gymnázium Antona Bernoláka</v>
          </cell>
          <cell r="H71" t="str">
            <v>Senec</v>
          </cell>
          <cell r="I71" t="str">
            <v>Lichnerova 69</v>
          </cell>
          <cell r="J71">
            <v>10</v>
          </cell>
          <cell r="K71">
            <v>2</v>
          </cell>
          <cell r="L71">
            <v>24</v>
          </cell>
          <cell r="M71">
            <v>2</v>
          </cell>
          <cell r="N71">
            <v>3</v>
          </cell>
          <cell r="O71">
            <v>13</v>
          </cell>
          <cell r="P71">
            <v>1</v>
          </cell>
          <cell r="Q71">
            <v>40</v>
          </cell>
          <cell r="R71">
            <v>183</v>
          </cell>
          <cell r="S71">
            <v>19</v>
          </cell>
          <cell r="T71">
            <v>804</v>
          </cell>
          <cell r="U71">
            <v>143.62</v>
          </cell>
        </row>
        <row r="72">
          <cell r="F72">
            <v>30797799</v>
          </cell>
          <cell r="G72" t="str">
            <v>Spojená škola s vyučovacím jazykom maďarským</v>
          </cell>
          <cell r="H72" t="str">
            <v>Senec</v>
          </cell>
          <cell r="I72" t="str">
            <v>Lichnerova 71</v>
          </cell>
          <cell r="J72">
            <v>5</v>
          </cell>
          <cell r="K72">
            <v>0</v>
          </cell>
          <cell r="L72">
            <v>15</v>
          </cell>
          <cell r="M72">
            <v>0</v>
          </cell>
          <cell r="N72">
            <v>1</v>
          </cell>
          <cell r="O72">
            <v>6</v>
          </cell>
          <cell r="P72">
            <v>1</v>
          </cell>
          <cell r="Q72">
            <v>7</v>
          </cell>
          <cell r="R72">
            <v>115</v>
          </cell>
          <cell r="S72">
            <v>30</v>
          </cell>
          <cell r="T72">
            <v>502.5</v>
          </cell>
          <cell r="U72">
            <v>81.900000000000006</v>
          </cell>
        </row>
        <row r="73">
          <cell r="F73">
            <v>36064386</v>
          </cell>
          <cell r="G73" t="str">
            <v>Stredná odborná škola automobilová a podnikania</v>
          </cell>
          <cell r="H73" t="str">
            <v>Senec</v>
          </cell>
          <cell r="I73" t="str">
            <v>Kysucká 14</v>
          </cell>
          <cell r="J73">
            <v>7</v>
          </cell>
          <cell r="K73">
            <v>0</v>
          </cell>
          <cell r="L73">
            <v>28</v>
          </cell>
          <cell r="M73">
            <v>0</v>
          </cell>
          <cell r="N73">
            <v>0</v>
          </cell>
          <cell r="O73">
            <v>10</v>
          </cell>
          <cell r="P73">
            <v>1</v>
          </cell>
          <cell r="Q73">
            <v>0</v>
          </cell>
          <cell r="R73">
            <v>178</v>
          </cell>
          <cell r="S73">
            <v>46</v>
          </cell>
          <cell r="T73">
            <v>938</v>
          </cell>
          <cell r="U73">
            <v>107.9</v>
          </cell>
        </row>
        <row r="74">
          <cell r="F74">
            <v>31750214</v>
          </cell>
          <cell r="G74" t="str">
            <v>Spojená škola</v>
          </cell>
          <cell r="H74" t="str">
            <v>Bratislava-Karlova Ves</v>
          </cell>
          <cell r="I74" t="str">
            <v>Tilgnerova 14</v>
          </cell>
          <cell r="J74">
            <v>21</v>
          </cell>
          <cell r="K74"/>
          <cell r="L74">
            <v>39</v>
          </cell>
          <cell r="M74"/>
          <cell r="N74"/>
          <cell r="O74">
            <v>22</v>
          </cell>
          <cell r="P74">
            <v>1</v>
          </cell>
          <cell r="Q74"/>
          <cell r="R74">
            <v>436</v>
          </cell>
          <cell r="S74">
            <v>23</v>
          </cell>
          <cell r="T74">
            <v>1306.5</v>
          </cell>
          <cell r="U74">
            <v>0</v>
          </cell>
        </row>
        <row r="75">
          <cell r="F75">
            <v>30815339</v>
          </cell>
          <cell r="G75" t="str">
            <v>Cirkevná stredná odborná škola elektrotechnická P. G. Frassatiho</v>
          </cell>
          <cell r="H75" t="str">
            <v>Bratislava-Staré Mesto</v>
          </cell>
          <cell r="I75" t="str">
            <v>Vazovova 12</v>
          </cell>
          <cell r="J75">
            <v>4</v>
          </cell>
          <cell r="K75"/>
          <cell r="L75">
            <v>26</v>
          </cell>
          <cell r="M75"/>
          <cell r="N75"/>
          <cell r="O75">
            <v>4</v>
          </cell>
          <cell r="P75">
            <v>1</v>
          </cell>
          <cell r="Q75"/>
          <cell r="R75">
            <v>204</v>
          </cell>
          <cell r="S75">
            <v>76</v>
          </cell>
          <cell r="T75">
            <v>871</v>
          </cell>
          <cell r="U75">
            <v>0</v>
          </cell>
        </row>
        <row r="76">
          <cell r="F76">
            <v>17318840</v>
          </cell>
          <cell r="G76" t="str">
            <v>Gymnázium Matky Alexie</v>
          </cell>
          <cell r="H76" t="str">
            <v>Bratislava-Staré Mesto</v>
          </cell>
          <cell r="I76" t="str">
            <v>Jesenského 4/A</v>
          </cell>
          <cell r="J76">
            <v>11</v>
          </cell>
          <cell r="K76"/>
          <cell r="L76">
            <v>34</v>
          </cell>
          <cell r="M76"/>
          <cell r="N76"/>
          <cell r="O76">
            <v>15</v>
          </cell>
          <cell r="P76">
            <v>1</v>
          </cell>
          <cell r="Q76"/>
          <cell r="R76">
            <v>296</v>
          </cell>
          <cell r="S76">
            <v>109</v>
          </cell>
          <cell r="T76">
            <v>1139</v>
          </cell>
          <cell r="U76">
            <v>0</v>
          </cell>
        </row>
        <row r="77">
          <cell r="F77">
            <v>52547477</v>
          </cell>
          <cell r="G77" t="str">
            <v>Spojená škola sv. Uršule</v>
          </cell>
          <cell r="H77" t="str">
            <v>Bratislava-Staré Mesto</v>
          </cell>
          <cell r="I77" t="str">
            <v>Nedbalova 4</v>
          </cell>
          <cell r="J77">
            <v>10</v>
          </cell>
          <cell r="K77">
            <v>2</v>
          </cell>
          <cell r="L77">
            <v>33</v>
          </cell>
          <cell r="M77">
            <v>2</v>
          </cell>
          <cell r="N77">
            <v>2</v>
          </cell>
          <cell r="O77">
            <v>13</v>
          </cell>
          <cell r="P77">
            <v>1</v>
          </cell>
          <cell r="Q77">
            <v>19</v>
          </cell>
          <cell r="R77">
            <v>290</v>
          </cell>
          <cell r="S77">
            <v>125</v>
          </cell>
          <cell r="T77">
            <v>1105.5</v>
          </cell>
          <cell r="U77">
            <v>0</v>
          </cell>
        </row>
        <row r="78">
          <cell r="F78">
            <v>30852056</v>
          </cell>
          <cell r="G78" t="str">
            <v xml:space="preserve">Spojená škola sv. Vincenta de Paul  </v>
          </cell>
          <cell r="H78" t="str">
            <v>Bratislava-Ružinov</v>
          </cell>
          <cell r="I78" t="str">
            <v>Bachova 4</v>
          </cell>
          <cell r="J78">
            <v>10</v>
          </cell>
          <cell r="K78"/>
          <cell r="L78">
            <v>23</v>
          </cell>
          <cell r="M78"/>
          <cell r="N78"/>
          <cell r="O78">
            <v>13</v>
          </cell>
          <cell r="P78">
            <v>1</v>
          </cell>
          <cell r="Q78"/>
          <cell r="R78">
            <v>242</v>
          </cell>
          <cell r="S78">
            <v>11</v>
          </cell>
          <cell r="T78">
            <v>770.5</v>
          </cell>
          <cell r="U78">
            <v>154.69999999999999</v>
          </cell>
        </row>
        <row r="79">
          <cell r="F79">
            <v>42258120</v>
          </cell>
          <cell r="G79" t="str">
            <v>Spojená škola de La Salle</v>
          </cell>
          <cell r="H79" t="str">
            <v>Bratislava-Rača</v>
          </cell>
          <cell r="I79" t="str">
            <v>Čachtická 14</v>
          </cell>
          <cell r="J79">
            <v>4</v>
          </cell>
          <cell r="K79"/>
          <cell r="L79">
            <v>12</v>
          </cell>
          <cell r="M79"/>
          <cell r="N79"/>
          <cell r="O79">
            <v>5</v>
          </cell>
          <cell r="P79">
            <v>1</v>
          </cell>
          <cell r="Q79"/>
          <cell r="R79">
            <v>44</v>
          </cell>
          <cell r="S79">
            <v>37</v>
          </cell>
          <cell r="T79">
            <v>402</v>
          </cell>
          <cell r="U79">
            <v>0</v>
          </cell>
        </row>
        <row r="80">
          <cell r="F80">
            <v>42176182</v>
          </cell>
          <cell r="G80" t="str">
            <v>Spojená škola sv. Františka z Assisi</v>
          </cell>
          <cell r="H80" t="str">
            <v>Bratislava-Karlova Ves</v>
          </cell>
          <cell r="I80" t="str">
            <v>Karloveská 32</v>
          </cell>
          <cell r="J80">
            <v>5</v>
          </cell>
          <cell r="K80"/>
          <cell r="L80">
            <v>14</v>
          </cell>
          <cell r="M80"/>
          <cell r="N80"/>
          <cell r="O80">
            <v>8</v>
          </cell>
          <cell r="P80">
            <v>1</v>
          </cell>
          <cell r="Q80"/>
          <cell r="R80">
            <v>139</v>
          </cell>
          <cell r="S80">
            <v>2</v>
          </cell>
          <cell r="T80">
            <v>469</v>
          </cell>
          <cell r="U80">
            <v>0</v>
          </cell>
        </row>
        <row r="81">
          <cell r="F81">
            <v>30848008</v>
          </cell>
          <cell r="G81" t="str">
            <v>Bilingválne gymnázium C. S. Lewisa</v>
          </cell>
          <cell r="H81" t="str">
            <v>Bratislava-Petržalka</v>
          </cell>
          <cell r="I81" t="str">
            <v>Haanova 28</v>
          </cell>
          <cell r="J81">
            <v>11</v>
          </cell>
          <cell r="K81"/>
          <cell r="L81">
            <v>27</v>
          </cell>
          <cell r="M81"/>
          <cell r="N81"/>
          <cell r="O81">
            <v>13</v>
          </cell>
          <cell r="P81">
            <v>1</v>
          </cell>
          <cell r="Q81"/>
          <cell r="R81">
            <v>187</v>
          </cell>
          <cell r="S81">
            <v>77</v>
          </cell>
          <cell r="T81">
            <v>904.5</v>
          </cell>
          <cell r="U81">
            <v>0</v>
          </cell>
        </row>
        <row r="82">
          <cell r="F82">
            <v>30843006</v>
          </cell>
          <cell r="G82" t="str">
            <v>Cirkevné konzervatórium</v>
          </cell>
          <cell r="H82" t="str">
            <v>Bratislava-Petržalka</v>
          </cell>
          <cell r="I82" t="str">
            <v>Beňadická 16</v>
          </cell>
          <cell r="J82">
            <v>7</v>
          </cell>
          <cell r="K82">
            <v>1</v>
          </cell>
          <cell r="L82">
            <v>23</v>
          </cell>
          <cell r="M82">
            <v>2</v>
          </cell>
          <cell r="N82">
            <v>1</v>
          </cell>
          <cell r="O82">
            <v>7</v>
          </cell>
          <cell r="P82">
            <v>1</v>
          </cell>
          <cell r="Q82">
            <v>19</v>
          </cell>
          <cell r="R82">
            <v>144</v>
          </cell>
          <cell r="S82">
            <v>45</v>
          </cell>
          <cell r="T82">
            <v>770.5</v>
          </cell>
          <cell r="U82">
            <v>0</v>
          </cell>
        </row>
        <row r="83">
          <cell r="F83">
            <v>42178941</v>
          </cell>
          <cell r="G83" t="str">
            <v>Spojená škola Svätej Rodiny</v>
          </cell>
          <cell r="H83" t="str">
            <v>Bratislava-Petržalka</v>
          </cell>
          <cell r="I83" t="str">
            <v>Gercenova 10</v>
          </cell>
          <cell r="J83">
            <v>9</v>
          </cell>
          <cell r="K83"/>
          <cell r="L83">
            <v>30</v>
          </cell>
          <cell r="M83"/>
          <cell r="N83">
            <v>2</v>
          </cell>
          <cell r="O83">
            <v>8</v>
          </cell>
          <cell r="P83">
            <v>1</v>
          </cell>
          <cell r="Q83">
            <v>39</v>
          </cell>
          <cell r="R83">
            <v>165</v>
          </cell>
          <cell r="S83">
            <v>83</v>
          </cell>
          <cell r="T83">
            <v>1005</v>
          </cell>
          <cell r="U83">
            <v>5.4</v>
          </cell>
        </row>
        <row r="84">
          <cell r="F84">
            <v>54622093</v>
          </cell>
          <cell r="G84" t="str">
            <v>Stredná odborná škola lýceum C. S. Lewisa</v>
          </cell>
          <cell r="H84" t="str">
            <v>Bratislava-Petržalka</v>
          </cell>
          <cell r="I84" t="str">
            <v>Haanova 28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F85">
            <v>17078334</v>
          </cell>
          <cell r="G85" t="str">
            <v>Gymnázium sv. Tomáša Akvinského</v>
          </cell>
          <cell r="H85" t="str">
            <v>Košice-Staré Mesto</v>
          </cell>
          <cell r="I85" t="str">
            <v>Zbrojničná 3</v>
          </cell>
          <cell r="J85">
            <v>9</v>
          </cell>
          <cell r="K85"/>
          <cell r="L85">
            <v>25</v>
          </cell>
          <cell r="M85"/>
          <cell r="N85">
            <v>1</v>
          </cell>
          <cell r="O85">
            <v>9</v>
          </cell>
          <cell r="P85">
            <v>1</v>
          </cell>
          <cell r="Q85">
            <v>1</v>
          </cell>
          <cell r="R85">
            <v>174</v>
          </cell>
          <cell r="S85">
            <v>167</v>
          </cell>
          <cell r="T85">
            <v>837.5</v>
          </cell>
          <cell r="U85">
            <v>0</v>
          </cell>
        </row>
        <row r="86">
          <cell r="F86">
            <v>42256887</v>
          </cell>
          <cell r="G86" t="str">
            <v>Spojená škola sv. Františka Assiského</v>
          </cell>
          <cell r="H86" t="str">
            <v>Malacky</v>
          </cell>
          <cell r="I86" t="str">
            <v>Kláštorné nám. 1</v>
          </cell>
          <cell r="J86">
            <v>9</v>
          </cell>
          <cell r="K86">
            <v>0</v>
          </cell>
          <cell r="L86">
            <v>28</v>
          </cell>
          <cell r="M86"/>
          <cell r="N86"/>
          <cell r="O86">
            <v>9</v>
          </cell>
          <cell r="P86">
            <v>1</v>
          </cell>
          <cell r="Q86"/>
          <cell r="R86">
            <v>262</v>
          </cell>
          <cell r="S86">
            <v>104</v>
          </cell>
          <cell r="T86">
            <v>938</v>
          </cell>
          <cell r="U86">
            <v>0</v>
          </cell>
        </row>
        <row r="87">
          <cell r="F87">
            <v>588032</v>
          </cell>
          <cell r="G87" t="str">
            <v>Gymnázium Angely Merici</v>
          </cell>
          <cell r="H87" t="str">
            <v>Trnava</v>
          </cell>
          <cell r="I87" t="str">
            <v>Hviezdoslavova 10</v>
          </cell>
          <cell r="J87">
            <v>29</v>
          </cell>
          <cell r="K87"/>
          <cell r="L87">
            <v>61</v>
          </cell>
          <cell r="M87"/>
          <cell r="N87">
            <v>2</v>
          </cell>
          <cell r="O87">
            <v>36</v>
          </cell>
          <cell r="P87">
            <v>3</v>
          </cell>
          <cell r="Q87">
            <v>6</v>
          </cell>
          <cell r="R87">
            <v>549</v>
          </cell>
          <cell r="S87">
            <v>124</v>
          </cell>
          <cell r="T87">
            <v>2043.5</v>
          </cell>
          <cell r="U87">
            <v>0</v>
          </cell>
        </row>
        <row r="88">
          <cell r="F88">
            <v>652512</v>
          </cell>
          <cell r="G88" t="str">
            <v>Stredná odborná škola sv. Jozefa Robotníka</v>
          </cell>
          <cell r="H88" t="str">
            <v>Žilina</v>
          </cell>
          <cell r="I88" t="str">
            <v>Saleziánska 18</v>
          </cell>
          <cell r="J88">
            <v>7</v>
          </cell>
          <cell r="K88">
            <v>5</v>
          </cell>
          <cell r="L88">
            <v>27</v>
          </cell>
          <cell r="M88">
            <v>5</v>
          </cell>
          <cell r="N88">
            <v>10</v>
          </cell>
          <cell r="O88">
            <v>3</v>
          </cell>
          <cell r="P88">
            <v>1</v>
          </cell>
          <cell r="Q88">
            <v>74</v>
          </cell>
          <cell r="R88">
            <v>126</v>
          </cell>
          <cell r="S88">
            <v>0</v>
          </cell>
          <cell r="T88">
            <v>904.5</v>
          </cell>
          <cell r="U88">
            <v>0</v>
          </cell>
        </row>
        <row r="89">
          <cell r="F89">
            <v>686981</v>
          </cell>
          <cell r="G89" t="str">
            <v>Súkromná stredná odborná škola</v>
          </cell>
          <cell r="H89" t="str">
            <v>Bardejov</v>
          </cell>
          <cell r="I89" t="str">
            <v>Hviezdoslavova 11</v>
          </cell>
          <cell r="J89">
            <v>8</v>
          </cell>
          <cell r="K89"/>
          <cell r="L89">
            <v>24</v>
          </cell>
          <cell r="M89"/>
          <cell r="N89">
            <v>3</v>
          </cell>
          <cell r="O89">
            <v>7</v>
          </cell>
          <cell r="P89">
            <v>1</v>
          </cell>
          <cell r="Q89">
            <v>27</v>
          </cell>
          <cell r="R89">
            <v>128</v>
          </cell>
          <cell r="S89">
            <v>31</v>
          </cell>
          <cell r="T89">
            <v>804</v>
          </cell>
          <cell r="U89">
            <v>0</v>
          </cell>
        </row>
        <row r="90">
          <cell r="F90">
            <v>42261121</v>
          </cell>
          <cell r="G90" t="str">
            <v>Súkromná spojená škola Cambridge International School</v>
          </cell>
          <cell r="H90" t="str">
            <v>Bratislava-Staré Mesto</v>
          </cell>
          <cell r="I90" t="str">
            <v>Úprkova 3</v>
          </cell>
          <cell r="J90">
            <v>3</v>
          </cell>
          <cell r="K90"/>
          <cell r="L90">
            <v>19</v>
          </cell>
          <cell r="M90"/>
          <cell r="N90"/>
          <cell r="O90">
            <v>3</v>
          </cell>
          <cell r="P90">
            <v>1</v>
          </cell>
          <cell r="Q90"/>
          <cell r="R90">
            <v>122</v>
          </cell>
          <cell r="S90">
            <v>88</v>
          </cell>
          <cell r="T90">
            <v>636.5</v>
          </cell>
          <cell r="U90">
            <v>0</v>
          </cell>
        </row>
        <row r="91">
          <cell r="F91">
            <v>710229631</v>
          </cell>
          <cell r="G91" t="str">
            <v>Súkromné gymnázium nemecko-slovenské</v>
          </cell>
          <cell r="H91" t="str">
            <v>Bratislava-Staré Mesto</v>
          </cell>
          <cell r="I91" t="str">
            <v>Palisády 51</v>
          </cell>
          <cell r="J91">
            <v>1</v>
          </cell>
          <cell r="K91"/>
          <cell r="L91">
            <v>2</v>
          </cell>
          <cell r="M91"/>
          <cell r="N91"/>
          <cell r="O91">
            <v>1</v>
          </cell>
          <cell r="P91"/>
          <cell r="Q91"/>
          <cell r="R91">
            <v>22</v>
          </cell>
          <cell r="S91"/>
          <cell r="T91">
            <v>67</v>
          </cell>
          <cell r="U91">
            <v>0</v>
          </cell>
        </row>
        <row r="92">
          <cell r="F92">
            <v>710213530</v>
          </cell>
          <cell r="G92" t="str">
            <v>Súkromná obchodná akadémia Profi - Kamo</v>
          </cell>
          <cell r="H92" t="str">
            <v>Bratislava-Podunajské Biskupice</v>
          </cell>
          <cell r="I92" t="str">
            <v>Dudvážska 6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F93">
            <v>30795290</v>
          </cell>
          <cell r="G93" t="str">
            <v>Súkromná stredná odborná škola - Gastroškola</v>
          </cell>
          <cell r="H93" t="str">
            <v>Bratislava-Podunajské Biskupice</v>
          </cell>
          <cell r="I93" t="str">
            <v>Bieloruská 1</v>
          </cell>
          <cell r="J93">
            <v>3</v>
          </cell>
          <cell r="K93">
            <v>8</v>
          </cell>
          <cell r="L93">
            <v>20</v>
          </cell>
          <cell r="M93">
            <v>17</v>
          </cell>
          <cell r="N93">
            <v>10</v>
          </cell>
          <cell r="O93">
            <v>3</v>
          </cell>
          <cell r="P93">
            <v>1</v>
          </cell>
          <cell r="Q93">
            <v>166</v>
          </cell>
          <cell r="R93">
            <v>116</v>
          </cell>
          <cell r="S93">
            <v>218</v>
          </cell>
          <cell r="T93">
            <v>670</v>
          </cell>
          <cell r="U93">
            <v>0</v>
          </cell>
        </row>
        <row r="94">
          <cell r="F94">
            <v>36060674</v>
          </cell>
          <cell r="G94" t="str">
            <v>Súkromná stredná odborná škola pedagogická</v>
          </cell>
          <cell r="H94" t="str">
            <v>Bratislava-Podunajské Biskupice</v>
          </cell>
          <cell r="I94" t="str">
            <v>Bieloruská 1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F95">
            <v>52413250</v>
          </cell>
          <cell r="G95" t="str">
            <v>Súkromná stredná športová škola GAUDEAMUS</v>
          </cell>
          <cell r="H95" t="str">
            <v>Bratislava-Podunajské Biskupice</v>
          </cell>
          <cell r="I95" t="str">
            <v>Dudvážska 6</v>
          </cell>
          <cell r="J95">
            <v>2</v>
          </cell>
          <cell r="K95"/>
          <cell r="L95">
            <v>11</v>
          </cell>
          <cell r="M95"/>
          <cell r="N95"/>
          <cell r="O95">
            <v>2</v>
          </cell>
          <cell r="P95">
            <v>1</v>
          </cell>
          <cell r="Q95"/>
          <cell r="R95">
            <v>57</v>
          </cell>
          <cell r="S95">
            <v>68</v>
          </cell>
          <cell r="T95">
            <v>368.5</v>
          </cell>
          <cell r="U95">
            <v>0</v>
          </cell>
        </row>
        <row r="96">
          <cell r="F96">
            <v>710212674</v>
          </cell>
          <cell r="G96" t="str">
            <v>Súkromné gymnázium GALILEO SHOOL</v>
          </cell>
          <cell r="H96" t="str">
            <v>Bratislava-Podunajské Biskupice</v>
          </cell>
          <cell r="I96" t="str">
            <v>Dudvážska 6</v>
          </cell>
          <cell r="J96">
            <v>6</v>
          </cell>
          <cell r="K96"/>
          <cell r="L96">
            <v>22</v>
          </cell>
          <cell r="M96"/>
          <cell r="N96"/>
          <cell r="O96">
            <v>7</v>
          </cell>
          <cell r="P96">
            <v>1</v>
          </cell>
          <cell r="Q96"/>
          <cell r="R96">
            <v>181</v>
          </cell>
          <cell r="S96">
            <v>62</v>
          </cell>
          <cell r="T96">
            <v>737</v>
          </cell>
          <cell r="U96">
            <v>0</v>
          </cell>
        </row>
        <row r="97">
          <cell r="F97">
            <v>50343971</v>
          </cell>
          <cell r="G97" t="str">
            <v>1. súkromné gymnázium v Bratislave</v>
          </cell>
          <cell r="H97" t="str">
            <v>Bratislava-Ružinov</v>
          </cell>
          <cell r="I97" t="str">
            <v>Bajkalská 20</v>
          </cell>
          <cell r="J97">
            <v>12</v>
          </cell>
          <cell r="K97"/>
          <cell r="L97">
            <v>29</v>
          </cell>
          <cell r="M97"/>
          <cell r="N97"/>
          <cell r="O97">
            <v>15</v>
          </cell>
          <cell r="P97">
            <v>1</v>
          </cell>
          <cell r="Q97"/>
          <cell r="R97">
            <v>229</v>
          </cell>
          <cell r="S97">
            <v>48</v>
          </cell>
          <cell r="T97">
            <v>971.5</v>
          </cell>
          <cell r="U97">
            <v>0</v>
          </cell>
        </row>
        <row r="98">
          <cell r="F98">
            <v>681881</v>
          </cell>
          <cell r="G98" t="str">
            <v>Súkromná stredná odborná škola</v>
          </cell>
          <cell r="H98" t="str">
            <v>Bratislava-Ružinov</v>
          </cell>
          <cell r="I98" t="str">
            <v>Exnárova 20</v>
          </cell>
          <cell r="J98">
            <v>8</v>
          </cell>
          <cell r="K98"/>
          <cell r="L98">
            <v>47</v>
          </cell>
          <cell r="M98"/>
          <cell r="N98"/>
          <cell r="O98">
            <v>11</v>
          </cell>
          <cell r="P98">
            <v>1</v>
          </cell>
          <cell r="Q98"/>
          <cell r="R98">
            <v>413</v>
          </cell>
          <cell r="S98">
            <v>171</v>
          </cell>
          <cell r="T98">
            <v>1574.5</v>
          </cell>
          <cell r="U98">
            <v>0</v>
          </cell>
        </row>
        <row r="99">
          <cell r="F99">
            <v>30868645</v>
          </cell>
          <cell r="G99" t="str">
            <v>Súkromná stredná odborná škola pedagogická a sociálna</v>
          </cell>
          <cell r="H99" t="str">
            <v>Bratislava-Ružinov</v>
          </cell>
          <cell r="I99" t="str">
            <v>Sklenárova 1</v>
          </cell>
          <cell r="J99">
            <v>2</v>
          </cell>
          <cell r="K99"/>
          <cell r="L99">
            <v>11</v>
          </cell>
          <cell r="M99"/>
          <cell r="N99"/>
          <cell r="O99">
            <v>2</v>
          </cell>
          <cell r="P99"/>
          <cell r="Q99"/>
          <cell r="R99">
            <v>129</v>
          </cell>
          <cell r="S99"/>
          <cell r="T99">
            <v>368.5</v>
          </cell>
          <cell r="U99">
            <v>0</v>
          </cell>
        </row>
        <row r="100">
          <cell r="F100">
            <v>42268877</v>
          </cell>
          <cell r="G100" t="str">
            <v>Súkromná stredná športová škola EISB</v>
          </cell>
          <cell r="H100" t="str">
            <v>Bratislava-Ružinov</v>
          </cell>
          <cell r="I100" t="str">
            <v>Radničné námestie 4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</row>
        <row r="101">
          <cell r="F101">
            <v>31792952</v>
          </cell>
          <cell r="G101" t="str">
            <v>Súkromná škola umeleckého priemyslu Bohumila Baču</v>
          </cell>
          <cell r="H101" t="str">
            <v>Bratislava-Ružinov</v>
          </cell>
          <cell r="I101" t="str">
            <v>Ivanská cesta 21</v>
          </cell>
          <cell r="J101">
            <v>7</v>
          </cell>
          <cell r="K101">
            <v>1</v>
          </cell>
          <cell r="L101">
            <v>33</v>
          </cell>
          <cell r="M101">
            <v>2</v>
          </cell>
          <cell r="N101"/>
          <cell r="O101">
            <v>11</v>
          </cell>
          <cell r="P101">
            <v>1</v>
          </cell>
          <cell r="Q101"/>
          <cell r="R101">
            <v>230</v>
          </cell>
          <cell r="S101">
            <v>75</v>
          </cell>
          <cell r="T101">
            <v>1105.5</v>
          </cell>
          <cell r="U101">
            <v>0</v>
          </cell>
        </row>
        <row r="102">
          <cell r="F102">
            <v>30805473</v>
          </cell>
          <cell r="G102" t="str">
            <v>Súkromné gymnázium</v>
          </cell>
          <cell r="H102" t="str">
            <v>Bratislava-Vrakuňa</v>
          </cell>
          <cell r="I102" t="str">
            <v>Vážska 32</v>
          </cell>
          <cell r="J102">
            <v>8</v>
          </cell>
          <cell r="K102"/>
          <cell r="L102">
            <v>26</v>
          </cell>
          <cell r="M102"/>
          <cell r="N102"/>
          <cell r="O102">
            <v>10</v>
          </cell>
          <cell r="P102">
            <v>1</v>
          </cell>
          <cell r="Q102"/>
          <cell r="R102">
            <v>221</v>
          </cell>
          <cell r="S102">
            <v>27</v>
          </cell>
          <cell r="T102">
            <v>871</v>
          </cell>
          <cell r="U102">
            <v>0</v>
          </cell>
        </row>
        <row r="103">
          <cell r="F103">
            <v>30792975</v>
          </cell>
          <cell r="G103" t="str">
            <v>Súkromná stredná odborná škola HOST</v>
          </cell>
          <cell r="H103" t="str">
            <v>Bratislava-Nové Mesto</v>
          </cell>
          <cell r="I103" t="str">
            <v>Pionierska 15</v>
          </cell>
          <cell r="J103">
            <v>3</v>
          </cell>
          <cell r="K103"/>
          <cell r="L103">
            <v>20</v>
          </cell>
          <cell r="M103"/>
          <cell r="N103"/>
          <cell r="O103">
            <v>3</v>
          </cell>
          <cell r="P103">
            <v>1</v>
          </cell>
          <cell r="Q103"/>
          <cell r="R103">
            <v>166</v>
          </cell>
          <cell r="S103">
            <v>59</v>
          </cell>
          <cell r="T103">
            <v>670</v>
          </cell>
          <cell r="U103">
            <v>0</v>
          </cell>
        </row>
        <row r="104">
          <cell r="F104">
            <v>55125450</v>
          </cell>
          <cell r="G104" t="str">
            <v>Súkromná spojená škola Kings Schools International</v>
          </cell>
          <cell r="H104" t="str">
            <v>Bratislava-Nové Mesto</v>
          </cell>
          <cell r="I104" t="str">
            <v>Trnavská cesta 3421/39</v>
          </cell>
          <cell r="J104">
            <v>3</v>
          </cell>
          <cell r="K104"/>
          <cell r="L104">
            <v>6</v>
          </cell>
          <cell r="M104"/>
          <cell r="N104"/>
          <cell r="O104">
            <v>3</v>
          </cell>
          <cell r="P104"/>
          <cell r="Q104"/>
          <cell r="R104">
            <v>43</v>
          </cell>
          <cell r="S104"/>
          <cell r="T104">
            <v>201</v>
          </cell>
          <cell r="U104">
            <v>0</v>
          </cell>
        </row>
        <row r="105">
          <cell r="F105">
            <v>30858321</v>
          </cell>
          <cell r="G105" t="str">
            <v>Súkromné gymnázium</v>
          </cell>
          <cell r="H105" t="str">
            <v>Bratislava-Nové Mesto</v>
          </cell>
          <cell r="I105" t="str">
            <v>Česká 10</v>
          </cell>
          <cell r="J105">
            <v>14</v>
          </cell>
          <cell r="K105"/>
          <cell r="L105">
            <v>41</v>
          </cell>
          <cell r="M105"/>
          <cell r="N105">
            <v>1</v>
          </cell>
          <cell r="O105">
            <v>20</v>
          </cell>
          <cell r="P105">
            <v>1</v>
          </cell>
          <cell r="Q105">
            <v>13</v>
          </cell>
          <cell r="R105">
            <v>340</v>
          </cell>
          <cell r="S105">
            <v>63</v>
          </cell>
          <cell r="T105">
            <v>1373.5</v>
          </cell>
          <cell r="U105">
            <v>0</v>
          </cell>
        </row>
        <row r="106">
          <cell r="F106">
            <v>891657</v>
          </cell>
          <cell r="G106" t="str">
            <v>Súkromná SOŠ automobilová Duálna akadémia</v>
          </cell>
          <cell r="H106" t="str">
            <v>Bratislava-Devínska Nová Ves</v>
          </cell>
          <cell r="I106" t="str">
            <v>Jána Jonáša 5</v>
          </cell>
          <cell r="J106">
            <v>6</v>
          </cell>
          <cell r="K106">
            <v>2</v>
          </cell>
          <cell r="L106">
            <v>27</v>
          </cell>
          <cell r="M106">
            <v>5</v>
          </cell>
          <cell r="N106">
            <v>2</v>
          </cell>
          <cell r="O106">
            <v>7</v>
          </cell>
          <cell r="P106">
            <v>1</v>
          </cell>
          <cell r="Q106">
            <v>33</v>
          </cell>
          <cell r="R106">
            <v>149</v>
          </cell>
          <cell r="S106">
            <v>109</v>
          </cell>
          <cell r="T106">
            <v>904.5</v>
          </cell>
          <cell r="U106">
            <v>0</v>
          </cell>
        </row>
        <row r="107">
          <cell r="F107">
            <v>30804825</v>
          </cell>
          <cell r="G107" t="str">
            <v>Súkromná stredná odborná škola veterinárna</v>
          </cell>
          <cell r="H107" t="str">
            <v>Bratislava-Dúbravka</v>
          </cell>
          <cell r="I107" t="str">
            <v>Pod brehmi 6/A</v>
          </cell>
          <cell r="J107">
            <v>3</v>
          </cell>
          <cell r="K107">
            <v>4</v>
          </cell>
          <cell r="L107">
            <v>22</v>
          </cell>
          <cell r="M107">
            <v>11</v>
          </cell>
          <cell r="N107">
            <v>7</v>
          </cell>
          <cell r="O107">
            <v>3</v>
          </cell>
          <cell r="P107">
            <v>1</v>
          </cell>
          <cell r="Q107">
            <v>84</v>
          </cell>
          <cell r="R107">
            <v>136</v>
          </cell>
          <cell r="S107">
            <v>29</v>
          </cell>
          <cell r="T107">
            <v>737</v>
          </cell>
          <cell r="U107">
            <v>0</v>
          </cell>
        </row>
        <row r="108">
          <cell r="F108">
            <v>30865425</v>
          </cell>
          <cell r="G108" t="str">
            <v>Súkromné konzervatórium ALKANA</v>
          </cell>
          <cell r="H108" t="str">
            <v>Bratislava-Dúbravka</v>
          </cell>
          <cell r="I108" t="str">
            <v>Batkova 2</v>
          </cell>
          <cell r="J108"/>
          <cell r="K108">
            <v>1</v>
          </cell>
          <cell r="L108"/>
          <cell r="M108">
            <v>3</v>
          </cell>
          <cell r="N108"/>
          <cell r="O108">
            <v>1</v>
          </cell>
          <cell r="P108"/>
          <cell r="Q108"/>
          <cell r="R108">
            <v>1</v>
          </cell>
          <cell r="S108"/>
          <cell r="T108">
            <v>0</v>
          </cell>
          <cell r="U108">
            <v>29.7</v>
          </cell>
        </row>
        <row r="109">
          <cell r="F109">
            <v>30797969</v>
          </cell>
          <cell r="G109" t="str">
            <v>Súkromné gymnázium ESPRIT</v>
          </cell>
          <cell r="H109" t="str">
            <v>Bratislava-Karlova Ves</v>
          </cell>
          <cell r="I109" t="str">
            <v>Majerníkova 62</v>
          </cell>
          <cell r="J109">
            <v>5</v>
          </cell>
          <cell r="K109"/>
          <cell r="L109">
            <v>17</v>
          </cell>
          <cell r="M109"/>
          <cell r="N109"/>
          <cell r="O109">
            <v>7</v>
          </cell>
          <cell r="P109">
            <v>1</v>
          </cell>
          <cell r="Q109"/>
          <cell r="R109">
            <v>146</v>
          </cell>
          <cell r="S109">
            <v>152</v>
          </cell>
          <cell r="T109">
            <v>569.5</v>
          </cell>
          <cell r="U109">
            <v>0</v>
          </cell>
        </row>
        <row r="110">
          <cell r="F110">
            <v>42363501</v>
          </cell>
          <cell r="G110" t="str">
            <v>Súkromné gymnázium pre žiakov so všeobecným intelektovým nadaním CENADA</v>
          </cell>
          <cell r="H110" t="str">
            <v>Bratislava-Karlova Ves</v>
          </cell>
          <cell r="I110" t="str">
            <v>Majerníkova 60</v>
          </cell>
          <cell r="J110">
            <v>10</v>
          </cell>
          <cell r="K110"/>
          <cell r="L110">
            <v>28</v>
          </cell>
          <cell r="M110"/>
          <cell r="N110">
            <v>1</v>
          </cell>
          <cell r="O110">
            <v>10</v>
          </cell>
          <cell r="P110">
            <v>1</v>
          </cell>
          <cell r="Q110">
            <v>3</v>
          </cell>
          <cell r="R110">
            <v>254</v>
          </cell>
          <cell r="S110">
            <v>39</v>
          </cell>
          <cell r="T110">
            <v>938</v>
          </cell>
          <cell r="U110">
            <v>0</v>
          </cell>
        </row>
        <row r="111">
          <cell r="F111">
            <v>36070793</v>
          </cell>
          <cell r="G111" t="str">
            <v>Súkromná obchodná akadémia</v>
          </cell>
          <cell r="H111" t="str">
            <v>Bratislava-Petržalka</v>
          </cell>
          <cell r="I111" t="str">
            <v>Kremnická 26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</row>
        <row r="112">
          <cell r="F112">
            <v>53200268</v>
          </cell>
          <cell r="G112" t="str">
            <v>Súkromná spojená škola francúzsko – slovenská</v>
          </cell>
          <cell r="H112" t="str">
            <v>Bratislava-Petržalka</v>
          </cell>
          <cell r="I112" t="str">
            <v>M. C. Sklodowskej 1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</row>
        <row r="113">
          <cell r="F113">
            <v>42254647</v>
          </cell>
          <cell r="G113" t="str">
            <v>Súkromná stredná odborná  škola ochrany osôb a majetku</v>
          </cell>
          <cell r="H113" t="str">
            <v>Bratislava-Petržalka</v>
          </cell>
          <cell r="I113" t="str">
            <v>Vranovská 4</v>
          </cell>
          <cell r="J113">
            <v>7</v>
          </cell>
          <cell r="K113">
            <v>1</v>
          </cell>
          <cell r="L113">
            <v>34</v>
          </cell>
          <cell r="M113">
            <v>8</v>
          </cell>
          <cell r="N113">
            <v>1</v>
          </cell>
          <cell r="O113">
            <v>8</v>
          </cell>
          <cell r="P113">
            <v>2</v>
          </cell>
          <cell r="Q113">
            <v>31</v>
          </cell>
          <cell r="R113">
            <v>372</v>
          </cell>
          <cell r="S113">
            <v>190</v>
          </cell>
          <cell r="T113">
            <v>1139</v>
          </cell>
          <cell r="U113">
            <v>0</v>
          </cell>
        </row>
        <row r="114">
          <cell r="F114">
            <v>30849934</v>
          </cell>
          <cell r="G114" t="str">
            <v>Súkromná stredná odborná škola Johannes Senio Service</v>
          </cell>
          <cell r="H114" t="str">
            <v>Bratislava-Petržalka</v>
          </cell>
          <cell r="I114" t="str">
            <v>Jungmannova 10</v>
          </cell>
          <cell r="J114">
            <v>1</v>
          </cell>
          <cell r="K114"/>
          <cell r="L114">
            <v>6</v>
          </cell>
          <cell r="M114"/>
          <cell r="N114"/>
          <cell r="O114">
            <v>2</v>
          </cell>
          <cell r="P114"/>
          <cell r="Q114"/>
          <cell r="R114">
            <v>58</v>
          </cell>
          <cell r="S114"/>
          <cell r="T114">
            <v>201</v>
          </cell>
          <cell r="U114">
            <v>0</v>
          </cell>
        </row>
        <row r="115">
          <cell r="F115">
            <v>42182760</v>
          </cell>
          <cell r="G115" t="str">
            <v>Súkromná stredná športová škola</v>
          </cell>
          <cell r="H115" t="str">
            <v>Bratislava-Petržalka</v>
          </cell>
          <cell r="I115" t="str">
            <v>M. C. Sklodowskej 1</v>
          </cell>
          <cell r="J115">
            <v>2</v>
          </cell>
          <cell r="K115"/>
          <cell r="L115">
            <v>8</v>
          </cell>
          <cell r="M115"/>
          <cell r="N115"/>
          <cell r="O115">
            <v>3</v>
          </cell>
          <cell r="P115"/>
          <cell r="Q115"/>
          <cell r="R115">
            <v>67</v>
          </cell>
          <cell r="S115"/>
          <cell r="T115">
            <v>268</v>
          </cell>
          <cell r="U115">
            <v>0</v>
          </cell>
        </row>
        <row r="116">
          <cell r="F116">
            <v>36068284</v>
          </cell>
          <cell r="G116" t="str">
            <v>Súkromná škola umeleckého priemyslu animovanej tvorby</v>
          </cell>
          <cell r="H116" t="str">
            <v>Bratislava-Petržalka</v>
          </cell>
          <cell r="I116" t="str">
            <v>Vlastenecké námestie 1</v>
          </cell>
          <cell r="J116">
            <v>6</v>
          </cell>
          <cell r="K116"/>
          <cell r="L116">
            <v>39</v>
          </cell>
          <cell r="M116"/>
          <cell r="N116"/>
          <cell r="O116">
            <v>5</v>
          </cell>
          <cell r="P116">
            <v>2</v>
          </cell>
          <cell r="Q116">
            <v>0</v>
          </cell>
          <cell r="R116">
            <v>208</v>
          </cell>
          <cell r="S116">
            <v>115</v>
          </cell>
          <cell r="T116">
            <v>1306.5</v>
          </cell>
          <cell r="U116">
            <v>0</v>
          </cell>
        </row>
        <row r="117">
          <cell r="F117">
            <v>31801722</v>
          </cell>
          <cell r="G117" t="str">
            <v>Súkromné bulharské gymnázium Christa Boteva</v>
          </cell>
          <cell r="H117" t="str">
            <v>Bratislava-Petržalka</v>
          </cell>
          <cell r="I117" t="str">
            <v>Záporožská 8</v>
          </cell>
          <cell r="J117">
            <v>1</v>
          </cell>
          <cell r="K117"/>
          <cell r="L117">
            <v>3</v>
          </cell>
          <cell r="M117"/>
          <cell r="N117"/>
          <cell r="O117">
            <v>1</v>
          </cell>
          <cell r="P117"/>
          <cell r="Q117"/>
          <cell r="R117">
            <v>60</v>
          </cell>
          <cell r="S117"/>
          <cell r="T117">
            <v>100.5</v>
          </cell>
          <cell r="U117">
            <v>0</v>
          </cell>
        </row>
        <row r="118">
          <cell r="F118">
            <v>31744265</v>
          </cell>
          <cell r="G118" t="str">
            <v>Súkromné gymnázium</v>
          </cell>
          <cell r="H118" t="str">
            <v>Bratislava-Petržalka</v>
          </cell>
          <cell r="I118" t="str">
            <v>Kremnická 26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</row>
        <row r="119">
          <cell r="F119">
            <v>53507339</v>
          </cell>
          <cell r="G119" t="str">
            <v>Súkromné gymnázium FELIX</v>
          </cell>
          <cell r="H119" t="str">
            <v>Bratislava-Petržalka</v>
          </cell>
          <cell r="I119" t="str">
            <v>Krásnohorská 3127/14</v>
          </cell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>
            <v>0</v>
          </cell>
          <cell r="U119">
            <v>0</v>
          </cell>
        </row>
        <row r="120">
          <cell r="F120">
            <v>30843201</v>
          </cell>
          <cell r="G120" t="str">
            <v>Súkromné gymnázium MERCURY</v>
          </cell>
          <cell r="H120" t="str">
            <v>Bratislava-Petržalka</v>
          </cell>
          <cell r="I120" t="str">
            <v>Zadunajská cesta 406/4</v>
          </cell>
          <cell r="J120">
            <v>6</v>
          </cell>
          <cell r="K120"/>
          <cell r="L120">
            <v>28</v>
          </cell>
          <cell r="M120"/>
          <cell r="N120"/>
          <cell r="O120">
            <v>5</v>
          </cell>
          <cell r="P120">
            <v>1</v>
          </cell>
          <cell r="Q120"/>
          <cell r="R120">
            <v>233</v>
          </cell>
          <cell r="S120">
            <v>288</v>
          </cell>
          <cell r="T120">
            <v>938</v>
          </cell>
          <cell r="U120">
            <v>0</v>
          </cell>
        </row>
        <row r="121">
          <cell r="F121">
            <v>36082040</v>
          </cell>
          <cell r="G121" t="str">
            <v>Súkromná hotelová akadémia SD Jednota</v>
          </cell>
          <cell r="H121" t="str">
            <v>Šamorín</v>
          </cell>
          <cell r="I121" t="str">
            <v>Vinohradská 48</v>
          </cell>
          <cell r="J121">
            <v>4</v>
          </cell>
          <cell r="K121"/>
          <cell r="L121">
            <v>15</v>
          </cell>
          <cell r="M121"/>
          <cell r="N121"/>
          <cell r="O121">
            <v>10</v>
          </cell>
          <cell r="P121"/>
          <cell r="Q121"/>
          <cell r="R121">
            <v>233</v>
          </cell>
          <cell r="S121"/>
          <cell r="T121">
            <v>502.5</v>
          </cell>
          <cell r="U121">
            <v>41.3</v>
          </cell>
        </row>
        <row r="122">
          <cell r="F122">
            <v>686476</v>
          </cell>
          <cell r="G122" t="str">
            <v>Súkromná stredná odborná škola SD Jednota</v>
          </cell>
          <cell r="H122" t="str">
            <v>Šamorín</v>
          </cell>
          <cell r="I122" t="str">
            <v>Vinohradská 48</v>
          </cell>
          <cell r="J122">
            <v>4</v>
          </cell>
          <cell r="K122"/>
          <cell r="L122">
            <v>8</v>
          </cell>
          <cell r="M122"/>
          <cell r="N122">
            <v>2</v>
          </cell>
          <cell r="O122">
            <v>3</v>
          </cell>
          <cell r="P122"/>
          <cell r="Q122">
            <v>7</v>
          </cell>
          <cell r="R122">
            <v>53</v>
          </cell>
          <cell r="S122"/>
          <cell r="T122">
            <v>268</v>
          </cell>
          <cell r="U122">
            <v>0</v>
          </cell>
        </row>
        <row r="123">
          <cell r="F123">
            <v>686964</v>
          </cell>
          <cell r="G123" t="str">
            <v>Súkromná stredná odborná škola</v>
          </cell>
          <cell r="H123" t="str">
            <v>Poprad</v>
          </cell>
          <cell r="I123" t="str">
            <v>Ulica SNP 1253</v>
          </cell>
          <cell r="J123">
            <v>11</v>
          </cell>
          <cell r="K123">
            <v>3</v>
          </cell>
          <cell r="L123">
            <v>43</v>
          </cell>
          <cell r="M123">
            <v>9</v>
          </cell>
          <cell r="N123">
            <v>6</v>
          </cell>
          <cell r="O123">
            <v>20</v>
          </cell>
          <cell r="P123"/>
          <cell r="Q123">
            <v>56</v>
          </cell>
          <cell r="R123">
            <v>378</v>
          </cell>
          <cell r="S123"/>
          <cell r="T123">
            <v>1440.5</v>
          </cell>
          <cell r="U123">
            <v>516.6</v>
          </cell>
        </row>
        <row r="124">
          <cell r="F124">
            <v>42395933</v>
          </cell>
          <cell r="G124" t="str">
            <v>Súkromná stredná odborná škola</v>
          </cell>
          <cell r="H124" t="str">
            <v>Hnúšťa</v>
          </cell>
          <cell r="I124" t="str">
            <v>Francisciho 372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>
        <row r="4">
          <cell r="F4">
            <v>17337054</v>
          </cell>
          <cell r="G4" t="str">
            <v>Gymnázium</v>
          </cell>
          <cell r="H4" t="str">
            <v>Bratislava-Karlova Ves</v>
          </cell>
          <cell r="I4" t="str">
            <v>Ladislava Sáru 1</v>
          </cell>
          <cell r="J4">
            <v>1</v>
          </cell>
          <cell r="K4">
            <v>0</v>
          </cell>
          <cell r="L4">
            <v>1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91</v>
          </cell>
          <cell r="S4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dne školy od Laury pre 23"/>
      <sheetName val="kont z jun 23 databaza"/>
      <sheetName val="tabulka z kont jun 23 databaza"/>
      <sheetName val="Hárok4"/>
      <sheetName val="jún 23 databáza na doplnenie"/>
      <sheetName val="kont z harok 7"/>
      <sheetName val="Hárok9"/>
      <sheetName val="Hárok7"/>
      <sheetName val="kontrola harku 1"/>
      <sheetName val="Hárok1"/>
      <sheetName val="NIVAM apríl 23"/>
      <sheetName val="EK"/>
      <sheetName val="jún 23 databáza na doplneni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F5">
            <v>17337046</v>
          </cell>
          <cell r="G5" t="str">
            <v>Gymnázium Jána Papánka</v>
          </cell>
          <cell r="H5" t="str">
            <v>Bratislava-Staré Mesto</v>
          </cell>
          <cell r="I5" t="str">
            <v>Vazovova 6</v>
          </cell>
          <cell r="J5">
            <v>1</v>
          </cell>
          <cell r="K5">
            <v>0</v>
          </cell>
          <cell r="L5">
            <v>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15</v>
          </cell>
          <cell r="S5">
            <v>0</v>
          </cell>
        </row>
      </sheetData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 refreshError="1">
        <row r="200">
          <cell r="F200">
            <v>50459350</v>
          </cell>
          <cell r="G200" t="str">
            <v>Spojená škola</v>
          </cell>
          <cell r="H200" t="str">
            <v>Dubnica nad Váhom</v>
          </cell>
          <cell r="I200" t="str">
            <v>Školská 386/1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</row>
        <row r="201">
          <cell r="F201">
            <v>162922</v>
          </cell>
          <cell r="G201" t="str">
            <v>Odborné učilište internátne</v>
          </cell>
          <cell r="H201" t="str">
            <v>Ladce</v>
          </cell>
          <cell r="I201" t="str">
            <v>Hviezdoslavova 114/668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</row>
        <row r="202">
          <cell r="F202">
            <v>50457462</v>
          </cell>
          <cell r="G202" t="str">
            <v>Spojená škola</v>
          </cell>
          <cell r="H202" t="str">
            <v>Myjava</v>
          </cell>
          <cell r="I202" t="str">
            <v>Továrenská 63/1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F203">
            <v>37918869</v>
          </cell>
          <cell r="G203" t="str">
            <v>Bilingválne slovensko - španielske gymnázium</v>
          </cell>
          <cell r="H203" t="str">
            <v>Nové Mesto nad Váhom</v>
          </cell>
          <cell r="I203" t="str">
            <v>Štúrova ulica 2590/31A</v>
          </cell>
          <cell r="J203">
            <v>0</v>
          </cell>
          <cell r="K203">
            <v>0</v>
          </cell>
          <cell r="L203">
            <v>3</v>
          </cell>
          <cell r="M203">
            <v>0</v>
          </cell>
          <cell r="N203">
            <v>0</v>
          </cell>
          <cell r="O203">
            <v>3</v>
          </cell>
          <cell r="P203">
            <v>0</v>
          </cell>
          <cell r="Q203">
            <v>0</v>
          </cell>
          <cell r="R203">
            <v>40</v>
          </cell>
          <cell r="S203">
            <v>0</v>
          </cell>
          <cell r="T203">
            <v>100.5</v>
          </cell>
          <cell r="U203">
            <v>16</v>
          </cell>
        </row>
        <row r="204">
          <cell r="F204">
            <v>50457471</v>
          </cell>
          <cell r="G204" t="str">
            <v>Spojená škola</v>
          </cell>
          <cell r="H204" t="str">
            <v>Nové Mesto nad Váhom</v>
          </cell>
          <cell r="I204" t="str">
            <v>Ul. J. Kollára 3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</row>
        <row r="205">
          <cell r="F205">
            <v>31116175</v>
          </cell>
          <cell r="G205" t="str">
            <v>Spojená škola</v>
          </cell>
          <cell r="H205" t="str">
            <v>Považská Bystrica</v>
          </cell>
          <cell r="I205" t="str">
            <v>SNP 1653/152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</row>
        <row r="206">
          <cell r="F206">
            <v>163325</v>
          </cell>
          <cell r="G206" t="str">
            <v>Reedukačné centrum</v>
          </cell>
          <cell r="H206" t="str">
            <v>Bystričany</v>
          </cell>
          <cell r="I206" t="str">
            <v>Chalmovská 679/1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</row>
        <row r="207">
          <cell r="F207">
            <v>35667800</v>
          </cell>
          <cell r="G207" t="str">
            <v xml:space="preserve">Spojená škola </v>
          </cell>
          <cell r="H207" t="str">
            <v>Prievidza</v>
          </cell>
          <cell r="I207" t="str">
            <v>Nábr. J. Kalinčiaka 4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</row>
        <row r="208">
          <cell r="F208">
            <v>31116183</v>
          </cell>
          <cell r="G208" t="str">
            <v>Spojená škola internátna</v>
          </cell>
          <cell r="H208" t="str">
            <v>Prievidza</v>
          </cell>
          <cell r="I208" t="str">
            <v>Úzka 2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F209">
            <v>34058991</v>
          </cell>
          <cell r="G209" t="str">
            <v>Spojená škola</v>
          </cell>
          <cell r="H209" t="str">
            <v>Púchov</v>
          </cell>
          <cell r="I209" t="str">
            <v>Športovcov 1461/17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</row>
        <row r="210">
          <cell r="F210">
            <v>493562</v>
          </cell>
          <cell r="G210" t="str">
            <v>Spojená škola</v>
          </cell>
          <cell r="H210" t="str">
            <v>Trenčianska Teplá</v>
          </cell>
          <cell r="I210" t="str">
            <v>M. R. Štefánika 323/1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</row>
        <row r="211">
          <cell r="F211">
            <v>182451</v>
          </cell>
          <cell r="G211" t="str">
            <v>Spojená škola internátna</v>
          </cell>
          <cell r="H211" t="str">
            <v>Trenčín</v>
          </cell>
          <cell r="I211" t="str">
            <v>Ľudovíta Stárka 12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</row>
        <row r="212">
          <cell r="F212">
            <v>17055202</v>
          </cell>
          <cell r="G212" t="str">
            <v>Stredná odborná škola dopravná</v>
          </cell>
          <cell r="H212" t="str">
            <v>Trenčín</v>
          </cell>
          <cell r="I212" t="str">
            <v>Školská 66</v>
          </cell>
          <cell r="J212">
            <v>0</v>
          </cell>
          <cell r="K212">
            <v>0</v>
          </cell>
          <cell r="L212">
            <v>34</v>
          </cell>
          <cell r="M212">
            <v>0</v>
          </cell>
          <cell r="N212">
            <v>1</v>
          </cell>
          <cell r="O212">
            <v>7</v>
          </cell>
          <cell r="P212">
            <v>2</v>
          </cell>
          <cell r="Q212">
            <v>18</v>
          </cell>
          <cell r="R212">
            <v>133</v>
          </cell>
          <cell r="S212">
            <v>91</v>
          </cell>
          <cell r="T212">
            <v>1139</v>
          </cell>
          <cell r="U212">
            <v>0</v>
          </cell>
        </row>
        <row r="213">
          <cell r="F213">
            <v>17638593</v>
          </cell>
          <cell r="G213" t="str">
            <v>Stredná odborná škola letecko - technická</v>
          </cell>
          <cell r="H213" t="str">
            <v>Trenčín</v>
          </cell>
          <cell r="I213" t="str">
            <v>Legionárska 160</v>
          </cell>
          <cell r="J213">
            <v>0</v>
          </cell>
          <cell r="K213">
            <v>0</v>
          </cell>
          <cell r="L213">
            <v>19</v>
          </cell>
          <cell r="M213">
            <v>0</v>
          </cell>
          <cell r="N213">
            <v>0</v>
          </cell>
          <cell r="O213">
            <v>10</v>
          </cell>
          <cell r="P213">
            <v>0</v>
          </cell>
          <cell r="Q213">
            <v>0</v>
          </cell>
          <cell r="R213">
            <v>155</v>
          </cell>
          <cell r="S213">
            <v>0</v>
          </cell>
          <cell r="T213">
            <v>636.5</v>
          </cell>
          <cell r="U213">
            <v>160</v>
          </cell>
        </row>
        <row r="214">
          <cell r="F214">
            <v>34058915</v>
          </cell>
          <cell r="G214" t="str">
            <v>Špeciálna základná škola</v>
          </cell>
          <cell r="H214" t="str">
            <v>Partizánske</v>
          </cell>
          <cell r="I214" t="str">
            <v>Gen. Svobodu 1273/73</v>
          </cell>
          <cell r="J214">
            <v>0</v>
          </cell>
          <cell r="K214">
            <v>0</v>
          </cell>
          <cell r="L214">
            <v>2</v>
          </cell>
          <cell r="M214">
            <v>0</v>
          </cell>
          <cell r="N214">
            <v>0</v>
          </cell>
          <cell r="O214">
            <v>4</v>
          </cell>
          <cell r="P214">
            <v>0</v>
          </cell>
          <cell r="Q214">
            <v>0</v>
          </cell>
          <cell r="R214">
            <v>14</v>
          </cell>
          <cell r="S214">
            <v>0</v>
          </cell>
          <cell r="T214">
            <v>67</v>
          </cell>
          <cell r="U214">
            <v>22.6</v>
          </cell>
        </row>
        <row r="215">
          <cell r="F215">
            <v>17050227</v>
          </cell>
          <cell r="G215" t="str">
            <v>Gymnázium Janka Jesenského</v>
          </cell>
          <cell r="H215" t="str">
            <v>Bánovce nad Bebravou</v>
          </cell>
          <cell r="I215" t="str">
            <v>Radlinského 665/2</v>
          </cell>
          <cell r="J215">
            <v>14</v>
          </cell>
          <cell r="K215">
            <v>0</v>
          </cell>
          <cell r="L215">
            <v>50</v>
          </cell>
          <cell r="M215">
            <v>0</v>
          </cell>
          <cell r="N215">
            <v>0</v>
          </cell>
          <cell r="O215">
            <v>16</v>
          </cell>
          <cell r="P215">
            <v>2</v>
          </cell>
          <cell r="Q215">
            <v>0</v>
          </cell>
          <cell r="R215">
            <v>308</v>
          </cell>
          <cell r="S215">
            <v>137</v>
          </cell>
          <cell r="T215">
            <v>1675</v>
          </cell>
          <cell r="U215">
            <v>393.26</v>
          </cell>
        </row>
        <row r="216">
          <cell r="F216">
            <v>37922459</v>
          </cell>
          <cell r="G216" t="str">
            <v>Stredná odborná škola strojnícka</v>
          </cell>
          <cell r="H216" t="str">
            <v>Bánovce nad Bebravou</v>
          </cell>
          <cell r="I216" t="str">
            <v>Partizánska cesta 76</v>
          </cell>
          <cell r="J216">
            <v>12</v>
          </cell>
          <cell r="K216">
            <v>0</v>
          </cell>
          <cell r="L216">
            <v>50</v>
          </cell>
          <cell r="M216">
            <v>0</v>
          </cell>
          <cell r="N216">
            <v>0</v>
          </cell>
          <cell r="O216">
            <v>23</v>
          </cell>
          <cell r="P216">
            <v>2</v>
          </cell>
          <cell r="Q216">
            <v>0</v>
          </cell>
          <cell r="R216">
            <v>375</v>
          </cell>
          <cell r="S216">
            <v>88</v>
          </cell>
          <cell r="T216">
            <v>1675</v>
          </cell>
          <cell r="U216">
            <v>290.77999999999997</v>
          </cell>
        </row>
        <row r="217">
          <cell r="F217">
            <v>160628</v>
          </cell>
          <cell r="G217" t="str">
            <v>Gymnázium</v>
          </cell>
          <cell r="H217" t="str">
            <v>Dubnica nad Váhom</v>
          </cell>
          <cell r="I217" t="str">
            <v>Školská 2</v>
          </cell>
          <cell r="J217">
            <v>19</v>
          </cell>
          <cell r="K217">
            <v>0</v>
          </cell>
          <cell r="L217">
            <v>79</v>
          </cell>
          <cell r="M217">
            <v>0</v>
          </cell>
          <cell r="N217">
            <v>2</v>
          </cell>
          <cell r="O217">
            <v>24</v>
          </cell>
          <cell r="P217">
            <v>3</v>
          </cell>
          <cell r="Q217">
            <v>27</v>
          </cell>
          <cell r="R217">
            <v>559</v>
          </cell>
          <cell r="S217">
            <v>226</v>
          </cell>
          <cell r="T217">
            <v>2646.5</v>
          </cell>
          <cell r="U217">
            <v>76.88</v>
          </cell>
        </row>
        <row r="218">
          <cell r="F218">
            <v>42026393</v>
          </cell>
          <cell r="G218" t="str">
            <v>Stredná odborná škola technická</v>
          </cell>
          <cell r="H218" t="str">
            <v>Dubnica nad Váhom</v>
          </cell>
          <cell r="I218" t="str">
            <v>Bratislavská 439/18</v>
          </cell>
          <cell r="J218">
            <v>17</v>
          </cell>
          <cell r="K218">
            <v>0</v>
          </cell>
          <cell r="L218">
            <v>88</v>
          </cell>
          <cell r="M218">
            <v>0</v>
          </cell>
          <cell r="N218">
            <v>0</v>
          </cell>
          <cell r="O218">
            <v>33</v>
          </cell>
          <cell r="P218">
            <v>1</v>
          </cell>
          <cell r="Q218">
            <v>0</v>
          </cell>
          <cell r="R218">
            <v>830</v>
          </cell>
          <cell r="S218">
            <v>72</v>
          </cell>
          <cell r="T218">
            <v>2948</v>
          </cell>
          <cell r="U218">
            <v>601.79999999999995</v>
          </cell>
        </row>
        <row r="219">
          <cell r="F219">
            <v>161586</v>
          </cell>
          <cell r="G219" t="str">
            <v>Stredná priemyselná škola</v>
          </cell>
          <cell r="H219" t="str">
            <v>Dubnica nad Váhom</v>
          </cell>
          <cell r="I219" t="str">
            <v>Obrancov mieru 343/1</v>
          </cell>
          <cell r="J219">
            <v>15</v>
          </cell>
          <cell r="K219">
            <v>0</v>
          </cell>
          <cell r="L219">
            <v>67</v>
          </cell>
          <cell r="M219">
            <v>0</v>
          </cell>
          <cell r="N219">
            <v>0</v>
          </cell>
          <cell r="O219">
            <v>21</v>
          </cell>
          <cell r="P219">
            <v>2</v>
          </cell>
          <cell r="Q219">
            <v>0</v>
          </cell>
          <cell r="R219">
            <v>357</v>
          </cell>
          <cell r="S219">
            <v>132</v>
          </cell>
          <cell r="T219">
            <v>2244.5</v>
          </cell>
          <cell r="U219">
            <v>59.24</v>
          </cell>
        </row>
        <row r="220">
          <cell r="F220">
            <v>159298</v>
          </cell>
          <cell r="G220" t="str">
            <v>Stredná odborná škola</v>
          </cell>
          <cell r="H220" t="str">
            <v>Pruské</v>
          </cell>
          <cell r="I220" t="str">
            <v>Pruské 294</v>
          </cell>
          <cell r="J220">
            <v>9</v>
          </cell>
          <cell r="K220">
            <v>0</v>
          </cell>
          <cell r="L220">
            <v>49</v>
          </cell>
          <cell r="M220">
            <v>0</v>
          </cell>
          <cell r="N220">
            <v>0</v>
          </cell>
          <cell r="O220">
            <v>23</v>
          </cell>
          <cell r="P220">
            <v>1</v>
          </cell>
          <cell r="Q220">
            <v>0</v>
          </cell>
          <cell r="R220">
            <v>372</v>
          </cell>
          <cell r="S220">
            <v>107</v>
          </cell>
          <cell r="T220">
            <v>1641.5</v>
          </cell>
          <cell r="U220">
            <v>376.29</v>
          </cell>
        </row>
        <row r="221">
          <cell r="F221">
            <v>596680</v>
          </cell>
          <cell r="G221" t="str">
            <v>Gymnázium</v>
          </cell>
          <cell r="H221" t="str">
            <v>Myjava</v>
          </cell>
          <cell r="I221" t="str">
            <v>Jablonská 301/5</v>
          </cell>
          <cell r="J221">
            <v>11</v>
          </cell>
          <cell r="K221">
            <v>0</v>
          </cell>
          <cell r="L221">
            <v>43</v>
          </cell>
          <cell r="M221">
            <v>0</v>
          </cell>
          <cell r="N221">
            <v>2</v>
          </cell>
          <cell r="O221">
            <v>12</v>
          </cell>
          <cell r="P221">
            <v>2</v>
          </cell>
          <cell r="Q221">
            <v>4</v>
          </cell>
          <cell r="R221">
            <v>259</v>
          </cell>
          <cell r="S221">
            <v>103</v>
          </cell>
          <cell r="T221">
            <v>1440.5</v>
          </cell>
          <cell r="U221">
            <v>21.05</v>
          </cell>
        </row>
        <row r="222">
          <cell r="F222">
            <v>161381</v>
          </cell>
          <cell r="G222" t="str">
            <v>Stredná priemyselná škola</v>
          </cell>
          <cell r="H222" t="str">
            <v>Myjava</v>
          </cell>
          <cell r="I222" t="str">
            <v>SNP 413/8</v>
          </cell>
          <cell r="J222">
            <v>10</v>
          </cell>
          <cell r="K222">
            <v>0</v>
          </cell>
          <cell r="L222">
            <v>42</v>
          </cell>
          <cell r="M222">
            <v>0</v>
          </cell>
          <cell r="N222">
            <v>1</v>
          </cell>
          <cell r="O222">
            <v>21</v>
          </cell>
          <cell r="P222">
            <v>2</v>
          </cell>
          <cell r="Q222">
            <v>13</v>
          </cell>
          <cell r="R222">
            <v>275</v>
          </cell>
          <cell r="S222">
            <v>138</v>
          </cell>
          <cell r="T222">
            <v>1407</v>
          </cell>
          <cell r="U222">
            <v>0</v>
          </cell>
        </row>
        <row r="223">
          <cell r="F223">
            <v>160270</v>
          </cell>
          <cell r="G223" t="str">
            <v>Gymnázium M. R. Štefánika</v>
          </cell>
          <cell r="H223" t="str">
            <v>Nové Mesto nad Váhom</v>
          </cell>
          <cell r="I223" t="str">
            <v>Športová 41</v>
          </cell>
          <cell r="J223">
            <v>11</v>
          </cell>
          <cell r="K223">
            <v>0</v>
          </cell>
          <cell r="L223">
            <v>27</v>
          </cell>
          <cell r="M223">
            <v>0</v>
          </cell>
          <cell r="N223">
            <v>2</v>
          </cell>
          <cell r="O223">
            <v>14</v>
          </cell>
          <cell r="P223">
            <v>1</v>
          </cell>
          <cell r="Q223">
            <v>5</v>
          </cell>
          <cell r="R223">
            <v>157</v>
          </cell>
          <cell r="S223">
            <v>13</v>
          </cell>
          <cell r="T223">
            <v>904.5</v>
          </cell>
          <cell r="U223">
            <v>0</v>
          </cell>
        </row>
        <row r="224">
          <cell r="F224">
            <v>893111</v>
          </cell>
          <cell r="G224" t="str">
            <v>Stredná odborná škola obchodu a služieb</v>
          </cell>
          <cell r="H224" t="str">
            <v>Nové Mesto nad Váhom</v>
          </cell>
          <cell r="I224" t="str">
            <v>Piešťanská 2262/80</v>
          </cell>
          <cell r="J224">
            <v>11</v>
          </cell>
          <cell r="K224">
            <v>1</v>
          </cell>
          <cell r="L224">
            <v>39</v>
          </cell>
          <cell r="M224">
            <v>7</v>
          </cell>
          <cell r="N224">
            <v>6</v>
          </cell>
          <cell r="O224">
            <v>17</v>
          </cell>
          <cell r="P224">
            <v>0</v>
          </cell>
          <cell r="Q224">
            <v>55</v>
          </cell>
          <cell r="R224">
            <v>279</v>
          </cell>
          <cell r="S224">
            <v>0</v>
          </cell>
          <cell r="T224">
            <v>1306.5</v>
          </cell>
          <cell r="U224">
            <v>138.35</v>
          </cell>
        </row>
        <row r="225">
          <cell r="F225">
            <v>161403</v>
          </cell>
          <cell r="G225" t="str">
            <v>Stredná priemyselná škola</v>
          </cell>
          <cell r="H225" t="str">
            <v>Nové Mesto nad Váhom</v>
          </cell>
          <cell r="I225" t="str">
            <v>Bzinská 11</v>
          </cell>
          <cell r="J225">
            <v>9</v>
          </cell>
          <cell r="K225">
            <v>2</v>
          </cell>
          <cell r="L225">
            <v>45</v>
          </cell>
          <cell r="M225">
            <v>4</v>
          </cell>
          <cell r="N225">
            <v>4</v>
          </cell>
          <cell r="O225">
            <v>17</v>
          </cell>
          <cell r="P225">
            <v>3</v>
          </cell>
          <cell r="Q225">
            <v>10</v>
          </cell>
          <cell r="R225">
            <v>362</v>
          </cell>
          <cell r="S225">
            <v>53</v>
          </cell>
          <cell r="T225">
            <v>1507.5</v>
          </cell>
          <cell r="U225">
            <v>292.10000000000002</v>
          </cell>
        </row>
        <row r="226">
          <cell r="F226">
            <v>893188</v>
          </cell>
          <cell r="G226" t="str">
            <v>Stredná odborná škola</v>
          </cell>
          <cell r="H226" t="str">
            <v>Stará Turá</v>
          </cell>
          <cell r="I226" t="str">
            <v>Športová 675</v>
          </cell>
          <cell r="J226">
            <v>6</v>
          </cell>
          <cell r="K226">
            <v>0</v>
          </cell>
          <cell r="L226">
            <v>24</v>
          </cell>
          <cell r="M226">
            <v>0</v>
          </cell>
          <cell r="N226">
            <v>0</v>
          </cell>
          <cell r="O226">
            <v>18</v>
          </cell>
          <cell r="P226">
            <v>0</v>
          </cell>
          <cell r="Q226">
            <v>0</v>
          </cell>
          <cell r="R226">
            <v>219</v>
          </cell>
          <cell r="S226">
            <v>0</v>
          </cell>
          <cell r="T226">
            <v>804</v>
          </cell>
          <cell r="U226">
            <v>95</v>
          </cell>
        </row>
        <row r="227">
          <cell r="F227">
            <v>160296</v>
          </cell>
          <cell r="G227" t="str">
            <v>Gymnázium</v>
          </cell>
          <cell r="H227" t="str">
            <v>Partizánske</v>
          </cell>
          <cell r="I227" t="str">
            <v>Komenského 2/1074</v>
          </cell>
          <cell r="J227">
            <v>10</v>
          </cell>
          <cell r="K227">
            <v>0</v>
          </cell>
          <cell r="L227">
            <v>31</v>
          </cell>
          <cell r="M227">
            <v>0</v>
          </cell>
          <cell r="N227">
            <v>1</v>
          </cell>
          <cell r="O227">
            <v>9</v>
          </cell>
          <cell r="P227">
            <v>1</v>
          </cell>
          <cell r="Q227">
            <v>31</v>
          </cell>
          <cell r="R227">
            <v>213</v>
          </cell>
          <cell r="S227">
            <v>91</v>
          </cell>
          <cell r="T227">
            <v>1038.5</v>
          </cell>
          <cell r="U227">
            <v>84.52</v>
          </cell>
        </row>
        <row r="228">
          <cell r="F228">
            <v>50424891</v>
          </cell>
          <cell r="G228" t="str">
            <v>Stredná odborná škola Jána Antonína Baťu</v>
          </cell>
          <cell r="H228" t="str">
            <v>Partizánske</v>
          </cell>
          <cell r="I228" t="str">
            <v>Námestie SNP 5</v>
          </cell>
          <cell r="J228">
            <v>6</v>
          </cell>
          <cell r="K228">
            <v>0</v>
          </cell>
          <cell r="L228">
            <v>18</v>
          </cell>
          <cell r="M228">
            <v>0</v>
          </cell>
          <cell r="N228">
            <v>2</v>
          </cell>
          <cell r="O228">
            <v>8</v>
          </cell>
          <cell r="P228">
            <v>0</v>
          </cell>
          <cell r="Q228">
            <v>10</v>
          </cell>
          <cell r="R228">
            <v>180</v>
          </cell>
          <cell r="S228">
            <v>0</v>
          </cell>
          <cell r="T228">
            <v>603</v>
          </cell>
          <cell r="U228">
            <v>75.78</v>
          </cell>
        </row>
        <row r="229">
          <cell r="F229">
            <v>160741</v>
          </cell>
          <cell r="G229" t="str">
            <v>Gymnázium</v>
          </cell>
          <cell r="H229" t="str">
            <v>Považská Bystrica</v>
          </cell>
          <cell r="I229" t="str">
            <v>Školská 234/8</v>
          </cell>
          <cell r="J229">
            <v>14</v>
          </cell>
          <cell r="K229">
            <v>0</v>
          </cell>
          <cell r="L229">
            <v>53</v>
          </cell>
          <cell r="M229">
            <v>0</v>
          </cell>
          <cell r="N229">
            <v>0</v>
          </cell>
          <cell r="O229">
            <v>18</v>
          </cell>
          <cell r="P229">
            <v>1</v>
          </cell>
          <cell r="Q229">
            <v>0</v>
          </cell>
          <cell r="R229">
            <v>430</v>
          </cell>
          <cell r="S229">
            <v>88</v>
          </cell>
          <cell r="T229">
            <v>1775.5</v>
          </cell>
          <cell r="U229">
            <v>0</v>
          </cell>
        </row>
        <row r="230">
          <cell r="F230">
            <v>162086</v>
          </cell>
          <cell r="G230" t="str">
            <v>Obchodná akadémia</v>
          </cell>
          <cell r="H230" t="str">
            <v>Považská Bystrica</v>
          </cell>
          <cell r="I230" t="str">
            <v>Jesenského 259/6</v>
          </cell>
          <cell r="J230">
            <v>18</v>
          </cell>
          <cell r="K230">
            <v>0</v>
          </cell>
          <cell r="L230">
            <v>64</v>
          </cell>
          <cell r="M230">
            <v>0</v>
          </cell>
          <cell r="N230">
            <v>1</v>
          </cell>
          <cell r="O230">
            <v>27</v>
          </cell>
          <cell r="P230">
            <v>2</v>
          </cell>
          <cell r="Q230">
            <v>63</v>
          </cell>
          <cell r="R230">
            <v>577</v>
          </cell>
          <cell r="S230">
            <v>97</v>
          </cell>
          <cell r="T230">
            <v>2144</v>
          </cell>
          <cell r="U230">
            <v>169.2</v>
          </cell>
        </row>
        <row r="231">
          <cell r="F231">
            <v>42141443</v>
          </cell>
          <cell r="G231" t="str">
            <v>Stredná odborná škola</v>
          </cell>
          <cell r="H231" t="str">
            <v>Považská Bystrica</v>
          </cell>
          <cell r="I231" t="str">
            <v>Slov. partizánov 1129/49</v>
          </cell>
          <cell r="J231">
            <v>7</v>
          </cell>
          <cell r="K231">
            <v>0</v>
          </cell>
          <cell r="L231">
            <v>36</v>
          </cell>
          <cell r="M231">
            <v>0</v>
          </cell>
          <cell r="N231">
            <v>0</v>
          </cell>
          <cell r="O231">
            <v>11</v>
          </cell>
          <cell r="P231">
            <v>1</v>
          </cell>
          <cell r="Q231">
            <v>0</v>
          </cell>
          <cell r="R231">
            <v>198</v>
          </cell>
          <cell r="S231">
            <v>76</v>
          </cell>
          <cell r="T231">
            <v>1206</v>
          </cell>
          <cell r="U231">
            <v>244.4</v>
          </cell>
        </row>
        <row r="232">
          <cell r="F232">
            <v>17050561</v>
          </cell>
          <cell r="G232" t="str">
            <v>Stredná odborná škola strojnícka</v>
          </cell>
          <cell r="H232" t="str">
            <v>Považská Bystrica</v>
          </cell>
          <cell r="I232" t="str">
            <v>Športovcov 341/2</v>
          </cell>
          <cell r="J232">
            <v>11</v>
          </cell>
          <cell r="K232">
            <v>0</v>
          </cell>
          <cell r="L232">
            <v>41</v>
          </cell>
          <cell r="M232">
            <v>0</v>
          </cell>
          <cell r="N232">
            <v>0</v>
          </cell>
          <cell r="O232">
            <v>18</v>
          </cell>
          <cell r="P232">
            <v>1</v>
          </cell>
          <cell r="Q232">
            <v>0</v>
          </cell>
          <cell r="R232">
            <v>237</v>
          </cell>
          <cell r="S232">
            <v>66</v>
          </cell>
          <cell r="T232">
            <v>1373.5</v>
          </cell>
          <cell r="U232">
            <v>0</v>
          </cell>
        </row>
        <row r="233">
          <cell r="F233">
            <v>161594</v>
          </cell>
          <cell r="G233" t="str">
            <v>Stredná priemyselná škola</v>
          </cell>
          <cell r="H233" t="str">
            <v>Považská Bystrica</v>
          </cell>
          <cell r="I233" t="str">
            <v>Slov. partizánov 1132/52</v>
          </cell>
          <cell r="J233">
            <v>6</v>
          </cell>
          <cell r="K233">
            <v>0</v>
          </cell>
          <cell r="L233">
            <v>28</v>
          </cell>
          <cell r="M233">
            <v>0</v>
          </cell>
          <cell r="N233">
            <v>0</v>
          </cell>
          <cell r="O233">
            <v>10</v>
          </cell>
          <cell r="P233">
            <v>1</v>
          </cell>
          <cell r="Q233">
            <v>0</v>
          </cell>
          <cell r="R233">
            <v>226</v>
          </cell>
          <cell r="S233">
            <v>27</v>
          </cell>
          <cell r="T233">
            <v>938</v>
          </cell>
          <cell r="U233">
            <v>16.7</v>
          </cell>
        </row>
        <row r="234">
          <cell r="F234">
            <v>607002</v>
          </cell>
          <cell r="G234" t="str">
            <v>Stredná zdravotnícka škola</v>
          </cell>
          <cell r="H234" t="str">
            <v>Považská Bystrica</v>
          </cell>
          <cell r="I234" t="str">
            <v>Školská 230</v>
          </cell>
          <cell r="J234">
            <v>10</v>
          </cell>
          <cell r="K234">
            <v>1</v>
          </cell>
          <cell r="L234">
            <v>50</v>
          </cell>
          <cell r="M234">
            <v>4</v>
          </cell>
          <cell r="N234">
            <v>2</v>
          </cell>
          <cell r="O234">
            <v>12</v>
          </cell>
          <cell r="P234">
            <v>1</v>
          </cell>
          <cell r="Q234">
            <v>41</v>
          </cell>
          <cell r="R234">
            <v>368</v>
          </cell>
          <cell r="S234">
            <v>125</v>
          </cell>
          <cell r="T234">
            <v>1675</v>
          </cell>
          <cell r="U234">
            <v>513.63</v>
          </cell>
        </row>
        <row r="235">
          <cell r="F235">
            <v>42024471</v>
          </cell>
          <cell r="G235" t="str">
            <v>Stredná odborná škola</v>
          </cell>
          <cell r="H235" t="str">
            <v>Handlová</v>
          </cell>
          <cell r="I235" t="str">
            <v>Lipová 8</v>
          </cell>
          <cell r="J235">
            <v>11</v>
          </cell>
          <cell r="K235">
            <v>0</v>
          </cell>
          <cell r="L235">
            <v>52</v>
          </cell>
          <cell r="M235">
            <v>0</v>
          </cell>
          <cell r="N235">
            <v>1</v>
          </cell>
          <cell r="O235">
            <v>20</v>
          </cell>
          <cell r="P235">
            <v>1</v>
          </cell>
          <cell r="Q235">
            <v>2</v>
          </cell>
          <cell r="R235">
            <v>298</v>
          </cell>
          <cell r="S235">
            <v>74</v>
          </cell>
          <cell r="T235">
            <v>1742</v>
          </cell>
          <cell r="U235">
            <v>418.76</v>
          </cell>
        </row>
        <row r="236">
          <cell r="F236">
            <v>52375277</v>
          </cell>
          <cell r="G236" t="str">
            <v>Stredná odborná škola</v>
          </cell>
          <cell r="H236" t="str">
            <v>Nováky</v>
          </cell>
          <cell r="I236" t="str">
            <v>Rastislavova 332</v>
          </cell>
          <cell r="J236">
            <v>6</v>
          </cell>
          <cell r="K236">
            <v>0</v>
          </cell>
          <cell r="L236">
            <v>23</v>
          </cell>
          <cell r="M236">
            <v>0</v>
          </cell>
          <cell r="N236">
            <v>0</v>
          </cell>
          <cell r="O236">
            <v>15</v>
          </cell>
          <cell r="P236">
            <v>0</v>
          </cell>
          <cell r="Q236">
            <v>0</v>
          </cell>
          <cell r="R236">
            <v>223</v>
          </cell>
          <cell r="S236">
            <v>0</v>
          </cell>
          <cell r="T236">
            <v>770.5</v>
          </cell>
          <cell r="U236">
            <v>155.04</v>
          </cell>
        </row>
        <row r="237">
          <cell r="F237">
            <v>160750</v>
          </cell>
          <cell r="G237" t="str">
            <v>Gymnázium Vavrinca Benedikta Nedožerského</v>
          </cell>
          <cell r="H237" t="str">
            <v>Prievidza</v>
          </cell>
          <cell r="I237" t="str">
            <v>Matice slovenskej 16</v>
          </cell>
          <cell r="J237">
            <v>16</v>
          </cell>
          <cell r="K237">
            <v>0</v>
          </cell>
          <cell r="L237">
            <v>61</v>
          </cell>
          <cell r="M237">
            <v>0</v>
          </cell>
          <cell r="N237">
            <v>1</v>
          </cell>
          <cell r="O237">
            <v>23</v>
          </cell>
          <cell r="P237">
            <v>2</v>
          </cell>
          <cell r="Q237">
            <v>2</v>
          </cell>
          <cell r="R237">
            <v>395</v>
          </cell>
          <cell r="S237">
            <v>124</v>
          </cell>
          <cell r="T237">
            <v>2043.5</v>
          </cell>
          <cell r="U237">
            <v>306.5</v>
          </cell>
        </row>
        <row r="238">
          <cell r="F238">
            <v>162094</v>
          </cell>
          <cell r="G238" t="str">
            <v>Obchodná akadémia</v>
          </cell>
          <cell r="H238" t="str">
            <v>Prievidza</v>
          </cell>
          <cell r="I238" t="str">
            <v>F. Madvu 2</v>
          </cell>
          <cell r="J238">
            <v>9</v>
          </cell>
          <cell r="K238">
            <v>0</v>
          </cell>
          <cell r="L238">
            <v>39</v>
          </cell>
          <cell r="M238">
            <v>0</v>
          </cell>
          <cell r="N238">
            <v>0</v>
          </cell>
          <cell r="O238">
            <v>12</v>
          </cell>
          <cell r="P238">
            <v>1</v>
          </cell>
          <cell r="Q238">
            <v>0</v>
          </cell>
          <cell r="R238">
            <v>279</v>
          </cell>
          <cell r="S238">
            <v>173</v>
          </cell>
          <cell r="T238">
            <v>1306.5</v>
          </cell>
          <cell r="U238">
            <v>267.8</v>
          </cell>
        </row>
        <row r="239">
          <cell r="F239">
            <v>42026407</v>
          </cell>
          <cell r="G239" t="str">
            <v>Stredná odborná škola</v>
          </cell>
          <cell r="H239" t="str">
            <v>Prievidza</v>
          </cell>
          <cell r="I239" t="str">
            <v>T. Vansovej 32</v>
          </cell>
          <cell r="J239">
            <v>18</v>
          </cell>
          <cell r="K239">
            <v>0</v>
          </cell>
          <cell r="L239">
            <v>76</v>
          </cell>
          <cell r="M239">
            <v>0</v>
          </cell>
          <cell r="N239">
            <v>0</v>
          </cell>
          <cell r="O239">
            <v>28</v>
          </cell>
          <cell r="P239">
            <v>3</v>
          </cell>
          <cell r="Q239">
            <v>0</v>
          </cell>
          <cell r="R239">
            <v>489</v>
          </cell>
          <cell r="S239">
            <v>153</v>
          </cell>
          <cell r="T239">
            <v>2546</v>
          </cell>
          <cell r="U239">
            <v>542.41999999999996</v>
          </cell>
        </row>
        <row r="240">
          <cell r="F240">
            <v>158577</v>
          </cell>
          <cell r="G240" t="str">
            <v>Stredná odborná škola obchodu a služieb</v>
          </cell>
          <cell r="H240" t="str">
            <v>Prievidza</v>
          </cell>
          <cell r="I240" t="str">
            <v>Nábr. J. Kalinčiaka 1</v>
          </cell>
          <cell r="J240">
            <v>15</v>
          </cell>
          <cell r="K240">
            <v>0</v>
          </cell>
          <cell r="L240">
            <v>73</v>
          </cell>
          <cell r="M240">
            <v>0</v>
          </cell>
          <cell r="N240">
            <v>0</v>
          </cell>
          <cell r="O240">
            <v>23</v>
          </cell>
          <cell r="P240">
            <v>2</v>
          </cell>
          <cell r="Q240">
            <v>0</v>
          </cell>
          <cell r="R240">
            <v>489</v>
          </cell>
          <cell r="S240">
            <v>179</v>
          </cell>
          <cell r="T240">
            <v>2445.5</v>
          </cell>
          <cell r="U240">
            <v>435.51</v>
          </cell>
        </row>
        <row r="241">
          <cell r="F241">
            <v>52164284</v>
          </cell>
          <cell r="G241" t="str">
            <v>Stredná zdravotnícka škola</v>
          </cell>
          <cell r="H241" t="str">
            <v>Prievidza</v>
          </cell>
          <cell r="I241" t="str">
            <v>Vinohradnícka 8A</v>
          </cell>
          <cell r="J241">
            <v>4</v>
          </cell>
          <cell r="K241">
            <v>0</v>
          </cell>
          <cell r="L241">
            <v>12</v>
          </cell>
          <cell r="M241">
            <v>0</v>
          </cell>
          <cell r="N241">
            <v>0</v>
          </cell>
          <cell r="O241">
            <v>5</v>
          </cell>
          <cell r="P241">
            <v>0</v>
          </cell>
          <cell r="Q241">
            <v>0</v>
          </cell>
          <cell r="R241">
            <v>86</v>
          </cell>
          <cell r="S241">
            <v>0</v>
          </cell>
          <cell r="T241">
            <v>402</v>
          </cell>
          <cell r="U241">
            <v>0</v>
          </cell>
        </row>
        <row r="242">
          <cell r="F242">
            <v>160768</v>
          </cell>
          <cell r="G242" t="str">
            <v>Gymnázium</v>
          </cell>
          <cell r="H242" t="str">
            <v>Púchov</v>
          </cell>
          <cell r="I242" t="str">
            <v>Ul. 1. mája 905</v>
          </cell>
          <cell r="J242">
            <v>8</v>
          </cell>
          <cell r="K242">
            <v>0</v>
          </cell>
          <cell r="L242">
            <v>26</v>
          </cell>
          <cell r="M242">
            <v>0</v>
          </cell>
          <cell r="N242">
            <v>0</v>
          </cell>
          <cell r="O242">
            <v>8</v>
          </cell>
          <cell r="P242">
            <v>1</v>
          </cell>
          <cell r="Q242">
            <v>0</v>
          </cell>
          <cell r="R242">
            <v>141</v>
          </cell>
          <cell r="S242">
            <v>69</v>
          </cell>
          <cell r="T242">
            <v>871</v>
          </cell>
          <cell r="U242">
            <v>182.39</v>
          </cell>
        </row>
        <row r="243">
          <cell r="F243">
            <v>52439585</v>
          </cell>
          <cell r="G243" t="str">
            <v>Spojená škola</v>
          </cell>
          <cell r="H243" t="str">
            <v>Púchov</v>
          </cell>
          <cell r="I243" t="str">
            <v>I.Krasku 491</v>
          </cell>
          <cell r="J243">
            <v>7</v>
          </cell>
          <cell r="K243">
            <v>0</v>
          </cell>
          <cell r="L243">
            <v>28</v>
          </cell>
          <cell r="M243">
            <v>0</v>
          </cell>
          <cell r="N243">
            <v>2</v>
          </cell>
          <cell r="O243">
            <v>9</v>
          </cell>
          <cell r="P243">
            <v>0</v>
          </cell>
          <cell r="Q243">
            <v>18</v>
          </cell>
          <cell r="R243">
            <v>277</v>
          </cell>
          <cell r="S243">
            <v>0</v>
          </cell>
          <cell r="T243">
            <v>938</v>
          </cell>
          <cell r="U243">
            <v>0</v>
          </cell>
        </row>
        <row r="244">
          <cell r="F244">
            <v>158569</v>
          </cell>
          <cell r="G244" t="str">
            <v>Stredná odborná škola obchodu a služieb</v>
          </cell>
          <cell r="H244" t="str">
            <v>Púchov</v>
          </cell>
          <cell r="I244" t="str">
            <v>Ul. 1. mája 1264</v>
          </cell>
          <cell r="J244">
            <v>11</v>
          </cell>
          <cell r="K244">
            <v>0</v>
          </cell>
          <cell r="L244">
            <v>59</v>
          </cell>
          <cell r="M244">
            <v>0</v>
          </cell>
          <cell r="N244">
            <v>1</v>
          </cell>
          <cell r="O244">
            <v>13</v>
          </cell>
          <cell r="P244">
            <v>2</v>
          </cell>
          <cell r="Q244">
            <v>77</v>
          </cell>
          <cell r="R244">
            <v>395</v>
          </cell>
          <cell r="S244">
            <v>163</v>
          </cell>
          <cell r="T244">
            <v>1976.5</v>
          </cell>
          <cell r="U244">
            <v>539.29999999999995</v>
          </cell>
        </row>
        <row r="245">
          <cell r="F245">
            <v>160458</v>
          </cell>
          <cell r="G245" t="str">
            <v>Gymnázium Ľudovíta Štúra</v>
          </cell>
          <cell r="H245" t="str">
            <v>Trenčín</v>
          </cell>
          <cell r="I245" t="str">
            <v>1. mája 170/2</v>
          </cell>
          <cell r="J245">
            <v>8</v>
          </cell>
          <cell r="K245">
            <v>1</v>
          </cell>
          <cell r="L245">
            <v>19</v>
          </cell>
          <cell r="M245">
            <v>2</v>
          </cell>
          <cell r="N245">
            <v>0</v>
          </cell>
          <cell r="O245">
            <v>12</v>
          </cell>
          <cell r="P245">
            <v>1</v>
          </cell>
          <cell r="Q245">
            <v>0</v>
          </cell>
          <cell r="R245">
            <v>229</v>
          </cell>
          <cell r="S245">
            <v>28</v>
          </cell>
          <cell r="T245">
            <v>636.5</v>
          </cell>
          <cell r="U245">
            <v>0</v>
          </cell>
        </row>
        <row r="246">
          <cell r="F246">
            <v>161993</v>
          </cell>
          <cell r="G246" t="str">
            <v>Obchodná akadémia Milana Hodžu</v>
          </cell>
          <cell r="H246" t="str">
            <v>Trenčín</v>
          </cell>
          <cell r="I246" t="str">
            <v>Martina Rázusa 1</v>
          </cell>
          <cell r="J246">
            <v>18</v>
          </cell>
          <cell r="K246">
            <v>0</v>
          </cell>
          <cell r="L246">
            <v>75</v>
          </cell>
          <cell r="M246">
            <v>0</v>
          </cell>
          <cell r="N246">
            <v>1</v>
          </cell>
          <cell r="O246">
            <v>20</v>
          </cell>
          <cell r="P246">
            <v>3</v>
          </cell>
          <cell r="Q246">
            <v>18</v>
          </cell>
          <cell r="R246">
            <v>555</v>
          </cell>
          <cell r="S246">
            <v>291</v>
          </cell>
          <cell r="T246">
            <v>2512.5</v>
          </cell>
          <cell r="U246">
            <v>542.5</v>
          </cell>
        </row>
        <row r="247">
          <cell r="F247">
            <v>17053668</v>
          </cell>
          <cell r="G247" t="str">
            <v>Stredná odborná škola</v>
          </cell>
          <cell r="H247" t="str">
            <v>Trenčín</v>
          </cell>
          <cell r="I247" t="str">
            <v>Pod Sokolice 14</v>
          </cell>
          <cell r="J247">
            <v>12</v>
          </cell>
          <cell r="K247">
            <v>2</v>
          </cell>
          <cell r="L247">
            <v>57</v>
          </cell>
          <cell r="M247">
            <v>6</v>
          </cell>
          <cell r="N247">
            <v>4</v>
          </cell>
          <cell r="O247">
            <v>32</v>
          </cell>
          <cell r="P247">
            <v>0</v>
          </cell>
          <cell r="Q247">
            <v>50</v>
          </cell>
          <cell r="R247">
            <v>397</v>
          </cell>
          <cell r="S247">
            <v>0</v>
          </cell>
          <cell r="T247">
            <v>1909.5</v>
          </cell>
          <cell r="U247">
            <v>404.3</v>
          </cell>
        </row>
        <row r="248">
          <cell r="F248">
            <v>351806</v>
          </cell>
          <cell r="G248" t="str">
            <v>Stredná odborná škola obchodu a služieb</v>
          </cell>
          <cell r="H248" t="str">
            <v>Trenčín</v>
          </cell>
          <cell r="I248" t="str">
            <v>Jilemnického 24</v>
          </cell>
          <cell r="J248">
            <v>16</v>
          </cell>
          <cell r="K248">
            <v>0</v>
          </cell>
          <cell r="L248">
            <v>67</v>
          </cell>
          <cell r="M248">
            <v>0</v>
          </cell>
          <cell r="N248">
            <v>0</v>
          </cell>
          <cell r="O248">
            <v>32</v>
          </cell>
          <cell r="P248">
            <v>1</v>
          </cell>
          <cell r="Q248">
            <v>0</v>
          </cell>
          <cell r="R248">
            <v>528</v>
          </cell>
          <cell r="S248">
            <v>55</v>
          </cell>
          <cell r="T248">
            <v>2244.5</v>
          </cell>
          <cell r="U248">
            <v>367.81</v>
          </cell>
        </row>
        <row r="249">
          <cell r="F249">
            <v>37922467</v>
          </cell>
          <cell r="G249" t="str">
            <v>Stredná priemyselná škola stavebná Emila Belluša</v>
          </cell>
          <cell r="H249" t="str">
            <v>Trenčín</v>
          </cell>
          <cell r="I249" t="str">
            <v>Staničná 4</v>
          </cell>
          <cell r="J249">
            <v>11</v>
          </cell>
          <cell r="K249">
            <v>0</v>
          </cell>
          <cell r="L249">
            <v>44</v>
          </cell>
          <cell r="M249">
            <v>0</v>
          </cell>
          <cell r="N249">
            <v>1</v>
          </cell>
          <cell r="O249">
            <v>18</v>
          </cell>
          <cell r="P249">
            <v>1</v>
          </cell>
          <cell r="Q249">
            <v>12</v>
          </cell>
          <cell r="R249">
            <v>323</v>
          </cell>
          <cell r="S249">
            <v>103</v>
          </cell>
          <cell r="T249">
            <v>1474</v>
          </cell>
          <cell r="U249">
            <v>361.82</v>
          </cell>
        </row>
        <row r="250">
          <cell r="F250">
            <v>515159</v>
          </cell>
          <cell r="G250" t="str">
            <v>Stredná športová škola</v>
          </cell>
          <cell r="H250" t="str">
            <v>Trenčín</v>
          </cell>
          <cell r="I250" t="str">
            <v>Kožušnícka 2</v>
          </cell>
          <cell r="J250">
            <v>11</v>
          </cell>
          <cell r="K250">
            <v>0</v>
          </cell>
          <cell r="L250">
            <v>30</v>
          </cell>
          <cell r="M250">
            <v>0</v>
          </cell>
          <cell r="N250">
            <v>6</v>
          </cell>
          <cell r="O250">
            <v>10</v>
          </cell>
          <cell r="P250">
            <v>1</v>
          </cell>
          <cell r="Q250">
            <v>69</v>
          </cell>
          <cell r="R250">
            <v>151</v>
          </cell>
          <cell r="S250">
            <v>23</v>
          </cell>
          <cell r="T250">
            <v>1005</v>
          </cell>
          <cell r="U250">
            <v>0</v>
          </cell>
        </row>
        <row r="251">
          <cell r="F251">
            <v>607363</v>
          </cell>
          <cell r="G251" t="str">
            <v>Stredná zdravotnícka škola Celestíny Šimurkovej v Trenčíne</v>
          </cell>
          <cell r="H251" t="str">
            <v>Trenčín</v>
          </cell>
          <cell r="I251" t="str">
            <v>Veľkomoravská 14</v>
          </cell>
          <cell r="J251">
            <v>13</v>
          </cell>
          <cell r="K251">
            <v>0</v>
          </cell>
          <cell r="L251">
            <v>71</v>
          </cell>
          <cell r="M251">
            <v>0</v>
          </cell>
          <cell r="N251">
            <v>1</v>
          </cell>
          <cell r="O251">
            <v>22</v>
          </cell>
          <cell r="P251">
            <v>1</v>
          </cell>
          <cell r="Q251">
            <v>35</v>
          </cell>
          <cell r="R251">
            <v>601</v>
          </cell>
          <cell r="S251">
            <v>48</v>
          </cell>
          <cell r="T251">
            <v>2378.5</v>
          </cell>
          <cell r="U251">
            <v>898.9</v>
          </cell>
        </row>
        <row r="252">
          <cell r="F252">
            <v>161438</v>
          </cell>
          <cell r="G252" t="str">
            <v>Škola umeleckého priemyslu</v>
          </cell>
          <cell r="H252" t="str">
            <v>Trenčín</v>
          </cell>
          <cell r="I252" t="str">
            <v>Staničná 8</v>
          </cell>
          <cell r="J252">
            <v>24</v>
          </cell>
          <cell r="K252">
            <v>0</v>
          </cell>
          <cell r="L252">
            <v>85</v>
          </cell>
          <cell r="M252">
            <v>0</v>
          </cell>
          <cell r="N252">
            <v>1</v>
          </cell>
          <cell r="O252">
            <v>34</v>
          </cell>
          <cell r="P252">
            <v>3</v>
          </cell>
          <cell r="Q252">
            <v>6</v>
          </cell>
          <cell r="R252">
            <v>647</v>
          </cell>
          <cell r="S252">
            <v>269</v>
          </cell>
          <cell r="T252">
            <v>2847.5</v>
          </cell>
          <cell r="U252">
            <v>1434.93</v>
          </cell>
        </row>
        <row r="253">
          <cell r="F253">
            <v>17643066</v>
          </cell>
          <cell r="G253" t="str">
            <v>Spojená škola sv. Jozefa</v>
          </cell>
          <cell r="H253" t="str">
            <v>Nové Mesto nad Váhom</v>
          </cell>
          <cell r="I253" t="str">
            <v>Klčové 87</v>
          </cell>
          <cell r="J253">
            <v>7</v>
          </cell>
          <cell r="K253">
            <v>0</v>
          </cell>
          <cell r="L253">
            <v>30</v>
          </cell>
          <cell r="M253">
            <v>0</v>
          </cell>
          <cell r="N253">
            <v>2</v>
          </cell>
          <cell r="O253">
            <v>8</v>
          </cell>
          <cell r="P253">
            <v>1</v>
          </cell>
          <cell r="Q253">
            <v>26</v>
          </cell>
          <cell r="R253">
            <v>180</v>
          </cell>
          <cell r="S253">
            <v>74</v>
          </cell>
          <cell r="T253">
            <v>1005</v>
          </cell>
          <cell r="U253">
            <v>0</v>
          </cell>
        </row>
        <row r="254">
          <cell r="F254">
            <v>37922866</v>
          </cell>
          <cell r="G254" t="str">
            <v>Súkromná stredná športová škola</v>
          </cell>
          <cell r="H254" t="str">
            <v>Trenčianske Teplice</v>
          </cell>
          <cell r="I254" t="str">
            <v>Sídlisko SNP 6</v>
          </cell>
          <cell r="J254">
            <v>2</v>
          </cell>
          <cell r="K254">
            <v>0</v>
          </cell>
          <cell r="L254">
            <v>5</v>
          </cell>
          <cell r="M254">
            <v>0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65</v>
          </cell>
          <cell r="S254">
            <v>0</v>
          </cell>
          <cell r="T254">
            <v>167.5</v>
          </cell>
          <cell r="U254">
            <v>27</v>
          </cell>
        </row>
        <row r="255">
          <cell r="F255">
            <v>42019427</v>
          </cell>
          <cell r="G255" t="str">
            <v>Súkromná stredná odborná škola</v>
          </cell>
          <cell r="H255" t="str">
            <v>Trenčín</v>
          </cell>
          <cell r="I255" t="str">
            <v>Zlatovská cesta 35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</row>
        <row r="256">
          <cell r="F256">
            <v>42378699</v>
          </cell>
          <cell r="G256" t="str">
            <v>Súkromná obchodná akadémia</v>
          </cell>
          <cell r="H256" t="str">
            <v>Prievidza</v>
          </cell>
          <cell r="I256" t="str">
            <v>Bakalárska 2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 refreshError="1">
        <row r="4">
          <cell r="F4">
            <v>350362</v>
          </cell>
          <cell r="G4" t="str">
            <v>Spojená škola internátna</v>
          </cell>
          <cell r="H4" t="str">
            <v>Levice</v>
          </cell>
          <cell r="I4" t="str">
            <v>Z. Nejedlého 41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F5">
            <v>31874312</v>
          </cell>
          <cell r="G5" t="str">
            <v>Spojená škola internátna</v>
          </cell>
          <cell r="H5" t="str">
            <v>Šahy</v>
          </cell>
          <cell r="I5" t="str">
            <v>F. Rákócziho II. 1</v>
          </cell>
          <cell r="J5">
            <v>1</v>
          </cell>
          <cell r="K5">
            <v>0</v>
          </cell>
          <cell r="L5">
            <v>7</v>
          </cell>
          <cell r="M5">
            <v>0</v>
          </cell>
          <cell r="N5">
            <v>0</v>
          </cell>
          <cell r="O5">
            <v>4</v>
          </cell>
          <cell r="P5">
            <v>0</v>
          </cell>
          <cell r="Q5">
            <v>0</v>
          </cell>
          <cell r="R5">
            <v>27</v>
          </cell>
          <cell r="S5">
            <v>0</v>
          </cell>
          <cell r="T5">
            <v>234.5</v>
          </cell>
          <cell r="U5">
            <v>0</v>
          </cell>
        </row>
        <row r="6">
          <cell r="F6">
            <v>515485</v>
          </cell>
          <cell r="G6" t="str">
            <v>Odborné učilište internátne</v>
          </cell>
          <cell r="H6" t="str">
            <v>Mojmírovce</v>
          </cell>
          <cell r="I6" t="str">
            <v>Nám. sv.Ladislava 1791/14</v>
          </cell>
          <cell r="J6">
            <v>1</v>
          </cell>
          <cell r="K6">
            <v>0</v>
          </cell>
          <cell r="L6">
            <v>5</v>
          </cell>
          <cell r="M6">
            <v>0</v>
          </cell>
          <cell r="N6">
            <v>0</v>
          </cell>
          <cell r="O6">
            <v>3</v>
          </cell>
          <cell r="P6">
            <v>0</v>
          </cell>
          <cell r="Q6">
            <v>0</v>
          </cell>
          <cell r="R6">
            <v>23</v>
          </cell>
          <cell r="S6">
            <v>0</v>
          </cell>
          <cell r="T6">
            <v>167.5</v>
          </cell>
          <cell r="U6">
            <v>0</v>
          </cell>
        </row>
        <row r="7">
          <cell r="F7">
            <v>160253</v>
          </cell>
          <cell r="G7" t="str">
            <v>Gymnázium</v>
          </cell>
          <cell r="H7" t="str">
            <v>Nitra</v>
          </cell>
          <cell r="I7" t="str">
            <v>Párovská 1</v>
          </cell>
          <cell r="J7">
            <v>14</v>
          </cell>
          <cell r="K7">
            <v>0</v>
          </cell>
          <cell r="L7">
            <v>47</v>
          </cell>
          <cell r="M7">
            <v>0</v>
          </cell>
          <cell r="N7">
            <v>0</v>
          </cell>
          <cell r="O7">
            <v>19</v>
          </cell>
          <cell r="P7">
            <v>1</v>
          </cell>
          <cell r="Q7">
            <v>0</v>
          </cell>
          <cell r="R7">
            <v>317</v>
          </cell>
          <cell r="S7">
            <v>99</v>
          </cell>
          <cell r="T7">
            <v>1574.5</v>
          </cell>
          <cell r="U7">
            <v>0</v>
          </cell>
        </row>
        <row r="8">
          <cell r="F8">
            <v>162868</v>
          </cell>
          <cell r="G8" t="str">
            <v>Spojená škola internátna</v>
          </cell>
          <cell r="H8" t="str">
            <v>Nitra</v>
          </cell>
          <cell r="I8" t="str">
            <v>Červeňova 42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F9">
            <v>500801</v>
          </cell>
          <cell r="G9" t="str">
            <v>Odborné učilište internátne</v>
          </cell>
          <cell r="H9" t="str">
            <v>Nová Ves nad Žitavou</v>
          </cell>
          <cell r="I9" t="str">
            <v>Hviezdoslavova 68</v>
          </cell>
          <cell r="J9">
            <v>1</v>
          </cell>
          <cell r="K9">
            <v>0</v>
          </cell>
          <cell r="L9">
            <v>3</v>
          </cell>
          <cell r="M9">
            <v>0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8</v>
          </cell>
          <cell r="S9">
            <v>0</v>
          </cell>
          <cell r="T9">
            <v>100.5</v>
          </cell>
          <cell r="U9">
            <v>0</v>
          </cell>
        </row>
        <row r="10">
          <cell r="F10">
            <v>182249</v>
          </cell>
          <cell r="G10" t="str">
            <v>Spojená škola internátna</v>
          </cell>
          <cell r="H10" t="str">
            <v>Topoľčany</v>
          </cell>
          <cell r="I10" t="str">
            <v>Tovarnícka 1632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F11">
            <v>163295</v>
          </cell>
          <cell r="G11" t="str">
            <v>Reedukačné centrum</v>
          </cell>
          <cell r="H11" t="str">
            <v>Zlaté Moravce</v>
          </cell>
          <cell r="I11" t="str">
            <v>Prílepská 6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F12">
            <v>159026</v>
          </cell>
          <cell r="G12" t="str">
            <v>Stredná odborná škola techniky a mechanizácie - Műszaki és Gépesítési Szakközépiskola</v>
          </cell>
          <cell r="H12" t="str">
            <v>Hurbanovo</v>
          </cell>
          <cell r="I12" t="str">
            <v>1. mája 1</v>
          </cell>
          <cell r="J12">
            <v>1</v>
          </cell>
          <cell r="K12">
            <v>0</v>
          </cell>
          <cell r="L12">
            <v>2</v>
          </cell>
          <cell r="M12">
            <v>0</v>
          </cell>
          <cell r="N12">
            <v>0</v>
          </cell>
          <cell r="O12">
            <v>2</v>
          </cell>
          <cell r="P12">
            <v>0</v>
          </cell>
          <cell r="Q12">
            <v>0</v>
          </cell>
          <cell r="R12">
            <v>14</v>
          </cell>
          <cell r="S12">
            <v>0</v>
          </cell>
          <cell r="T12">
            <v>67</v>
          </cell>
          <cell r="U12">
            <v>20.6</v>
          </cell>
        </row>
        <row r="13">
          <cell r="F13">
            <v>44717</v>
          </cell>
          <cell r="G13" t="str">
            <v>Stredná priemyselná škola stavebná - Építőipari Szakközépiskola</v>
          </cell>
          <cell r="H13" t="str">
            <v>Hurbanovo</v>
          </cell>
          <cell r="I13" t="str">
            <v>Konkolyho 8</v>
          </cell>
          <cell r="J13">
            <v>12</v>
          </cell>
          <cell r="K13">
            <v>0</v>
          </cell>
          <cell r="L13">
            <v>40</v>
          </cell>
          <cell r="M13">
            <v>0</v>
          </cell>
          <cell r="N13">
            <v>4</v>
          </cell>
          <cell r="O13">
            <v>14</v>
          </cell>
          <cell r="P13">
            <v>1</v>
          </cell>
          <cell r="Q13">
            <v>21</v>
          </cell>
          <cell r="R13">
            <v>267</v>
          </cell>
          <cell r="S13">
            <v>7</v>
          </cell>
          <cell r="T13">
            <v>1340</v>
          </cell>
          <cell r="U13">
            <v>199.4</v>
          </cell>
        </row>
        <row r="14">
          <cell r="F14">
            <v>399965</v>
          </cell>
          <cell r="G14" t="str">
            <v>Gymnázium Hansa Selyeho s vyučovacím jazykom maďarským - Selye János Gimnázium</v>
          </cell>
          <cell r="H14" t="str">
            <v>Komárno</v>
          </cell>
          <cell r="I14" t="str">
            <v>Biskupa Királya 5</v>
          </cell>
          <cell r="J14">
            <v>11</v>
          </cell>
          <cell r="K14">
            <v>0</v>
          </cell>
          <cell r="L14">
            <v>40</v>
          </cell>
          <cell r="M14">
            <v>0</v>
          </cell>
          <cell r="N14">
            <v>1</v>
          </cell>
          <cell r="O14">
            <v>13</v>
          </cell>
          <cell r="P14">
            <v>1</v>
          </cell>
          <cell r="Q14">
            <v>1</v>
          </cell>
          <cell r="R14">
            <v>241</v>
          </cell>
          <cell r="S14">
            <v>53</v>
          </cell>
          <cell r="T14">
            <v>1340</v>
          </cell>
          <cell r="U14">
            <v>113.2</v>
          </cell>
        </row>
        <row r="15">
          <cell r="F15">
            <v>160199</v>
          </cell>
          <cell r="G15" t="str">
            <v>Gymnázium Ľudovíta Jaroslava Šuleka</v>
          </cell>
          <cell r="H15" t="str">
            <v>Komárno</v>
          </cell>
          <cell r="I15" t="str">
            <v>Pohraničná 10</v>
          </cell>
          <cell r="J15">
            <v>2</v>
          </cell>
          <cell r="K15">
            <v>0</v>
          </cell>
          <cell r="L15">
            <v>2</v>
          </cell>
          <cell r="M15">
            <v>0</v>
          </cell>
          <cell r="N15">
            <v>0</v>
          </cell>
          <cell r="O15">
            <v>2</v>
          </cell>
          <cell r="P15">
            <v>0</v>
          </cell>
          <cell r="Q15">
            <v>0</v>
          </cell>
          <cell r="R15">
            <v>21</v>
          </cell>
          <cell r="S15">
            <v>0</v>
          </cell>
          <cell r="T15">
            <v>67</v>
          </cell>
          <cell r="U15">
            <v>0</v>
          </cell>
        </row>
        <row r="16">
          <cell r="F16">
            <v>352233</v>
          </cell>
          <cell r="G16" t="str">
            <v>Stredná odborná škola obchodu a služieb - Kereskedelmi és Szolgáltatóipari Szakközépiskola</v>
          </cell>
          <cell r="H16" t="str">
            <v>Komárno</v>
          </cell>
          <cell r="I16" t="str">
            <v>Budovateľská 32</v>
          </cell>
          <cell r="J16">
            <v>10</v>
          </cell>
          <cell r="K16">
            <v>3</v>
          </cell>
          <cell r="L16">
            <v>28</v>
          </cell>
          <cell r="M16">
            <v>9</v>
          </cell>
          <cell r="N16">
            <v>4</v>
          </cell>
          <cell r="O16">
            <v>13</v>
          </cell>
          <cell r="P16">
            <v>1</v>
          </cell>
          <cell r="Q16">
            <v>34</v>
          </cell>
          <cell r="R16">
            <v>168</v>
          </cell>
          <cell r="S16">
            <v>14</v>
          </cell>
          <cell r="T16">
            <v>938</v>
          </cell>
          <cell r="U16">
            <v>43.3</v>
          </cell>
        </row>
        <row r="17">
          <cell r="F17">
            <v>891592</v>
          </cell>
          <cell r="G17" t="str">
            <v>Stredná odborná škola technická - Műszaki Szakközépiskola</v>
          </cell>
          <cell r="H17" t="str">
            <v>Komárno</v>
          </cell>
          <cell r="I17" t="str">
            <v>Bratislavská cesta 10</v>
          </cell>
          <cell r="J17">
            <v>9</v>
          </cell>
          <cell r="K17">
            <v>0</v>
          </cell>
          <cell r="L17">
            <v>32</v>
          </cell>
          <cell r="M17">
            <v>0</v>
          </cell>
          <cell r="N17">
            <v>0</v>
          </cell>
          <cell r="O17">
            <v>10</v>
          </cell>
          <cell r="P17">
            <v>1</v>
          </cell>
          <cell r="Q17">
            <v>0</v>
          </cell>
          <cell r="R17">
            <v>161</v>
          </cell>
          <cell r="S17">
            <v>26</v>
          </cell>
          <cell r="T17">
            <v>1072</v>
          </cell>
          <cell r="U17">
            <v>163.30000000000001</v>
          </cell>
        </row>
        <row r="18">
          <cell r="F18">
            <v>161357</v>
          </cell>
          <cell r="G18" t="str">
            <v>Stredná priemyselná škola strojnícka a elektrotechnická - Gépipari és Elektrotechnikai Szakközépiskola</v>
          </cell>
          <cell r="H18" t="str">
            <v>Komárno</v>
          </cell>
          <cell r="I18" t="str">
            <v>Petőfiho 2</v>
          </cell>
          <cell r="J18">
            <v>18</v>
          </cell>
          <cell r="K18">
            <v>0</v>
          </cell>
          <cell r="L18">
            <v>84</v>
          </cell>
          <cell r="M18">
            <v>0</v>
          </cell>
          <cell r="N18">
            <v>0</v>
          </cell>
          <cell r="O18">
            <v>37</v>
          </cell>
          <cell r="P18">
            <v>1</v>
          </cell>
          <cell r="Q18">
            <v>0</v>
          </cell>
          <cell r="R18">
            <v>747</v>
          </cell>
          <cell r="S18">
            <v>67</v>
          </cell>
          <cell r="T18">
            <v>2814</v>
          </cell>
          <cell r="U18">
            <v>497.95</v>
          </cell>
        </row>
        <row r="19">
          <cell r="F19">
            <v>159042</v>
          </cell>
          <cell r="G19" t="str">
            <v>Stredná odborná škola obchodu, služieb a rozvoja vidieka - Kereskedelmi, Szolgáltatóipari és Vidékfejlesztési Szakközépiskola</v>
          </cell>
          <cell r="H19" t="str">
            <v>Kravany nad Dunajom</v>
          </cell>
          <cell r="I19" t="str">
            <v>Dunajský rad 138</v>
          </cell>
          <cell r="J19">
            <v>9</v>
          </cell>
          <cell r="K19">
            <v>0</v>
          </cell>
          <cell r="L19">
            <v>41</v>
          </cell>
          <cell r="M19">
            <v>0</v>
          </cell>
          <cell r="N19">
            <v>0</v>
          </cell>
          <cell r="O19">
            <v>15</v>
          </cell>
          <cell r="P19">
            <v>1</v>
          </cell>
          <cell r="Q19">
            <v>0</v>
          </cell>
          <cell r="R19">
            <v>244</v>
          </cell>
          <cell r="S19">
            <v>77</v>
          </cell>
          <cell r="T19">
            <v>1373.5</v>
          </cell>
          <cell r="U19">
            <v>470.1</v>
          </cell>
        </row>
        <row r="20">
          <cell r="F20">
            <v>160211</v>
          </cell>
          <cell r="G20" t="str">
            <v>Gymnázium Andreja Vrábla</v>
          </cell>
          <cell r="H20" t="str">
            <v>Levice</v>
          </cell>
          <cell r="I20" t="str">
            <v>Mierová 5</v>
          </cell>
          <cell r="J20">
            <v>13</v>
          </cell>
          <cell r="K20">
            <v>0</v>
          </cell>
          <cell r="L20">
            <v>27</v>
          </cell>
          <cell r="M20">
            <v>0</v>
          </cell>
          <cell r="N20">
            <v>1</v>
          </cell>
          <cell r="O20">
            <v>15</v>
          </cell>
          <cell r="P20">
            <v>1</v>
          </cell>
          <cell r="Q20">
            <v>3</v>
          </cell>
          <cell r="R20">
            <v>164</v>
          </cell>
          <cell r="S20">
            <v>26</v>
          </cell>
          <cell r="T20">
            <v>904.5</v>
          </cell>
          <cell r="U20">
            <v>0</v>
          </cell>
        </row>
        <row r="21">
          <cell r="F21">
            <v>161934</v>
          </cell>
          <cell r="G21" t="str">
            <v>Obchodná akadémia</v>
          </cell>
          <cell r="H21" t="str">
            <v>Levice</v>
          </cell>
          <cell r="I21" t="str">
            <v>Kálmána Kittenbergera 2</v>
          </cell>
          <cell r="J21">
            <v>6</v>
          </cell>
          <cell r="K21">
            <v>0</v>
          </cell>
          <cell r="L21">
            <v>29</v>
          </cell>
          <cell r="M21">
            <v>0</v>
          </cell>
          <cell r="N21">
            <v>1</v>
          </cell>
          <cell r="O21">
            <v>7</v>
          </cell>
          <cell r="P21">
            <v>2</v>
          </cell>
          <cell r="Q21">
            <v>1</v>
          </cell>
          <cell r="R21">
            <v>142</v>
          </cell>
          <cell r="S21">
            <v>75</v>
          </cell>
          <cell r="T21">
            <v>971.5</v>
          </cell>
          <cell r="U21">
            <v>0</v>
          </cell>
        </row>
        <row r="22">
          <cell r="F22">
            <v>162353</v>
          </cell>
          <cell r="G22" t="str">
            <v>Stredná odborná škola poľnohospodárstva a služieb na vidieku</v>
          </cell>
          <cell r="H22" t="str">
            <v>Levice</v>
          </cell>
          <cell r="I22" t="str">
            <v>Na lúkach 18</v>
          </cell>
          <cell r="J22">
            <v>6</v>
          </cell>
          <cell r="K22">
            <v>0</v>
          </cell>
          <cell r="L22">
            <v>27</v>
          </cell>
          <cell r="M22">
            <v>0</v>
          </cell>
          <cell r="N22">
            <v>1</v>
          </cell>
          <cell r="O22">
            <v>7</v>
          </cell>
          <cell r="P22">
            <v>1</v>
          </cell>
          <cell r="Q22">
            <v>40</v>
          </cell>
          <cell r="R22">
            <v>145</v>
          </cell>
          <cell r="S22">
            <v>55</v>
          </cell>
          <cell r="T22">
            <v>904.5</v>
          </cell>
          <cell r="U22">
            <v>19.95</v>
          </cell>
        </row>
        <row r="23">
          <cell r="F23">
            <v>162795</v>
          </cell>
          <cell r="G23" t="str">
            <v>Stredná odborná škola pedagogická</v>
          </cell>
          <cell r="H23" t="str">
            <v>Levice</v>
          </cell>
          <cell r="I23" t="str">
            <v>Ul. F. Engelsa 3</v>
          </cell>
          <cell r="J23">
            <v>8</v>
          </cell>
          <cell r="K23">
            <v>0</v>
          </cell>
          <cell r="L23">
            <v>24</v>
          </cell>
          <cell r="M23">
            <v>0</v>
          </cell>
          <cell r="N23">
            <v>0</v>
          </cell>
          <cell r="O23">
            <v>11</v>
          </cell>
          <cell r="P23">
            <v>0</v>
          </cell>
          <cell r="Q23">
            <v>0</v>
          </cell>
          <cell r="R23">
            <v>255</v>
          </cell>
          <cell r="S23">
            <v>0</v>
          </cell>
          <cell r="T23">
            <v>804</v>
          </cell>
          <cell r="U23">
            <v>1491.7</v>
          </cell>
        </row>
        <row r="24">
          <cell r="F24">
            <v>352098</v>
          </cell>
          <cell r="G24" t="str">
            <v>Stredná odborná škola služieb</v>
          </cell>
          <cell r="H24" t="str">
            <v>Levice</v>
          </cell>
          <cell r="I24" t="str">
            <v>Sv. Michala 36</v>
          </cell>
          <cell r="J24">
            <v>12</v>
          </cell>
          <cell r="K24">
            <v>1</v>
          </cell>
          <cell r="L24">
            <v>54</v>
          </cell>
          <cell r="M24">
            <v>2</v>
          </cell>
          <cell r="N24">
            <v>2</v>
          </cell>
          <cell r="O24">
            <v>17</v>
          </cell>
          <cell r="P24">
            <v>2</v>
          </cell>
          <cell r="Q24">
            <v>6</v>
          </cell>
          <cell r="R24">
            <v>416</v>
          </cell>
          <cell r="S24">
            <v>114</v>
          </cell>
          <cell r="T24">
            <v>1809</v>
          </cell>
          <cell r="U24">
            <v>64.7</v>
          </cell>
        </row>
        <row r="25">
          <cell r="F25">
            <v>420191</v>
          </cell>
          <cell r="G25" t="str">
            <v>Stredná priemyselná škola strojnícka a elektrotechnická</v>
          </cell>
          <cell r="H25" t="str">
            <v>Levice</v>
          </cell>
          <cell r="I25" t="str">
            <v>F. Hečku 25</v>
          </cell>
          <cell r="J25">
            <v>7</v>
          </cell>
          <cell r="K25">
            <v>0</v>
          </cell>
          <cell r="L25">
            <v>36</v>
          </cell>
          <cell r="M25">
            <v>0</v>
          </cell>
          <cell r="N25">
            <v>0</v>
          </cell>
          <cell r="O25">
            <v>11</v>
          </cell>
          <cell r="P25">
            <v>1</v>
          </cell>
          <cell r="Q25">
            <v>0</v>
          </cell>
          <cell r="R25">
            <v>273</v>
          </cell>
          <cell r="S25">
            <v>37</v>
          </cell>
          <cell r="T25">
            <v>1206</v>
          </cell>
          <cell r="U25">
            <v>273.3</v>
          </cell>
        </row>
        <row r="26">
          <cell r="F26">
            <v>893315</v>
          </cell>
          <cell r="G26" t="str">
            <v>Stredná odborná škola techniky a služieb</v>
          </cell>
          <cell r="H26" t="str">
            <v>Levice</v>
          </cell>
          <cell r="I26" t="str">
            <v>Pod amfiteátrom 7</v>
          </cell>
          <cell r="J26">
            <v>4</v>
          </cell>
          <cell r="K26">
            <v>4</v>
          </cell>
          <cell r="L26">
            <v>14</v>
          </cell>
          <cell r="M26">
            <v>12</v>
          </cell>
          <cell r="N26">
            <v>8</v>
          </cell>
          <cell r="O26">
            <v>4</v>
          </cell>
          <cell r="P26">
            <v>1</v>
          </cell>
          <cell r="Q26">
            <v>91</v>
          </cell>
          <cell r="R26">
            <v>85</v>
          </cell>
          <cell r="S26">
            <v>49</v>
          </cell>
          <cell r="T26">
            <v>469</v>
          </cell>
          <cell r="U26">
            <v>0.7</v>
          </cell>
        </row>
        <row r="27">
          <cell r="F27">
            <v>17053889</v>
          </cell>
          <cell r="G27" t="str">
            <v>Škola umeleckého priemyslu Ladislava Bielika</v>
          </cell>
          <cell r="H27" t="str">
            <v>Levice</v>
          </cell>
          <cell r="I27" t="str">
            <v>Vajanského 23</v>
          </cell>
          <cell r="J27">
            <v>6</v>
          </cell>
          <cell r="K27">
            <v>1</v>
          </cell>
          <cell r="L27">
            <v>32</v>
          </cell>
          <cell r="M27">
            <v>3</v>
          </cell>
          <cell r="N27">
            <v>8</v>
          </cell>
          <cell r="O27">
            <v>6</v>
          </cell>
          <cell r="P27">
            <v>2</v>
          </cell>
          <cell r="Q27">
            <v>31</v>
          </cell>
          <cell r="R27">
            <v>217</v>
          </cell>
          <cell r="S27">
            <v>119</v>
          </cell>
          <cell r="T27">
            <v>1072</v>
          </cell>
          <cell r="U27">
            <v>286.25</v>
          </cell>
        </row>
        <row r="28">
          <cell r="F28">
            <v>47147</v>
          </cell>
          <cell r="G28" t="str">
            <v>Gymnázium</v>
          </cell>
          <cell r="H28" t="str">
            <v>Šahy</v>
          </cell>
          <cell r="I28" t="str">
            <v>Mládežnícka 22</v>
          </cell>
          <cell r="J28">
            <v>1</v>
          </cell>
          <cell r="K28">
            <v>2</v>
          </cell>
          <cell r="L28">
            <v>1</v>
          </cell>
          <cell r="M28">
            <v>3</v>
          </cell>
          <cell r="N28">
            <v>1</v>
          </cell>
          <cell r="O28">
            <v>2</v>
          </cell>
          <cell r="P28">
            <v>0</v>
          </cell>
          <cell r="Q28">
            <v>1</v>
          </cell>
          <cell r="R28">
            <v>18</v>
          </cell>
          <cell r="S28">
            <v>0</v>
          </cell>
          <cell r="T28">
            <v>33.5</v>
          </cell>
          <cell r="U28">
            <v>0</v>
          </cell>
        </row>
        <row r="29">
          <cell r="F29">
            <v>17050111</v>
          </cell>
          <cell r="G29" t="str">
            <v>Gymnázium Juraja Szondyho s vyučovacím jazykom maďarským - Szondy György Gimnázium</v>
          </cell>
          <cell r="H29" t="str">
            <v>Šahy</v>
          </cell>
          <cell r="I29" t="str">
            <v>Mládežnícka 22</v>
          </cell>
          <cell r="J29">
            <v>7</v>
          </cell>
          <cell r="K29">
            <v>7</v>
          </cell>
          <cell r="L29">
            <v>14</v>
          </cell>
          <cell r="M29">
            <v>17</v>
          </cell>
          <cell r="N29">
            <v>3</v>
          </cell>
          <cell r="O29">
            <v>11</v>
          </cell>
          <cell r="P29">
            <v>2</v>
          </cell>
          <cell r="Q29">
            <v>39</v>
          </cell>
          <cell r="R29">
            <v>107</v>
          </cell>
          <cell r="S29">
            <v>34</v>
          </cell>
          <cell r="T29">
            <v>469</v>
          </cell>
          <cell r="U29">
            <v>0</v>
          </cell>
        </row>
        <row r="30">
          <cell r="F30">
            <v>399388</v>
          </cell>
          <cell r="G30" t="str">
            <v>Stredná odborná škola techniky a služieb - Műszaki és Szolgáltatóipari Szakközépiskola</v>
          </cell>
          <cell r="H30" t="str">
            <v>Šahy</v>
          </cell>
          <cell r="I30" t="str">
            <v>Slov.národ.povstania 41</v>
          </cell>
          <cell r="J30">
            <v>5</v>
          </cell>
          <cell r="K30">
            <v>0</v>
          </cell>
          <cell r="L30">
            <v>17</v>
          </cell>
          <cell r="M30">
            <v>0</v>
          </cell>
          <cell r="N30">
            <v>1</v>
          </cell>
          <cell r="O30">
            <v>5</v>
          </cell>
          <cell r="P30">
            <v>2</v>
          </cell>
          <cell r="Q30">
            <v>3</v>
          </cell>
          <cell r="R30">
            <v>72</v>
          </cell>
          <cell r="S30">
            <v>52</v>
          </cell>
          <cell r="T30">
            <v>569.5</v>
          </cell>
          <cell r="U30">
            <v>0</v>
          </cell>
        </row>
        <row r="31">
          <cell r="F31">
            <v>17050308</v>
          </cell>
          <cell r="G31" t="str">
            <v>Stredná odborná škola technická</v>
          </cell>
          <cell r="H31" t="str">
            <v>Tlmače</v>
          </cell>
          <cell r="I31" t="str">
            <v>Kozmálovská cesta 9</v>
          </cell>
          <cell r="J31">
            <v>4</v>
          </cell>
          <cell r="K31">
            <v>3</v>
          </cell>
          <cell r="L31">
            <v>17</v>
          </cell>
          <cell r="M31">
            <v>12</v>
          </cell>
          <cell r="N31">
            <v>7</v>
          </cell>
          <cell r="O31">
            <v>8</v>
          </cell>
          <cell r="P31">
            <v>0</v>
          </cell>
          <cell r="Q31">
            <v>170</v>
          </cell>
          <cell r="R31">
            <v>111</v>
          </cell>
          <cell r="S31">
            <v>0</v>
          </cell>
          <cell r="T31">
            <v>569.5</v>
          </cell>
          <cell r="U31">
            <v>65.7</v>
          </cell>
        </row>
        <row r="32">
          <cell r="F32">
            <v>160504</v>
          </cell>
          <cell r="G32" t="str">
            <v>Gymnázium Jána Amosa Komenského - Comenius Gimnázium</v>
          </cell>
          <cell r="H32" t="str">
            <v>Želiezovce</v>
          </cell>
          <cell r="I32" t="str">
            <v>Štúrova 16</v>
          </cell>
          <cell r="J32">
            <v>2</v>
          </cell>
          <cell r="K32">
            <v>4</v>
          </cell>
          <cell r="L32">
            <v>7</v>
          </cell>
          <cell r="M32">
            <v>5</v>
          </cell>
          <cell r="N32">
            <v>5</v>
          </cell>
          <cell r="O32">
            <v>4</v>
          </cell>
          <cell r="P32">
            <v>2</v>
          </cell>
          <cell r="Q32">
            <v>35</v>
          </cell>
          <cell r="R32">
            <v>66</v>
          </cell>
          <cell r="S32">
            <v>52</v>
          </cell>
          <cell r="T32">
            <v>234.5</v>
          </cell>
          <cell r="U32">
            <v>0</v>
          </cell>
        </row>
        <row r="33">
          <cell r="F33">
            <v>160261</v>
          </cell>
          <cell r="G33" t="str">
            <v>Gymnázium</v>
          </cell>
          <cell r="H33" t="str">
            <v>Nitra</v>
          </cell>
          <cell r="I33" t="str">
            <v>Golianova 68</v>
          </cell>
          <cell r="J33">
            <v>26</v>
          </cell>
          <cell r="K33">
            <v>0</v>
          </cell>
          <cell r="L33">
            <v>103</v>
          </cell>
          <cell r="M33">
            <v>0</v>
          </cell>
          <cell r="N33">
            <v>2</v>
          </cell>
          <cell r="O33">
            <v>26</v>
          </cell>
          <cell r="P33">
            <v>5</v>
          </cell>
          <cell r="Q33">
            <v>7</v>
          </cell>
          <cell r="R33">
            <v>621</v>
          </cell>
          <cell r="S33">
            <v>374</v>
          </cell>
          <cell r="T33">
            <v>3450.5</v>
          </cell>
          <cell r="U33">
            <v>0</v>
          </cell>
        </row>
        <row r="34">
          <cell r="F34">
            <v>161365</v>
          </cell>
          <cell r="G34" t="str">
            <v>Spojená škola</v>
          </cell>
          <cell r="H34" t="str">
            <v>Nitra</v>
          </cell>
          <cell r="I34" t="str">
            <v>Slančíkovej 2</v>
          </cell>
          <cell r="J34">
            <v>29</v>
          </cell>
          <cell r="K34">
            <v>2</v>
          </cell>
          <cell r="L34">
            <v>106</v>
          </cell>
          <cell r="M34">
            <v>9</v>
          </cell>
          <cell r="N34">
            <v>4</v>
          </cell>
          <cell r="O34">
            <v>35</v>
          </cell>
          <cell r="P34">
            <v>4</v>
          </cell>
          <cell r="Q34">
            <v>144</v>
          </cell>
          <cell r="R34">
            <v>1044</v>
          </cell>
          <cell r="S34">
            <v>297</v>
          </cell>
          <cell r="T34">
            <v>3551</v>
          </cell>
          <cell r="U34">
            <v>46.45</v>
          </cell>
        </row>
        <row r="35">
          <cell r="F35">
            <v>161373</v>
          </cell>
          <cell r="G35" t="str">
            <v>Stredná priemyselná škola stavebná</v>
          </cell>
          <cell r="H35" t="str">
            <v>Nitra</v>
          </cell>
          <cell r="I35" t="str">
            <v>Cabajská 4</v>
          </cell>
          <cell r="J35">
            <v>10</v>
          </cell>
          <cell r="K35">
            <v>0</v>
          </cell>
          <cell r="L35">
            <v>57</v>
          </cell>
          <cell r="M35">
            <v>0</v>
          </cell>
          <cell r="N35">
            <v>0</v>
          </cell>
          <cell r="O35">
            <v>10</v>
          </cell>
          <cell r="P35">
            <v>3</v>
          </cell>
          <cell r="Q35">
            <v>0</v>
          </cell>
          <cell r="R35">
            <v>421</v>
          </cell>
          <cell r="S35">
            <v>252</v>
          </cell>
          <cell r="T35">
            <v>1909.5</v>
          </cell>
          <cell r="U35">
            <v>0</v>
          </cell>
        </row>
        <row r="36">
          <cell r="F36">
            <v>161942</v>
          </cell>
          <cell r="G36" t="str">
            <v>Obchodná akadémia</v>
          </cell>
          <cell r="H36" t="str">
            <v>Nitra</v>
          </cell>
          <cell r="I36" t="str">
            <v>Bolečkova 2</v>
          </cell>
          <cell r="J36">
            <v>9</v>
          </cell>
          <cell r="K36">
            <v>0</v>
          </cell>
          <cell r="L36">
            <v>31</v>
          </cell>
          <cell r="M36">
            <v>0</v>
          </cell>
          <cell r="N36">
            <v>3</v>
          </cell>
          <cell r="O36">
            <v>7</v>
          </cell>
          <cell r="P36">
            <v>1</v>
          </cell>
          <cell r="Q36">
            <v>92</v>
          </cell>
          <cell r="R36">
            <v>129</v>
          </cell>
          <cell r="S36">
            <v>63</v>
          </cell>
          <cell r="T36">
            <v>1038.5</v>
          </cell>
          <cell r="U36">
            <v>175.8</v>
          </cell>
        </row>
        <row r="37">
          <cell r="F37">
            <v>162370</v>
          </cell>
          <cell r="G37" t="str">
            <v>Stredná odborná škola veterinárna</v>
          </cell>
          <cell r="H37" t="str">
            <v>Nitra</v>
          </cell>
          <cell r="I37" t="str">
            <v>Drážovská 8/14</v>
          </cell>
          <cell r="J37">
            <v>5</v>
          </cell>
          <cell r="K37">
            <v>0</v>
          </cell>
          <cell r="L37">
            <v>15</v>
          </cell>
          <cell r="M37">
            <v>0</v>
          </cell>
          <cell r="N37">
            <v>0</v>
          </cell>
          <cell r="O37">
            <v>9</v>
          </cell>
          <cell r="P37">
            <v>0</v>
          </cell>
          <cell r="Q37">
            <v>0</v>
          </cell>
          <cell r="R37">
            <v>145</v>
          </cell>
          <cell r="S37">
            <v>0</v>
          </cell>
          <cell r="T37">
            <v>502.5</v>
          </cell>
          <cell r="U37">
            <v>55.98</v>
          </cell>
        </row>
        <row r="38">
          <cell r="F38">
            <v>596868</v>
          </cell>
          <cell r="G38" t="str">
            <v>Stredná odborná škola techniky a služieb</v>
          </cell>
          <cell r="H38" t="str">
            <v>Nitra</v>
          </cell>
          <cell r="I38" t="str">
            <v>Cintorínska 4</v>
          </cell>
          <cell r="J38">
            <v>9</v>
          </cell>
          <cell r="K38">
            <v>3</v>
          </cell>
          <cell r="L38">
            <v>45</v>
          </cell>
          <cell r="M38">
            <v>9</v>
          </cell>
          <cell r="N38">
            <v>0</v>
          </cell>
          <cell r="O38">
            <v>20</v>
          </cell>
          <cell r="P38">
            <v>2</v>
          </cell>
          <cell r="Q38">
            <v>0</v>
          </cell>
          <cell r="R38">
            <v>399</v>
          </cell>
          <cell r="S38">
            <v>150</v>
          </cell>
          <cell r="T38">
            <v>1507.5</v>
          </cell>
          <cell r="U38">
            <v>316.76</v>
          </cell>
        </row>
        <row r="39">
          <cell r="F39">
            <v>596876</v>
          </cell>
          <cell r="G39" t="str">
            <v>Stredná odborná škola gastronómie a cestovného ruchu</v>
          </cell>
          <cell r="H39" t="str">
            <v>Nitra</v>
          </cell>
          <cell r="I39" t="str">
            <v>Levická 40</v>
          </cell>
          <cell r="J39">
            <v>13</v>
          </cell>
          <cell r="K39">
            <v>2</v>
          </cell>
          <cell r="L39">
            <v>50</v>
          </cell>
          <cell r="M39">
            <v>5</v>
          </cell>
          <cell r="N39">
            <v>4</v>
          </cell>
          <cell r="O39">
            <v>17</v>
          </cell>
          <cell r="P39">
            <v>8</v>
          </cell>
          <cell r="Q39">
            <v>59</v>
          </cell>
          <cell r="R39">
            <v>263</v>
          </cell>
          <cell r="S39">
            <v>69</v>
          </cell>
          <cell r="T39">
            <v>1675</v>
          </cell>
          <cell r="U39">
            <v>274.60000000000002</v>
          </cell>
        </row>
        <row r="40">
          <cell r="F40">
            <v>607321</v>
          </cell>
          <cell r="G40" t="str">
            <v>Stredná zdravotnícka škola</v>
          </cell>
          <cell r="H40" t="str">
            <v>Nitra</v>
          </cell>
          <cell r="I40" t="str">
            <v>Farská 23</v>
          </cell>
          <cell r="J40">
            <v>5</v>
          </cell>
          <cell r="K40">
            <v>0</v>
          </cell>
          <cell r="L40">
            <v>24</v>
          </cell>
          <cell r="M40">
            <v>0</v>
          </cell>
          <cell r="N40">
            <v>0</v>
          </cell>
          <cell r="O40">
            <v>8</v>
          </cell>
          <cell r="P40">
            <v>0</v>
          </cell>
          <cell r="Q40">
            <v>0</v>
          </cell>
          <cell r="R40">
            <v>330</v>
          </cell>
          <cell r="S40">
            <v>0</v>
          </cell>
          <cell r="T40">
            <v>804</v>
          </cell>
          <cell r="U40">
            <v>53.4</v>
          </cell>
        </row>
        <row r="41">
          <cell r="F41">
            <v>893293</v>
          </cell>
          <cell r="G41" t="str">
            <v>Stredná odborná škola stavebná</v>
          </cell>
          <cell r="H41" t="str">
            <v>Nitra</v>
          </cell>
          <cell r="I41" t="str">
            <v>Nábrežie mládeže 1</v>
          </cell>
          <cell r="J41">
            <v>8</v>
          </cell>
          <cell r="K41">
            <v>4</v>
          </cell>
          <cell r="L41">
            <v>31</v>
          </cell>
          <cell r="M41">
            <v>12</v>
          </cell>
          <cell r="N41">
            <v>1</v>
          </cell>
          <cell r="O41">
            <v>16</v>
          </cell>
          <cell r="P41">
            <v>0</v>
          </cell>
          <cell r="Q41">
            <v>89</v>
          </cell>
          <cell r="R41">
            <v>240</v>
          </cell>
          <cell r="S41">
            <v>0</v>
          </cell>
          <cell r="T41">
            <v>1038.5</v>
          </cell>
          <cell r="U41">
            <v>0</v>
          </cell>
        </row>
        <row r="42">
          <cell r="F42">
            <v>17050073</v>
          </cell>
          <cell r="G42" t="str">
            <v>Stredná priemyselná škola strojnícka a elektrotechnická</v>
          </cell>
          <cell r="H42" t="str">
            <v>Nitra</v>
          </cell>
          <cell r="I42" t="str">
            <v>Fraňa Kráľa 20</v>
          </cell>
          <cell r="J42">
            <v>8</v>
          </cell>
          <cell r="K42">
            <v>0</v>
          </cell>
          <cell r="L42">
            <v>41</v>
          </cell>
          <cell r="M42">
            <v>0</v>
          </cell>
          <cell r="N42">
            <v>0</v>
          </cell>
          <cell r="O42">
            <v>10</v>
          </cell>
          <cell r="P42">
            <v>1</v>
          </cell>
          <cell r="Q42">
            <v>0</v>
          </cell>
          <cell r="R42">
            <v>396</v>
          </cell>
          <cell r="S42">
            <v>129</v>
          </cell>
          <cell r="T42">
            <v>1373.5</v>
          </cell>
          <cell r="U42">
            <v>237.5</v>
          </cell>
        </row>
        <row r="43">
          <cell r="F43">
            <v>17054222</v>
          </cell>
          <cell r="G43" t="str">
            <v>Stredná odborná škola potravinárska</v>
          </cell>
          <cell r="H43" t="str">
            <v>Nitra</v>
          </cell>
          <cell r="I43" t="str">
            <v>Cabajská 6</v>
          </cell>
          <cell r="J43">
            <v>7</v>
          </cell>
          <cell r="K43">
            <v>0</v>
          </cell>
          <cell r="L43">
            <v>28</v>
          </cell>
          <cell r="M43">
            <v>0</v>
          </cell>
          <cell r="N43">
            <v>0</v>
          </cell>
          <cell r="O43">
            <v>11</v>
          </cell>
          <cell r="P43">
            <v>0</v>
          </cell>
          <cell r="Q43">
            <v>0</v>
          </cell>
          <cell r="R43">
            <v>256</v>
          </cell>
          <cell r="S43">
            <v>0</v>
          </cell>
          <cell r="T43">
            <v>938</v>
          </cell>
          <cell r="U43">
            <v>0</v>
          </cell>
        </row>
        <row r="44">
          <cell r="F44">
            <v>500780</v>
          </cell>
          <cell r="G44" t="str">
            <v>Gymnázium</v>
          </cell>
          <cell r="H44" t="str">
            <v>Vráble</v>
          </cell>
          <cell r="I44" t="str">
            <v>Školská 26</v>
          </cell>
          <cell r="J44">
            <v>1</v>
          </cell>
          <cell r="K44">
            <v>0</v>
          </cell>
          <cell r="L44">
            <v>10</v>
          </cell>
          <cell r="M44">
            <v>0</v>
          </cell>
          <cell r="N44">
            <v>0</v>
          </cell>
          <cell r="O44">
            <v>1</v>
          </cell>
          <cell r="P44">
            <v>1</v>
          </cell>
          <cell r="Q44">
            <v>0</v>
          </cell>
          <cell r="R44">
            <v>45</v>
          </cell>
          <cell r="S44">
            <v>64</v>
          </cell>
          <cell r="T44">
            <v>335</v>
          </cell>
          <cell r="U44">
            <v>0</v>
          </cell>
        </row>
        <row r="45">
          <cell r="F45">
            <v>891550</v>
          </cell>
          <cell r="G45" t="str">
            <v>Stredná odborná škola technická</v>
          </cell>
          <cell r="H45" t="str">
            <v>Vráble</v>
          </cell>
          <cell r="I45" t="str">
            <v>Ul. 1. mája 500</v>
          </cell>
          <cell r="J45">
            <v>8</v>
          </cell>
          <cell r="K45">
            <v>0</v>
          </cell>
          <cell r="L45">
            <v>33</v>
          </cell>
          <cell r="M45">
            <v>0</v>
          </cell>
          <cell r="N45">
            <v>1</v>
          </cell>
          <cell r="O45">
            <v>11</v>
          </cell>
          <cell r="P45">
            <v>1</v>
          </cell>
          <cell r="Q45">
            <v>32</v>
          </cell>
          <cell r="R45">
            <v>267</v>
          </cell>
          <cell r="S45">
            <v>62</v>
          </cell>
          <cell r="T45">
            <v>1105.5</v>
          </cell>
          <cell r="U45">
            <v>179.05</v>
          </cell>
        </row>
        <row r="46">
          <cell r="F46">
            <v>12432</v>
          </cell>
          <cell r="G46" t="str">
            <v>Spojená škola</v>
          </cell>
          <cell r="H46" t="str">
            <v>Nové Zámky</v>
          </cell>
          <cell r="I46" t="str">
            <v>Komárňanská 28</v>
          </cell>
          <cell r="J46">
            <v>19</v>
          </cell>
          <cell r="K46">
            <v>0</v>
          </cell>
          <cell r="L46">
            <v>76</v>
          </cell>
          <cell r="M46">
            <v>0</v>
          </cell>
          <cell r="N46">
            <v>0</v>
          </cell>
          <cell r="O46">
            <v>28</v>
          </cell>
          <cell r="P46">
            <v>2</v>
          </cell>
          <cell r="Q46">
            <v>0</v>
          </cell>
          <cell r="R46">
            <v>594</v>
          </cell>
          <cell r="S46">
            <v>227</v>
          </cell>
          <cell r="T46">
            <v>2546</v>
          </cell>
          <cell r="U46">
            <v>44.8</v>
          </cell>
        </row>
        <row r="47">
          <cell r="F47">
            <v>160288</v>
          </cell>
          <cell r="G47" t="str">
            <v>Gymnázium</v>
          </cell>
          <cell r="H47" t="str">
            <v>Nové Zámky</v>
          </cell>
          <cell r="I47" t="str">
            <v>M. R. Štefánika 16</v>
          </cell>
          <cell r="J47">
            <v>11</v>
          </cell>
          <cell r="K47">
            <v>0</v>
          </cell>
          <cell r="L47">
            <v>28</v>
          </cell>
          <cell r="M47">
            <v>0</v>
          </cell>
          <cell r="N47">
            <v>2</v>
          </cell>
          <cell r="O47">
            <v>11</v>
          </cell>
          <cell r="P47">
            <v>1</v>
          </cell>
          <cell r="Q47">
            <v>16</v>
          </cell>
          <cell r="R47">
            <v>233</v>
          </cell>
          <cell r="S47">
            <v>29</v>
          </cell>
          <cell r="T47">
            <v>938</v>
          </cell>
          <cell r="U47">
            <v>37.9</v>
          </cell>
        </row>
        <row r="48">
          <cell r="F48">
            <v>607339</v>
          </cell>
          <cell r="G48" t="str">
            <v>Stredná zdravotnícka škola - Egészségügyi Középiskola</v>
          </cell>
          <cell r="H48" t="str">
            <v>Nové Zámky</v>
          </cell>
          <cell r="I48" t="str">
            <v>Pod kalváriou 1</v>
          </cell>
          <cell r="J48">
            <v>14</v>
          </cell>
          <cell r="K48">
            <v>0</v>
          </cell>
          <cell r="L48">
            <v>45</v>
          </cell>
          <cell r="M48">
            <v>0</v>
          </cell>
          <cell r="N48">
            <v>1</v>
          </cell>
          <cell r="O48">
            <v>17</v>
          </cell>
          <cell r="P48">
            <v>1</v>
          </cell>
          <cell r="Q48">
            <v>29</v>
          </cell>
          <cell r="R48">
            <v>381</v>
          </cell>
          <cell r="S48">
            <v>58</v>
          </cell>
          <cell r="T48">
            <v>1507.5</v>
          </cell>
          <cell r="U48">
            <v>1457.35</v>
          </cell>
        </row>
        <row r="49">
          <cell r="F49">
            <v>654230</v>
          </cell>
          <cell r="G49" t="str">
            <v>Stredná odborná škola dopravy a služieb</v>
          </cell>
          <cell r="H49" t="str">
            <v>Nové Zámky</v>
          </cell>
          <cell r="I49" t="str">
            <v>Jesenského 1</v>
          </cell>
          <cell r="J49">
            <v>12</v>
          </cell>
          <cell r="K49">
            <v>0</v>
          </cell>
          <cell r="L49">
            <v>54</v>
          </cell>
          <cell r="M49">
            <v>0</v>
          </cell>
          <cell r="N49">
            <v>0</v>
          </cell>
          <cell r="O49">
            <v>16</v>
          </cell>
          <cell r="P49">
            <v>2</v>
          </cell>
          <cell r="Q49">
            <v>0</v>
          </cell>
          <cell r="R49">
            <v>432</v>
          </cell>
          <cell r="S49">
            <v>113</v>
          </cell>
          <cell r="T49">
            <v>1809</v>
          </cell>
          <cell r="U49">
            <v>128.75</v>
          </cell>
        </row>
        <row r="50">
          <cell r="F50">
            <v>891606</v>
          </cell>
          <cell r="G50" t="str">
            <v>Stredná odborná škola hotelových služieb a obchodu</v>
          </cell>
          <cell r="H50" t="str">
            <v>Nové Zámky</v>
          </cell>
          <cell r="I50" t="str">
            <v>Zdravotnícka 3</v>
          </cell>
          <cell r="J50">
            <v>13</v>
          </cell>
          <cell r="K50">
            <v>1</v>
          </cell>
          <cell r="L50">
            <v>57</v>
          </cell>
          <cell r="M50">
            <v>5</v>
          </cell>
          <cell r="N50">
            <v>3</v>
          </cell>
          <cell r="O50">
            <v>13</v>
          </cell>
          <cell r="P50">
            <v>3</v>
          </cell>
          <cell r="Q50">
            <v>36</v>
          </cell>
          <cell r="R50">
            <v>544</v>
          </cell>
          <cell r="S50">
            <v>193</v>
          </cell>
          <cell r="T50">
            <v>1909.5</v>
          </cell>
          <cell r="U50">
            <v>0</v>
          </cell>
        </row>
        <row r="51">
          <cell r="F51">
            <v>893421</v>
          </cell>
          <cell r="G51" t="str">
            <v>Stredná odborná škola stavebná - Építészeti Szakközépiskola</v>
          </cell>
          <cell r="H51" t="str">
            <v>Nové Zámky</v>
          </cell>
          <cell r="I51" t="str">
            <v>Nitrianska cesta 61</v>
          </cell>
          <cell r="J51">
            <v>10</v>
          </cell>
          <cell r="K51">
            <v>0</v>
          </cell>
          <cell r="L51">
            <v>50</v>
          </cell>
          <cell r="M51">
            <v>0</v>
          </cell>
          <cell r="N51">
            <v>2</v>
          </cell>
          <cell r="O51">
            <v>16</v>
          </cell>
          <cell r="P51">
            <v>1</v>
          </cell>
          <cell r="Q51">
            <v>4</v>
          </cell>
          <cell r="R51">
            <v>365</v>
          </cell>
          <cell r="S51">
            <v>159</v>
          </cell>
          <cell r="T51">
            <v>1675</v>
          </cell>
          <cell r="U51">
            <v>0</v>
          </cell>
        </row>
        <row r="52">
          <cell r="F52">
            <v>37965352</v>
          </cell>
          <cell r="G52" t="str">
            <v>Gymnázium Petra Pázmáňa s vyučovacím jazykom maďarským - Pázmány Péter Gimnázium</v>
          </cell>
          <cell r="H52" t="str">
            <v>Nové Zámky</v>
          </cell>
          <cell r="I52" t="str">
            <v>Letomostie 3</v>
          </cell>
          <cell r="J52">
            <v>4</v>
          </cell>
          <cell r="K52">
            <v>6</v>
          </cell>
          <cell r="L52">
            <v>18</v>
          </cell>
          <cell r="M52">
            <v>9</v>
          </cell>
          <cell r="N52">
            <v>8</v>
          </cell>
          <cell r="O52">
            <v>6</v>
          </cell>
          <cell r="P52">
            <v>1</v>
          </cell>
          <cell r="Q52">
            <v>46</v>
          </cell>
          <cell r="R52">
            <v>199</v>
          </cell>
          <cell r="S52">
            <v>119</v>
          </cell>
          <cell r="T52">
            <v>603</v>
          </cell>
          <cell r="U52">
            <v>151.1</v>
          </cell>
        </row>
        <row r="53">
          <cell r="F53">
            <v>160423</v>
          </cell>
          <cell r="G53" t="str">
            <v>Gymnázium - Gimnázium</v>
          </cell>
          <cell r="H53" t="str">
            <v>Štúrovo</v>
          </cell>
          <cell r="I53" t="str">
            <v>Adyho 7</v>
          </cell>
          <cell r="J53">
            <v>10</v>
          </cell>
          <cell r="K53">
            <v>3</v>
          </cell>
          <cell r="L53">
            <v>24</v>
          </cell>
          <cell r="M53">
            <v>3</v>
          </cell>
          <cell r="N53">
            <v>4</v>
          </cell>
          <cell r="O53">
            <v>12</v>
          </cell>
          <cell r="P53">
            <v>2</v>
          </cell>
          <cell r="Q53">
            <v>20</v>
          </cell>
          <cell r="R53">
            <v>136</v>
          </cell>
          <cell r="S53">
            <v>43</v>
          </cell>
          <cell r="T53">
            <v>804</v>
          </cell>
          <cell r="U53">
            <v>165.7</v>
          </cell>
        </row>
        <row r="54">
          <cell r="F54">
            <v>891908</v>
          </cell>
          <cell r="G54" t="str">
            <v>Stredná odborná škola techniky, služieb a obchodu - Műszaki, Szolgáltatások és Kereskedelmi Szakközépiskola</v>
          </cell>
          <cell r="H54" t="str">
            <v>Štúrovo</v>
          </cell>
          <cell r="I54" t="str">
            <v>Svätého Štefana 81</v>
          </cell>
          <cell r="J54">
            <v>6</v>
          </cell>
          <cell r="K54">
            <v>0</v>
          </cell>
          <cell r="L54">
            <v>11</v>
          </cell>
          <cell r="M54">
            <v>0</v>
          </cell>
          <cell r="N54">
            <v>1</v>
          </cell>
          <cell r="O54">
            <v>6</v>
          </cell>
          <cell r="P54">
            <v>0</v>
          </cell>
          <cell r="Q54">
            <v>5</v>
          </cell>
          <cell r="R54">
            <v>87</v>
          </cell>
          <cell r="S54">
            <v>0</v>
          </cell>
          <cell r="T54">
            <v>368.5</v>
          </cell>
          <cell r="U54">
            <v>109.91</v>
          </cell>
        </row>
        <row r="55">
          <cell r="F55">
            <v>161951</v>
          </cell>
          <cell r="G55" t="str">
            <v>Obchodná akadémia</v>
          </cell>
          <cell r="H55" t="str">
            <v>Šurany</v>
          </cell>
          <cell r="I55" t="str">
            <v>Nám. hrdinov 7</v>
          </cell>
          <cell r="J55">
            <v>4</v>
          </cell>
          <cell r="K55">
            <v>0</v>
          </cell>
          <cell r="L55">
            <v>12</v>
          </cell>
          <cell r="M55">
            <v>0</v>
          </cell>
          <cell r="N55">
            <v>1</v>
          </cell>
          <cell r="O55">
            <v>4</v>
          </cell>
          <cell r="P55">
            <v>1</v>
          </cell>
          <cell r="Q55">
            <v>19</v>
          </cell>
          <cell r="R55">
            <v>55</v>
          </cell>
          <cell r="S55">
            <v>36</v>
          </cell>
          <cell r="T55">
            <v>402</v>
          </cell>
          <cell r="U55">
            <v>74.8</v>
          </cell>
        </row>
        <row r="56">
          <cell r="F56">
            <v>17050138</v>
          </cell>
          <cell r="G56" t="str">
            <v>Gymnázium</v>
          </cell>
          <cell r="H56" t="str">
            <v>Šurany</v>
          </cell>
          <cell r="I56" t="str">
            <v>Bernolákova 37</v>
          </cell>
          <cell r="J56">
            <v>6</v>
          </cell>
          <cell r="K56">
            <v>1</v>
          </cell>
          <cell r="L56">
            <v>17</v>
          </cell>
          <cell r="M56">
            <v>1</v>
          </cell>
          <cell r="N56">
            <v>2</v>
          </cell>
          <cell r="O56">
            <v>7</v>
          </cell>
          <cell r="P56">
            <v>0</v>
          </cell>
          <cell r="Q56">
            <v>9</v>
          </cell>
          <cell r="R56">
            <v>175</v>
          </cell>
          <cell r="S56">
            <v>0</v>
          </cell>
          <cell r="T56">
            <v>569.5</v>
          </cell>
          <cell r="U56">
            <v>0</v>
          </cell>
        </row>
        <row r="57">
          <cell r="F57">
            <v>17050316</v>
          </cell>
          <cell r="G57" t="str">
            <v>Stredná odborná škola technická</v>
          </cell>
          <cell r="H57" t="str">
            <v>Šurany</v>
          </cell>
          <cell r="I57" t="str">
            <v>Nitrianska 61</v>
          </cell>
          <cell r="J57">
            <v>5</v>
          </cell>
          <cell r="K57">
            <v>0</v>
          </cell>
          <cell r="L57">
            <v>29</v>
          </cell>
          <cell r="M57">
            <v>0</v>
          </cell>
          <cell r="N57">
            <v>0</v>
          </cell>
          <cell r="O57">
            <v>11</v>
          </cell>
          <cell r="P57">
            <v>1</v>
          </cell>
          <cell r="Q57">
            <v>0</v>
          </cell>
          <cell r="R57">
            <v>151</v>
          </cell>
          <cell r="S57">
            <v>59</v>
          </cell>
          <cell r="T57">
            <v>971.5</v>
          </cell>
          <cell r="U57">
            <v>216.65</v>
          </cell>
        </row>
        <row r="58">
          <cell r="F58">
            <v>42114977</v>
          </cell>
          <cell r="G58" t="str">
            <v>Stredná odborná škola gastronómie a služieb</v>
          </cell>
          <cell r="H58" t="str">
            <v>Šurany</v>
          </cell>
          <cell r="I58" t="str">
            <v>Hviezdoslavova 55</v>
          </cell>
          <cell r="J58">
            <v>7</v>
          </cell>
          <cell r="K58">
            <v>0</v>
          </cell>
          <cell r="L58">
            <v>35</v>
          </cell>
          <cell r="M58">
            <v>0</v>
          </cell>
          <cell r="N58">
            <v>1</v>
          </cell>
          <cell r="O58">
            <v>8</v>
          </cell>
          <cell r="P58">
            <v>1</v>
          </cell>
          <cell r="Q58">
            <v>19</v>
          </cell>
          <cell r="R58">
            <v>240</v>
          </cell>
          <cell r="S58">
            <v>81</v>
          </cell>
          <cell r="T58">
            <v>1172.5</v>
          </cell>
          <cell r="U58">
            <v>13.6</v>
          </cell>
        </row>
        <row r="59">
          <cell r="F59">
            <v>159000</v>
          </cell>
          <cell r="G59" t="str">
            <v>Stredná odborná škola chovu koní a služieb - Lótenyésztési és Szolgáltatóipari Szakközépiskola</v>
          </cell>
          <cell r="H59" t="str">
            <v>Šaľa</v>
          </cell>
          <cell r="I59" t="str">
            <v>Štúrova 74</v>
          </cell>
          <cell r="J59">
            <v>4</v>
          </cell>
          <cell r="K59">
            <v>0</v>
          </cell>
          <cell r="L59">
            <v>26</v>
          </cell>
          <cell r="M59">
            <v>0</v>
          </cell>
          <cell r="N59">
            <v>0</v>
          </cell>
          <cell r="O59">
            <v>4</v>
          </cell>
          <cell r="P59">
            <v>2</v>
          </cell>
          <cell r="Q59">
            <v>0</v>
          </cell>
          <cell r="R59">
            <v>94</v>
          </cell>
          <cell r="S59">
            <v>90</v>
          </cell>
          <cell r="T59">
            <v>871</v>
          </cell>
          <cell r="U59">
            <v>0</v>
          </cell>
        </row>
        <row r="60">
          <cell r="F60">
            <v>399850</v>
          </cell>
          <cell r="G60" t="str">
            <v>Gymnázium Juraja Fándlyho</v>
          </cell>
          <cell r="H60" t="str">
            <v>Šaľa</v>
          </cell>
          <cell r="I60" t="str">
            <v>Školská 3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F61">
            <v>31873715</v>
          </cell>
          <cell r="G61" t="str">
            <v>Spojená škola</v>
          </cell>
          <cell r="H61" t="str">
            <v>Šaľa</v>
          </cell>
          <cell r="I61" t="str">
            <v>Nivy 2</v>
          </cell>
          <cell r="J61">
            <v>17</v>
          </cell>
          <cell r="K61">
            <v>0</v>
          </cell>
          <cell r="L61">
            <v>60</v>
          </cell>
          <cell r="M61">
            <v>0</v>
          </cell>
          <cell r="N61">
            <v>3</v>
          </cell>
          <cell r="O61">
            <v>20</v>
          </cell>
          <cell r="P61">
            <v>11</v>
          </cell>
          <cell r="Q61">
            <v>41</v>
          </cell>
          <cell r="R61">
            <v>472</v>
          </cell>
          <cell r="S61">
            <v>44</v>
          </cell>
          <cell r="T61">
            <v>2010</v>
          </cell>
          <cell r="U61">
            <v>268.89999999999998</v>
          </cell>
        </row>
        <row r="62">
          <cell r="F62">
            <v>159841</v>
          </cell>
          <cell r="G62" t="str">
            <v>Obchodná akadémia</v>
          </cell>
          <cell r="H62" t="str">
            <v>Topoľčany</v>
          </cell>
          <cell r="I62" t="str">
            <v>Inovecká 2041</v>
          </cell>
          <cell r="J62">
            <v>8</v>
          </cell>
          <cell r="K62">
            <v>0</v>
          </cell>
          <cell r="L62">
            <v>33</v>
          </cell>
          <cell r="M62">
            <v>0</v>
          </cell>
          <cell r="N62">
            <v>0</v>
          </cell>
          <cell r="O62">
            <v>9</v>
          </cell>
          <cell r="P62">
            <v>2</v>
          </cell>
          <cell r="Q62">
            <v>0</v>
          </cell>
          <cell r="R62">
            <v>209</v>
          </cell>
          <cell r="S62">
            <v>87</v>
          </cell>
          <cell r="T62">
            <v>1105.5</v>
          </cell>
          <cell r="U62">
            <v>227.9</v>
          </cell>
        </row>
        <row r="63">
          <cell r="F63">
            <v>160440</v>
          </cell>
          <cell r="G63" t="str">
            <v>Gymnázium</v>
          </cell>
          <cell r="H63" t="str">
            <v>Topoľčany</v>
          </cell>
          <cell r="I63" t="str">
            <v>17. novembra 1180/16</v>
          </cell>
          <cell r="J63">
            <v>10</v>
          </cell>
          <cell r="K63">
            <v>0</v>
          </cell>
          <cell r="L63">
            <v>48</v>
          </cell>
          <cell r="M63">
            <v>0</v>
          </cell>
          <cell r="N63">
            <v>0</v>
          </cell>
          <cell r="O63">
            <v>10</v>
          </cell>
          <cell r="P63">
            <v>2</v>
          </cell>
          <cell r="Q63">
            <v>0</v>
          </cell>
          <cell r="R63">
            <v>285</v>
          </cell>
          <cell r="S63">
            <v>103</v>
          </cell>
          <cell r="T63">
            <v>1608</v>
          </cell>
          <cell r="U63">
            <v>0</v>
          </cell>
        </row>
        <row r="64">
          <cell r="F64">
            <v>351989</v>
          </cell>
          <cell r="G64" t="str">
            <v>Stredná odborná škola techniky a služieb</v>
          </cell>
          <cell r="H64" t="str">
            <v>Topoľčany</v>
          </cell>
          <cell r="I64" t="str">
            <v>Tovarnícka 1609</v>
          </cell>
          <cell r="J64">
            <v>14</v>
          </cell>
          <cell r="K64">
            <v>8</v>
          </cell>
          <cell r="L64">
            <v>47</v>
          </cell>
          <cell r="M64">
            <v>22</v>
          </cell>
          <cell r="N64">
            <v>12</v>
          </cell>
          <cell r="O64">
            <v>12</v>
          </cell>
          <cell r="P64">
            <v>3</v>
          </cell>
          <cell r="Q64">
            <v>123</v>
          </cell>
          <cell r="R64">
            <v>276</v>
          </cell>
          <cell r="S64">
            <v>181</v>
          </cell>
          <cell r="T64">
            <v>1574.5</v>
          </cell>
          <cell r="U64">
            <v>0</v>
          </cell>
        </row>
        <row r="65">
          <cell r="F65">
            <v>398411</v>
          </cell>
          <cell r="G65" t="str">
            <v>Stredná odborná škola agrotechnická</v>
          </cell>
          <cell r="H65" t="str">
            <v>Topoľčany</v>
          </cell>
          <cell r="I65" t="str">
            <v>Tovarnícka 1632</v>
          </cell>
          <cell r="J65">
            <v>11</v>
          </cell>
          <cell r="K65">
            <v>0</v>
          </cell>
          <cell r="L65">
            <v>55</v>
          </cell>
          <cell r="M65">
            <v>0</v>
          </cell>
          <cell r="N65">
            <v>0</v>
          </cell>
          <cell r="O65">
            <v>18</v>
          </cell>
          <cell r="P65">
            <v>1</v>
          </cell>
          <cell r="Q65">
            <v>0</v>
          </cell>
          <cell r="R65">
            <v>427</v>
          </cell>
          <cell r="S65">
            <v>146</v>
          </cell>
          <cell r="T65">
            <v>1842.5</v>
          </cell>
          <cell r="U65">
            <v>0</v>
          </cell>
        </row>
        <row r="66">
          <cell r="F66">
            <v>891860</v>
          </cell>
          <cell r="G66" t="str">
            <v>Stredná odborná škola drevárska</v>
          </cell>
          <cell r="H66" t="str">
            <v>Topoľčany</v>
          </cell>
          <cell r="I66" t="str">
            <v>Pílska 7</v>
          </cell>
          <cell r="J66">
            <v>5</v>
          </cell>
          <cell r="K66">
            <v>0</v>
          </cell>
          <cell r="L66">
            <v>21</v>
          </cell>
          <cell r="M66">
            <v>0</v>
          </cell>
          <cell r="N66">
            <v>0</v>
          </cell>
          <cell r="O66">
            <v>14</v>
          </cell>
          <cell r="P66">
            <v>0</v>
          </cell>
          <cell r="Q66">
            <v>0</v>
          </cell>
          <cell r="R66">
            <v>192</v>
          </cell>
          <cell r="S66">
            <v>0</v>
          </cell>
          <cell r="T66">
            <v>703.5</v>
          </cell>
          <cell r="U66">
            <v>145.80000000000001</v>
          </cell>
        </row>
        <row r="67">
          <cell r="F67">
            <v>893480</v>
          </cell>
          <cell r="G67" t="str">
            <v>Stredná odborná škola obchodu a služieb</v>
          </cell>
          <cell r="H67" t="str">
            <v>Topoľčany</v>
          </cell>
          <cell r="I67" t="str">
            <v>T. Vansovej 2</v>
          </cell>
          <cell r="J67">
            <v>13</v>
          </cell>
          <cell r="K67">
            <v>3</v>
          </cell>
          <cell r="L67">
            <v>39</v>
          </cell>
          <cell r="M67">
            <v>8</v>
          </cell>
          <cell r="N67">
            <v>11</v>
          </cell>
          <cell r="O67">
            <v>16</v>
          </cell>
          <cell r="P67">
            <v>1</v>
          </cell>
          <cell r="Q67">
            <v>93</v>
          </cell>
          <cell r="R67">
            <v>294</v>
          </cell>
          <cell r="S67">
            <v>119</v>
          </cell>
          <cell r="T67">
            <v>1306.5</v>
          </cell>
          <cell r="U67">
            <v>227.95</v>
          </cell>
        </row>
        <row r="68">
          <cell r="F68">
            <v>17054249</v>
          </cell>
          <cell r="G68" t="str">
            <v>Stredná odborná škola potravinárska</v>
          </cell>
          <cell r="H68" t="str">
            <v>Topoľčany</v>
          </cell>
          <cell r="I68" t="str">
            <v>Krušovská 2091</v>
          </cell>
          <cell r="J68">
            <v>2</v>
          </cell>
          <cell r="K68">
            <v>0</v>
          </cell>
          <cell r="L68">
            <v>7</v>
          </cell>
          <cell r="M68">
            <v>0</v>
          </cell>
          <cell r="N68">
            <v>0</v>
          </cell>
          <cell r="O68">
            <v>2</v>
          </cell>
          <cell r="P68">
            <v>0</v>
          </cell>
          <cell r="Q68">
            <v>0</v>
          </cell>
          <cell r="R68">
            <v>59</v>
          </cell>
          <cell r="S68">
            <v>0</v>
          </cell>
          <cell r="T68">
            <v>234.5</v>
          </cell>
          <cell r="U68">
            <v>0</v>
          </cell>
        </row>
        <row r="69">
          <cell r="F69">
            <v>159093</v>
          </cell>
          <cell r="G69" t="str">
            <v>Stredná odborná škola polytechnická</v>
          </cell>
          <cell r="H69" t="str">
            <v>Zlaté Moravce</v>
          </cell>
          <cell r="I69" t="str">
            <v>Ul. SNP 2</v>
          </cell>
          <cell r="J69">
            <v>13</v>
          </cell>
          <cell r="K69">
            <v>5</v>
          </cell>
          <cell r="L69">
            <v>66</v>
          </cell>
          <cell r="M69">
            <v>12</v>
          </cell>
          <cell r="N69">
            <v>12</v>
          </cell>
          <cell r="O69">
            <v>18</v>
          </cell>
          <cell r="P69">
            <v>2</v>
          </cell>
          <cell r="Q69">
            <v>91</v>
          </cell>
          <cell r="R69">
            <v>345</v>
          </cell>
          <cell r="S69">
            <v>96</v>
          </cell>
          <cell r="T69">
            <v>2211</v>
          </cell>
          <cell r="U69">
            <v>519.83000000000004</v>
          </cell>
        </row>
        <row r="70">
          <cell r="F70">
            <v>160482</v>
          </cell>
          <cell r="G70" t="str">
            <v>Gymnázium Janka Kráľa</v>
          </cell>
          <cell r="H70" t="str">
            <v>Zlaté Moravce</v>
          </cell>
          <cell r="I70" t="str">
            <v>Slov.národ.povstania 3</v>
          </cell>
          <cell r="J70">
            <v>11</v>
          </cell>
          <cell r="K70">
            <v>0</v>
          </cell>
          <cell r="L70">
            <v>38</v>
          </cell>
          <cell r="M70">
            <v>0</v>
          </cell>
          <cell r="N70">
            <v>0</v>
          </cell>
          <cell r="O70">
            <v>12</v>
          </cell>
          <cell r="P70">
            <v>1</v>
          </cell>
          <cell r="Q70">
            <v>0</v>
          </cell>
          <cell r="R70">
            <v>381</v>
          </cell>
          <cell r="S70">
            <v>126</v>
          </cell>
          <cell r="T70">
            <v>1273</v>
          </cell>
          <cell r="U70">
            <v>262.05</v>
          </cell>
        </row>
        <row r="71">
          <cell r="F71">
            <v>893129</v>
          </cell>
          <cell r="G71" t="str">
            <v>Stredná odborná škola technická</v>
          </cell>
          <cell r="H71" t="str">
            <v>Zlaté Moravce</v>
          </cell>
          <cell r="I71" t="str">
            <v>Ul. 1. mája 22</v>
          </cell>
          <cell r="J71">
            <v>7</v>
          </cell>
          <cell r="K71">
            <v>0</v>
          </cell>
          <cell r="L71">
            <v>19</v>
          </cell>
          <cell r="M71">
            <v>0</v>
          </cell>
          <cell r="N71">
            <v>0</v>
          </cell>
          <cell r="O71">
            <v>11</v>
          </cell>
          <cell r="P71">
            <v>0</v>
          </cell>
          <cell r="Q71">
            <v>0</v>
          </cell>
          <cell r="R71">
            <v>89</v>
          </cell>
          <cell r="S71">
            <v>0</v>
          </cell>
          <cell r="T71">
            <v>636.5</v>
          </cell>
          <cell r="U71">
            <v>6.8</v>
          </cell>
        </row>
        <row r="72">
          <cell r="F72">
            <v>893498</v>
          </cell>
          <cell r="G72" t="str">
            <v>Stredná odborná škola obchodu a služieb</v>
          </cell>
          <cell r="H72" t="str">
            <v>Zlaté Moravce</v>
          </cell>
          <cell r="I72" t="str">
            <v>Slov.národ.povstania 5</v>
          </cell>
          <cell r="J72">
            <v>6</v>
          </cell>
          <cell r="K72">
            <v>0</v>
          </cell>
          <cell r="L72">
            <v>28</v>
          </cell>
          <cell r="M72">
            <v>0</v>
          </cell>
          <cell r="N72">
            <v>0</v>
          </cell>
          <cell r="O72">
            <v>6</v>
          </cell>
          <cell r="P72">
            <v>1</v>
          </cell>
          <cell r="Q72">
            <v>0</v>
          </cell>
          <cell r="R72">
            <v>132</v>
          </cell>
          <cell r="S72">
            <v>50</v>
          </cell>
          <cell r="T72">
            <v>938</v>
          </cell>
          <cell r="U72">
            <v>211.47</v>
          </cell>
        </row>
        <row r="73">
          <cell r="F73">
            <v>34005153</v>
          </cell>
          <cell r="G73" t="str">
            <v>Obchodná akadémia</v>
          </cell>
          <cell r="H73" t="str">
            <v>Zlaté Moravce</v>
          </cell>
          <cell r="I73" t="str">
            <v>Bernolákova 26</v>
          </cell>
          <cell r="J73">
            <v>5</v>
          </cell>
          <cell r="K73">
            <v>0</v>
          </cell>
          <cell r="L73">
            <v>11</v>
          </cell>
          <cell r="M73">
            <v>0</v>
          </cell>
          <cell r="N73">
            <v>1</v>
          </cell>
          <cell r="O73">
            <v>5</v>
          </cell>
          <cell r="P73">
            <v>0</v>
          </cell>
          <cell r="Q73">
            <v>45</v>
          </cell>
          <cell r="R73">
            <v>79</v>
          </cell>
          <cell r="S73">
            <v>0</v>
          </cell>
          <cell r="T73">
            <v>368.5</v>
          </cell>
          <cell r="U73">
            <v>0</v>
          </cell>
        </row>
        <row r="74">
          <cell r="F74">
            <v>52089291</v>
          </cell>
          <cell r="G74" t="str">
            <v>Cirkevná stredná odborná škola sv.Terézie z Lisieux</v>
          </cell>
          <cell r="H74" t="str">
            <v>Bánovce nad Bebravou</v>
          </cell>
          <cell r="I74" t="str">
            <v>Farská 5</v>
          </cell>
          <cell r="J74">
            <v>1</v>
          </cell>
          <cell r="K74">
            <v>0</v>
          </cell>
          <cell r="L74">
            <v>7</v>
          </cell>
          <cell r="M74">
            <v>0</v>
          </cell>
          <cell r="N74">
            <v>0</v>
          </cell>
          <cell r="O74">
            <v>2</v>
          </cell>
          <cell r="P74">
            <v>0</v>
          </cell>
          <cell r="Q74">
            <v>0</v>
          </cell>
          <cell r="R74">
            <v>80</v>
          </cell>
          <cell r="S74">
            <v>0</v>
          </cell>
          <cell r="T74">
            <v>234.5</v>
          </cell>
          <cell r="U74">
            <v>0</v>
          </cell>
        </row>
        <row r="75">
          <cell r="F75">
            <v>31824986</v>
          </cell>
          <cell r="G75" t="str">
            <v>Piaristická spojená škola sv. Jozefa Kalazanského</v>
          </cell>
          <cell r="H75" t="str">
            <v>Nitra</v>
          </cell>
          <cell r="I75" t="str">
            <v>Piaristická 6</v>
          </cell>
          <cell r="J75">
            <v>18</v>
          </cell>
          <cell r="K75">
            <v>0</v>
          </cell>
          <cell r="L75">
            <v>53</v>
          </cell>
          <cell r="M75">
            <v>0</v>
          </cell>
          <cell r="N75">
            <v>0</v>
          </cell>
          <cell r="O75">
            <v>20</v>
          </cell>
          <cell r="P75">
            <v>1</v>
          </cell>
          <cell r="Q75">
            <v>0</v>
          </cell>
          <cell r="R75">
            <v>471</v>
          </cell>
          <cell r="S75">
            <v>122</v>
          </cell>
          <cell r="T75">
            <v>1775.5</v>
          </cell>
          <cell r="U75">
            <v>0</v>
          </cell>
        </row>
        <row r="76">
          <cell r="F76">
            <v>17055351</v>
          </cell>
          <cell r="G76" t="str">
            <v>Spojená katolícka škola</v>
          </cell>
          <cell r="H76" t="str">
            <v>Nitra</v>
          </cell>
          <cell r="I76" t="str">
            <v>Farská 19</v>
          </cell>
          <cell r="J76">
            <v>14</v>
          </cell>
          <cell r="K76">
            <v>0</v>
          </cell>
          <cell r="L76">
            <v>49</v>
          </cell>
          <cell r="M76">
            <v>0</v>
          </cell>
          <cell r="N76">
            <v>1</v>
          </cell>
          <cell r="O76">
            <v>15</v>
          </cell>
          <cell r="P76">
            <v>1</v>
          </cell>
          <cell r="Q76">
            <v>7</v>
          </cell>
          <cell r="R76">
            <v>597</v>
          </cell>
          <cell r="S76">
            <v>160</v>
          </cell>
          <cell r="T76">
            <v>1641.5</v>
          </cell>
          <cell r="U76">
            <v>0</v>
          </cell>
        </row>
        <row r="77">
          <cell r="F77">
            <v>35662867</v>
          </cell>
          <cell r="G77" t="str">
            <v>Piaristická spojená škola Františka Hanáka</v>
          </cell>
          <cell r="H77" t="str">
            <v>Prievidza</v>
          </cell>
          <cell r="I77" t="str">
            <v>A. Hlinku 44</v>
          </cell>
          <cell r="J77">
            <v>16</v>
          </cell>
          <cell r="K77">
            <v>0</v>
          </cell>
          <cell r="L77">
            <v>48</v>
          </cell>
          <cell r="M77">
            <v>0</v>
          </cell>
          <cell r="N77">
            <v>1</v>
          </cell>
          <cell r="O77">
            <v>16</v>
          </cell>
          <cell r="P77">
            <v>0</v>
          </cell>
          <cell r="Q77">
            <v>2</v>
          </cell>
          <cell r="R77">
            <v>475</v>
          </cell>
          <cell r="S77">
            <v>0</v>
          </cell>
          <cell r="T77">
            <v>1608</v>
          </cell>
          <cell r="U77">
            <v>309.5</v>
          </cell>
        </row>
        <row r="78">
          <cell r="F78">
            <v>54023998</v>
          </cell>
          <cell r="G78" t="str">
            <v>Spojená škola Reformovanej kresťanskej cirkvi</v>
          </cell>
          <cell r="H78" t="str">
            <v>Rimavská Sobota</v>
          </cell>
          <cell r="I78" t="str">
            <v>Daxnerova 10/42</v>
          </cell>
          <cell r="J78">
            <v>6</v>
          </cell>
          <cell r="K78">
            <v>0</v>
          </cell>
          <cell r="L78">
            <v>9</v>
          </cell>
          <cell r="M78">
            <v>0</v>
          </cell>
          <cell r="N78">
            <v>2</v>
          </cell>
          <cell r="O78">
            <v>7</v>
          </cell>
          <cell r="P78">
            <v>0</v>
          </cell>
          <cell r="Q78">
            <v>22</v>
          </cell>
          <cell r="R78">
            <v>47</v>
          </cell>
          <cell r="S78">
            <v>0</v>
          </cell>
          <cell r="T78">
            <v>301.5</v>
          </cell>
          <cell r="U78">
            <v>40.4</v>
          </cell>
        </row>
        <row r="79">
          <cell r="F79">
            <v>607355</v>
          </cell>
          <cell r="G79" t="str">
            <v>Stredná zdravotnícka škola sv. Vincenta de Paul</v>
          </cell>
          <cell r="H79" t="str">
            <v>Topoľčany</v>
          </cell>
          <cell r="I79" t="str">
            <v>17. novembra 1056</v>
          </cell>
          <cell r="J79">
            <v>4</v>
          </cell>
          <cell r="K79">
            <v>0</v>
          </cell>
          <cell r="L79">
            <v>22</v>
          </cell>
          <cell r="M79">
            <v>0</v>
          </cell>
          <cell r="N79">
            <v>0</v>
          </cell>
          <cell r="O79">
            <v>7</v>
          </cell>
          <cell r="P79">
            <v>0</v>
          </cell>
          <cell r="Q79">
            <v>0</v>
          </cell>
          <cell r="R79">
            <v>203</v>
          </cell>
          <cell r="S79">
            <v>0</v>
          </cell>
          <cell r="T79">
            <v>737</v>
          </cell>
          <cell r="U79">
            <v>1386.96</v>
          </cell>
        </row>
        <row r="80">
          <cell r="F80">
            <v>588024</v>
          </cell>
          <cell r="G80" t="str">
            <v>Piaristické gymnázium Jozefa Braneckého</v>
          </cell>
          <cell r="H80" t="str">
            <v>Trenčín</v>
          </cell>
          <cell r="I80" t="str">
            <v>Palackého 4</v>
          </cell>
          <cell r="J80">
            <v>13</v>
          </cell>
          <cell r="K80">
            <v>0</v>
          </cell>
          <cell r="L80">
            <v>38</v>
          </cell>
          <cell r="M80">
            <v>0</v>
          </cell>
          <cell r="N80">
            <v>0</v>
          </cell>
          <cell r="O80">
            <v>12</v>
          </cell>
          <cell r="P80">
            <v>1</v>
          </cell>
          <cell r="Q80">
            <v>0</v>
          </cell>
          <cell r="R80">
            <v>334</v>
          </cell>
          <cell r="S80">
            <v>103</v>
          </cell>
          <cell r="T80">
            <v>1273</v>
          </cell>
          <cell r="U80">
            <v>262.89999999999998</v>
          </cell>
        </row>
        <row r="81">
          <cell r="F81">
            <v>42014891</v>
          </cell>
          <cell r="G81" t="str">
            <v>Stredná odborná škola pedagogická sv. Andreja-Svorada a Benedikta</v>
          </cell>
          <cell r="H81" t="str">
            <v>Trenčín</v>
          </cell>
          <cell r="I81" t="str">
            <v>1. mája 7</v>
          </cell>
          <cell r="J81">
            <v>5</v>
          </cell>
          <cell r="K81">
            <v>0</v>
          </cell>
          <cell r="L81">
            <v>22</v>
          </cell>
          <cell r="M81">
            <v>0</v>
          </cell>
          <cell r="N81">
            <v>0</v>
          </cell>
          <cell r="O81">
            <v>6</v>
          </cell>
          <cell r="P81">
            <v>1</v>
          </cell>
          <cell r="Q81">
            <v>0</v>
          </cell>
          <cell r="R81">
            <v>177</v>
          </cell>
          <cell r="S81">
            <v>84</v>
          </cell>
          <cell r="T81">
            <v>737</v>
          </cell>
          <cell r="U81">
            <v>0</v>
          </cell>
        </row>
        <row r="82">
          <cell r="F82">
            <v>30022754</v>
          </cell>
          <cell r="G82" t="str">
            <v>Súkromné bilingválne gymnázium</v>
          </cell>
          <cell r="H82" t="str">
            <v>Galanta</v>
          </cell>
          <cell r="I82" t="str">
            <v>Hodská 10</v>
          </cell>
          <cell r="J82">
            <v>2</v>
          </cell>
          <cell r="K82">
            <v>0</v>
          </cell>
          <cell r="L82">
            <v>2</v>
          </cell>
          <cell r="M82">
            <v>0</v>
          </cell>
          <cell r="N82">
            <v>1</v>
          </cell>
          <cell r="O82">
            <v>1</v>
          </cell>
          <cell r="P82">
            <v>0</v>
          </cell>
          <cell r="Q82">
            <v>2</v>
          </cell>
          <cell r="R82">
            <v>5</v>
          </cell>
          <cell r="S82">
            <v>0</v>
          </cell>
          <cell r="T82">
            <v>67</v>
          </cell>
          <cell r="U82">
            <v>31.4</v>
          </cell>
        </row>
        <row r="83">
          <cell r="F83">
            <v>37966081</v>
          </cell>
          <cell r="G83" t="str">
            <v>Súkromná stredná odborná škola s vyučovacím jazykom maďarským - Magyar Tannyelvű Magán Szakközépiskola</v>
          </cell>
          <cell r="H83" t="str">
            <v>Kolárovo</v>
          </cell>
          <cell r="I83" t="str">
            <v>Slovenská 52</v>
          </cell>
          <cell r="J83">
            <v>15</v>
          </cell>
          <cell r="K83">
            <v>0</v>
          </cell>
          <cell r="L83">
            <v>42</v>
          </cell>
          <cell r="M83">
            <v>0</v>
          </cell>
          <cell r="N83">
            <v>0</v>
          </cell>
          <cell r="O83">
            <v>21</v>
          </cell>
          <cell r="P83">
            <v>2</v>
          </cell>
          <cell r="Q83">
            <v>0</v>
          </cell>
          <cell r="R83">
            <v>277</v>
          </cell>
          <cell r="S83">
            <v>40</v>
          </cell>
          <cell r="T83">
            <v>1407</v>
          </cell>
          <cell r="U83">
            <v>443.4</v>
          </cell>
        </row>
        <row r="84">
          <cell r="F84">
            <v>52829871</v>
          </cell>
          <cell r="G84" t="str">
            <v>Súkromná škola umeleckého priemyslu s vyučovacím jazykom maďarským- Iparművészeti Magániskola</v>
          </cell>
          <cell r="H84" t="str">
            <v>Kolárovo</v>
          </cell>
          <cell r="I84" t="str">
            <v>Slovenská 52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F85">
            <v>37854950</v>
          </cell>
          <cell r="G85" t="str">
            <v>Súkromná stredná odborná škola ANIMUS</v>
          </cell>
          <cell r="H85" t="str">
            <v>Nitra</v>
          </cell>
          <cell r="I85" t="str">
            <v>Akademická 4</v>
          </cell>
          <cell r="J85">
            <v>3</v>
          </cell>
          <cell r="K85">
            <v>0</v>
          </cell>
          <cell r="L85">
            <v>10</v>
          </cell>
          <cell r="M85">
            <v>0</v>
          </cell>
          <cell r="N85">
            <v>0</v>
          </cell>
          <cell r="O85">
            <v>6</v>
          </cell>
          <cell r="P85">
            <v>0</v>
          </cell>
          <cell r="Q85">
            <v>0</v>
          </cell>
          <cell r="R85">
            <v>101</v>
          </cell>
          <cell r="S85">
            <v>0</v>
          </cell>
          <cell r="T85">
            <v>335</v>
          </cell>
          <cell r="U85">
            <v>0</v>
          </cell>
        </row>
        <row r="86">
          <cell r="F86">
            <v>42124956</v>
          </cell>
          <cell r="G86" t="str">
            <v>Súkromná škola umeleckého priemyslu</v>
          </cell>
          <cell r="H86" t="str">
            <v>Nitra</v>
          </cell>
          <cell r="I86" t="str">
            <v>Samova 14</v>
          </cell>
          <cell r="J86">
            <v>3</v>
          </cell>
          <cell r="K86">
            <v>2</v>
          </cell>
          <cell r="L86">
            <v>7</v>
          </cell>
          <cell r="M86">
            <v>9</v>
          </cell>
          <cell r="N86">
            <v>1</v>
          </cell>
          <cell r="O86">
            <v>4</v>
          </cell>
          <cell r="P86">
            <v>1</v>
          </cell>
          <cell r="Q86">
            <v>38</v>
          </cell>
          <cell r="R86">
            <v>81</v>
          </cell>
          <cell r="S86">
            <v>38</v>
          </cell>
          <cell r="T86">
            <v>234.5</v>
          </cell>
          <cell r="U86">
            <v>0</v>
          </cell>
        </row>
        <row r="87">
          <cell r="F87">
            <v>37857134</v>
          </cell>
          <cell r="G87" t="str">
            <v>Súkromné konzervatórium</v>
          </cell>
          <cell r="H87" t="str">
            <v>Nitra</v>
          </cell>
          <cell r="I87" t="str">
            <v>Krčméryho 2</v>
          </cell>
          <cell r="J87">
            <v>5</v>
          </cell>
          <cell r="K87">
            <v>0</v>
          </cell>
          <cell r="L87">
            <v>32</v>
          </cell>
          <cell r="M87">
            <v>0</v>
          </cell>
          <cell r="N87">
            <v>0</v>
          </cell>
          <cell r="O87">
            <v>10</v>
          </cell>
          <cell r="P87">
            <v>3</v>
          </cell>
          <cell r="Q87">
            <v>0</v>
          </cell>
          <cell r="R87">
            <v>133</v>
          </cell>
          <cell r="S87">
            <v>37</v>
          </cell>
          <cell r="T87">
            <v>1072</v>
          </cell>
          <cell r="U87">
            <v>0</v>
          </cell>
        </row>
        <row r="88">
          <cell r="F88">
            <v>37853163</v>
          </cell>
          <cell r="G88" t="str">
            <v>Súkromná spojená škola</v>
          </cell>
          <cell r="H88" t="str">
            <v>Štúrovo</v>
          </cell>
          <cell r="I88" t="str">
            <v>Sv. Štefana 36</v>
          </cell>
          <cell r="J88">
            <v>8</v>
          </cell>
          <cell r="K88">
            <v>0</v>
          </cell>
          <cell r="L88">
            <v>25</v>
          </cell>
          <cell r="M88">
            <v>0</v>
          </cell>
          <cell r="N88">
            <v>4</v>
          </cell>
          <cell r="O88">
            <v>10</v>
          </cell>
          <cell r="P88">
            <v>1</v>
          </cell>
          <cell r="Q88">
            <v>90</v>
          </cell>
          <cell r="R88">
            <v>159</v>
          </cell>
          <cell r="S88">
            <v>26</v>
          </cell>
          <cell r="T88">
            <v>837.5</v>
          </cell>
          <cell r="U88">
            <v>0</v>
          </cell>
        </row>
        <row r="89">
          <cell r="F89">
            <v>37853899</v>
          </cell>
          <cell r="G89" t="str">
            <v>Súkromná stredná odborná škola pedagogická</v>
          </cell>
          <cell r="H89" t="str">
            <v>Topoľčany</v>
          </cell>
          <cell r="I89" t="str">
            <v>Gagarinova 2490/13</v>
          </cell>
          <cell r="J89">
            <v>4</v>
          </cell>
          <cell r="K89">
            <v>0</v>
          </cell>
          <cell r="L89">
            <v>15</v>
          </cell>
          <cell r="M89">
            <v>0</v>
          </cell>
          <cell r="N89">
            <v>0</v>
          </cell>
          <cell r="O89">
            <v>5</v>
          </cell>
          <cell r="P89">
            <v>0</v>
          </cell>
          <cell r="Q89">
            <v>0</v>
          </cell>
          <cell r="R89">
            <v>201</v>
          </cell>
          <cell r="S89">
            <v>0</v>
          </cell>
          <cell r="T89">
            <v>502.5</v>
          </cell>
          <cell r="U89">
            <v>0</v>
          </cell>
        </row>
        <row r="90">
          <cell r="F90">
            <v>42120411</v>
          </cell>
          <cell r="G90" t="str">
            <v>Súkromná škola umeleckého priemyslu</v>
          </cell>
          <cell r="H90" t="str">
            <v>Topoľčany</v>
          </cell>
          <cell r="I90" t="str">
            <v>Gagarinova 2490/13</v>
          </cell>
          <cell r="J90">
            <v>2</v>
          </cell>
          <cell r="K90">
            <v>0</v>
          </cell>
          <cell r="L90">
            <v>3</v>
          </cell>
          <cell r="M90">
            <v>0</v>
          </cell>
          <cell r="N90">
            <v>0</v>
          </cell>
          <cell r="O90">
            <v>2</v>
          </cell>
          <cell r="P90">
            <v>0</v>
          </cell>
          <cell r="Q90">
            <v>0</v>
          </cell>
          <cell r="R90">
            <v>9</v>
          </cell>
          <cell r="S90">
            <v>0</v>
          </cell>
          <cell r="T90">
            <v>100.5</v>
          </cell>
          <cell r="U90">
            <v>0</v>
          </cell>
        </row>
        <row r="91">
          <cell r="F91">
            <v>42120420</v>
          </cell>
          <cell r="G91" t="str">
            <v>Súkromné konzervatórium Dezidera Kardoša</v>
          </cell>
          <cell r="H91" t="str">
            <v>Topoľčany</v>
          </cell>
          <cell r="I91" t="str">
            <v>Gagarinova 2490/13</v>
          </cell>
          <cell r="J91">
            <v>6</v>
          </cell>
          <cell r="K91">
            <v>0</v>
          </cell>
          <cell r="L91">
            <v>24</v>
          </cell>
          <cell r="M91">
            <v>0</v>
          </cell>
          <cell r="N91">
            <v>0</v>
          </cell>
          <cell r="O91">
            <v>10</v>
          </cell>
          <cell r="P91">
            <v>0</v>
          </cell>
          <cell r="Q91">
            <v>0</v>
          </cell>
          <cell r="R91">
            <v>228</v>
          </cell>
          <cell r="S91">
            <v>0</v>
          </cell>
          <cell r="T91">
            <v>804</v>
          </cell>
          <cell r="U91">
            <v>0</v>
          </cell>
        </row>
        <row r="92">
          <cell r="F92">
            <v>37858131</v>
          </cell>
          <cell r="G92" t="str">
            <v>Súkromná stredná odborná škola, s vyučovacím jazykom maďarským, Magán Szakközépiskola</v>
          </cell>
          <cell r="H92" t="str">
            <v>Dolné Obdokovce</v>
          </cell>
          <cell r="I92" t="str">
            <v>Dolné Obdokovce 71</v>
          </cell>
          <cell r="J92">
            <v>0</v>
          </cell>
          <cell r="K92">
            <v>6</v>
          </cell>
          <cell r="L92">
            <v>0</v>
          </cell>
          <cell r="M92">
            <v>13</v>
          </cell>
          <cell r="N92">
            <v>4</v>
          </cell>
          <cell r="O92">
            <v>6</v>
          </cell>
          <cell r="P92">
            <v>1</v>
          </cell>
          <cell r="Q92">
            <v>40</v>
          </cell>
          <cell r="R92">
            <v>28</v>
          </cell>
          <cell r="S92">
            <v>12</v>
          </cell>
          <cell r="T92">
            <v>0</v>
          </cell>
          <cell r="U92">
            <v>0</v>
          </cell>
        </row>
        <row r="93">
          <cell r="F93">
            <v>37863932</v>
          </cell>
          <cell r="G93" t="str">
            <v xml:space="preserve">ZŠ s MŠ Ondreja Cabana </v>
          </cell>
          <cell r="H93" t="str">
            <v>Komjatice</v>
          </cell>
          <cell r="I93" t="str">
            <v>Námestie A. Cabana 36</v>
          </cell>
          <cell r="J93">
            <v>1</v>
          </cell>
          <cell r="K93">
            <v>0</v>
          </cell>
          <cell r="L93">
            <v>2</v>
          </cell>
          <cell r="M93">
            <v>0</v>
          </cell>
          <cell r="N93">
            <v>1</v>
          </cell>
          <cell r="O93">
            <v>0</v>
          </cell>
          <cell r="P93">
            <v>0</v>
          </cell>
          <cell r="Q93">
            <v>19</v>
          </cell>
          <cell r="R93">
            <v>0</v>
          </cell>
          <cell r="S93">
            <v>0</v>
          </cell>
          <cell r="T93">
            <v>67</v>
          </cell>
          <cell r="U93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>
        <row r="344">
          <cell r="F344">
            <v>50593030</v>
          </cell>
          <cell r="G344" t="str">
            <v>Spojená škola internátna</v>
          </cell>
          <cell r="H344" t="str">
            <v>Bytča</v>
          </cell>
          <cell r="I344" t="str">
            <v>Mičurova 364/1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</row>
        <row r="345">
          <cell r="F345">
            <v>160563</v>
          </cell>
          <cell r="G345" t="str">
            <v>Gymnázium Jozefa Miloslava Hurbana</v>
          </cell>
          <cell r="H345" t="str">
            <v>Čadca</v>
          </cell>
          <cell r="I345" t="str">
            <v>17. novembra 1296</v>
          </cell>
          <cell r="J345">
            <v>29</v>
          </cell>
          <cell r="K345">
            <v>0</v>
          </cell>
          <cell r="L345">
            <v>70</v>
          </cell>
          <cell r="M345">
            <v>0</v>
          </cell>
          <cell r="N345">
            <v>6</v>
          </cell>
          <cell r="O345">
            <v>27</v>
          </cell>
          <cell r="P345">
            <v>3</v>
          </cell>
          <cell r="Q345">
            <v>82</v>
          </cell>
          <cell r="R345">
            <v>491</v>
          </cell>
          <cell r="S345">
            <v>131</v>
          </cell>
          <cell r="T345">
            <v>2345</v>
          </cell>
          <cell r="U345">
            <v>652.22</v>
          </cell>
        </row>
        <row r="346">
          <cell r="F346">
            <v>37982567</v>
          </cell>
          <cell r="G346" t="str">
            <v>Spojená škola</v>
          </cell>
          <cell r="H346" t="str">
            <v>Čadca</v>
          </cell>
          <cell r="I346" t="str">
            <v>Palárikova 2758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</row>
        <row r="347">
          <cell r="F347">
            <v>593125</v>
          </cell>
          <cell r="G347" t="str">
            <v>Spojená škola internátna</v>
          </cell>
          <cell r="H347" t="str">
            <v>Kysucké Nové Mesto</v>
          </cell>
          <cell r="I347" t="str">
            <v>Murgašova 580</v>
          </cell>
          <cell r="J347">
            <v>2</v>
          </cell>
          <cell r="K347">
            <v>0</v>
          </cell>
          <cell r="L347">
            <v>7</v>
          </cell>
          <cell r="M347">
            <v>0</v>
          </cell>
          <cell r="N347">
            <v>0</v>
          </cell>
          <cell r="O347">
            <v>6</v>
          </cell>
          <cell r="P347">
            <v>0</v>
          </cell>
          <cell r="Q347">
            <v>0</v>
          </cell>
          <cell r="R347">
            <v>94</v>
          </cell>
          <cell r="S347">
            <v>0</v>
          </cell>
          <cell r="T347">
            <v>234.5</v>
          </cell>
          <cell r="U347">
            <v>48.6</v>
          </cell>
        </row>
        <row r="348">
          <cell r="F348">
            <v>493775</v>
          </cell>
          <cell r="G348" t="str">
            <v>Odborné učilište internátne</v>
          </cell>
          <cell r="H348" t="str">
            <v>Liptovský Mikuláš</v>
          </cell>
          <cell r="I348" t="str">
            <v>Janka Alexyho 1942</v>
          </cell>
          <cell r="J348">
            <v>1</v>
          </cell>
          <cell r="K348">
            <v>0</v>
          </cell>
          <cell r="L348">
            <v>3</v>
          </cell>
          <cell r="M348">
            <v>0</v>
          </cell>
          <cell r="N348">
            <v>0</v>
          </cell>
          <cell r="O348">
            <v>1</v>
          </cell>
          <cell r="P348">
            <v>0</v>
          </cell>
          <cell r="Q348">
            <v>0</v>
          </cell>
          <cell r="R348">
            <v>3</v>
          </cell>
          <cell r="S348">
            <v>0</v>
          </cell>
          <cell r="T348">
            <v>100.5</v>
          </cell>
          <cell r="U348">
            <v>0</v>
          </cell>
        </row>
        <row r="349">
          <cell r="F349">
            <v>36133442</v>
          </cell>
          <cell r="G349" t="str">
            <v>Odborné učilište</v>
          </cell>
          <cell r="H349" t="str">
            <v>Martin</v>
          </cell>
          <cell r="I349" t="str">
            <v>Stavbárska 11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</row>
        <row r="350">
          <cell r="F350">
            <v>36134252</v>
          </cell>
          <cell r="G350" t="str">
            <v>Špeciálna základná škola</v>
          </cell>
          <cell r="H350" t="str">
            <v>Martin</v>
          </cell>
          <cell r="I350" t="str">
            <v>P. Mudroňa 46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</row>
        <row r="351">
          <cell r="F351">
            <v>627844</v>
          </cell>
          <cell r="G351" t="str">
            <v>Bilingválne gymnázium Milana Hodžu</v>
          </cell>
          <cell r="H351" t="str">
            <v>Sučany</v>
          </cell>
          <cell r="I351" t="str">
            <v>Komenského 215</v>
          </cell>
          <cell r="J351">
            <v>17</v>
          </cell>
          <cell r="K351">
            <v>0</v>
          </cell>
          <cell r="L351">
            <v>37</v>
          </cell>
          <cell r="M351">
            <v>0</v>
          </cell>
          <cell r="N351">
            <v>3</v>
          </cell>
          <cell r="O351">
            <v>14</v>
          </cell>
          <cell r="P351">
            <v>1</v>
          </cell>
          <cell r="Q351">
            <v>18</v>
          </cell>
          <cell r="R351">
            <v>335</v>
          </cell>
          <cell r="S351">
            <v>135</v>
          </cell>
          <cell r="T351">
            <v>1239.5</v>
          </cell>
          <cell r="U351">
            <v>68.510000000000005</v>
          </cell>
        </row>
        <row r="352">
          <cell r="F352">
            <v>37982702</v>
          </cell>
          <cell r="G352" t="str">
            <v>Spojená škola internátna</v>
          </cell>
          <cell r="H352" t="str">
            <v>Námestovo</v>
          </cell>
          <cell r="I352" t="str">
            <v>M. Urbana 160/45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</row>
        <row r="353">
          <cell r="F353">
            <v>160822</v>
          </cell>
          <cell r="G353" t="str">
            <v>Gymnázium Martina Hattalu</v>
          </cell>
          <cell r="H353" t="str">
            <v>Trstená</v>
          </cell>
          <cell r="I353" t="str">
            <v>Železničiarov 278</v>
          </cell>
          <cell r="J353">
            <v>17</v>
          </cell>
          <cell r="K353">
            <v>0</v>
          </cell>
          <cell r="L353">
            <v>36</v>
          </cell>
          <cell r="M353">
            <v>0</v>
          </cell>
          <cell r="N353">
            <v>1</v>
          </cell>
          <cell r="O353">
            <v>17</v>
          </cell>
          <cell r="P353">
            <v>1</v>
          </cell>
          <cell r="Q353">
            <v>1</v>
          </cell>
          <cell r="R353">
            <v>338</v>
          </cell>
          <cell r="S353">
            <v>95</v>
          </cell>
          <cell r="T353">
            <v>1206</v>
          </cell>
          <cell r="U353">
            <v>34.1</v>
          </cell>
        </row>
        <row r="354">
          <cell r="F354">
            <v>36148563</v>
          </cell>
          <cell r="G354" t="str">
            <v>Gymnázium bilingválne</v>
          </cell>
          <cell r="H354" t="str">
            <v>Žilina</v>
          </cell>
          <cell r="I354" t="str">
            <v>Tomáša Ružičku 3</v>
          </cell>
          <cell r="J354">
            <v>13</v>
          </cell>
          <cell r="K354">
            <v>0</v>
          </cell>
          <cell r="L354">
            <v>33</v>
          </cell>
          <cell r="M354">
            <v>0</v>
          </cell>
          <cell r="N354">
            <v>0</v>
          </cell>
          <cell r="O354">
            <v>14</v>
          </cell>
          <cell r="P354">
            <v>1</v>
          </cell>
          <cell r="Q354">
            <v>0</v>
          </cell>
          <cell r="R354">
            <v>260</v>
          </cell>
          <cell r="S354">
            <v>27</v>
          </cell>
          <cell r="T354">
            <v>1105.5</v>
          </cell>
          <cell r="U354">
            <v>61.2</v>
          </cell>
        </row>
        <row r="355">
          <cell r="F355">
            <v>36142131</v>
          </cell>
          <cell r="G355" t="str">
            <v>Spojená škola internátna</v>
          </cell>
          <cell r="H355" t="str">
            <v>Žilina</v>
          </cell>
          <cell r="I355" t="str">
            <v>Fatranská 3321/22</v>
          </cell>
          <cell r="J355">
            <v>4</v>
          </cell>
          <cell r="K355">
            <v>0</v>
          </cell>
          <cell r="L355">
            <v>9</v>
          </cell>
          <cell r="M355">
            <v>0</v>
          </cell>
          <cell r="N355">
            <v>0</v>
          </cell>
          <cell r="O355">
            <v>8</v>
          </cell>
          <cell r="P355">
            <v>0</v>
          </cell>
          <cell r="Q355">
            <v>0</v>
          </cell>
          <cell r="R355">
            <v>38</v>
          </cell>
          <cell r="S355">
            <v>0</v>
          </cell>
          <cell r="T355">
            <v>301.5</v>
          </cell>
          <cell r="U355">
            <v>47.7</v>
          </cell>
        </row>
        <row r="356">
          <cell r="F356">
            <v>160555</v>
          </cell>
          <cell r="G356" t="str">
            <v>Gymnázium</v>
          </cell>
          <cell r="H356" t="str">
            <v>Bytča</v>
          </cell>
          <cell r="I356" t="str">
            <v>Štefánikova 219/4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</row>
        <row r="357">
          <cell r="F357">
            <v>162043</v>
          </cell>
          <cell r="G357" t="str">
            <v>Obchodná akadémia Dušana Metoda Janotu</v>
          </cell>
          <cell r="H357" t="str">
            <v>Čadca</v>
          </cell>
          <cell r="I357" t="str">
            <v>17. novembra 2701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</row>
        <row r="358">
          <cell r="F358">
            <v>695041</v>
          </cell>
          <cell r="G358" t="str">
            <v>Stredná odborná škola obchodu a služieb</v>
          </cell>
          <cell r="H358" t="str">
            <v>Čadca</v>
          </cell>
          <cell r="I358" t="str">
            <v>Ul. 17. novembra 2579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</row>
        <row r="359">
          <cell r="F359">
            <v>891452</v>
          </cell>
          <cell r="G359" t="str">
            <v>Stredná odborná škola technická</v>
          </cell>
          <cell r="H359" t="str">
            <v>Čadca</v>
          </cell>
          <cell r="I359" t="str">
            <v>Okružná 693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</row>
        <row r="360">
          <cell r="F360">
            <v>891835</v>
          </cell>
          <cell r="G360" t="str">
            <v>Stredná odborná škola drevárska a stavebná</v>
          </cell>
          <cell r="H360" t="str">
            <v>Krásno nad Kysucou</v>
          </cell>
          <cell r="I360" t="str">
            <v>Krásno nad Kysucou 1642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</row>
        <row r="361">
          <cell r="F361">
            <v>160849</v>
          </cell>
          <cell r="G361" t="str">
            <v>Gymnázium</v>
          </cell>
          <cell r="H361" t="str">
            <v>Turzovka</v>
          </cell>
          <cell r="I361" t="str">
            <v>Ľ. Štúra 35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</row>
        <row r="362">
          <cell r="F362">
            <v>160571</v>
          </cell>
          <cell r="G362" t="str">
            <v>Gymnázium Pavla Országha Hviezdoslava</v>
          </cell>
          <cell r="H362" t="str">
            <v>Dolný Kubín</v>
          </cell>
          <cell r="I362" t="str">
            <v>Hviezdoslavovo nám. 18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</row>
        <row r="363">
          <cell r="F363">
            <v>162051</v>
          </cell>
          <cell r="G363" t="str">
            <v>Obchodná akadémia</v>
          </cell>
          <cell r="H363" t="str">
            <v>Dolný Kubín</v>
          </cell>
          <cell r="I363" t="str">
            <v>Radlinského 1725/55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</row>
        <row r="364">
          <cell r="F364">
            <v>158518</v>
          </cell>
          <cell r="G364" t="str">
            <v>Stredná odborná škola obchodu a služieb</v>
          </cell>
          <cell r="H364" t="str">
            <v>Dolný Kubín</v>
          </cell>
          <cell r="I364" t="str">
            <v>Pelhřimovská 1186/10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</row>
        <row r="365">
          <cell r="F365">
            <v>891479</v>
          </cell>
          <cell r="G365" t="str">
            <v>Stredná odborná škola polytechnická</v>
          </cell>
          <cell r="H365" t="str">
            <v>Dolný Kubín</v>
          </cell>
          <cell r="I365" t="str">
            <v>Jelšavská 404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</row>
        <row r="366">
          <cell r="F366">
            <v>607045</v>
          </cell>
          <cell r="G366" t="str">
            <v>Stredná zdravotnícka škola</v>
          </cell>
          <cell r="H366" t="str">
            <v>Dolný Kubín</v>
          </cell>
          <cell r="I366" t="str">
            <v>M. Hattalu 2149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</row>
        <row r="367">
          <cell r="F367">
            <v>160652</v>
          </cell>
          <cell r="G367" t="str">
            <v>Gymnázium</v>
          </cell>
          <cell r="H367" t="str">
            <v>Kysucké Nové Mesto</v>
          </cell>
          <cell r="I367" t="str">
            <v>Jesenského 2243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</row>
        <row r="368">
          <cell r="F368">
            <v>17053722</v>
          </cell>
          <cell r="G368" t="str">
            <v>Stredná odborná škola strojnícka</v>
          </cell>
          <cell r="H368" t="str">
            <v>Kysucké Nové Mesto</v>
          </cell>
          <cell r="I368" t="str">
            <v>Športová 1326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</row>
        <row r="369">
          <cell r="F369">
            <v>51906201</v>
          </cell>
          <cell r="G369" t="str">
            <v>Stredná priemyselná škola informačných technológií</v>
          </cell>
          <cell r="H369" t="str">
            <v>Kysucké Nové Mesto</v>
          </cell>
          <cell r="I369" t="str">
            <v>Nábrežná 1325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</row>
        <row r="370">
          <cell r="F370">
            <v>160661</v>
          </cell>
          <cell r="G370" t="str">
            <v>Gymnázium</v>
          </cell>
          <cell r="H370" t="str">
            <v>Liptovský Hrádok</v>
          </cell>
          <cell r="I370" t="str">
            <v>Hradná 23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</row>
        <row r="371">
          <cell r="F371">
            <v>893170</v>
          </cell>
          <cell r="G371" t="str">
            <v>Stredná odborná škola elektrotechnická</v>
          </cell>
          <cell r="H371" t="str">
            <v>Liptovský Hrádok</v>
          </cell>
          <cell r="I371" t="str">
            <v>J. Kollára 536/1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</row>
        <row r="372">
          <cell r="F372">
            <v>162701</v>
          </cell>
          <cell r="G372" t="str">
            <v>Stredná odborná škola lesnícka a drevárska Jozefa Dekreta Matejovie</v>
          </cell>
          <cell r="H372" t="str">
            <v>Liptovský Hrádok</v>
          </cell>
          <cell r="I372" t="str">
            <v>Hradná 534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</row>
        <row r="373">
          <cell r="F373">
            <v>160679</v>
          </cell>
          <cell r="G373" t="str">
            <v>Gymnázium Michala Miloslava Hodžu</v>
          </cell>
          <cell r="H373" t="str">
            <v>Liptovský Mikuláš</v>
          </cell>
          <cell r="I373" t="str">
            <v>M. M. Hodžu 860/9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</row>
        <row r="374">
          <cell r="F374">
            <v>893528</v>
          </cell>
          <cell r="G374" t="str">
            <v>Hotelová akadémia</v>
          </cell>
          <cell r="H374" t="str">
            <v>Liptovský Mikuláš</v>
          </cell>
          <cell r="I374" t="str">
            <v>Čs. brigády 1804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</row>
        <row r="375">
          <cell r="F375">
            <v>31926754</v>
          </cell>
          <cell r="G375" t="str">
            <v>Obchodná akadémia</v>
          </cell>
          <cell r="H375" t="str">
            <v>Liptovský Mikuláš</v>
          </cell>
          <cell r="I375" t="str">
            <v>Nábrežie K.Petroviča 1571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</row>
        <row r="376">
          <cell r="F376">
            <v>491942</v>
          </cell>
          <cell r="G376" t="str">
            <v>Stredná odborná škola polytechnická</v>
          </cell>
          <cell r="H376" t="str">
            <v>Liptovský Mikuláš</v>
          </cell>
          <cell r="I376" t="str">
            <v>Demänovská cesta 669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</row>
        <row r="377">
          <cell r="F377">
            <v>695092</v>
          </cell>
          <cell r="G377" t="str">
            <v>Stredná odborná škola stavebná</v>
          </cell>
          <cell r="H377" t="str">
            <v>Liptovský Mikuláš</v>
          </cell>
          <cell r="I377" t="str">
            <v>Školská 8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</row>
        <row r="378">
          <cell r="F378">
            <v>607037</v>
          </cell>
          <cell r="G378" t="str">
            <v>Stredná zdravotnícka škola</v>
          </cell>
          <cell r="H378" t="str">
            <v>Liptovský Mikuláš</v>
          </cell>
          <cell r="I378" t="str">
            <v>Vrbická 632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</row>
        <row r="379">
          <cell r="F379">
            <v>626261</v>
          </cell>
          <cell r="G379" t="str">
            <v>Gymnázium Jozefa Lettricha</v>
          </cell>
          <cell r="H379" t="str">
            <v>Martin</v>
          </cell>
          <cell r="I379" t="str">
            <v>J. Lettricha 2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</row>
        <row r="380">
          <cell r="F380">
            <v>160695</v>
          </cell>
          <cell r="G380" t="str">
            <v>Gymnázium Viliama Paulinyho Tótha</v>
          </cell>
          <cell r="H380" t="str">
            <v>Martin</v>
          </cell>
          <cell r="I380" t="str">
            <v>Malá hora 3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</row>
        <row r="381">
          <cell r="F381">
            <v>162078</v>
          </cell>
          <cell r="G381" t="str">
            <v>Obchodná akadémia</v>
          </cell>
          <cell r="H381" t="str">
            <v>Martin</v>
          </cell>
          <cell r="I381" t="str">
            <v>Bernolákova 2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</row>
        <row r="382">
          <cell r="F382">
            <v>17050499</v>
          </cell>
          <cell r="G382" t="str">
            <v>Spojená škola</v>
          </cell>
          <cell r="H382" t="str">
            <v>Martin</v>
          </cell>
          <cell r="I382" t="str">
            <v>Československej armády 24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</row>
        <row r="383">
          <cell r="F383">
            <v>17055211</v>
          </cell>
          <cell r="G383" t="str">
            <v>Stredná odborná škola dopravná</v>
          </cell>
          <cell r="H383" t="str">
            <v>Martin</v>
          </cell>
          <cell r="I383" t="str">
            <v>Zelená 2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</row>
        <row r="384">
          <cell r="F384">
            <v>158551</v>
          </cell>
          <cell r="G384" t="str">
            <v>Stredná odborná škola obchodu a služieb</v>
          </cell>
          <cell r="H384" t="str">
            <v>Martin</v>
          </cell>
          <cell r="I384" t="str">
            <v>Stavbárska 11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</row>
        <row r="385">
          <cell r="F385">
            <v>161578</v>
          </cell>
          <cell r="G385" t="str">
            <v>Stredná priemyselná škola technická</v>
          </cell>
          <cell r="H385" t="str">
            <v>Martin</v>
          </cell>
          <cell r="I385" t="str">
            <v>L. Novomeského 5/24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</row>
        <row r="386">
          <cell r="F386">
            <v>160717</v>
          </cell>
          <cell r="G386" t="str">
            <v>Gymnázium Antona Bernoláka</v>
          </cell>
          <cell r="H386" t="str">
            <v>Námestovo</v>
          </cell>
          <cell r="I386" t="str">
            <v>Ul. Mieru 307/23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</row>
        <row r="387">
          <cell r="F387">
            <v>17053846</v>
          </cell>
          <cell r="G387" t="str">
            <v>Stredná odborná škola podnikania a služieb</v>
          </cell>
          <cell r="H387" t="str">
            <v>Námestovo</v>
          </cell>
          <cell r="I387" t="str">
            <v>Hattalova 968/33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</row>
        <row r="388">
          <cell r="F388">
            <v>17050502</v>
          </cell>
          <cell r="G388" t="str">
            <v>Stredná odborná škola technická</v>
          </cell>
          <cell r="H388" t="str">
            <v>Námestovo</v>
          </cell>
          <cell r="I388" t="str">
            <v>Komenského 496/37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</row>
        <row r="389">
          <cell r="F389">
            <v>160792</v>
          </cell>
          <cell r="G389" t="str">
            <v>Gymnázium</v>
          </cell>
          <cell r="H389" t="str">
            <v>Ružomberok</v>
          </cell>
          <cell r="I389" t="str">
            <v>Š. Moyzesa 21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</row>
        <row r="390">
          <cell r="F390">
            <v>30232953</v>
          </cell>
          <cell r="G390" t="str">
            <v>Obchodná akadémia</v>
          </cell>
          <cell r="H390" t="str">
            <v>Ružomberok</v>
          </cell>
          <cell r="I390" t="str">
            <v>Scota Viatora 4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</row>
        <row r="391">
          <cell r="F391">
            <v>894826</v>
          </cell>
          <cell r="G391" t="str">
            <v>Spojená škola</v>
          </cell>
          <cell r="H391" t="str">
            <v>Ružomberok</v>
          </cell>
          <cell r="I391" t="str">
            <v>Scota Viatora 8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</row>
        <row r="392">
          <cell r="F392">
            <v>891894</v>
          </cell>
          <cell r="G392" t="str">
            <v>Stredná odborná škola polytechnická</v>
          </cell>
          <cell r="H392" t="str">
            <v>Ružomberok</v>
          </cell>
          <cell r="I392" t="str">
            <v>Sládkovičova ulica 104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</row>
        <row r="393">
          <cell r="F393">
            <v>161551</v>
          </cell>
          <cell r="G393" t="str">
            <v>Škola umeleckého priemyslu</v>
          </cell>
          <cell r="H393" t="str">
            <v>Ružomberok</v>
          </cell>
          <cell r="I393" t="str">
            <v>Scota Viatora 6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</row>
        <row r="394">
          <cell r="F394">
            <v>162817</v>
          </cell>
          <cell r="G394" t="str">
            <v>Stredná odborná škola pedagogická</v>
          </cell>
          <cell r="H394" t="str">
            <v>Turčianske Teplice</v>
          </cell>
          <cell r="I394" t="str">
            <v>SNP 509/116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</row>
        <row r="395">
          <cell r="F395">
            <v>17050448</v>
          </cell>
          <cell r="G395" t="str">
            <v>Spojená škola</v>
          </cell>
          <cell r="H395" t="str">
            <v>Nižná</v>
          </cell>
          <cell r="I395" t="str">
            <v>Hattalova 471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</row>
        <row r="396">
          <cell r="F396">
            <v>626848</v>
          </cell>
          <cell r="G396" t="str">
            <v>Gymnázium</v>
          </cell>
          <cell r="H396" t="str">
            <v>Tvrdošín</v>
          </cell>
          <cell r="I396" t="str">
            <v>Školská 837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</row>
        <row r="397">
          <cell r="F397">
            <v>517801</v>
          </cell>
          <cell r="G397" t="str">
            <v>Stredná odborná škola lesnícka</v>
          </cell>
          <cell r="H397" t="str">
            <v>Tvrdošín</v>
          </cell>
          <cell r="I397" t="str">
            <v>Medvedzie 135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</row>
        <row r="398">
          <cell r="F398">
            <v>53948998</v>
          </cell>
          <cell r="G398" t="str">
            <v>Stredná priemyselná škola informačných technológií Ignáca Gessaya</v>
          </cell>
          <cell r="H398" t="str">
            <v>Tvrdošín</v>
          </cell>
          <cell r="I398" t="str">
            <v>Medvedzie 133/1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</row>
        <row r="399">
          <cell r="F399">
            <v>160776</v>
          </cell>
          <cell r="G399" t="str">
            <v>Gymnázium</v>
          </cell>
          <cell r="H399" t="str">
            <v>Rajec</v>
          </cell>
          <cell r="I399" t="str">
            <v>Javorová 5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</row>
        <row r="400">
          <cell r="F400">
            <v>160890</v>
          </cell>
          <cell r="G400" t="str">
            <v>Gymnázium</v>
          </cell>
          <cell r="H400" t="str">
            <v>Žilina</v>
          </cell>
          <cell r="I400" t="str">
            <v>Veľká okružná 22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</row>
        <row r="401">
          <cell r="F401">
            <v>160903</v>
          </cell>
          <cell r="G401" t="str">
            <v>Gymnázium</v>
          </cell>
          <cell r="H401" t="str">
            <v>Žilina</v>
          </cell>
          <cell r="I401" t="str">
            <v>Hlinská 29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</row>
        <row r="402">
          <cell r="F402">
            <v>31914551</v>
          </cell>
          <cell r="G402" t="str">
            <v>Gymnázium</v>
          </cell>
          <cell r="H402" t="str">
            <v>Žilina</v>
          </cell>
          <cell r="I402" t="str">
            <v>Varšavská cesta 1677/1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</row>
        <row r="403">
          <cell r="F403">
            <v>158623</v>
          </cell>
          <cell r="G403" t="str">
            <v>Hotelová akadémia</v>
          </cell>
          <cell r="H403" t="str">
            <v>Žilina</v>
          </cell>
          <cell r="I403" t="str">
            <v>Hlinská 31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</row>
        <row r="404">
          <cell r="F404">
            <v>162752</v>
          </cell>
          <cell r="G404" t="str">
            <v>Konzervatórium</v>
          </cell>
          <cell r="H404" t="str">
            <v>Žilina</v>
          </cell>
          <cell r="I404" t="str">
            <v>J. M. Hurbana 48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</row>
        <row r="405">
          <cell r="F405">
            <v>162124</v>
          </cell>
          <cell r="G405" t="str">
            <v>Obchodná akadémia</v>
          </cell>
          <cell r="H405" t="str">
            <v>Žilina</v>
          </cell>
          <cell r="I405" t="str">
            <v>Veľká okružná 32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</row>
        <row r="406">
          <cell r="F406">
            <v>695106</v>
          </cell>
          <cell r="G406" t="str">
            <v>Spojená škola</v>
          </cell>
          <cell r="H406" t="str">
            <v>Žilina</v>
          </cell>
          <cell r="I406" t="str">
            <v>Rosinská cesta 4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</row>
        <row r="407">
          <cell r="F407">
            <v>158615</v>
          </cell>
          <cell r="G407" t="str">
            <v>Spojená škola</v>
          </cell>
          <cell r="H407" t="str">
            <v>Žilina</v>
          </cell>
          <cell r="I407" t="str">
            <v>Hlavná 2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</row>
        <row r="408">
          <cell r="F408">
            <v>651117</v>
          </cell>
          <cell r="G408" t="str">
            <v>Stredná odborná škola dopravná</v>
          </cell>
          <cell r="H408" t="str">
            <v>Žilina</v>
          </cell>
          <cell r="I408" t="str">
            <v>Rosinská 3126/2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</row>
        <row r="409">
          <cell r="F409">
            <v>17055377</v>
          </cell>
          <cell r="G409" t="str">
            <v>Stredná odborná škola elektrotechnická</v>
          </cell>
          <cell r="H409" t="str">
            <v>Žilina</v>
          </cell>
          <cell r="I409" t="str">
            <v>Komenského 50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</row>
        <row r="410">
          <cell r="F410">
            <v>893544</v>
          </cell>
          <cell r="G410" t="str">
            <v>Stredná odborná škola podnikania</v>
          </cell>
          <cell r="H410" t="str">
            <v>Žilina</v>
          </cell>
          <cell r="I410" t="str">
            <v>Sasinkova 45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</row>
        <row r="411">
          <cell r="F411">
            <v>162558</v>
          </cell>
          <cell r="G411" t="str">
            <v>Stredná odborná škola poľnohospodárstva a služieb na vidieku</v>
          </cell>
          <cell r="H411" t="str">
            <v>Žilina</v>
          </cell>
          <cell r="I411" t="str">
            <v>Predmestská 82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</row>
        <row r="412">
          <cell r="F412">
            <v>893226</v>
          </cell>
          <cell r="G412" t="str">
            <v>Stredná odborná škola stavebná</v>
          </cell>
          <cell r="H412" t="str">
            <v>Žilina</v>
          </cell>
          <cell r="I412" t="str">
            <v>Tulipánová 2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</row>
        <row r="413">
          <cell r="F413">
            <v>161691</v>
          </cell>
          <cell r="G413" t="str">
            <v>Stredná priemyselná škola stavebná</v>
          </cell>
          <cell r="H413" t="str">
            <v>Žilina</v>
          </cell>
          <cell r="I413" t="str">
            <v>Veľká okružná 25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</row>
        <row r="414">
          <cell r="F414">
            <v>607061</v>
          </cell>
          <cell r="G414" t="str">
            <v>Stredná zdravotnícka škola</v>
          </cell>
          <cell r="H414" t="str">
            <v>Žilina</v>
          </cell>
          <cell r="I414" t="str">
            <v>Hlboká cesta 23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</row>
        <row r="415">
          <cell r="F415">
            <v>42434718</v>
          </cell>
          <cell r="G415" t="str">
            <v>Spojená škola</v>
          </cell>
          <cell r="H415" t="str">
            <v>Vrútky</v>
          </cell>
          <cell r="I415" t="str">
            <v>M. R. Štefánika 1</v>
          </cell>
          <cell r="J415">
            <v>5</v>
          </cell>
          <cell r="K415">
            <v>0</v>
          </cell>
          <cell r="L415">
            <v>16</v>
          </cell>
          <cell r="M415">
            <v>0</v>
          </cell>
          <cell r="N415">
            <v>0</v>
          </cell>
          <cell r="O415">
            <v>6</v>
          </cell>
          <cell r="P415">
            <v>1</v>
          </cell>
          <cell r="Q415">
            <v>0</v>
          </cell>
          <cell r="R415">
            <v>117</v>
          </cell>
          <cell r="S415">
            <v>28</v>
          </cell>
          <cell r="T415">
            <v>536</v>
          </cell>
          <cell r="U415">
            <v>0</v>
          </cell>
        </row>
        <row r="416">
          <cell r="F416">
            <v>37906216</v>
          </cell>
          <cell r="G416" t="str">
            <v>Spojená škola</v>
          </cell>
          <cell r="H416" t="str">
            <v>Turčianske Teplice</v>
          </cell>
          <cell r="I416" t="str">
            <v>Školská 447/2</v>
          </cell>
          <cell r="J416">
            <v>8</v>
          </cell>
          <cell r="K416">
            <v>0</v>
          </cell>
          <cell r="L416">
            <v>19</v>
          </cell>
          <cell r="M416">
            <v>0</v>
          </cell>
          <cell r="N416">
            <v>1</v>
          </cell>
          <cell r="O416">
            <v>9</v>
          </cell>
          <cell r="P416">
            <v>1</v>
          </cell>
          <cell r="Q416">
            <v>11</v>
          </cell>
          <cell r="R416">
            <v>89</v>
          </cell>
          <cell r="S416">
            <v>15</v>
          </cell>
          <cell r="T416">
            <v>636.5</v>
          </cell>
          <cell r="U416">
            <v>59.65</v>
          </cell>
        </row>
        <row r="417">
          <cell r="F417">
            <v>614866</v>
          </cell>
          <cell r="G417" t="str">
            <v>Stredná odborná škola pedagogická sv. Márie Goretti</v>
          </cell>
          <cell r="H417" t="str">
            <v>Čadca</v>
          </cell>
          <cell r="I417" t="str">
            <v>Horná 137</v>
          </cell>
          <cell r="J417">
            <v>10</v>
          </cell>
          <cell r="K417">
            <v>0</v>
          </cell>
          <cell r="L417">
            <v>26</v>
          </cell>
          <cell r="M417">
            <v>0</v>
          </cell>
          <cell r="N417">
            <v>1</v>
          </cell>
          <cell r="O417">
            <v>10</v>
          </cell>
          <cell r="P417">
            <v>0</v>
          </cell>
          <cell r="Q417">
            <v>19</v>
          </cell>
          <cell r="R417">
            <v>236</v>
          </cell>
          <cell r="S417">
            <v>0</v>
          </cell>
          <cell r="T417">
            <v>871</v>
          </cell>
          <cell r="U417">
            <v>209.78</v>
          </cell>
        </row>
        <row r="418">
          <cell r="F418">
            <v>17059852</v>
          </cell>
          <cell r="G418" t="str">
            <v>Stredná zdravotnícka škola sv. Františka z Assisi</v>
          </cell>
          <cell r="H418" t="str">
            <v>Čadca</v>
          </cell>
          <cell r="I418" t="str">
            <v>Horná 137</v>
          </cell>
          <cell r="J418">
            <v>8</v>
          </cell>
          <cell r="K418">
            <v>0</v>
          </cell>
          <cell r="L418">
            <v>33</v>
          </cell>
          <cell r="M418">
            <v>0</v>
          </cell>
          <cell r="N418">
            <v>1</v>
          </cell>
          <cell r="O418">
            <v>11</v>
          </cell>
          <cell r="P418">
            <v>0</v>
          </cell>
          <cell r="Q418">
            <v>21</v>
          </cell>
          <cell r="R418">
            <v>282</v>
          </cell>
          <cell r="S418">
            <v>0</v>
          </cell>
          <cell r="T418">
            <v>1105.5</v>
          </cell>
          <cell r="U418">
            <v>680.37</v>
          </cell>
        </row>
        <row r="419">
          <cell r="F419">
            <v>30223423</v>
          </cell>
          <cell r="G419" t="str">
            <v>Spojená škola sv. Jozefa</v>
          </cell>
          <cell r="H419" t="str">
            <v>Turzovka</v>
          </cell>
          <cell r="I419" t="str">
            <v>Jašíkova 219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</row>
        <row r="420">
          <cell r="F420">
            <v>30414164</v>
          </cell>
          <cell r="G420" t="str">
            <v xml:space="preserve">Spojená škola sv. Jána Bosca </v>
          </cell>
          <cell r="H420" t="str">
            <v>Nová Dubnica</v>
          </cell>
          <cell r="I420" t="str">
            <v>Trenčianska 66/28</v>
          </cell>
          <cell r="J420">
            <v>6</v>
          </cell>
          <cell r="K420">
            <v>0</v>
          </cell>
          <cell r="L420">
            <v>18</v>
          </cell>
          <cell r="M420">
            <v>0</v>
          </cell>
          <cell r="N420">
            <v>0</v>
          </cell>
          <cell r="O420">
            <v>7</v>
          </cell>
          <cell r="P420">
            <v>0</v>
          </cell>
          <cell r="Q420">
            <v>0</v>
          </cell>
          <cell r="R420">
            <v>198</v>
          </cell>
          <cell r="S420">
            <v>0</v>
          </cell>
          <cell r="T420">
            <v>603</v>
          </cell>
          <cell r="U420">
            <v>0</v>
          </cell>
        </row>
        <row r="421">
          <cell r="F421">
            <v>30222052</v>
          </cell>
          <cell r="G421" t="str">
            <v>Gymnázium sv. Františka z Assisi</v>
          </cell>
          <cell r="H421" t="str">
            <v>Žilina</v>
          </cell>
          <cell r="I421" t="str">
            <v>J. M. Hurbana 44</v>
          </cell>
          <cell r="J421">
            <v>7</v>
          </cell>
          <cell r="K421">
            <v>0</v>
          </cell>
          <cell r="L421">
            <v>17</v>
          </cell>
          <cell r="M421">
            <v>0</v>
          </cell>
          <cell r="N421">
            <v>1</v>
          </cell>
          <cell r="O421">
            <v>6</v>
          </cell>
          <cell r="P421">
            <v>0</v>
          </cell>
          <cell r="Q421">
            <v>30</v>
          </cell>
          <cell r="R421">
            <v>143</v>
          </cell>
          <cell r="S421">
            <v>0</v>
          </cell>
          <cell r="T421">
            <v>569.5</v>
          </cell>
          <cell r="U421">
            <v>42.85</v>
          </cell>
        </row>
        <row r="422">
          <cell r="F422">
            <v>17059640</v>
          </cell>
          <cell r="G422" t="str">
            <v>Obchodná akadémia sv. Tomáša Akvinského</v>
          </cell>
          <cell r="H422" t="str">
            <v>Žilina</v>
          </cell>
          <cell r="I422" t="str">
            <v>Vysokoškolákov 13</v>
          </cell>
          <cell r="J422">
            <v>6</v>
          </cell>
          <cell r="K422">
            <v>1</v>
          </cell>
          <cell r="L422">
            <v>25</v>
          </cell>
          <cell r="M422">
            <v>2</v>
          </cell>
          <cell r="N422">
            <v>3</v>
          </cell>
          <cell r="O422">
            <v>5</v>
          </cell>
          <cell r="P422">
            <v>1</v>
          </cell>
          <cell r="Q422">
            <v>30</v>
          </cell>
          <cell r="R422">
            <v>175</v>
          </cell>
          <cell r="S422">
            <v>123</v>
          </cell>
          <cell r="T422">
            <v>837.5</v>
          </cell>
          <cell r="U422">
            <v>149.6</v>
          </cell>
        </row>
        <row r="423">
          <cell r="F423">
            <v>37909533</v>
          </cell>
          <cell r="G423" t="str">
            <v>Spojená škola Kráľovnej pokoja</v>
          </cell>
          <cell r="H423" t="str">
            <v>Žilina</v>
          </cell>
          <cell r="I423" t="str">
            <v>Na Závaží 2</v>
          </cell>
          <cell r="J423">
            <v>5</v>
          </cell>
          <cell r="K423">
            <v>0</v>
          </cell>
          <cell r="L423">
            <v>13</v>
          </cell>
          <cell r="M423">
            <v>0</v>
          </cell>
          <cell r="N423">
            <v>1</v>
          </cell>
          <cell r="O423">
            <v>6</v>
          </cell>
          <cell r="P423">
            <v>0</v>
          </cell>
          <cell r="Q423">
            <v>0</v>
          </cell>
          <cell r="R423">
            <v>135</v>
          </cell>
          <cell r="S423">
            <v>0</v>
          </cell>
          <cell r="T423">
            <v>435.5</v>
          </cell>
          <cell r="U423">
            <v>0</v>
          </cell>
        </row>
        <row r="424">
          <cell r="F424">
            <v>42071585</v>
          </cell>
          <cell r="G424" t="str">
            <v>Súkromná stredná odborná škola</v>
          </cell>
          <cell r="H424" t="str">
            <v>Bytča</v>
          </cell>
          <cell r="I424" t="str">
            <v>Sidónie Sakalovej 182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</row>
        <row r="425">
          <cell r="F425">
            <v>42070902</v>
          </cell>
          <cell r="G425" t="str">
            <v>Súkromná stredná odborná škola</v>
          </cell>
          <cell r="H425" t="str">
            <v>Dolný Kubín</v>
          </cell>
          <cell r="I425" t="str">
            <v>SNP 1202/14</v>
          </cell>
          <cell r="J425">
            <v>6</v>
          </cell>
          <cell r="K425">
            <v>0</v>
          </cell>
          <cell r="L425">
            <v>17</v>
          </cell>
          <cell r="M425">
            <v>0</v>
          </cell>
          <cell r="N425">
            <v>1</v>
          </cell>
          <cell r="O425">
            <v>5</v>
          </cell>
          <cell r="P425">
            <v>1</v>
          </cell>
          <cell r="Q425">
            <v>5</v>
          </cell>
          <cell r="R425">
            <v>138</v>
          </cell>
          <cell r="S425">
            <v>40</v>
          </cell>
          <cell r="T425">
            <v>569.5</v>
          </cell>
          <cell r="U425">
            <v>0</v>
          </cell>
        </row>
        <row r="426">
          <cell r="F426">
            <v>42216702</v>
          </cell>
          <cell r="G426" t="str">
            <v>Súkromné tanečné konzervatórium</v>
          </cell>
          <cell r="H426" t="str">
            <v>Liptovský Hrádok</v>
          </cell>
          <cell r="I426" t="str">
            <v>Hradná 340</v>
          </cell>
          <cell r="J426">
            <v>4</v>
          </cell>
          <cell r="K426">
            <v>0</v>
          </cell>
          <cell r="L426">
            <v>27</v>
          </cell>
          <cell r="M426">
            <v>0</v>
          </cell>
          <cell r="N426">
            <v>0</v>
          </cell>
          <cell r="O426">
            <v>5</v>
          </cell>
          <cell r="P426">
            <v>2</v>
          </cell>
          <cell r="Q426">
            <v>0</v>
          </cell>
          <cell r="R426">
            <v>154</v>
          </cell>
          <cell r="S426">
            <v>176</v>
          </cell>
          <cell r="T426">
            <v>904.5</v>
          </cell>
          <cell r="U426">
            <v>0</v>
          </cell>
        </row>
        <row r="427">
          <cell r="F427">
            <v>42347599</v>
          </cell>
          <cell r="G427" t="str">
            <v>Súkromná spojená škola</v>
          </cell>
          <cell r="H427" t="str">
            <v>Martin</v>
          </cell>
          <cell r="I427" t="str">
            <v>Ul. J. Lettrich č. 3</v>
          </cell>
          <cell r="J427">
            <v>1</v>
          </cell>
          <cell r="K427">
            <v>0</v>
          </cell>
          <cell r="L427">
            <v>17</v>
          </cell>
          <cell r="M427">
            <v>0</v>
          </cell>
          <cell r="N427">
            <v>0</v>
          </cell>
          <cell r="O427">
            <v>0</v>
          </cell>
          <cell r="P427">
            <v>1</v>
          </cell>
          <cell r="Q427">
            <v>0</v>
          </cell>
          <cell r="R427">
            <v>0</v>
          </cell>
          <cell r="S427">
            <v>61</v>
          </cell>
          <cell r="T427">
            <v>569.5</v>
          </cell>
          <cell r="U427">
            <v>11.8</v>
          </cell>
        </row>
        <row r="428">
          <cell r="F428">
            <v>31897959</v>
          </cell>
          <cell r="G428" t="str">
            <v>Súkromná Spojená škola EDUCO</v>
          </cell>
          <cell r="H428" t="str">
            <v>Námestovo</v>
          </cell>
          <cell r="I428" t="str">
            <v>Slanická osada 2178</v>
          </cell>
          <cell r="J428">
            <v>10</v>
          </cell>
          <cell r="K428">
            <v>0</v>
          </cell>
          <cell r="L428">
            <v>33</v>
          </cell>
          <cell r="M428">
            <v>0</v>
          </cell>
          <cell r="N428">
            <v>0</v>
          </cell>
          <cell r="O428">
            <v>19</v>
          </cell>
          <cell r="P428">
            <v>1</v>
          </cell>
          <cell r="Q428">
            <v>0</v>
          </cell>
          <cell r="R428">
            <v>188</v>
          </cell>
          <cell r="S428">
            <v>105</v>
          </cell>
          <cell r="T428">
            <v>1105.5</v>
          </cell>
          <cell r="U428">
            <v>342.45</v>
          </cell>
        </row>
        <row r="429">
          <cell r="F429">
            <v>37908057</v>
          </cell>
          <cell r="G429" t="str">
            <v>Súkromná stredná odborná škola podnikania</v>
          </cell>
          <cell r="H429" t="str">
            <v>Ružomberok</v>
          </cell>
          <cell r="I429" t="str">
            <v>Bystrická cesta 174/5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</row>
        <row r="430">
          <cell r="F430">
            <v>42072042</v>
          </cell>
          <cell r="G430" t="str">
            <v>Súkromné bilingválne gymnázium</v>
          </cell>
          <cell r="H430" t="str">
            <v>Ružomberok</v>
          </cell>
          <cell r="I430" t="str">
            <v>Bystrická cesta 174/5</v>
          </cell>
          <cell r="J430">
            <v>2</v>
          </cell>
          <cell r="K430">
            <v>0</v>
          </cell>
          <cell r="L430">
            <v>11</v>
          </cell>
          <cell r="M430">
            <v>0</v>
          </cell>
          <cell r="N430">
            <v>0</v>
          </cell>
          <cell r="O430">
            <v>1</v>
          </cell>
          <cell r="P430">
            <v>1</v>
          </cell>
          <cell r="Q430">
            <v>0</v>
          </cell>
          <cell r="R430">
            <v>25</v>
          </cell>
          <cell r="S430">
            <v>91</v>
          </cell>
          <cell r="T430">
            <v>368.5</v>
          </cell>
          <cell r="U430">
            <v>0</v>
          </cell>
        </row>
        <row r="431">
          <cell r="F431">
            <v>42003784</v>
          </cell>
          <cell r="G431" t="str">
            <v>Súkromná škola umeleckého priemyslu</v>
          </cell>
          <cell r="H431" t="str">
            <v>Hodruša-Hámre</v>
          </cell>
          <cell r="I431" t="str">
            <v>Kyslá 214</v>
          </cell>
          <cell r="J431">
            <v>4</v>
          </cell>
          <cell r="K431">
            <v>0</v>
          </cell>
          <cell r="L431">
            <v>14</v>
          </cell>
          <cell r="M431">
            <v>0</v>
          </cell>
          <cell r="N431">
            <v>0</v>
          </cell>
          <cell r="O431">
            <v>6</v>
          </cell>
          <cell r="P431">
            <v>1</v>
          </cell>
          <cell r="Q431">
            <v>0</v>
          </cell>
          <cell r="R431">
            <v>71</v>
          </cell>
          <cell r="S431">
            <v>27</v>
          </cell>
          <cell r="T431">
            <v>469</v>
          </cell>
          <cell r="U431">
            <v>43.2</v>
          </cell>
        </row>
        <row r="432">
          <cell r="F432">
            <v>42387841</v>
          </cell>
          <cell r="G432" t="str">
            <v>Súkromná praktická škola</v>
          </cell>
          <cell r="H432" t="str">
            <v>Žilina</v>
          </cell>
          <cell r="I432" t="str">
            <v>Do Stošky 232/10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</row>
        <row r="433">
          <cell r="F433">
            <v>37982354</v>
          </cell>
          <cell r="G433" t="str">
            <v>Súkromná stredná odborná škola</v>
          </cell>
          <cell r="H433" t="str">
            <v>Žilina</v>
          </cell>
          <cell r="I433" t="str">
            <v>Saleziánska 18</v>
          </cell>
          <cell r="J433">
            <v>3</v>
          </cell>
          <cell r="K433">
            <v>0</v>
          </cell>
          <cell r="L433">
            <v>7</v>
          </cell>
          <cell r="M433">
            <v>0</v>
          </cell>
          <cell r="N433">
            <v>0</v>
          </cell>
          <cell r="O433">
            <v>3</v>
          </cell>
          <cell r="P433">
            <v>0</v>
          </cell>
          <cell r="Q433">
            <v>0</v>
          </cell>
          <cell r="R433">
            <v>97</v>
          </cell>
          <cell r="S433">
            <v>0</v>
          </cell>
          <cell r="T433">
            <v>234.5</v>
          </cell>
          <cell r="U433">
            <v>0</v>
          </cell>
        </row>
        <row r="434">
          <cell r="F434">
            <v>36137430</v>
          </cell>
          <cell r="G434" t="str">
            <v>Súkromná stredná odborná škola Pro scholaris</v>
          </cell>
          <cell r="H434" t="str">
            <v>Žilina</v>
          </cell>
          <cell r="I434" t="str">
            <v>Hlavná 2</v>
          </cell>
          <cell r="J434">
            <v>4</v>
          </cell>
          <cell r="K434">
            <v>0</v>
          </cell>
          <cell r="L434">
            <v>13</v>
          </cell>
          <cell r="M434">
            <v>0</v>
          </cell>
          <cell r="N434">
            <v>1</v>
          </cell>
          <cell r="O434">
            <v>7</v>
          </cell>
          <cell r="P434">
            <v>2</v>
          </cell>
          <cell r="Q434">
            <v>8</v>
          </cell>
          <cell r="R434">
            <v>110</v>
          </cell>
          <cell r="S434">
            <v>63</v>
          </cell>
          <cell r="T434">
            <v>435.5</v>
          </cell>
          <cell r="U434">
            <v>0</v>
          </cell>
        </row>
        <row r="435">
          <cell r="F435">
            <v>42065739</v>
          </cell>
          <cell r="G435" t="str">
            <v>Súkromná škola umeleckého priemyslu</v>
          </cell>
          <cell r="H435" t="str">
            <v>Žilina</v>
          </cell>
          <cell r="I435" t="str">
            <v>Hálkova 2968/22</v>
          </cell>
          <cell r="J435">
            <v>7</v>
          </cell>
          <cell r="K435">
            <v>0</v>
          </cell>
          <cell r="L435">
            <v>23</v>
          </cell>
          <cell r="M435">
            <v>0</v>
          </cell>
          <cell r="N435">
            <v>0</v>
          </cell>
          <cell r="O435">
            <v>10</v>
          </cell>
          <cell r="P435">
            <v>1</v>
          </cell>
          <cell r="Q435">
            <v>0</v>
          </cell>
          <cell r="R435">
            <v>172</v>
          </cell>
          <cell r="S435">
            <v>41</v>
          </cell>
          <cell r="T435">
            <v>770.5</v>
          </cell>
          <cell r="U435">
            <v>0</v>
          </cell>
        </row>
        <row r="436">
          <cell r="F436">
            <v>37804324</v>
          </cell>
          <cell r="G436" t="str">
            <v>Súkromné gymnázium</v>
          </cell>
          <cell r="H436" t="str">
            <v>Žilina</v>
          </cell>
          <cell r="I436" t="str">
            <v>Oravská 11</v>
          </cell>
          <cell r="J436">
            <v>5</v>
          </cell>
          <cell r="K436">
            <v>2</v>
          </cell>
          <cell r="L436">
            <v>18</v>
          </cell>
          <cell r="M436">
            <v>2</v>
          </cell>
          <cell r="N436">
            <v>3</v>
          </cell>
          <cell r="O436">
            <v>4</v>
          </cell>
          <cell r="P436">
            <v>0</v>
          </cell>
          <cell r="Q436">
            <v>8</v>
          </cell>
          <cell r="R436">
            <v>190</v>
          </cell>
          <cell r="S436">
            <v>0</v>
          </cell>
          <cell r="T436">
            <v>603</v>
          </cell>
          <cell r="U436">
            <v>43.93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>
        <row r="437">
          <cell r="F437">
            <v>396869</v>
          </cell>
          <cell r="G437" t="str">
            <v>Gymnázium Jozefa Gregora Tajovského</v>
          </cell>
          <cell r="H437" t="str">
            <v>Banská Bystrica</v>
          </cell>
          <cell r="I437" t="str">
            <v>J.G.Tajovského 25</v>
          </cell>
          <cell r="J437">
            <v>23</v>
          </cell>
          <cell r="K437">
            <v>3</v>
          </cell>
          <cell r="L437">
            <v>66</v>
          </cell>
          <cell r="M437">
            <v>10</v>
          </cell>
          <cell r="N437">
            <v>7</v>
          </cell>
          <cell r="O437">
            <v>28</v>
          </cell>
          <cell r="P437">
            <v>4</v>
          </cell>
          <cell r="Q437">
            <v>72</v>
          </cell>
          <cell r="R437">
            <v>584</v>
          </cell>
          <cell r="S437">
            <v>207</v>
          </cell>
          <cell r="T437">
            <v>2211</v>
          </cell>
          <cell r="U437">
            <v>589.30999999999995</v>
          </cell>
        </row>
        <row r="438">
          <cell r="F438">
            <v>626317</v>
          </cell>
          <cell r="G438" t="str">
            <v>Gymnázium Mikuláša Kováča</v>
          </cell>
          <cell r="H438" t="str">
            <v>Banská Bystrica</v>
          </cell>
          <cell r="I438" t="str">
            <v>Mládežnícka 51</v>
          </cell>
          <cell r="J438">
            <v>9</v>
          </cell>
          <cell r="K438">
            <v>0</v>
          </cell>
          <cell r="L438">
            <v>21</v>
          </cell>
          <cell r="M438">
            <v>0</v>
          </cell>
          <cell r="N438">
            <v>2</v>
          </cell>
          <cell r="O438">
            <v>13</v>
          </cell>
          <cell r="P438">
            <v>1</v>
          </cell>
          <cell r="Q438">
            <v>2</v>
          </cell>
          <cell r="R438">
            <v>180</v>
          </cell>
          <cell r="S438">
            <v>59</v>
          </cell>
          <cell r="T438">
            <v>703.5</v>
          </cell>
          <cell r="U438">
            <v>17.649999999999999</v>
          </cell>
        </row>
        <row r="439">
          <cell r="F439">
            <v>493767</v>
          </cell>
          <cell r="G439" t="str">
            <v>Odborné učilište internátne Viliama Gaňu</v>
          </cell>
          <cell r="H439" t="str">
            <v>Banská Bystrica</v>
          </cell>
          <cell r="I439" t="str">
            <v>Moskovská 17</v>
          </cell>
          <cell r="J439">
            <v>0</v>
          </cell>
          <cell r="K439">
            <v>0</v>
          </cell>
          <cell r="L439">
            <v>1</v>
          </cell>
          <cell r="M439">
            <v>0</v>
          </cell>
          <cell r="N439">
            <v>0</v>
          </cell>
          <cell r="O439">
            <v>3</v>
          </cell>
          <cell r="P439">
            <v>0</v>
          </cell>
          <cell r="Q439">
            <v>0</v>
          </cell>
          <cell r="R439">
            <v>5</v>
          </cell>
          <cell r="S439">
            <v>0</v>
          </cell>
          <cell r="T439">
            <v>33.5</v>
          </cell>
          <cell r="U439">
            <v>11.3</v>
          </cell>
        </row>
        <row r="440">
          <cell r="F440">
            <v>354252</v>
          </cell>
          <cell r="G440" t="str">
            <v>Špeciálna základná škola</v>
          </cell>
          <cell r="H440" t="str">
            <v>Banská Bystrica</v>
          </cell>
          <cell r="I440" t="str">
            <v>Ďumbierska 15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</row>
        <row r="441">
          <cell r="F441">
            <v>35673109</v>
          </cell>
          <cell r="G441" t="str">
            <v>Odborné učilište internátne</v>
          </cell>
          <cell r="H441" t="str">
            <v>Valaská</v>
          </cell>
          <cell r="I441" t="str">
            <v>Švermova 1</v>
          </cell>
          <cell r="J441">
            <v>0</v>
          </cell>
          <cell r="K441">
            <v>0</v>
          </cell>
          <cell r="L441">
            <v>2</v>
          </cell>
          <cell r="M441">
            <v>0</v>
          </cell>
          <cell r="N441">
            <v>6</v>
          </cell>
          <cell r="O441">
            <v>0</v>
          </cell>
          <cell r="P441">
            <v>0</v>
          </cell>
          <cell r="Q441">
            <v>0</v>
          </cell>
          <cell r="R441">
            <v>19</v>
          </cell>
          <cell r="S441">
            <v>0</v>
          </cell>
          <cell r="T441">
            <v>67</v>
          </cell>
          <cell r="U441">
            <v>28.8</v>
          </cell>
        </row>
        <row r="442">
          <cell r="F442">
            <v>710213395</v>
          </cell>
          <cell r="G442" t="str">
            <v>Praktická škola internátna</v>
          </cell>
          <cell r="H442" t="str">
            <v>Valaská</v>
          </cell>
          <cell r="I442" t="str">
            <v>Švermova 1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</row>
        <row r="443">
          <cell r="F443">
            <v>620998</v>
          </cell>
          <cell r="G443" t="str">
            <v>Odborné učilište internátne</v>
          </cell>
          <cell r="H443" t="str">
            <v>Lučenec</v>
          </cell>
          <cell r="I443" t="str">
            <v>Haličská cesta 80</v>
          </cell>
          <cell r="J443">
            <v>1</v>
          </cell>
          <cell r="K443">
            <v>0</v>
          </cell>
          <cell r="L443">
            <v>2</v>
          </cell>
          <cell r="M443">
            <v>0</v>
          </cell>
          <cell r="N443">
            <v>0</v>
          </cell>
          <cell r="O443">
            <v>3</v>
          </cell>
          <cell r="P443">
            <v>0</v>
          </cell>
          <cell r="Q443">
            <v>0</v>
          </cell>
          <cell r="R443">
            <v>5</v>
          </cell>
          <cell r="S443">
            <v>0</v>
          </cell>
          <cell r="T443">
            <v>67</v>
          </cell>
          <cell r="U443">
            <v>0</v>
          </cell>
        </row>
        <row r="444">
          <cell r="F444">
            <v>35984422</v>
          </cell>
          <cell r="G444" t="str">
            <v>Špeciálna základná škola</v>
          </cell>
          <cell r="H444" t="str">
            <v>Lučenec</v>
          </cell>
          <cell r="I444" t="str">
            <v>Zvolenská cesta 2396/39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</row>
        <row r="445">
          <cell r="F445">
            <v>35985241</v>
          </cell>
          <cell r="G445" t="str">
            <v>Špeciálna základná škola</v>
          </cell>
          <cell r="H445" t="str">
            <v>Jelšava</v>
          </cell>
          <cell r="I445" t="str">
            <v>Nám.Republiky 62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</row>
        <row r="446">
          <cell r="F446">
            <v>111571</v>
          </cell>
          <cell r="G446" t="str">
            <v>Reedukačné centrum</v>
          </cell>
          <cell r="H446" t="str">
            <v>Tornaľa</v>
          </cell>
          <cell r="I446" t="str">
            <v>Mierová 137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</row>
        <row r="447">
          <cell r="F447">
            <v>633577</v>
          </cell>
          <cell r="G447" t="str">
            <v>Spojená škola internátna</v>
          </cell>
          <cell r="H447" t="str">
            <v>Tornaľa</v>
          </cell>
          <cell r="I447" t="str">
            <v>Mierová 49</v>
          </cell>
          <cell r="J447">
            <v>1</v>
          </cell>
          <cell r="K447">
            <v>0</v>
          </cell>
          <cell r="L447">
            <v>2</v>
          </cell>
          <cell r="M447">
            <v>0</v>
          </cell>
          <cell r="N447">
            <v>0</v>
          </cell>
          <cell r="O447">
            <v>2</v>
          </cell>
          <cell r="P447">
            <v>0</v>
          </cell>
          <cell r="Q447">
            <v>0</v>
          </cell>
          <cell r="R447">
            <v>4</v>
          </cell>
          <cell r="S447">
            <v>0</v>
          </cell>
          <cell r="T447">
            <v>67</v>
          </cell>
          <cell r="U447">
            <v>0</v>
          </cell>
        </row>
        <row r="448">
          <cell r="F448">
            <v>35985003</v>
          </cell>
          <cell r="G448" t="str">
            <v>Špeciálna základná škola</v>
          </cell>
          <cell r="H448" t="str">
            <v>Rimavská Sobota</v>
          </cell>
          <cell r="I448" t="str">
            <v>Bottova 13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</row>
        <row r="449">
          <cell r="F449">
            <v>35985011</v>
          </cell>
          <cell r="G449" t="str">
            <v>Špeciálna základná škola s vyučovacím jazykom maďarským - Speciális Alapiskola</v>
          </cell>
          <cell r="H449" t="str">
            <v>Rimavská Sobota</v>
          </cell>
          <cell r="I449" t="str">
            <v>Hviezdoslavova 24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</row>
        <row r="450">
          <cell r="F450">
            <v>37819003</v>
          </cell>
          <cell r="G450" t="str">
            <v>Odborné učilište internátne</v>
          </cell>
          <cell r="H450" t="str">
            <v>Želovce</v>
          </cell>
          <cell r="I450" t="str">
            <v>Gottwaldova 70/43</v>
          </cell>
          <cell r="J450">
            <v>1</v>
          </cell>
          <cell r="K450">
            <v>0</v>
          </cell>
          <cell r="L450">
            <v>2</v>
          </cell>
          <cell r="M450">
            <v>0</v>
          </cell>
          <cell r="N450">
            <v>0</v>
          </cell>
          <cell r="O450">
            <v>2</v>
          </cell>
          <cell r="P450">
            <v>0</v>
          </cell>
          <cell r="Q450">
            <v>0</v>
          </cell>
          <cell r="R450">
            <v>13</v>
          </cell>
          <cell r="S450">
            <v>0</v>
          </cell>
          <cell r="T450">
            <v>67</v>
          </cell>
          <cell r="U450">
            <v>11.2</v>
          </cell>
        </row>
        <row r="451">
          <cell r="F451">
            <v>27987</v>
          </cell>
          <cell r="G451" t="str">
            <v>Spojená škola</v>
          </cell>
          <cell r="H451" t="str">
            <v>Nová Baňa</v>
          </cell>
          <cell r="I451" t="str">
            <v>Školská 5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</row>
        <row r="452">
          <cell r="F452">
            <v>51958767</v>
          </cell>
          <cell r="G452" t="str">
            <v>Spojená škola internátna</v>
          </cell>
          <cell r="H452" t="str">
            <v>Kremnica</v>
          </cell>
          <cell r="I452" t="str">
            <v>Československej armády 183/1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</row>
        <row r="453">
          <cell r="F453">
            <v>163082</v>
          </cell>
          <cell r="G453" t="str">
            <v>Stredná odborná škola pre žiakov so sluchovým postihnutím internátna</v>
          </cell>
          <cell r="H453" t="str">
            <v>Kremnica</v>
          </cell>
          <cell r="I453" t="str">
            <v>Kutnohorská 675/20</v>
          </cell>
          <cell r="J453">
            <v>4</v>
          </cell>
          <cell r="K453">
            <v>0</v>
          </cell>
          <cell r="L453">
            <v>25</v>
          </cell>
          <cell r="M453">
            <v>0</v>
          </cell>
          <cell r="N453">
            <v>0</v>
          </cell>
          <cell r="O453">
            <v>10</v>
          </cell>
          <cell r="P453">
            <v>6</v>
          </cell>
          <cell r="Q453">
            <v>0</v>
          </cell>
          <cell r="R453">
            <v>136</v>
          </cell>
          <cell r="S453">
            <v>75</v>
          </cell>
          <cell r="T453">
            <v>837.5</v>
          </cell>
          <cell r="U453">
            <v>264</v>
          </cell>
        </row>
        <row r="454">
          <cell r="F454"/>
          <cell r="G454"/>
          <cell r="H454"/>
          <cell r="I454"/>
          <cell r="J454"/>
          <cell r="K454"/>
          <cell r="L454"/>
          <cell r="M454"/>
          <cell r="N454"/>
          <cell r="O454"/>
          <cell r="P454"/>
          <cell r="Q454"/>
          <cell r="R454"/>
          <cell r="S454"/>
          <cell r="T454"/>
          <cell r="U454"/>
        </row>
        <row r="455">
          <cell r="F455">
            <v>160521</v>
          </cell>
          <cell r="G455" t="str">
            <v>Gymnázium Andreja Sládkoviča</v>
          </cell>
          <cell r="H455" t="str">
            <v>Banská Bystrica</v>
          </cell>
          <cell r="I455" t="str">
            <v>J.A Komenského 18</v>
          </cell>
          <cell r="J455">
            <v>22</v>
          </cell>
          <cell r="K455">
            <v>0</v>
          </cell>
          <cell r="L455">
            <v>85</v>
          </cell>
          <cell r="M455">
            <v>0</v>
          </cell>
          <cell r="N455">
            <v>1</v>
          </cell>
          <cell r="O455">
            <v>31</v>
          </cell>
          <cell r="P455">
            <v>3</v>
          </cell>
          <cell r="Q455">
            <v>8</v>
          </cell>
          <cell r="R455">
            <v>756</v>
          </cell>
          <cell r="S455">
            <v>323</v>
          </cell>
          <cell r="T455">
            <v>2847.5</v>
          </cell>
          <cell r="U455">
            <v>0</v>
          </cell>
        </row>
        <row r="456">
          <cell r="F456">
            <v>17059887</v>
          </cell>
          <cell r="G456" t="str">
            <v>Konzervatórium Jána Levoslava Bellu</v>
          </cell>
          <cell r="H456" t="str">
            <v>Banská Bystrica</v>
          </cell>
          <cell r="I456" t="str">
            <v>Skuteckého 27</v>
          </cell>
          <cell r="J456">
            <v>14</v>
          </cell>
          <cell r="K456">
            <v>0</v>
          </cell>
          <cell r="L456">
            <v>36</v>
          </cell>
          <cell r="M456">
            <v>0</v>
          </cell>
          <cell r="N456">
            <v>0</v>
          </cell>
          <cell r="O456">
            <v>19</v>
          </cell>
          <cell r="P456">
            <v>2</v>
          </cell>
          <cell r="Q456">
            <v>0</v>
          </cell>
          <cell r="R456">
            <v>173</v>
          </cell>
          <cell r="S456">
            <v>78</v>
          </cell>
          <cell r="T456">
            <v>1206</v>
          </cell>
          <cell r="U456">
            <v>202.38</v>
          </cell>
        </row>
        <row r="457">
          <cell r="F457">
            <v>162027</v>
          </cell>
          <cell r="G457" t="str">
            <v>Obchodná akadémia</v>
          </cell>
          <cell r="H457" t="str">
            <v>Banská Bystrica</v>
          </cell>
          <cell r="I457" t="str">
            <v>Tajovského 25</v>
          </cell>
          <cell r="J457">
            <v>8</v>
          </cell>
          <cell r="K457">
            <v>0</v>
          </cell>
          <cell r="L457">
            <v>40</v>
          </cell>
          <cell r="M457">
            <v>0</v>
          </cell>
          <cell r="N457">
            <v>0</v>
          </cell>
          <cell r="O457">
            <v>17</v>
          </cell>
          <cell r="P457">
            <v>1</v>
          </cell>
          <cell r="Q457">
            <v>0</v>
          </cell>
          <cell r="R457">
            <v>363</v>
          </cell>
          <cell r="S457">
            <v>119</v>
          </cell>
          <cell r="T457">
            <v>1340</v>
          </cell>
          <cell r="U457">
            <v>0</v>
          </cell>
        </row>
        <row r="458">
          <cell r="F458">
            <v>37956108</v>
          </cell>
          <cell r="G458" t="str">
            <v>Spojená škola</v>
          </cell>
          <cell r="H458" t="str">
            <v>Banská Bystrica</v>
          </cell>
          <cell r="I458" t="str">
            <v>Školská 7</v>
          </cell>
          <cell r="J458">
            <v>7</v>
          </cell>
          <cell r="K458">
            <v>7</v>
          </cell>
          <cell r="L458">
            <v>45</v>
          </cell>
          <cell r="M458">
            <v>27</v>
          </cell>
          <cell r="N458">
            <v>17</v>
          </cell>
          <cell r="O458">
            <v>16</v>
          </cell>
          <cell r="P458">
            <v>1</v>
          </cell>
          <cell r="Q458">
            <v>227</v>
          </cell>
          <cell r="R458">
            <v>455</v>
          </cell>
          <cell r="S458">
            <v>43</v>
          </cell>
          <cell r="T458">
            <v>1507.5</v>
          </cell>
          <cell r="U458">
            <v>97.25</v>
          </cell>
        </row>
        <row r="459">
          <cell r="F459">
            <v>42195446</v>
          </cell>
          <cell r="G459" t="str">
            <v>Spojená škola</v>
          </cell>
          <cell r="H459" t="str">
            <v>Banská Bystrica</v>
          </cell>
          <cell r="I459" t="str">
            <v>Kremnička 10</v>
          </cell>
          <cell r="J459">
            <v>10</v>
          </cell>
          <cell r="K459">
            <v>0</v>
          </cell>
          <cell r="L459">
            <v>55</v>
          </cell>
          <cell r="M459">
            <v>0</v>
          </cell>
          <cell r="N459">
            <v>0</v>
          </cell>
          <cell r="O459">
            <v>16</v>
          </cell>
          <cell r="P459">
            <v>1</v>
          </cell>
          <cell r="Q459">
            <v>0</v>
          </cell>
          <cell r="R459">
            <v>521</v>
          </cell>
          <cell r="S459">
            <v>129</v>
          </cell>
          <cell r="T459">
            <v>1842.5</v>
          </cell>
          <cell r="U459">
            <v>540.82000000000005</v>
          </cell>
        </row>
        <row r="460">
          <cell r="F460">
            <v>45017000</v>
          </cell>
          <cell r="G460" t="str">
            <v>Stredná odborná škola</v>
          </cell>
          <cell r="H460" t="str">
            <v>Banská Bystrica</v>
          </cell>
          <cell r="I460" t="str">
            <v>Pod Bánošom 80</v>
          </cell>
          <cell r="J460">
            <v>3</v>
          </cell>
          <cell r="K460">
            <v>0</v>
          </cell>
          <cell r="L460">
            <v>12</v>
          </cell>
          <cell r="M460">
            <v>0</v>
          </cell>
          <cell r="N460">
            <v>0</v>
          </cell>
          <cell r="O460">
            <v>6</v>
          </cell>
          <cell r="P460">
            <v>0</v>
          </cell>
          <cell r="Q460">
            <v>0</v>
          </cell>
          <cell r="R460">
            <v>135</v>
          </cell>
          <cell r="S460">
            <v>0</v>
          </cell>
          <cell r="T460">
            <v>402</v>
          </cell>
          <cell r="U460">
            <v>0</v>
          </cell>
        </row>
        <row r="461">
          <cell r="F461">
            <v>158496</v>
          </cell>
          <cell r="G461" t="str">
            <v>Stredná odborná škola hotelových služieb a obchodu</v>
          </cell>
          <cell r="H461" t="str">
            <v>Banská Bystrica</v>
          </cell>
          <cell r="I461" t="str">
            <v>Školská 5</v>
          </cell>
          <cell r="J461">
            <v>4</v>
          </cell>
          <cell r="K461">
            <v>0</v>
          </cell>
          <cell r="L461">
            <v>29</v>
          </cell>
          <cell r="M461">
            <v>0</v>
          </cell>
          <cell r="N461">
            <v>0</v>
          </cell>
          <cell r="O461">
            <v>5</v>
          </cell>
          <cell r="P461">
            <v>4</v>
          </cell>
          <cell r="Q461">
            <v>0</v>
          </cell>
          <cell r="R461">
            <v>109</v>
          </cell>
          <cell r="S461">
            <v>137</v>
          </cell>
          <cell r="T461">
            <v>971.5</v>
          </cell>
          <cell r="U461">
            <v>134.38</v>
          </cell>
        </row>
        <row r="462">
          <cell r="F462">
            <v>17055431</v>
          </cell>
          <cell r="G462" t="str">
            <v>Stredná odborná škola informačných technológií</v>
          </cell>
          <cell r="H462" t="str">
            <v>Banská Bystrica</v>
          </cell>
          <cell r="I462" t="str">
            <v>Tajovského 30</v>
          </cell>
          <cell r="J462">
            <v>11</v>
          </cell>
          <cell r="K462">
            <v>4</v>
          </cell>
          <cell r="L462">
            <v>45</v>
          </cell>
          <cell r="M462">
            <v>22</v>
          </cell>
          <cell r="N462">
            <v>10</v>
          </cell>
          <cell r="O462">
            <v>17</v>
          </cell>
          <cell r="P462">
            <v>0</v>
          </cell>
          <cell r="Q462">
            <v>255</v>
          </cell>
          <cell r="R462">
            <v>456</v>
          </cell>
          <cell r="S462">
            <v>0</v>
          </cell>
          <cell r="T462">
            <v>1507.5</v>
          </cell>
          <cell r="U462">
            <v>292.14999999999998</v>
          </cell>
        </row>
        <row r="463">
          <cell r="F463">
            <v>161471</v>
          </cell>
          <cell r="G463" t="str">
            <v>Stredná priemyselná škola Jozefa Murgaša</v>
          </cell>
          <cell r="H463" t="str">
            <v>Banská Bystrica</v>
          </cell>
          <cell r="I463" t="str">
            <v>Hurbanova 6</v>
          </cell>
          <cell r="J463">
            <v>11</v>
          </cell>
          <cell r="K463">
            <v>0</v>
          </cell>
          <cell r="L463">
            <v>55</v>
          </cell>
          <cell r="M463">
            <v>0</v>
          </cell>
          <cell r="N463">
            <v>1</v>
          </cell>
          <cell r="O463">
            <v>20</v>
          </cell>
          <cell r="P463">
            <v>2</v>
          </cell>
          <cell r="Q463">
            <v>3</v>
          </cell>
          <cell r="R463">
            <v>452</v>
          </cell>
          <cell r="S463">
            <v>135</v>
          </cell>
          <cell r="T463">
            <v>1842.5</v>
          </cell>
          <cell r="U463">
            <v>323.08</v>
          </cell>
        </row>
        <row r="464">
          <cell r="F464">
            <v>516554</v>
          </cell>
          <cell r="G464" t="str">
            <v>Stredná športová škola</v>
          </cell>
          <cell r="H464" t="str">
            <v>Banská Bystrica</v>
          </cell>
          <cell r="I464" t="str">
            <v>Trieda SNP 54</v>
          </cell>
          <cell r="J464">
            <v>13</v>
          </cell>
          <cell r="K464">
            <v>0</v>
          </cell>
          <cell r="L464">
            <v>45</v>
          </cell>
          <cell r="M464">
            <v>0</v>
          </cell>
          <cell r="N464">
            <v>1</v>
          </cell>
          <cell r="O464">
            <v>19</v>
          </cell>
          <cell r="P464">
            <v>1</v>
          </cell>
          <cell r="Q464">
            <v>4</v>
          </cell>
          <cell r="R464">
            <v>363</v>
          </cell>
          <cell r="S464">
            <v>61</v>
          </cell>
          <cell r="T464">
            <v>1507.5</v>
          </cell>
          <cell r="U464">
            <v>280.3</v>
          </cell>
        </row>
        <row r="465">
          <cell r="F465">
            <v>607053</v>
          </cell>
          <cell r="G465" t="str">
            <v>Stredná zdravotnícka škola</v>
          </cell>
          <cell r="H465" t="str">
            <v>Banská Bystrica</v>
          </cell>
          <cell r="I465" t="str">
            <v>J.G.Tajovského 24</v>
          </cell>
          <cell r="J465">
            <v>16</v>
          </cell>
          <cell r="K465">
            <v>0</v>
          </cell>
          <cell r="L465">
            <v>84</v>
          </cell>
          <cell r="M465">
            <v>0</v>
          </cell>
          <cell r="N465">
            <v>1</v>
          </cell>
          <cell r="O465">
            <v>24</v>
          </cell>
          <cell r="P465">
            <v>4</v>
          </cell>
          <cell r="Q465">
            <v>36</v>
          </cell>
          <cell r="R465">
            <v>486</v>
          </cell>
          <cell r="S465">
            <v>346</v>
          </cell>
          <cell r="T465">
            <v>2814</v>
          </cell>
          <cell r="U465">
            <v>1413.39</v>
          </cell>
        </row>
        <row r="466">
          <cell r="F466">
            <v>160539</v>
          </cell>
          <cell r="G466" t="str">
            <v>Gymnázium Andreja Kmeťa</v>
          </cell>
          <cell r="H466" t="str">
            <v>Banská Štiavnica</v>
          </cell>
          <cell r="I466" t="str">
            <v>Kolpašská 1738/9</v>
          </cell>
          <cell r="J466">
            <v>8</v>
          </cell>
          <cell r="K466">
            <v>0</v>
          </cell>
          <cell r="L466">
            <v>21</v>
          </cell>
          <cell r="M466">
            <v>0</v>
          </cell>
          <cell r="N466">
            <v>0</v>
          </cell>
          <cell r="O466">
            <v>9</v>
          </cell>
          <cell r="P466">
            <v>1</v>
          </cell>
          <cell r="Q466">
            <v>0</v>
          </cell>
          <cell r="R466">
            <v>165</v>
          </cell>
          <cell r="S466">
            <v>69</v>
          </cell>
          <cell r="T466">
            <v>703.5</v>
          </cell>
          <cell r="U466">
            <v>259.38</v>
          </cell>
        </row>
        <row r="467">
          <cell r="F467">
            <v>162710</v>
          </cell>
          <cell r="G467" t="str">
            <v>Stredná odborná škola lesnícka</v>
          </cell>
          <cell r="H467" t="str">
            <v>Banská Štiavnica</v>
          </cell>
          <cell r="I467" t="str">
            <v>Akademická 16</v>
          </cell>
          <cell r="J467">
            <v>8</v>
          </cell>
          <cell r="K467">
            <v>0</v>
          </cell>
          <cell r="L467">
            <v>34</v>
          </cell>
          <cell r="M467">
            <v>0</v>
          </cell>
          <cell r="N467">
            <v>0</v>
          </cell>
          <cell r="O467">
            <v>10</v>
          </cell>
          <cell r="P467">
            <v>1</v>
          </cell>
          <cell r="Q467">
            <v>0</v>
          </cell>
          <cell r="R467">
            <v>241</v>
          </cell>
          <cell r="S467">
            <v>73</v>
          </cell>
          <cell r="T467">
            <v>1139</v>
          </cell>
          <cell r="U467">
            <v>324.39999999999998</v>
          </cell>
        </row>
        <row r="468">
          <cell r="F468">
            <v>42317673</v>
          </cell>
          <cell r="G468" t="str">
            <v>Stredná odborná škola služieb a lesníctva</v>
          </cell>
          <cell r="H468" t="str">
            <v>Banská Štiavnica</v>
          </cell>
          <cell r="I468" t="str">
            <v>Kolpašská 1586/9</v>
          </cell>
          <cell r="J468">
            <v>10</v>
          </cell>
          <cell r="K468">
            <v>0</v>
          </cell>
          <cell r="L468">
            <v>41</v>
          </cell>
          <cell r="M468">
            <v>0</v>
          </cell>
          <cell r="N468">
            <v>11</v>
          </cell>
          <cell r="O468">
            <v>12</v>
          </cell>
          <cell r="P468">
            <v>2</v>
          </cell>
          <cell r="Q468">
            <v>82</v>
          </cell>
          <cell r="R468">
            <v>127</v>
          </cell>
          <cell r="S468">
            <v>33</v>
          </cell>
          <cell r="T468">
            <v>1373.5</v>
          </cell>
          <cell r="U468">
            <v>265.80000000000007</v>
          </cell>
        </row>
        <row r="469">
          <cell r="F469">
            <v>161667</v>
          </cell>
          <cell r="G469" t="str">
            <v>Stredná priemyselná škola Samuela Mikovíniho</v>
          </cell>
          <cell r="H469" t="str">
            <v>Banská Štiavnica</v>
          </cell>
          <cell r="I469" t="str">
            <v>Akademická 13</v>
          </cell>
          <cell r="J469">
            <v>5</v>
          </cell>
          <cell r="K469">
            <v>0</v>
          </cell>
          <cell r="L469">
            <v>24</v>
          </cell>
          <cell r="M469">
            <v>0</v>
          </cell>
          <cell r="N469">
            <v>0</v>
          </cell>
          <cell r="O469">
            <v>8</v>
          </cell>
          <cell r="P469">
            <v>1</v>
          </cell>
          <cell r="Q469">
            <v>0</v>
          </cell>
          <cell r="R469">
            <v>148</v>
          </cell>
          <cell r="S469">
            <v>55</v>
          </cell>
          <cell r="T469">
            <v>804</v>
          </cell>
          <cell r="U469">
            <v>114.08</v>
          </cell>
        </row>
        <row r="470">
          <cell r="F470">
            <v>53006020</v>
          </cell>
          <cell r="G470" t="str">
            <v>Škola umeleckého priemyslu</v>
          </cell>
          <cell r="H470" t="str">
            <v>Banská Štiavnica</v>
          </cell>
          <cell r="I470" t="str">
            <v>Akademická 13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</row>
        <row r="471">
          <cell r="F471">
            <v>160547</v>
          </cell>
          <cell r="G471" t="str">
            <v>Gymnázium Jána Chalupku</v>
          </cell>
          <cell r="H471" t="str">
            <v>Brezno</v>
          </cell>
          <cell r="I471" t="str">
            <v>Štúrova 13</v>
          </cell>
          <cell r="J471">
            <v>7</v>
          </cell>
          <cell r="K471">
            <v>0</v>
          </cell>
          <cell r="L471">
            <v>30</v>
          </cell>
          <cell r="M471">
            <v>0</v>
          </cell>
          <cell r="N471">
            <v>0</v>
          </cell>
          <cell r="O471">
            <v>8</v>
          </cell>
          <cell r="P471">
            <v>0</v>
          </cell>
          <cell r="Q471">
            <v>0</v>
          </cell>
          <cell r="R471">
            <v>191</v>
          </cell>
          <cell r="S471">
            <v>40</v>
          </cell>
          <cell r="T471">
            <v>1005</v>
          </cell>
          <cell r="U471">
            <v>426.8</v>
          </cell>
        </row>
        <row r="472">
          <cell r="F472">
            <v>162035</v>
          </cell>
          <cell r="G472" t="str">
            <v>Hotelová akadémia</v>
          </cell>
          <cell r="H472" t="str">
            <v>Brezno</v>
          </cell>
          <cell r="I472" t="str">
            <v>Malinovského 1</v>
          </cell>
          <cell r="J472">
            <v>2</v>
          </cell>
          <cell r="K472">
            <v>1</v>
          </cell>
          <cell r="L472">
            <v>7</v>
          </cell>
          <cell r="M472">
            <v>6</v>
          </cell>
          <cell r="N472">
            <v>3</v>
          </cell>
          <cell r="O472">
            <v>8</v>
          </cell>
          <cell r="P472">
            <v>0</v>
          </cell>
          <cell r="Q472">
            <v>82</v>
          </cell>
          <cell r="R472">
            <v>46</v>
          </cell>
          <cell r="S472">
            <v>0</v>
          </cell>
          <cell r="T472">
            <v>234.5</v>
          </cell>
          <cell r="U472">
            <v>47</v>
          </cell>
        </row>
        <row r="473">
          <cell r="F473">
            <v>35652454</v>
          </cell>
          <cell r="G473" t="str">
            <v>Obchodná akadémia</v>
          </cell>
          <cell r="H473" t="str">
            <v>Brezno</v>
          </cell>
          <cell r="I473" t="str">
            <v>Malinovského 1</v>
          </cell>
          <cell r="J473">
            <v>0</v>
          </cell>
          <cell r="K473">
            <v>1</v>
          </cell>
          <cell r="L473">
            <v>0</v>
          </cell>
          <cell r="M473">
            <v>4</v>
          </cell>
          <cell r="N473">
            <v>2</v>
          </cell>
          <cell r="O473">
            <v>0</v>
          </cell>
          <cell r="P473">
            <v>0</v>
          </cell>
          <cell r="Q473">
            <v>44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</row>
        <row r="474">
          <cell r="F474">
            <v>42317657</v>
          </cell>
          <cell r="G474" t="str">
            <v>Stredná odborná škola techniky a služieb</v>
          </cell>
          <cell r="H474" t="str">
            <v>Brezno</v>
          </cell>
          <cell r="I474" t="str">
            <v>Laskomerského 3</v>
          </cell>
          <cell r="J474">
            <v>10</v>
          </cell>
          <cell r="K474">
            <v>0</v>
          </cell>
          <cell r="L474">
            <v>42</v>
          </cell>
          <cell r="M474">
            <v>0</v>
          </cell>
          <cell r="N474">
            <v>0</v>
          </cell>
          <cell r="O474">
            <v>20</v>
          </cell>
          <cell r="P474">
            <v>2</v>
          </cell>
          <cell r="Q474">
            <v>0</v>
          </cell>
          <cell r="R474">
            <v>255</v>
          </cell>
          <cell r="S474">
            <v>155</v>
          </cell>
          <cell r="T474">
            <v>1407</v>
          </cell>
          <cell r="U474">
            <v>367.1</v>
          </cell>
        </row>
        <row r="475">
          <cell r="F475">
            <v>17058554</v>
          </cell>
          <cell r="G475" t="str">
            <v>Gymnázium</v>
          </cell>
          <cell r="H475" t="str">
            <v>Detva</v>
          </cell>
          <cell r="I475" t="str">
            <v>Štúrova 849</v>
          </cell>
          <cell r="J475">
            <v>3</v>
          </cell>
          <cell r="K475">
            <v>0</v>
          </cell>
          <cell r="L475">
            <v>4</v>
          </cell>
          <cell r="M475">
            <v>0</v>
          </cell>
          <cell r="N475">
            <v>0</v>
          </cell>
          <cell r="O475">
            <v>5</v>
          </cell>
          <cell r="P475">
            <v>0</v>
          </cell>
          <cell r="Q475">
            <v>0</v>
          </cell>
          <cell r="R475">
            <v>34</v>
          </cell>
          <cell r="S475">
            <v>0</v>
          </cell>
          <cell r="T475">
            <v>134</v>
          </cell>
          <cell r="U475">
            <v>0</v>
          </cell>
        </row>
        <row r="476">
          <cell r="F476">
            <v>37956205</v>
          </cell>
          <cell r="G476" t="str">
            <v>Spojená škola</v>
          </cell>
          <cell r="H476" t="str">
            <v>Detva</v>
          </cell>
          <cell r="I476" t="str">
            <v>Štúrova 848</v>
          </cell>
          <cell r="J476">
            <v>6</v>
          </cell>
          <cell r="K476">
            <v>0</v>
          </cell>
          <cell r="L476">
            <v>23</v>
          </cell>
          <cell r="M476">
            <v>0</v>
          </cell>
          <cell r="N476">
            <v>0</v>
          </cell>
          <cell r="O476">
            <v>14</v>
          </cell>
          <cell r="P476">
            <v>0</v>
          </cell>
          <cell r="Q476">
            <v>0</v>
          </cell>
          <cell r="R476">
            <v>174</v>
          </cell>
          <cell r="S476">
            <v>0</v>
          </cell>
          <cell r="T476">
            <v>770.5</v>
          </cell>
          <cell r="U476">
            <v>159.9</v>
          </cell>
        </row>
        <row r="477">
          <cell r="F477">
            <v>160644</v>
          </cell>
          <cell r="G477" t="str">
            <v>Gymnázium Andreja Sládkoviča</v>
          </cell>
          <cell r="H477" t="str">
            <v>Krupina</v>
          </cell>
          <cell r="I477" t="str">
            <v>M. R. Štefánika 8</v>
          </cell>
          <cell r="J477">
            <v>2</v>
          </cell>
          <cell r="K477">
            <v>2</v>
          </cell>
          <cell r="L477">
            <v>3</v>
          </cell>
          <cell r="M477">
            <v>2</v>
          </cell>
          <cell r="N477">
            <v>2</v>
          </cell>
          <cell r="O477">
            <v>4</v>
          </cell>
          <cell r="P477">
            <v>0</v>
          </cell>
          <cell r="Q477">
            <v>9</v>
          </cell>
          <cell r="R477">
            <v>14</v>
          </cell>
          <cell r="S477">
            <v>0</v>
          </cell>
          <cell r="T477">
            <v>100.5</v>
          </cell>
          <cell r="U477">
            <v>8</v>
          </cell>
        </row>
        <row r="478">
          <cell r="F478">
            <v>159352</v>
          </cell>
          <cell r="G478" t="str">
            <v>Stredná odborná škola obchodu a služieb</v>
          </cell>
          <cell r="H478" t="str">
            <v>Krupina</v>
          </cell>
          <cell r="I478" t="str">
            <v>M. R. Štefánika 8</v>
          </cell>
          <cell r="J478">
            <v>10</v>
          </cell>
          <cell r="K478">
            <v>0</v>
          </cell>
          <cell r="L478">
            <v>29</v>
          </cell>
          <cell r="M478">
            <v>0</v>
          </cell>
          <cell r="N478">
            <v>0</v>
          </cell>
          <cell r="O478">
            <v>16</v>
          </cell>
          <cell r="P478">
            <v>0</v>
          </cell>
          <cell r="Q478">
            <v>0</v>
          </cell>
          <cell r="R478">
            <v>215</v>
          </cell>
          <cell r="S478">
            <v>0</v>
          </cell>
          <cell r="T478">
            <v>971.5</v>
          </cell>
          <cell r="U478">
            <v>97.1</v>
          </cell>
        </row>
        <row r="479">
          <cell r="F479">
            <v>160580</v>
          </cell>
          <cell r="G479" t="str">
            <v>Gymnázium - Gimnázium</v>
          </cell>
          <cell r="H479" t="str">
            <v>Fiľakovo</v>
          </cell>
          <cell r="I479" t="str">
            <v>Nám. padlých hrdinov 2</v>
          </cell>
          <cell r="J479">
            <v>13</v>
          </cell>
          <cell r="K479">
            <v>0</v>
          </cell>
          <cell r="L479">
            <v>42</v>
          </cell>
          <cell r="M479">
            <v>0</v>
          </cell>
          <cell r="N479">
            <v>0</v>
          </cell>
          <cell r="O479">
            <v>22</v>
          </cell>
          <cell r="P479">
            <v>2</v>
          </cell>
          <cell r="Q479">
            <v>0</v>
          </cell>
          <cell r="R479">
            <v>228</v>
          </cell>
          <cell r="S479">
            <v>105</v>
          </cell>
          <cell r="T479">
            <v>1407</v>
          </cell>
          <cell r="U479">
            <v>480.7</v>
          </cell>
        </row>
        <row r="480">
          <cell r="F480">
            <v>37890069</v>
          </cell>
          <cell r="G480" t="str">
            <v>Stredná odborná škola - Szakközépiskola</v>
          </cell>
          <cell r="H480" t="str">
            <v>Fiľakovo</v>
          </cell>
          <cell r="I480" t="str">
            <v>J.Kalinčiaka 1584/8</v>
          </cell>
          <cell r="J480">
            <v>6</v>
          </cell>
          <cell r="K480">
            <v>0</v>
          </cell>
          <cell r="L480">
            <v>14</v>
          </cell>
          <cell r="M480">
            <v>0</v>
          </cell>
          <cell r="N480">
            <v>0</v>
          </cell>
          <cell r="O480">
            <v>12</v>
          </cell>
          <cell r="P480">
            <v>0</v>
          </cell>
          <cell r="Q480">
            <v>0</v>
          </cell>
          <cell r="R480">
            <v>141</v>
          </cell>
          <cell r="S480">
            <v>0</v>
          </cell>
          <cell r="T480">
            <v>469</v>
          </cell>
          <cell r="U480">
            <v>341.3</v>
          </cell>
        </row>
        <row r="481">
          <cell r="F481">
            <v>160687</v>
          </cell>
          <cell r="G481" t="str">
            <v>Gymnázium Boženy Slančíkovej Timravy</v>
          </cell>
          <cell r="H481" t="str">
            <v>Lučenec</v>
          </cell>
          <cell r="I481" t="str">
            <v>Haličská cesta 9</v>
          </cell>
          <cell r="J481">
            <v>13</v>
          </cell>
          <cell r="K481">
            <v>0</v>
          </cell>
          <cell r="L481">
            <v>37</v>
          </cell>
          <cell r="M481">
            <v>0</v>
          </cell>
          <cell r="N481">
            <v>1</v>
          </cell>
          <cell r="O481">
            <v>18</v>
          </cell>
          <cell r="P481">
            <v>1</v>
          </cell>
          <cell r="Q481">
            <v>8</v>
          </cell>
          <cell r="R481">
            <v>326</v>
          </cell>
          <cell r="S481">
            <v>43</v>
          </cell>
          <cell r="T481">
            <v>1239.5</v>
          </cell>
          <cell r="U481">
            <v>135.34</v>
          </cell>
        </row>
        <row r="482">
          <cell r="F482">
            <v>162060</v>
          </cell>
          <cell r="G482" t="str">
            <v>Obchodná akadémia</v>
          </cell>
          <cell r="H482" t="str">
            <v>Lučenec</v>
          </cell>
          <cell r="I482" t="str">
            <v>Lúčna 4</v>
          </cell>
          <cell r="J482">
            <v>6</v>
          </cell>
          <cell r="K482">
            <v>0</v>
          </cell>
          <cell r="L482">
            <v>25</v>
          </cell>
          <cell r="M482">
            <v>0</v>
          </cell>
          <cell r="N482">
            <v>2</v>
          </cell>
          <cell r="O482">
            <v>6</v>
          </cell>
          <cell r="P482">
            <v>1</v>
          </cell>
          <cell r="Q482">
            <v>15</v>
          </cell>
          <cell r="R482">
            <v>206</v>
          </cell>
          <cell r="S482">
            <v>79</v>
          </cell>
          <cell r="T482">
            <v>837.5</v>
          </cell>
          <cell r="U482">
            <v>48</v>
          </cell>
        </row>
        <row r="483">
          <cell r="F483">
            <v>37890221</v>
          </cell>
          <cell r="G483" t="str">
            <v>Stredná odborná škola hotelových služieb a dopravy</v>
          </cell>
          <cell r="H483" t="str">
            <v>Lučenec</v>
          </cell>
          <cell r="I483" t="str">
            <v>Zvolenská cesta 83</v>
          </cell>
          <cell r="J483">
            <v>11</v>
          </cell>
          <cell r="K483">
            <v>0</v>
          </cell>
          <cell r="L483">
            <v>36</v>
          </cell>
          <cell r="M483">
            <v>0</v>
          </cell>
          <cell r="N483">
            <v>1</v>
          </cell>
          <cell r="O483">
            <v>16</v>
          </cell>
          <cell r="P483">
            <v>2</v>
          </cell>
          <cell r="Q483">
            <v>2</v>
          </cell>
          <cell r="R483">
            <v>136</v>
          </cell>
          <cell r="S483">
            <v>60</v>
          </cell>
          <cell r="T483">
            <v>1206</v>
          </cell>
          <cell r="U483">
            <v>105.8</v>
          </cell>
        </row>
        <row r="484">
          <cell r="F484">
            <v>162809</v>
          </cell>
          <cell r="G484" t="str">
            <v>Stredná odborná škola pedagogická - Pedagógiai Szakközépiskola</v>
          </cell>
          <cell r="H484" t="str">
            <v>Lučenec</v>
          </cell>
          <cell r="I484" t="str">
            <v>Komenského 12</v>
          </cell>
          <cell r="J484">
            <v>20</v>
          </cell>
          <cell r="K484">
            <v>0</v>
          </cell>
          <cell r="L484">
            <v>71</v>
          </cell>
          <cell r="M484">
            <v>0</v>
          </cell>
          <cell r="N484">
            <v>0</v>
          </cell>
          <cell r="O484">
            <v>21</v>
          </cell>
          <cell r="P484">
            <v>3</v>
          </cell>
          <cell r="Q484">
            <v>0</v>
          </cell>
          <cell r="R484">
            <v>700</v>
          </cell>
          <cell r="S484">
            <v>133</v>
          </cell>
          <cell r="T484">
            <v>2378.5</v>
          </cell>
          <cell r="U484">
            <v>2713.1</v>
          </cell>
        </row>
        <row r="485">
          <cell r="F485">
            <v>893307</v>
          </cell>
          <cell r="G485" t="str">
            <v>Stredná odborná škola technická</v>
          </cell>
          <cell r="H485" t="str">
            <v>Lučenec</v>
          </cell>
          <cell r="I485" t="str">
            <v>Dukelských hrdinov 2</v>
          </cell>
          <cell r="J485">
            <v>13</v>
          </cell>
          <cell r="K485">
            <v>0</v>
          </cell>
          <cell r="L485">
            <v>44</v>
          </cell>
          <cell r="M485">
            <v>0</v>
          </cell>
          <cell r="N485">
            <v>0</v>
          </cell>
          <cell r="O485">
            <v>23</v>
          </cell>
          <cell r="P485">
            <v>1</v>
          </cell>
          <cell r="Q485">
            <v>0</v>
          </cell>
          <cell r="R485">
            <v>337</v>
          </cell>
          <cell r="S485">
            <v>34</v>
          </cell>
          <cell r="T485">
            <v>1474</v>
          </cell>
          <cell r="U485">
            <v>311.5</v>
          </cell>
        </row>
        <row r="486">
          <cell r="F486">
            <v>161560</v>
          </cell>
          <cell r="G486" t="str">
            <v>Stredná priemyselná škola stavebná  Oskara Winklera - Winkler Oszkár Építöipari Szakközépiskola</v>
          </cell>
          <cell r="H486" t="str">
            <v>Lučenec</v>
          </cell>
          <cell r="I486" t="str">
            <v>B. Němcovej 1</v>
          </cell>
          <cell r="J486">
            <v>6</v>
          </cell>
          <cell r="K486">
            <v>2</v>
          </cell>
          <cell r="L486">
            <v>24</v>
          </cell>
          <cell r="M486">
            <v>6</v>
          </cell>
          <cell r="N486">
            <v>4</v>
          </cell>
          <cell r="O486">
            <v>8</v>
          </cell>
          <cell r="P486">
            <v>1</v>
          </cell>
          <cell r="Q486">
            <v>69</v>
          </cell>
          <cell r="R486">
            <v>197</v>
          </cell>
          <cell r="S486">
            <v>46</v>
          </cell>
          <cell r="T486">
            <v>804</v>
          </cell>
          <cell r="U486">
            <v>165.4</v>
          </cell>
        </row>
        <row r="487">
          <cell r="F487">
            <v>607029</v>
          </cell>
          <cell r="G487" t="str">
            <v>Stredná zdravotnícka škola</v>
          </cell>
          <cell r="H487" t="str">
            <v>Lučenec</v>
          </cell>
          <cell r="I487" t="str">
            <v>Lúčna 2</v>
          </cell>
          <cell r="J487">
            <v>3</v>
          </cell>
          <cell r="K487">
            <v>2</v>
          </cell>
          <cell r="L487">
            <v>18</v>
          </cell>
          <cell r="M487">
            <v>4</v>
          </cell>
          <cell r="N487">
            <v>3</v>
          </cell>
          <cell r="O487">
            <v>8</v>
          </cell>
          <cell r="P487">
            <v>0</v>
          </cell>
          <cell r="Q487">
            <v>84</v>
          </cell>
          <cell r="R487">
            <v>156</v>
          </cell>
          <cell r="S487">
            <v>0</v>
          </cell>
          <cell r="T487">
            <v>603</v>
          </cell>
          <cell r="U487">
            <v>216.95</v>
          </cell>
        </row>
        <row r="488">
          <cell r="F488">
            <v>42195462</v>
          </cell>
          <cell r="G488" t="str">
            <v>Spojená škola</v>
          </cell>
          <cell r="H488" t="str">
            <v>Poltár</v>
          </cell>
          <cell r="I488" t="str">
            <v>Železničná 5</v>
          </cell>
          <cell r="J488">
            <v>11</v>
          </cell>
          <cell r="K488">
            <v>0</v>
          </cell>
          <cell r="L488">
            <v>30</v>
          </cell>
          <cell r="M488">
            <v>0</v>
          </cell>
          <cell r="N488">
            <v>0</v>
          </cell>
          <cell r="O488">
            <v>24</v>
          </cell>
          <cell r="P488">
            <v>0</v>
          </cell>
          <cell r="Q488">
            <v>0</v>
          </cell>
          <cell r="R488">
            <v>218</v>
          </cell>
          <cell r="S488">
            <v>0</v>
          </cell>
          <cell r="T488">
            <v>1005</v>
          </cell>
          <cell r="U488">
            <v>123.6</v>
          </cell>
        </row>
        <row r="489">
          <cell r="F489">
            <v>161136</v>
          </cell>
          <cell r="G489" t="str">
            <v>Gymnázium Martina Kukučína</v>
          </cell>
          <cell r="H489" t="str">
            <v>Revúca</v>
          </cell>
          <cell r="I489" t="str">
            <v>Vl. Clementisa 1166/21</v>
          </cell>
          <cell r="J489">
            <v>9</v>
          </cell>
          <cell r="K489">
            <v>0</v>
          </cell>
          <cell r="L489">
            <v>26</v>
          </cell>
          <cell r="M489">
            <v>0</v>
          </cell>
          <cell r="N489">
            <v>6</v>
          </cell>
          <cell r="O489">
            <v>14</v>
          </cell>
          <cell r="P489">
            <v>1</v>
          </cell>
          <cell r="Q489">
            <v>13</v>
          </cell>
          <cell r="R489">
            <v>145</v>
          </cell>
          <cell r="S489">
            <v>64</v>
          </cell>
          <cell r="T489">
            <v>871</v>
          </cell>
          <cell r="U489">
            <v>152.4</v>
          </cell>
        </row>
        <row r="490">
          <cell r="F490">
            <v>37890182</v>
          </cell>
          <cell r="G490" t="str">
            <v>Stredná odborná škola</v>
          </cell>
          <cell r="H490" t="str">
            <v>Revúca</v>
          </cell>
          <cell r="I490" t="str">
            <v>Generála Viesta 6</v>
          </cell>
          <cell r="J490">
            <v>8</v>
          </cell>
          <cell r="K490">
            <v>6</v>
          </cell>
          <cell r="L490">
            <v>28</v>
          </cell>
          <cell r="M490">
            <v>12</v>
          </cell>
          <cell r="N490">
            <v>15</v>
          </cell>
          <cell r="O490">
            <v>14</v>
          </cell>
          <cell r="P490">
            <v>1</v>
          </cell>
          <cell r="Q490">
            <v>157</v>
          </cell>
          <cell r="R490">
            <v>117</v>
          </cell>
          <cell r="S490">
            <v>17</v>
          </cell>
          <cell r="T490">
            <v>938</v>
          </cell>
          <cell r="U490">
            <v>210.7</v>
          </cell>
        </row>
        <row r="491">
          <cell r="F491">
            <v>894818</v>
          </cell>
          <cell r="G491" t="str">
            <v>Stredná odborná škola - Szakközépiskola</v>
          </cell>
          <cell r="H491" t="str">
            <v>Tornaľa</v>
          </cell>
          <cell r="I491" t="str">
            <v>Šafárikova 56</v>
          </cell>
          <cell r="J491">
            <v>7</v>
          </cell>
          <cell r="K491">
            <v>0</v>
          </cell>
          <cell r="L491">
            <v>33</v>
          </cell>
          <cell r="M491">
            <v>0</v>
          </cell>
          <cell r="N491">
            <v>1</v>
          </cell>
          <cell r="O491">
            <v>14</v>
          </cell>
          <cell r="P491">
            <v>1</v>
          </cell>
          <cell r="Q491">
            <v>6</v>
          </cell>
          <cell r="R491">
            <v>125</v>
          </cell>
          <cell r="S491">
            <v>32</v>
          </cell>
          <cell r="T491">
            <v>1105.5</v>
          </cell>
          <cell r="U491">
            <v>361.4</v>
          </cell>
        </row>
        <row r="492">
          <cell r="F492">
            <v>160610</v>
          </cell>
          <cell r="G492" t="str">
            <v>Gymnázium Mateja Hrebendu</v>
          </cell>
          <cell r="H492" t="str">
            <v>Hnúšťa</v>
          </cell>
          <cell r="I492" t="str">
            <v>Hlavná 431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</row>
        <row r="493">
          <cell r="F493">
            <v>37956230</v>
          </cell>
          <cell r="G493" t="str">
            <v>Stredná odborná škola</v>
          </cell>
          <cell r="H493" t="str">
            <v>Hnúšťa</v>
          </cell>
          <cell r="I493" t="str">
            <v>Hlavná 425</v>
          </cell>
          <cell r="J493">
            <v>4</v>
          </cell>
          <cell r="K493">
            <v>0</v>
          </cell>
          <cell r="L493">
            <v>9</v>
          </cell>
          <cell r="M493">
            <v>0</v>
          </cell>
          <cell r="N493">
            <v>1</v>
          </cell>
          <cell r="O493">
            <v>5</v>
          </cell>
          <cell r="P493">
            <v>0</v>
          </cell>
          <cell r="Q493">
            <v>9</v>
          </cell>
          <cell r="R493">
            <v>40</v>
          </cell>
          <cell r="S493">
            <v>0</v>
          </cell>
          <cell r="T493">
            <v>301.5</v>
          </cell>
          <cell r="U493">
            <v>100.4</v>
          </cell>
        </row>
        <row r="494">
          <cell r="F494">
            <v>160784</v>
          </cell>
          <cell r="G494" t="str">
            <v>Gymnázium Ivana Kraska - Ivan Krasko Gimnázium</v>
          </cell>
          <cell r="H494" t="str">
            <v>Rimavská Sobota</v>
          </cell>
          <cell r="I494" t="str">
            <v>P. Hostinského 3</v>
          </cell>
          <cell r="J494">
            <v>7</v>
          </cell>
          <cell r="K494">
            <v>0</v>
          </cell>
          <cell r="L494">
            <v>23</v>
          </cell>
          <cell r="M494">
            <v>0</v>
          </cell>
          <cell r="N494">
            <v>0</v>
          </cell>
          <cell r="O494">
            <v>13</v>
          </cell>
          <cell r="P494">
            <v>1</v>
          </cell>
          <cell r="Q494">
            <v>0</v>
          </cell>
          <cell r="R494">
            <v>151</v>
          </cell>
          <cell r="S494">
            <v>28</v>
          </cell>
          <cell r="T494">
            <v>770.5</v>
          </cell>
          <cell r="U494">
            <v>148.80000000000001</v>
          </cell>
        </row>
        <row r="495">
          <cell r="F495">
            <v>162108</v>
          </cell>
          <cell r="G495" t="str">
            <v>Obchodná akadémia - Kereskedelmi Akadémia</v>
          </cell>
          <cell r="H495" t="str">
            <v>Rimavská Sobota</v>
          </cell>
          <cell r="I495" t="str">
            <v>K. Mikszátha 1</v>
          </cell>
          <cell r="J495">
            <v>7</v>
          </cell>
          <cell r="K495">
            <v>0</v>
          </cell>
          <cell r="L495">
            <v>36</v>
          </cell>
          <cell r="M495">
            <v>0</v>
          </cell>
          <cell r="N495">
            <v>2</v>
          </cell>
          <cell r="O495">
            <v>15</v>
          </cell>
          <cell r="P495">
            <v>1</v>
          </cell>
          <cell r="Q495">
            <v>14</v>
          </cell>
          <cell r="R495">
            <v>220</v>
          </cell>
          <cell r="S495">
            <v>37</v>
          </cell>
          <cell r="T495">
            <v>1206</v>
          </cell>
          <cell r="U495">
            <v>66.3</v>
          </cell>
        </row>
        <row r="496">
          <cell r="F496">
            <v>42195438</v>
          </cell>
          <cell r="G496" t="str">
            <v>Stredná odborná škola obchodu a služieb</v>
          </cell>
          <cell r="H496" t="str">
            <v>Rimavská Sobota</v>
          </cell>
          <cell r="I496" t="str">
            <v>Športová 1</v>
          </cell>
          <cell r="J496">
            <v>12</v>
          </cell>
          <cell r="K496">
            <v>0</v>
          </cell>
          <cell r="L496">
            <v>34</v>
          </cell>
          <cell r="M496">
            <v>0</v>
          </cell>
          <cell r="N496">
            <v>1</v>
          </cell>
          <cell r="O496">
            <v>22</v>
          </cell>
          <cell r="P496">
            <v>1</v>
          </cell>
          <cell r="Q496">
            <v>1</v>
          </cell>
          <cell r="R496">
            <v>178</v>
          </cell>
          <cell r="S496">
            <v>48</v>
          </cell>
          <cell r="T496">
            <v>1139</v>
          </cell>
          <cell r="U496">
            <v>140.1</v>
          </cell>
        </row>
        <row r="497">
          <cell r="F497">
            <v>42317665</v>
          </cell>
          <cell r="G497" t="str">
            <v>Stredná odborná škola technická a agropotravinárska - Műszaki, Mezőgazdasági és Élelmiszeripari Szakközépiskola</v>
          </cell>
          <cell r="H497" t="str">
            <v>Rimavská Sobota</v>
          </cell>
          <cell r="I497" t="str">
            <v>Okružná 61</v>
          </cell>
          <cell r="J497">
            <v>8</v>
          </cell>
          <cell r="K497">
            <v>0</v>
          </cell>
          <cell r="L497">
            <v>26</v>
          </cell>
          <cell r="M497">
            <v>0</v>
          </cell>
          <cell r="N497">
            <v>2</v>
          </cell>
          <cell r="O497">
            <v>13</v>
          </cell>
          <cell r="P497">
            <v>3</v>
          </cell>
          <cell r="Q497">
            <v>22</v>
          </cell>
          <cell r="R497">
            <v>74</v>
          </cell>
          <cell r="S497">
            <v>48</v>
          </cell>
          <cell r="T497">
            <v>871</v>
          </cell>
          <cell r="U497">
            <v>254.3</v>
          </cell>
        </row>
        <row r="498">
          <cell r="F498">
            <v>161632</v>
          </cell>
          <cell r="G498" t="str">
            <v>Stredná odborná škola</v>
          </cell>
          <cell r="H498" t="str">
            <v>Tisovec</v>
          </cell>
          <cell r="I498" t="str">
            <v>Jesenského 903</v>
          </cell>
          <cell r="J498">
            <v>8</v>
          </cell>
          <cell r="K498">
            <v>0</v>
          </cell>
          <cell r="L498">
            <v>29</v>
          </cell>
          <cell r="M498">
            <v>0</v>
          </cell>
          <cell r="N498">
            <v>1</v>
          </cell>
          <cell r="O498">
            <v>16</v>
          </cell>
          <cell r="P498">
            <v>2</v>
          </cell>
          <cell r="Q498">
            <v>4</v>
          </cell>
          <cell r="R498">
            <v>171</v>
          </cell>
          <cell r="S498">
            <v>62</v>
          </cell>
          <cell r="T498">
            <v>971.5</v>
          </cell>
          <cell r="U498">
            <v>299.75</v>
          </cell>
        </row>
        <row r="499">
          <cell r="F499">
            <v>37956248</v>
          </cell>
          <cell r="G499" t="str">
            <v>Spojená škola</v>
          </cell>
          <cell r="H499" t="str">
            <v>Modrý Kameň</v>
          </cell>
          <cell r="I499" t="str">
            <v>Jarmočná 1</v>
          </cell>
          <cell r="J499">
            <v>12</v>
          </cell>
          <cell r="K499">
            <v>0</v>
          </cell>
          <cell r="L499">
            <v>38</v>
          </cell>
          <cell r="M499">
            <v>0</v>
          </cell>
          <cell r="N499">
            <v>2</v>
          </cell>
          <cell r="O499">
            <v>19</v>
          </cell>
          <cell r="P499">
            <v>9</v>
          </cell>
          <cell r="Q499">
            <v>21</v>
          </cell>
          <cell r="R499">
            <v>141</v>
          </cell>
          <cell r="S499">
            <v>49</v>
          </cell>
          <cell r="T499">
            <v>1273</v>
          </cell>
          <cell r="U499">
            <v>297.19</v>
          </cell>
        </row>
        <row r="500">
          <cell r="F500">
            <v>160709</v>
          </cell>
          <cell r="G500" t="str">
            <v>Gymnázium  Augusta Horislava Škultétyho</v>
          </cell>
          <cell r="H500" t="str">
            <v>Veľký Krtíš</v>
          </cell>
          <cell r="I500" t="str">
            <v>Školská 21</v>
          </cell>
          <cell r="J500">
            <v>15</v>
          </cell>
          <cell r="K500">
            <v>0</v>
          </cell>
          <cell r="L500">
            <v>40</v>
          </cell>
          <cell r="M500">
            <v>0</v>
          </cell>
          <cell r="N500">
            <v>0</v>
          </cell>
          <cell r="O500">
            <v>19</v>
          </cell>
          <cell r="P500">
            <v>7</v>
          </cell>
          <cell r="Q500">
            <v>0</v>
          </cell>
          <cell r="R500">
            <v>342</v>
          </cell>
          <cell r="S500">
            <v>106</v>
          </cell>
          <cell r="T500">
            <v>1340</v>
          </cell>
          <cell r="U500">
            <v>481.6</v>
          </cell>
        </row>
        <row r="501">
          <cell r="F501">
            <v>37890051</v>
          </cell>
          <cell r="G501" t="str">
            <v>Stredná odborná škola</v>
          </cell>
          <cell r="H501" t="str">
            <v>Veľký Krtíš</v>
          </cell>
          <cell r="I501" t="str">
            <v>Poľná 10</v>
          </cell>
          <cell r="J501">
            <v>7</v>
          </cell>
          <cell r="K501">
            <v>0</v>
          </cell>
          <cell r="L501">
            <v>15</v>
          </cell>
          <cell r="M501">
            <v>0</v>
          </cell>
          <cell r="N501">
            <v>2</v>
          </cell>
          <cell r="O501">
            <v>8</v>
          </cell>
          <cell r="P501">
            <v>1</v>
          </cell>
          <cell r="Q501">
            <v>14</v>
          </cell>
          <cell r="R501">
            <v>79</v>
          </cell>
          <cell r="S501">
            <v>5</v>
          </cell>
          <cell r="T501">
            <v>502.5</v>
          </cell>
          <cell r="U501">
            <v>0</v>
          </cell>
        </row>
        <row r="502">
          <cell r="F502">
            <v>37890191</v>
          </cell>
          <cell r="G502" t="str">
            <v>Stredná odborná škola</v>
          </cell>
          <cell r="H502" t="str">
            <v>Želovce</v>
          </cell>
          <cell r="I502" t="str">
            <v>J.A Komenského 70/4</v>
          </cell>
          <cell r="J502">
            <v>4</v>
          </cell>
          <cell r="K502">
            <v>0</v>
          </cell>
          <cell r="L502">
            <v>12</v>
          </cell>
          <cell r="M502">
            <v>0</v>
          </cell>
          <cell r="N502">
            <v>0</v>
          </cell>
          <cell r="O502">
            <v>5</v>
          </cell>
          <cell r="P502">
            <v>1</v>
          </cell>
          <cell r="Q502">
            <v>0</v>
          </cell>
          <cell r="R502">
            <v>34</v>
          </cell>
          <cell r="S502">
            <v>23</v>
          </cell>
          <cell r="T502">
            <v>402</v>
          </cell>
          <cell r="U502">
            <v>67.099999999999994</v>
          </cell>
        </row>
        <row r="503">
          <cell r="F503">
            <v>160865</v>
          </cell>
          <cell r="G503" t="str">
            <v>Gymnázium Ľudovíta Štúra</v>
          </cell>
          <cell r="H503" t="str">
            <v>Zvolen</v>
          </cell>
          <cell r="I503" t="str">
            <v>Hronská 1467/3</v>
          </cell>
          <cell r="J503">
            <v>15</v>
          </cell>
          <cell r="K503">
            <v>0</v>
          </cell>
          <cell r="L503">
            <v>42</v>
          </cell>
          <cell r="M503">
            <v>3</v>
          </cell>
          <cell r="N503">
            <v>1</v>
          </cell>
          <cell r="O503">
            <v>19</v>
          </cell>
          <cell r="P503">
            <v>1</v>
          </cell>
          <cell r="Q503">
            <v>45</v>
          </cell>
          <cell r="R503">
            <v>397</v>
          </cell>
          <cell r="S503">
            <v>57</v>
          </cell>
          <cell r="T503">
            <v>1407</v>
          </cell>
          <cell r="U503">
            <v>367.04</v>
          </cell>
        </row>
        <row r="504">
          <cell r="F504">
            <v>37956469</v>
          </cell>
          <cell r="G504" t="str">
            <v>Stredná odborná škola drevárska</v>
          </cell>
          <cell r="H504" t="str">
            <v>Zvolen</v>
          </cell>
          <cell r="I504" t="str">
            <v>Lučenecká 2193/17</v>
          </cell>
          <cell r="J504">
            <v>7</v>
          </cell>
          <cell r="K504">
            <v>4</v>
          </cell>
          <cell r="L504">
            <v>45</v>
          </cell>
          <cell r="M504">
            <v>11</v>
          </cell>
          <cell r="N504">
            <v>4</v>
          </cell>
          <cell r="O504">
            <v>12</v>
          </cell>
          <cell r="P504">
            <v>3</v>
          </cell>
          <cell r="Q504">
            <v>8</v>
          </cell>
          <cell r="R504">
            <v>262</v>
          </cell>
          <cell r="S504">
            <v>100</v>
          </cell>
          <cell r="T504">
            <v>1507.5</v>
          </cell>
          <cell r="U504">
            <v>278.60000000000002</v>
          </cell>
        </row>
        <row r="505">
          <cell r="F505">
            <v>37890115</v>
          </cell>
          <cell r="G505" t="str">
            <v>Stredná odborná škola hotelových služieb a obchodu</v>
          </cell>
          <cell r="H505" t="str">
            <v>Zvolen</v>
          </cell>
          <cell r="I505" t="str">
            <v>Jabloňová 1351</v>
          </cell>
          <cell r="J505">
            <v>14</v>
          </cell>
          <cell r="K505">
            <v>0</v>
          </cell>
          <cell r="L505">
            <v>64</v>
          </cell>
          <cell r="M505">
            <v>0</v>
          </cell>
          <cell r="N505">
            <v>3</v>
          </cell>
          <cell r="O505">
            <v>26</v>
          </cell>
          <cell r="P505">
            <v>5</v>
          </cell>
          <cell r="Q505">
            <v>46</v>
          </cell>
          <cell r="R505">
            <v>423</v>
          </cell>
          <cell r="S505">
            <v>182</v>
          </cell>
          <cell r="T505">
            <v>2144</v>
          </cell>
          <cell r="U505">
            <v>236.27</v>
          </cell>
        </row>
        <row r="506">
          <cell r="F506">
            <v>45015171</v>
          </cell>
          <cell r="G506" t="str">
            <v>Stredná odborná škola technická</v>
          </cell>
          <cell r="H506" t="str">
            <v>Zvolen</v>
          </cell>
          <cell r="I506" t="str">
            <v>J. Švermu 1</v>
          </cell>
          <cell r="J506">
            <v>9</v>
          </cell>
          <cell r="K506">
            <v>0</v>
          </cell>
          <cell r="L506">
            <v>43</v>
          </cell>
          <cell r="M506">
            <v>0</v>
          </cell>
          <cell r="N506">
            <v>1</v>
          </cell>
          <cell r="O506">
            <v>13</v>
          </cell>
          <cell r="P506">
            <v>1</v>
          </cell>
          <cell r="Q506">
            <v>20</v>
          </cell>
          <cell r="R506">
            <v>299</v>
          </cell>
          <cell r="S506">
            <v>88</v>
          </cell>
          <cell r="T506">
            <v>1440.5</v>
          </cell>
          <cell r="U506">
            <v>255.47</v>
          </cell>
        </row>
        <row r="507">
          <cell r="F507">
            <v>215589</v>
          </cell>
          <cell r="G507" t="str">
            <v>Stredná priemyselná škola dopravná</v>
          </cell>
          <cell r="H507" t="str">
            <v>Zvolen</v>
          </cell>
          <cell r="I507" t="str">
            <v>Sokolská 911/94</v>
          </cell>
          <cell r="J507">
            <v>10</v>
          </cell>
          <cell r="K507">
            <v>0</v>
          </cell>
          <cell r="L507">
            <v>66</v>
          </cell>
          <cell r="M507">
            <v>0</v>
          </cell>
          <cell r="N507">
            <v>2</v>
          </cell>
          <cell r="O507">
            <v>12</v>
          </cell>
          <cell r="P507">
            <v>3</v>
          </cell>
          <cell r="Q507">
            <v>58</v>
          </cell>
          <cell r="R507">
            <v>188</v>
          </cell>
          <cell r="S507">
            <v>171</v>
          </cell>
          <cell r="T507">
            <v>2211</v>
          </cell>
          <cell r="U507">
            <v>416.94</v>
          </cell>
        </row>
        <row r="508">
          <cell r="F508">
            <v>606995</v>
          </cell>
          <cell r="G508" t="str">
            <v>Stredná zdravotnícka škola</v>
          </cell>
          <cell r="H508" t="str">
            <v>Zvolen</v>
          </cell>
          <cell r="I508" t="str">
            <v>J. Kozáčeka 4</v>
          </cell>
          <cell r="J508">
            <v>3</v>
          </cell>
          <cell r="K508">
            <v>1</v>
          </cell>
          <cell r="L508">
            <v>17</v>
          </cell>
          <cell r="M508">
            <v>1</v>
          </cell>
          <cell r="N508">
            <v>1</v>
          </cell>
          <cell r="O508">
            <v>6</v>
          </cell>
          <cell r="P508">
            <v>0</v>
          </cell>
          <cell r="Q508">
            <v>1</v>
          </cell>
          <cell r="R508">
            <v>167</v>
          </cell>
          <cell r="S508">
            <v>0</v>
          </cell>
          <cell r="T508">
            <v>569.5</v>
          </cell>
          <cell r="U508">
            <v>0</v>
          </cell>
        </row>
        <row r="509">
          <cell r="F509">
            <v>160725</v>
          </cell>
          <cell r="G509" t="str">
            <v>Gymnázium Františka Švantnera</v>
          </cell>
          <cell r="H509" t="str">
            <v>Nová Baňa</v>
          </cell>
          <cell r="I509" t="str">
            <v>Bernolákova 9</v>
          </cell>
          <cell r="J509">
            <v>3</v>
          </cell>
          <cell r="K509">
            <v>0</v>
          </cell>
          <cell r="L509">
            <v>6</v>
          </cell>
          <cell r="M509">
            <v>0</v>
          </cell>
          <cell r="N509">
            <v>0</v>
          </cell>
          <cell r="O509">
            <v>4</v>
          </cell>
          <cell r="P509">
            <v>0</v>
          </cell>
          <cell r="Q509">
            <v>0</v>
          </cell>
          <cell r="R509">
            <v>75</v>
          </cell>
          <cell r="S509">
            <v>0</v>
          </cell>
          <cell r="T509">
            <v>201</v>
          </cell>
          <cell r="U509">
            <v>23.2</v>
          </cell>
        </row>
        <row r="510">
          <cell r="F510">
            <v>37956124</v>
          </cell>
          <cell r="G510" t="str">
            <v>Stredná odborná škola obchodu a služieb</v>
          </cell>
          <cell r="H510" t="str">
            <v>Nová Baňa</v>
          </cell>
          <cell r="I510" t="str">
            <v>Osvety 17</v>
          </cell>
          <cell r="J510">
            <v>3</v>
          </cell>
          <cell r="K510">
            <v>0</v>
          </cell>
          <cell r="L510">
            <v>11</v>
          </cell>
          <cell r="M510">
            <v>0</v>
          </cell>
          <cell r="N510">
            <v>2</v>
          </cell>
          <cell r="O510">
            <v>4</v>
          </cell>
          <cell r="P510">
            <v>0</v>
          </cell>
          <cell r="Q510">
            <v>60</v>
          </cell>
          <cell r="R510">
            <v>14</v>
          </cell>
          <cell r="S510">
            <v>0</v>
          </cell>
          <cell r="T510">
            <v>368.5</v>
          </cell>
          <cell r="U510">
            <v>0</v>
          </cell>
        </row>
        <row r="511">
          <cell r="F511">
            <v>891827</v>
          </cell>
          <cell r="G511" t="str">
            <v>Stredná odborná škola</v>
          </cell>
          <cell r="H511" t="str">
            <v>Žarnovica</v>
          </cell>
          <cell r="I511" t="str">
            <v>Bystrická 4</v>
          </cell>
          <cell r="J511">
            <v>5</v>
          </cell>
          <cell r="K511">
            <v>0</v>
          </cell>
          <cell r="L511">
            <v>24</v>
          </cell>
          <cell r="M511">
            <v>0</v>
          </cell>
          <cell r="N511">
            <v>1</v>
          </cell>
          <cell r="O511">
            <v>11</v>
          </cell>
          <cell r="P511">
            <v>1</v>
          </cell>
          <cell r="Q511">
            <v>5</v>
          </cell>
          <cell r="R511">
            <v>163</v>
          </cell>
          <cell r="S511">
            <v>37</v>
          </cell>
          <cell r="T511">
            <v>804</v>
          </cell>
          <cell r="U511">
            <v>215.6</v>
          </cell>
        </row>
        <row r="512">
          <cell r="F512">
            <v>160881</v>
          </cell>
          <cell r="G512" t="str">
            <v>Gymnázium Milana Rúfusa</v>
          </cell>
          <cell r="H512" t="str">
            <v>Žiar nad Hronom</v>
          </cell>
          <cell r="I512" t="str">
            <v>Ul. J. Kollára 2</v>
          </cell>
          <cell r="J512">
            <v>26</v>
          </cell>
          <cell r="K512">
            <v>0</v>
          </cell>
          <cell r="L512">
            <v>72</v>
          </cell>
          <cell r="M512">
            <v>0</v>
          </cell>
          <cell r="N512">
            <v>1</v>
          </cell>
          <cell r="O512">
            <v>33</v>
          </cell>
          <cell r="P512">
            <v>3</v>
          </cell>
          <cell r="Q512">
            <v>18</v>
          </cell>
          <cell r="R512">
            <v>567</v>
          </cell>
          <cell r="S512">
            <v>111</v>
          </cell>
          <cell r="T512">
            <v>2412</v>
          </cell>
          <cell r="U512">
            <v>278.66000000000003</v>
          </cell>
        </row>
        <row r="513">
          <cell r="F513">
            <v>37890085</v>
          </cell>
          <cell r="G513" t="str">
            <v>Stredná odborná škola obchodu a služieb</v>
          </cell>
          <cell r="H513" t="str">
            <v>Žiar nad Hronom</v>
          </cell>
          <cell r="I513" t="str">
            <v>Jilemnického 1282</v>
          </cell>
          <cell r="J513">
            <v>12</v>
          </cell>
          <cell r="K513">
            <v>3</v>
          </cell>
          <cell r="L513">
            <v>52</v>
          </cell>
          <cell r="M513">
            <v>9</v>
          </cell>
          <cell r="N513">
            <v>11</v>
          </cell>
          <cell r="O513">
            <v>21</v>
          </cell>
          <cell r="P513">
            <v>2</v>
          </cell>
          <cell r="Q513">
            <v>84</v>
          </cell>
          <cell r="R513">
            <v>299</v>
          </cell>
          <cell r="S513">
            <v>12</v>
          </cell>
          <cell r="T513">
            <v>1742</v>
          </cell>
          <cell r="U513">
            <v>463.5</v>
          </cell>
        </row>
        <row r="514">
          <cell r="F514"/>
          <cell r="G514"/>
          <cell r="H514"/>
          <cell r="I514"/>
          <cell r="J514"/>
          <cell r="K514"/>
          <cell r="L514"/>
          <cell r="M514"/>
          <cell r="N514"/>
          <cell r="O514"/>
          <cell r="P514"/>
          <cell r="Q514"/>
          <cell r="R514"/>
          <cell r="S514"/>
          <cell r="T514"/>
          <cell r="U514"/>
        </row>
        <row r="515">
          <cell r="F515">
            <v>30232171</v>
          </cell>
          <cell r="G515" t="str">
            <v>Evanjelické gymnázium</v>
          </cell>
          <cell r="H515" t="str">
            <v>Banská Bystrica</v>
          </cell>
          <cell r="I515" t="str">
            <v>Skuteckého 5</v>
          </cell>
          <cell r="J515">
            <v>4</v>
          </cell>
          <cell r="K515">
            <v>0</v>
          </cell>
          <cell r="L515">
            <v>13</v>
          </cell>
          <cell r="M515">
            <v>0</v>
          </cell>
          <cell r="N515">
            <v>0</v>
          </cell>
          <cell r="O515">
            <v>4</v>
          </cell>
          <cell r="P515">
            <v>1</v>
          </cell>
          <cell r="Q515">
            <v>0</v>
          </cell>
          <cell r="R515">
            <v>89</v>
          </cell>
          <cell r="S515">
            <v>22</v>
          </cell>
          <cell r="T515">
            <v>435.5</v>
          </cell>
          <cell r="U515">
            <v>16.8</v>
          </cell>
        </row>
        <row r="516">
          <cell r="F516">
            <v>30232503</v>
          </cell>
          <cell r="G516" t="str">
            <v>Katolícke gymnázium Štefana Moysesa</v>
          </cell>
          <cell r="H516" t="str">
            <v>Banská Bystrica</v>
          </cell>
          <cell r="I516" t="str">
            <v>Hurbanova 9</v>
          </cell>
          <cell r="J516">
            <v>14</v>
          </cell>
          <cell r="K516">
            <v>0</v>
          </cell>
          <cell r="L516">
            <v>45</v>
          </cell>
          <cell r="M516">
            <v>45</v>
          </cell>
          <cell r="N516">
            <v>0</v>
          </cell>
          <cell r="O516">
            <v>17</v>
          </cell>
          <cell r="P516">
            <v>1</v>
          </cell>
          <cell r="Q516">
            <v>0</v>
          </cell>
          <cell r="R516">
            <v>415</v>
          </cell>
          <cell r="S516">
            <v>108</v>
          </cell>
          <cell r="T516">
            <v>1507.5</v>
          </cell>
          <cell r="U516">
            <v>50.5</v>
          </cell>
        </row>
        <row r="517">
          <cell r="F517">
            <v>37958470</v>
          </cell>
          <cell r="G517" t="str">
            <v>Katolícka spojená škola sv. Františka Assiského</v>
          </cell>
          <cell r="H517" t="str">
            <v>Banská Štiavnica</v>
          </cell>
          <cell r="I517" t="str">
            <v>Gwerkovej-Göllnerovej 9</v>
          </cell>
          <cell r="J517">
            <v>3</v>
          </cell>
          <cell r="K517">
            <v>0</v>
          </cell>
          <cell r="L517">
            <v>6</v>
          </cell>
          <cell r="M517">
            <v>0</v>
          </cell>
          <cell r="N517">
            <v>0</v>
          </cell>
          <cell r="O517">
            <v>5</v>
          </cell>
          <cell r="P517">
            <v>0</v>
          </cell>
          <cell r="Q517">
            <v>0</v>
          </cell>
          <cell r="R517">
            <v>37</v>
          </cell>
          <cell r="S517">
            <v>0</v>
          </cell>
          <cell r="T517">
            <v>201</v>
          </cell>
          <cell r="U517">
            <v>0</v>
          </cell>
        </row>
        <row r="518">
          <cell r="F518">
            <v>17327164</v>
          </cell>
          <cell r="G518" t="str">
            <v>Evanjelické lýceum</v>
          </cell>
          <cell r="H518" t="str">
            <v>Bratislava-Petržalka</v>
          </cell>
          <cell r="I518" t="str">
            <v>Vranovská 2</v>
          </cell>
          <cell r="J518">
            <v>10</v>
          </cell>
          <cell r="K518">
            <v>2</v>
          </cell>
          <cell r="L518">
            <v>28</v>
          </cell>
          <cell r="M518">
            <v>2</v>
          </cell>
          <cell r="N518">
            <v>1</v>
          </cell>
          <cell r="O518">
            <v>12</v>
          </cell>
          <cell r="P518">
            <v>1</v>
          </cell>
          <cell r="Q518">
            <v>16</v>
          </cell>
          <cell r="R518">
            <v>197</v>
          </cell>
          <cell r="S518">
            <v>110</v>
          </cell>
          <cell r="T518">
            <v>938</v>
          </cell>
          <cell r="U518">
            <v>0</v>
          </cell>
        </row>
        <row r="519">
          <cell r="F519">
            <v>42125278</v>
          </cell>
          <cell r="G519" t="str">
            <v>Katolícka spojená škola sv. Vincenta de Paul</v>
          </cell>
          <cell r="H519" t="str">
            <v>Levice</v>
          </cell>
          <cell r="I519" t="str">
            <v>Saratovská 87</v>
          </cell>
          <cell r="J519">
            <v>9</v>
          </cell>
          <cell r="K519">
            <v>0</v>
          </cell>
          <cell r="L519">
            <v>27</v>
          </cell>
          <cell r="M519">
            <v>0</v>
          </cell>
          <cell r="N519">
            <v>1</v>
          </cell>
          <cell r="O519">
            <v>10</v>
          </cell>
          <cell r="P519">
            <v>1</v>
          </cell>
          <cell r="Q519">
            <v>16</v>
          </cell>
          <cell r="R519">
            <v>207</v>
          </cell>
          <cell r="S519">
            <v>52</v>
          </cell>
          <cell r="T519">
            <v>904.5</v>
          </cell>
          <cell r="U519">
            <v>68.75</v>
          </cell>
        </row>
        <row r="520">
          <cell r="F520">
            <v>31825150</v>
          </cell>
          <cell r="G520" t="str">
            <v>Katolícka spojená škola F. Fegyvernekiho s vyučovacím jazykom maďatským - Fegyverneki Ferenc Közös Igazgatású Katolikus Iskola</v>
          </cell>
          <cell r="H520" t="str">
            <v>Šahy</v>
          </cell>
          <cell r="I520" t="str">
            <v>Slov.národ.povstania 4</v>
          </cell>
          <cell r="J520">
            <v>9</v>
          </cell>
          <cell r="K520">
            <v>3</v>
          </cell>
          <cell r="L520">
            <v>18</v>
          </cell>
          <cell r="M520">
            <v>4</v>
          </cell>
          <cell r="N520">
            <v>1</v>
          </cell>
          <cell r="O520">
            <v>12</v>
          </cell>
          <cell r="P520">
            <v>1</v>
          </cell>
          <cell r="Q520">
            <v>20</v>
          </cell>
          <cell r="R520">
            <v>71</v>
          </cell>
          <cell r="S520">
            <v>10</v>
          </cell>
          <cell r="T520">
            <v>603</v>
          </cell>
          <cell r="U520">
            <v>0</v>
          </cell>
        </row>
        <row r="521">
          <cell r="F521">
            <v>30231621</v>
          </cell>
          <cell r="G521" t="str">
            <v>Evanjelické gymnázium</v>
          </cell>
          <cell r="H521" t="str">
            <v>Tisovec</v>
          </cell>
          <cell r="I521" t="str">
            <v>Jesenského 836</v>
          </cell>
          <cell r="J521">
            <v>9</v>
          </cell>
          <cell r="K521">
            <v>1</v>
          </cell>
          <cell r="L521">
            <v>20</v>
          </cell>
          <cell r="M521">
            <v>2</v>
          </cell>
          <cell r="N521">
            <v>5</v>
          </cell>
          <cell r="O521">
            <v>9</v>
          </cell>
          <cell r="P521">
            <v>1</v>
          </cell>
          <cell r="Q521">
            <v>35</v>
          </cell>
          <cell r="R521">
            <v>110</v>
          </cell>
          <cell r="S521">
            <v>28</v>
          </cell>
          <cell r="T521">
            <v>670</v>
          </cell>
          <cell r="U521">
            <v>128.80000000000001</v>
          </cell>
        </row>
        <row r="522">
          <cell r="F522"/>
          <cell r="G522"/>
          <cell r="H522"/>
          <cell r="I522"/>
          <cell r="J522"/>
          <cell r="K522"/>
          <cell r="L522"/>
          <cell r="M522"/>
          <cell r="N522"/>
          <cell r="O522"/>
          <cell r="P522"/>
          <cell r="Q522"/>
          <cell r="R522"/>
          <cell r="S522"/>
          <cell r="T522"/>
          <cell r="U522"/>
        </row>
        <row r="523">
          <cell r="F523">
            <v>42011701</v>
          </cell>
          <cell r="G523" t="str">
            <v>Súkromné gymnázium Banskobystrické</v>
          </cell>
          <cell r="H523" t="str">
            <v>Banská Bystrica</v>
          </cell>
          <cell r="I523" t="str">
            <v>Ružová ulica 15574/15B</v>
          </cell>
          <cell r="J523">
            <v>2</v>
          </cell>
          <cell r="K523">
            <v>0</v>
          </cell>
          <cell r="L523">
            <v>4</v>
          </cell>
          <cell r="M523">
            <v>0</v>
          </cell>
          <cell r="N523">
            <v>3</v>
          </cell>
          <cell r="O523">
            <v>0</v>
          </cell>
          <cell r="P523">
            <v>0</v>
          </cell>
          <cell r="Q523">
            <v>0</v>
          </cell>
          <cell r="R523">
            <v>32</v>
          </cell>
          <cell r="S523">
            <v>0</v>
          </cell>
          <cell r="T523">
            <v>134</v>
          </cell>
          <cell r="U523">
            <v>0</v>
          </cell>
        </row>
        <row r="524">
          <cell r="F524">
            <v>53779517</v>
          </cell>
          <cell r="G524" t="str">
            <v>Súkromná hotelová akadémia</v>
          </cell>
          <cell r="H524" t="str">
            <v>Banská Štiavnica</v>
          </cell>
          <cell r="I524" t="str">
            <v>Drieňová 12</v>
          </cell>
          <cell r="J524">
            <v>5</v>
          </cell>
          <cell r="K524">
            <v>0</v>
          </cell>
          <cell r="L524">
            <v>19</v>
          </cell>
          <cell r="M524">
            <v>2</v>
          </cell>
          <cell r="N524">
            <v>1</v>
          </cell>
          <cell r="O524">
            <v>9</v>
          </cell>
          <cell r="P524">
            <v>2</v>
          </cell>
          <cell r="Q524">
            <v>12</v>
          </cell>
          <cell r="R524">
            <v>81</v>
          </cell>
          <cell r="S524">
            <v>34</v>
          </cell>
          <cell r="T524">
            <v>636.5</v>
          </cell>
          <cell r="U524">
            <v>0</v>
          </cell>
        </row>
        <row r="525">
          <cell r="F525">
            <v>37939076</v>
          </cell>
          <cell r="G525" t="str">
            <v>Súkromné gymnázium DSA</v>
          </cell>
          <cell r="H525" t="str">
            <v>Bardejov</v>
          </cell>
          <cell r="I525" t="str">
            <v>Nám. arm. gen. L. Svobodu 16</v>
          </cell>
          <cell r="J525">
            <v>3</v>
          </cell>
          <cell r="K525">
            <v>0</v>
          </cell>
          <cell r="L525">
            <v>8</v>
          </cell>
          <cell r="M525">
            <v>0</v>
          </cell>
          <cell r="N525">
            <v>0</v>
          </cell>
          <cell r="O525">
            <v>3</v>
          </cell>
          <cell r="P525">
            <v>1</v>
          </cell>
          <cell r="Q525">
            <v>0</v>
          </cell>
          <cell r="R525">
            <v>38</v>
          </cell>
          <cell r="S525">
            <v>30</v>
          </cell>
          <cell r="T525">
            <v>268</v>
          </cell>
          <cell r="U525">
            <v>0</v>
          </cell>
        </row>
        <row r="526">
          <cell r="F526">
            <v>42004802</v>
          </cell>
          <cell r="G526" t="str">
            <v>Súkromná stredná odborná škola pedagogická EBG</v>
          </cell>
          <cell r="H526" t="str">
            <v>Brezno</v>
          </cell>
          <cell r="I526" t="str">
            <v>Školská 5</v>
          </cell>
          <cell r="J526">
            <v>1</v>
          </cell>
          <cell r="K526">
            <v>0</v>
          </cell>
          <cell r="L526">
            <v>2</v>
          </cell>
          <cell r="M526">
            <v>0</v>
          </cell>
          <cell r="N526">
            <v>0</v>
          </cell>
          <cell r="O526">
            <v>2</v>
          </cell>
          <cell r="P526">
            <v>2</v>
          </cell>
          <cell r="Q526">
            <v>0</v>
          </cell>
          <cell r="R526">
            <v>22</v>
          </cell>
          <cell r="S526">
            <v>22</v>
          </cell>
          <cell r="T526">
            <v>67</v>
          </cell>
          <cell r="U526">
            <v>0</v>
          </cell>
        </row>
        <row r="527">
          <cell r="F527">
            <v>52800253</v>
          </cell>
          <cell r="G527" t="str">
            <v>Súkromná spojená škola Železiarne Podbrezová</v>
          </cell>
          <cell r="H527" t="str">
            <v>Podbrezová</v>
          </cell>
          <cell r="I527" t="str">
            <v>Družby 554/64</v>
          </cell>
          <cell r="J527">
            <v>8</v>
          </cell>
          <cell r="K527">
            <v>0</v>
          </cell>
          <cell r="L527">
            <v>34</v>
          </cell>
          <cell r="M527">
            <v>0</v>
          </cell>
          <cell r="N527">
            <v>0</v>
          </cell>
          <cell r="O527">
            <v>19</v>
          </cell>
          <cell r="P527">
            <v>1</v>
          </cell>
          <cell r="Q527">
            <v>0</v>
          </cell>
          <cell r="R527">
            <v>221</v>
          </cell>
          <cell r="S527">
            <v>25</v>
          </cell>
          <cell r="T527">
            <v>1139</v>
          </cell>
          <cell r="U527">
            <v>323.2</v>
          </cell>
        </row>
        <row r="528">
          <cell r="F528">
            <v>51825902</v>
          </cell>
          <cell r="G528" t="str">
            <v>Súkromná spojená škola</v>
          </cell>
          <cell r="H528" t="str">
            <v>Detva</v>
          </cell>
          <cell r="I528" t="str">
            <v>Záhradná 12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</row>
        <row r="529">
          <cell r="F529">
            <v>42422132</v>
          </cell>
          <cell r="G529" t="str">
            <v>Súkromná stredná odborná škola pedagogická EBG</v>
          </cell>
          <cell r="H529" t="str">
            <v>Humenné</v>
          </cell>
          <cell r="I529" t="str">
            <v>Lesná 909/28</v>
          </cell>
          <cell r="J529">
            <v>4</v>
          </cell>
          <cell r="K529">
            <v>4</v>
          </cell>
          <cell r="L529">
            <v>12</v>
          </cell>
          <cell r="M529">
            <v>11</v>
          </cell>
          <cell r="N529">
            <v>4</v>
          </cell>
          <cell r="O529">
            <v>5</v>
          </cell>
          <cell r="P529">
            <v>0</v>
          </cell>
          <cell r="Q529">
            <v>187</v>
          </cell>
          <cell r="R529">
            <v>128</v>
          </cell>
          <cell r="S529">
            <v>0</v>
          </cell>
          <cell r="T529">
            <v>402</v>
          </cell>
          <cell r="U529">
            <v>0</v>
          </cell>
        </row>
        <row r="530">
          <cell r="F530">
            <v>45024065</v>
          </cell>
          <cell r="G530" t="str">
            <v>Súkromné gymnázium</v>
          </cell>
          <cell r="H530" t="str">
            <v>Lučenec</v>
          </cell>
          <cell r="I530" t="str">
            <v>Gemerská cesta 1</v>
          </cell>
          <cell r="J530">
            <v>2</v>
          </cell>
          <cell r="K530">
            <v>0</v>
          </cell>
          <cell r="L530">
            <v>6</v>
          </cell>
          <cell r="M530">
            <v>0</v>
          </cell>
          <cell r="N530">
            <v>0</v>
          </cell>
          <cell r="O530">
            <v>2</v>
          </cell>
          <cell r="P530">
            <v>0</v>
          </cell>
          <cell r="Q530">
            <v>0</v>
          </cell>
          <cell r="R530">
            <v>49</v>
          </cell>
          <cell r="S530">
            <v>0</v>
          </cell>
          <cell r="T530">
            <v>201</v>
          </cell>
          <cell r="U530">
            <v>0</v>
          </cell>
        </row>
        <row r="531">
          <cell r="F531">
            <v>42114985</v>
          </cell>
          <cell r="G531" t="str">
            <v>Súkromná stredná odborná škola polytechnická DSA</v>
          </cell>
          <cell r="H531" t="str">
            <v>Nitra</v>
          </cell>
          <cell r="I531" t="str">
            <v>Novozámocká 220</v>
          </cell>
          <cell r="J531">
            <v>10</v>
          </cell>
          <cell r="K531">
            <v>0</v>
          </cell>
          <cell r="L531">
            <v>53</v>
          </cell>
          <cell r="M531">
            <v>0</v>
          </cell>
          <cell r="N531">
            <v>0</v>
          </cell>
          <cell r="O531">
            <v>14</v>
          </cell>
          <cell r="P531">
            <v>2</v>
          </cell>
          <cell r="Q531">
            <v>0</v>
          </cell>
          <cell r="R531">
            <v>369</v>
          </cell>
          <cell r="S531">
            <v>82</v>
          </cell>
          <cell r="T531">
            <v>1775.5</v>
          </cell>
          <cell r="U531">
            <v>342.1</v>
          </cell>
        </row>
        <row r="532">
          <cell r="F532">
            <v>37998676</v>
          </cell>
          <cell r="G532" t="str">
            <v>Súkromná stredná odborná škola</v>
          </cell>
          <cell r="H532" t="str">
            <v>Revúca</v>
          </cell>
          <cell r="I532" t="str">
            <v>Železničná 2</v>
          </cell>
          <cell r="J532">
            <v>6</v>
          </cell>
          <cell r="K532">
            <v>0</v>
          </cell>
          <cell r="L532">
            <v>37</v>
          </cell>
          <cell r="M532">
            <v>0</v>
          </cell>
          <cell r="N532">
            <v>0</v>
          </cell>
          <cell r="O532">
            <v>16</v>
          </cell>
          <cell r="P532">
            <v>8</v>
          </cell>
          <cell r="Q532">
            <v>0</v>
          </cell>
          <cell r="R532">
            <v>206</v>
          </cell>
          <cell r="S532">
            <v>52</v>
          </cell>
          <cell r="T532">
            <v>1239.5</v>
          </cell>
          <cell r="U532">
            <v>285.75</v>
          </cell>
        </row>
        <row r="533">
          <cell r="F533">
            <v>42395968</v>
          </cell>
          <cell r="G533" t="str">
            <v>Súkromná stredná odborná škola  Magán Szakkozépiskola</v>
          </cell>
          <cell r="H533" t="str">
            <v>Rimavská Sobota</v>
          </cell>
          <cell r="I533" t="str">
            <v>L. Novomeského 2070</v>
          </cell>
          <cell r="J533">
            <v>7</v>
          </cell>
          <cell r="K533">
            <v>0</v>
          </cell>
          <cell r="L533">
            <v>25</v>
          </cell>
          <cell r="M533">
            <v>0</v>
          </cell>
          <cell r="N533">
            <v>0</v>
          </cell>
          <cell r="O533">
            <v>11</v>
          </cell>
          <cell r="P533">
            <v>1</v>
          </cell>
          <cell r="Q533">
            <v>0</v>
          </cell>
          <cell r="R533">
            <v>134</v>
          </cell>
          <cell r="S533">
            <v>39</v>
          </cell>
          <cell r="T533">
            <v>837.5</v>
          </cell>
          <cell r="U533">
            <v>9.3000000000000007</v>
          </cell>
        </row>
        <row r="534">
          <cell r="F534">
            <v>161152</v>
          </cell>
          <cell r="G534" t="str">
            <v>Súkromné Gymnázium DSA</v>
          </cell>
          <cell r="H534" t="str">
            <v>Sabinov</v>
          </cell>
          <cell r="I534" t="str">
            <v>Komenského 40</v>
          </cell>
          <cell r="J534">
            <v>3</v>
          </cell>
          <cell r="K534">
            <v>0</v>
          </cell>
          <cell r="L534">
            <v>3</v>
          </cell>
          <cell r="M534">
            <v>0</v>
          </cell>
          <cell r="N534">
            <v>2</v>
          </cell>
          <cell r="O534">
            <v>1</v>
          </cell>
          <cell r="P534">
            <v>0</v>
          </cell>
          <cell r="Q534">
            <v>13</v>
          </cell>
          <cell r="R534">
            <v>14</v>
          </cell>
          <cell r="S534">
            <v>0</v>
          </cell>
          <cell r="T534">
            <v>100.5</v>
          </cell>
          <cell r="U534">
            <v>0</v>
          </cell>
        </row>
        <row r="535">
          <cell r="F535">
            <v>162663</v>
          </cell>
          <cell r="G535" t="str">
            <v>Súkromná stredná odborná škola DSA</v>
          </cell>
          <cell r="H535" t="str">
            <v>Trebišov</v>
          </cell>
          <cell r="I535" t="str">
            <v>Komenského 12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</row>
        <row r="536">
          <cell r="F536">
            <v>17055237</v>
          </cell>
          <cell r="G536" t="str">
            <v>Súkromná stredná odborná škola DSA</v>
          </cell>
          <cell r="H536" t="str">
            <v>Trnava</v>
          </cell>
          <cell r="I536" t="str">
            <v>Koniarekova 17</v>
          </cell>
          <cell r="J536">
            <v>2</v>
          </cell>
          <cell r="K536">
            <v>0</v>
          </cell>
          <cell r="L536">
            <v>5</v>
          </cell>
          <cell r="M536">
            <v>0</v>
          </cell>
          <cell r="N536">
            <v>0</v>
          </cell>
          <cell r="O536">
            <v>2</v>
          </cell>
          <cell r="P536">
            <v>0</v>
          </cell>
          <cell r="Q536">
            <v>0</v>
          </cell>
          <cell r="R536">
            <v>65</v>
          </cell>
          <cell r="S536">
            <v>0</v>
          </cell>
          <cell r="T536">
            <v>167.5</v>
          </cell>
          <cell r="U536">
            <v>0</v>
          </cell>
        </row>
        <row r="537">
          <cell r="F537">
            <v>42197252</v>
          </cell>
          <cell r="G537" t="str">
            <v>Súkromná stredná odborná škola obchodu a služieb</v>
          </cell>
          <cell r="H537" t="str">
            <v>Očová</v>
          </cell>
          <cell r="I537" t="str">
            <v>Partizánska 8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</row>
        <row r="538">
          <cell r="F538">
            <v>45024731</v>
          </cell>
          <cell r="G538" t="str">
            <v>Súkromná stredná odborná škola podnikania</v>
          </cell>
          <cell r="H538" t="str">
            <v>Zvolen</v>
          </cell>
          <cell r="I538" t="str">
            <v>Nám. Mládeže 587/17</v>
          </cell>
          <cell r="J538">
            <v>2</v>
          </cell>
          <cell r="K538">
            <v>0</v>
          </cell>
          <cell r="L538">
            <v>6</v>
          </cell>
          <cell r="M538">
            <v>0</v>
          </cell>
          <cell r="N538">
            <v>0</v>
          </cell>
          <cell r="O538">
            <v>2</v>
          </cell>
          <cell r="P538">
            <v>0</v>
          </cell>
          <cell r="Q538">
            <v>0</v>
          </cell>
          <cell r="R538">
            <v>53</v>
          </cell>
          <cell r="S538">
            <v>0</v>
          </cell>
          <cell r="T538">
            <v>201</v>
          </cell>
          <cell r="U538">
            <v>0</v>
          </cell>
        </row>
        <row r="539">
          <cell r="F539">
            <v>42002907</v>
          </cell>
          <cell r="G539" t="str">
            <v>Súkromná stredná športová škola</v>
          </cell>
          <cell r="H539" t="str">
            <v>Zvolen</v>
          </cell>
          <cell r="I539" t="str">
            <v>J. Jesenského 624/42</v>
          </cell>
          <cell r="J539">
            <v>0</v>
          </cell>
          <cell r="K539">
            <v>0</v>
          </cell>
          <cell r="L539">
            <v>1</v>
          </cell>
          <cell r="M539">
            <v>0</v>
          </cell>
          <cell r="N539">
            <v>0</v>
          </cell>
          <cell r="O539">
            <v>1</v>
          </cell>
          <cell r="P539">
            <v>0</v>
          </cell>
          <cell r="Q539">
            <v>0</v>
          </cell>
          <cell r="R539">
            <v>6</v>
          </cell>
          <cell r="S539">
            <v>0</v>
          </cell>
          <cell r="T539">
            <v>33.5</v>
          </cell>
          <cell r="U539">
            <v>5.5</v>
          </cell>
        </row>
        <row r="540">
          <cell r="F540">
            <v>42317568</v>
          </cell>
          <cell r="G540" t="str">
            <v>Súkromná škola umeleckého priemyslu</v>
          </cell>
          <cell r="H540" t="str">
            <v>Zvolen</v>
          </cell>
          <cell r="I540" t="str">
            <v>Môťovská cesta 8164</v>
          </cell>
          <cell r="J540">
            <v>5</v>
          </cell>
          <cell r="K540">
            <v>1</v>
          </cell>
          <cell r="L540">
            <v>19</v>
          </cell>
          <cell r="M540">
            <v>3</v>
          </cell>
          <cell r="N540">
            <v>0</v>
          </cell>
          <cell r="O540">
            <v>17</v>
          </cell>
          <cell r="P540">
            <v>0</v>
          </cell>
          <cell r="Q540">
            <v>0</v>
          </cell>
          <cell r="R540">
            <v>247</v>
          </cell>
          <cell r="S540">
            <v>0</v>
          </cell>
          <cell r="T540">
            <v>636.5</v>
          </cell>
          <cell r="U540">
            <v>235.5</v>
          </cell>
        </row>
        <row r="541">
          <cell r="F541">
            <v>42299977</v>
          </cell>
          <cell r="G541" t="str">
            <v>Súkromná škola umeleckého priemyslu</v>
          </cell>
          <cell r="H541" t="str">
            <v>Zvolen</v>
          </cell>
          <cell r="I541" t="str">
            <v>J. Jesenského 624/42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</row>
        <row r="542">
          <cell r="F542">
            <v>42012376</v>
          </cell>
          <cell r="G542" t="str">
            <v>Súkromné konzervatórium</v>
          </cell>
          <cell r="H542" t="str">
            <v>Zvolen</v>
          </cell>
          <cell r="I542" t="str">
            <v>J. Jesenského 624/42</v>
          </cell>
          <cell r="J542">
            <v>0</v>
          </cell>
          <cell r="K542">
            <v>0</v>
          </cell>
          <cell r="L542">
            <v>14</v>
          </cell>
          <cell r="M542"/>
          <cell r="N542">
            <v>2</v>
          </cell>
          <cell r="O542">
            <v>5</v>
          </cell>
          <cell r="P542">
            <v>0</v>
          </cell>
          <cell r="Q542">
            <v>51</v>
          </cell>
          <cell r="R542">
            <v>49</v>
          </cell>
          <cell r="S542">
            <v>0</v>
          </cell>
          <cell r="T542">
            <v>469</v>
          </cell>
          <cell r="U542">
            <v>28.5</v>
          </cell>
        </row>
        <row r="543">
          <cell r="F543">
            <v>891461</v>
          </cell>
          <cell r="G543" t="str">
            <v>Súkromná stredná odborná škola</v>
          </cell>
          <cell r="H543" t="str">
            <v>Hliník nad Hronom</v>
          </cell>
          <cell r="I543" t="str">
            <v>Kopaničná 237</v>
          </cell>
          <cell r="J543">
            <v>1</v>
          </cell>
          <cell r="K543">
            <v>0</v>
          </cell>
          <cell r="L543">
            <v>2</v>
          </cell>
          <cell r="M543">
            <v>0</v>
          </cell>
          <cell r="N543">
            <v>0</v>
          </cell>
          <cell r="O543">
            <v>1</v>
          </cell>
          <cell r="P543">
            <v>0</v>
          </cell>
          <cell r="Q543">
            <v>0</v>
          </cell>
          <cell r="R543">
            <v>5</v>
          </cell>
          <cell r="S543">
            <v>0</v>
          </cell>
          <cell r="T543">
            <v>67</v>
          </cell>
          <cell r="U543">
            <v>24.12</v>
          </cell>
        </row>
        <row r="544">
          <cell r="F544">
            <v>161683</v>
          </cell>
          <cell r="G544" t="str">
            <v>Súkromná škola umeleckého priemyslu</v>
          </cell>
          <cell r="H544" t="str">
            <v>Kremnica</v>
          </cell>
          <cell r="I544" t="str">
            <v>P. Križku 390/4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</row>
        <row r="545">
          <cell r="F545">
            <v>45024006</v>
          </cell>
          <cell r="G545" t="str">
            <v>Súkromné gymnázium</v>
          </cell>
          <cell r="H545" t="str">
            <v>Kremnica</v>
          </cell>
          <cell r="I545" t="str">
            <v>Dolná 48/19</v>
          </cell>
          <cell r="J545">
            <v>1</v>
          </cell>
          <cell r="K545">
            <v>0</v>
          </cell>
          <cell r="L545">
            <v>1</v>
          </cell>
          <cell r="M545">
            <v>0</v>
          </cell>
          <cell r="N545">
            <v>0</v>
          </cell>
          <cell r="O545">
            <v>1</v>
          </cell>
          <cell r="P545">
            <v>0</v>
          </cell>
          <cell r="Q545">
            <v>0</v>
          </cell>
          <cell r="R545">
            <v>7</v>
          </cell>
          <cell r="S545">
            <v>0</v>
          </cell>
          <cell r="T545">
            <v>33.5</v>
          </cell>
          <cell r="U545">
            <v>0</v>
          </cell>
        </row>
        <row r="546">
          <cell r="F546">
            <v>160636</v>
          </cell>
          <cell r="G546" t="str">
            <v>Súkromné gymnázium</v>
          </cell>
          <cell r="H546" t="str">
            <v>Kremnica</v>
          </cell>
          <cell r="I546" t="str">
            <v>P. Križku 390/4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</row>
        <row r="547">
          <cell r="F547">
            <v>37998218</v>
          </cell>
          <cell r="G547" t="str">
            <v>Súkromná obchodná akadémia DSA</v>
          </cell>
          <cell r="H547" t="str">
            <v>Žiar nad Hronom</v>
          </cell>
          <cell r="I547" t="str">
            <v>Námestie Matice slovenskej 23</v>
          </cell>
          <cell r="J547">
            <v>2</v>
          </cell>
          <cell r="K547">
            <v>0</v>
          </cell>
          <cell r="L547">
            <v>9</v>
          </cell>
          <cell r="M547">
            <v>0</v>
          </cell>
          <cell r="N547">
            <v>0</v>
          </cell>
          <cell r="O547">
            <v>2</v>
          </cell>
          <cell r="P547">
            <v>0</v>
          </cell>
          <cell r="Q547">
            <v>0</v>
          </cell>
          <cell r="R547">
            <v>82</v>
          </cell>
          <cell r="S547">
            <v>0</v>
          </cell>
          <cell r="T547">
            <v>301.5</v>
          </cell>
          <cell r="U547">
            <v>0</v>
          </cell>
        </row>
        <row r="548">
          <cell r="F548">
            <v>45022631</v>
          </cell>
          <cell r="G548" t="str">
            <v>Súkromná stredná odborná škola technická</v>
          </cell>
          <cell r="H548" t="str">
            <v>Žiar nad Hronom</v>
          </cell>
          <cell r="I548" t="str">
            <v>Dr. Janského 10</v>
          </cell>
          <cell r="J548">
            <v>6</v>
          </cell>
          <cell r="K548">
            <v>0</v>
          </cell>
          <cell r="L548">
            <v>23</v>
          </cell>
          <cell r="M548">
            <v>0</v>
          </cell>
          <cell r="N548">
            <v>1</v>
          </cell>
          <cell r="O548">
            <v>10</v>
          </cell>
          <cell r="P548">
            <v>1</v>
          </cell>
          <cell r="Q548">
            <v>18</v>
          </cell>
          <cell r="R548">
            <v>152</v>
          </cell>
          <cell r="S548">
            <v>18</v>
          </cell>
          <cell r="T548">
            <v>770.5</v>
          </cell>
          <cell r="U548">
            <v>149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>
        <row r="546">
          <cell r="F546">
            <v>42079322</v>
          </cell>
          <cell r="G546" t="str">
            <v>Spojená škola</v>
          </cell>
          <cell r="H546" t="str">
            <v>Bardejov</v>
          </cell>
          <cell r="I546" t="str">
            <v>Pod papierňou 2671</v>
          </cell>
          <cell r="J546">
            <v>1</v>
          </cell>
          <cell r="K546">
            <v>0</v>
          </cell>
          <cell r="L546">
            <v>2</v>
          </cell>
          <cell r="M546">
            <v>0</v>
          </cell>
          <cell r="N546">
            <v>0</v>
          </cell>
          <cell r="O546">
            <v>1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  <cell r="T546">
            <v>67</v>
          </cell>
          <cell r="U546">
            <v>14.6</v>
          </cell>
        </row>
        <row r="547">
          <cell r="F547">
            <v>42080487</v>
          </cell>
          <cell r="G547" t="str">
            <v>Spojená škola internátna</v>
          </cell>
          <cell r="H547" t="str">
            <v>Humenné</v>
          </cell>
          <cell r="I547" t="str">
            <v>Komenského 3</v>
          </cell>
          <cell r="J547">
            <v>1</v>
          </cell>
          <cell r="K547">
            <v>0</v>
          </cell>
          <cell r="L547">
            <v>2</v>
          </cell>
          <cell r="M547">
            <v>0</v>
          </cell>
          <cell r="N547">
            <v>0</v>
          </cell>
          <cell r="O547">
            <v>7</v>
          </cell>
          <cell r="P547">
            <v>0</v>
          </cell>
          <cell r="Q547">
            <v>0</v>
          </cell>
          <cell r="R547">
            <v>17</v>
          </cell>
          <cell r="S547">
            <v>0</v>
          </cell>
          <cell r="T547">
            <v>67</v>
          </cell>
          <cell r="U547">
            <v>14.6</v>
          </cell>
        </row>
        <row r="548">
          <cell r="F548">
            <v>52827704</v>
          </cell>
          <cell r="G548" t="str">
            <v>Spojená škola</v>
          </cell>
          <cell r="H548" t="str">
            <v>Kežmarok</v>
          </cell>
          <cell r="I548" t="str">
            <v>Kostolné námestie 28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</row>
        <row r="549">
          <cell r="F549">
            <v>42079209</v>
          </cell>
          <cell r="G549" t="str">
            <v>Spojená škola</v>
          </cell>
          <cell r="H549" t="str">
            <v>Veľká Lomnica</v>
          </cell>
          <cell r="I549" t="str">
            <v>Železničná 131/65</v>
          </cell>
          <cell r="J549">
            <v>1</v>
          </cell>
          <cell r="K549">
            <v>0</v>
          </cell>
          <cell r="L549">
            <v>2</v>
          </cell>
          <cell r="M549">
            <v>0</v>
          </cell>
          <cell r="N549">
            <v>0</v>
          </cell>
          <cell r="O549">
            <v>3</v>
          </cell>
          <cell r="P549">
            <v>0</v>
          </cell>
          <cell r="Q549">
            <v>0</v>
          </cell>
          <cell r="R549">
            <v>14</v>
          </cell>
          <cell r="S549">
            <v>0</v>
          </cell>
          <cell r="T549">
            <v>67</v>
          </cell>
          <cell r="U549">
            <v>20.6</v>
          </cell>
        </row>
        <row r="550">
          <cell r="F550">
            <v>163376</v>
          </cell>
          <cell r="G550" t="str">
            <v>Reedukačné centrum</v>
          </cell>
          <cell r="H550" t="str">
            <v>Levoča</v>
          </cell>
          <cell r="I550" t="str">
            <v>Námestie Štefana Kluberta 1</v>
          </cell>
          <cell r="J550">
            <v>1</v>
          </cell>
          <cell r="K550">
            <v>0</v>
          </cell>
          <cell r="L550">
            <v>2</v>
          </cell>
          <cell r="M550">
            <v>0</v>
          </cell>
          <cell r="N550">
            <v>0</v>
          </cell>
          <cell r="O550">
            <v>2</v>
          </cell>
          <cell r="P550">
            <v>0</v>
          </cell>
          <cell r="Q550">
            <v>0</v>
          </cell>
          <cell r="R550">
            <v>5</v>
          </cell>
          <cell r="S550">
            <v>0</v>
          </cell>
          <cell r="T550">
            <v>67</v>
          </cell>
          <cell r="U550">
            <v>0</v>
          </cell>
        </row>
        <row r="551">
          <cell r="F551">
            <v>42085390</v>
          </cell>
          <cell r="G551" t="str">
            <v>Spojená škola internátna</v>
          </cell>
          <cell r="H551" t="str">
            <v>Levoča</v>
          </cell>
          <cell r="I551" t="str">
            <v>Nám. Štefana Kluberta 1</v>
          </cell>
          <cell r="J551">
            <v>3</v>
          </cell>
          <cell r="K551">
            <v>0</v>
          </cell>
          <cell r="L551">
            <v>5</v>
          </cell>
          <cell r="M551">
            <v>0</v>
          </cell>
          <cell r="N551">
            <v>0</v>
          </cell>
          <cell r="O551">
            <v>5</v>
          </cell>
          <cell r="P551">
            <v>0</v>
          </cell>
          <cell r="Q551">
            <v>0</v>
          </cell>
          <cell r="R551">
            <v>10</v>
          </cell>
          <cell r="S551">
            <v>0</v>
          </cell>
          <cell r="T551">
            <v>167.5</v>
          </cell>
          <cell r="U551">
            <v>0</v>
          </cell>
        </row>
        <row r="552">
          <cell r="F552">
            <v>42090199</v>
          </cell>
          <cell r="G552" t="str">
            <v>Spojená škola internátna</v>
          </cell>
          <cell r="H552" t="str">
            <v>Levoča</v>
          </cell>
          <cell r="I552" t="str">
            <v>Nám. Štefana Kluberta 2</v>
          </cell>
          <cell r="J552">
            <v>1</v>
          </cell>
          <cell r="K552">
            <v>0</v>
          </cell>
          <cell r="L552">
            <v>11</v>
          </cell>
          <cell r="M552">
            <v>0</v>
          </cell>
          <cell r="N552">
            <v>0</v>
          </cell>
          <cell r="O552">
            <v>2</v>
          </cell>
          <cell r="P552">
            <v>1</v>
          </cell>
          <cell r="Q552">
            <v>0</v>
          </cell>
          <cell r="R552">
            <v>78</v>
          </cell>
          <cell r="S552">
            <v>133</v>
          </cell>
          <cell r="T552">
            <v>368.5</v>
          </cell>
          <cell r="U552">
            <v>0</v>
          </cell>
        </row>
        <row r="553">
          <cell r="F553">
            <v>50617265</v>
          </cell>
          <cell r="G553" t="str">
            <v>Spojená škola internátna</v>
          </cell>
          <cell r="H553" t="str">
            <v>Medzilaborce</v>
          </cell>
          <cell r="I553" t="str">
            <v>Duchnovičova 479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</row>
        <row r="554">
          <cell r="F554">
            <v>162931</v>
          </cell>
          <cell r="G554" t="str">
            <v>Odborné učilište internátne</v>
          </cell>
          <cell r="H554" t="str">
            <v>Poprad</v>
          </cell>
          <cell r="I554" t="str">
            <v>Šrobárova 20</v>
          </cell>
          <cell r="J554">
            <v>2</v>
          </cell>
          <cell r="K554">
            <v>0</v>
          </cell>
          <cell r="L554">
            <v>4</v>
          </cell>
          <cell r="M554">
            <v>0</v>
          </cell>
          <cell r="N554">
            <v>0</v>
          </cell>
          <cell r="O554">
            <v>3</v>
          </cell>
          <cell r="P554">
            <v>0</v>
          </cell>
          <cell r="Q554">
            <v>0</v>
          </cell>
          <cell r="R554">
            <v>18</v>
          </cell>
          <cell r="S554">
            <v>0</v>
          </cell>
          <cell r="T554">
            <v>134</v>
          </cell>
          <cell r="U554">
            <v>185.4</v>
          </cell>
        </row>
        <row r="555">
          <cell r="F555">
            <v>42083788</v>
          </cell>
          <cell r="G555" t="str">
            <v>Spojená škola</v>
          </cell>
          <cell r="H555" t="str">
            <v>Poprad</v>
          </cell>
          <cell r="I555" t="str">
            <v>Dominika Tatarku 4666/7</v>
          </cell>
          <cell r="J555">
            <v>24</v>
          </cell>
          <cell r="K555">
            <v>0</v>
          </cell>
          <cell r="L555">
            <v>60</v>
          </cell>
          <cell r="M555">
            <v>0</v>
          </cell>
          <cell r="N555">
            <v>5</v>
          </cell>
          <cell r="O555">
            <v>20</v>
          </cell>
          <cell r="P555">
            <v>1</v>
          </cell>
          <cell r="Q555">
            <v>34</v>
          </cell>
          <cell r="R555">
            <v>383</v>
          </cell>
          <cell r="S555">
            <v>93</v>
          </cell>
          <cell r="T555">
            <v>2010</v>
          </cell>
          <cell r="U555">
            <v>0</v>
          </cell>
        </row>
        <row r="556">
          <cell r="F556">
            <v>42090202</v>
          </cell>
          <cell r="G556" t="str">
            <v>Spojená škola</v>
          </cell>
          <cell r="H556" t="str">
            <v>Poprad</v>
          </cell>
          <cell r="I556" t="str">
            <v>Partizánska 2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</row>
        <row r="557">
          <cell r="F557">
            <v>52827283</v>
          </cell>
          <cell r="G557" t="str">
            <v>Spojená škola</v>
          </cell>
          <cell r="H557" t="str">
            <v>Spišský Štiavnik</v>
          </cell>
          <cell r="I557" t="str">
            <v>Slnečná 421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</row>
        <row r="558">
          <cell r="F558">
            <v>42089841</v>
          </cell>
          <cell r="G558" t="str">
            <v>Spojená škola</v>
          </cell>
          <cell r="H558" t="str">
            <v>Chminianske Jakubovany</v>
          </cell>
          <cell r="I558" t="str">
            <v>Chminianske Jakubovany 21</v>
          </cell>
          <cell r="J558">
            <v>1</v>
          </cell>
          <cell r="K558">
            <v>0</v>
          </cell>
          <cell r="L558">
            <v>2</v>
          </cell>
          <cell r="M558">
            <v>0</v>
          </cell>
          <cell r="N558">
            <v>0</v>
          </cell>
          <cell r="O558">
            <v>1</v>
          </cell>
          <cell r="P558">
            <v>0</v>
          </cell>
          <cell r="Q558">
            <v>0</v>
          </cell>
          <cell r="R558">
            <v>1</v>
          </cell>
          <cell r="S558">
            <v>0</v>
          </cell>
          <cell r="T558">
            <v>67</v>
          </cell>
          <cell r="U558">
            <v>24.8</v>
          </cell>
        </row>
        <row r="559">
          <cell r="F559">
            <v>523216</v>
          </cell>
          <cell r="G559" t="str">
            <v>Odborné učilište internátne</v>
          </cell>
          <cell r="H559" t="str">
            <v>Prešov</v>
          </cell>
          <cell r="I559" t="str">
            <v>Masarykova 11174/20D</v>
          </cell>
          <cell r="J559">
            <v>1</v>
          </cell>
          <cell r="K559">
            <v>0</v>
          </cell>
          <cell r="L559">
            <v>2</v>
          </cell>
          <cell r="M559">
            <v>0</v>
          </cell>
          <cell r="N559">
            <v>0</v>
          </cell>
          <cell r="O559">
            <v>2</v>
          </cell>
          <cell r="P559">
            <v>0</v>
          </cell>
          <cell r="Q559">
            <v>0</v>
          </cell>
          <cell r="R559">
            <v>8</v>
          </cell>
          <cell r="S559">
            <v>0</v>
          </cell>
          <cell r="T559">
            <v>67</v>
          </cell>
          <cell r="U559">
            <v>0</v>
          </cell>
        </row>
        <row r="560">
          <cell r="F560">
            <v>42079861</v>
          </cell>
          <cell r="G560" t="str">
            <v>Spojená škola</v>
          </cell>
          <cell r="H560" t="str">
            <v>Prešov</v>
          </cell>
          <cell r="I560" t="str">
            <v>Matice slovenskej 11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</row>
        <row r="561">
          <cell r="F561">
            <v>42085381</v>
          </cell>
          <cell r="G561" t="str">
            <v>Spojená škola internátna</v>
          </cell>
          <cell r="H561" t="str">
            <v>Prešov</v>
          </cell>
          <cell r="I561" t="str">
            <v>Masarykova 11175/20C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</row>
        <row r="562">
          <cell r="F562">
            <v>42037425</v>
          </cell>
          <cell r="G562" t="str">
            <v>Spojená škola Pavla Sabadoša internátna</v>
          </cell>
          <cell r="H562" t="str">
            <v>Prešov</v>
          </cell>
          <cell r="I562" t="str">
            <v>Duklianska 2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</row>
        <row r="563">
          <cell r="F563">
            <v>42089832</v>
          </cell>
          <cell r="G563" t="str">
            <v>Spojená škola</v>
          </cell>
          <cell r="H563" t="str">
            <v>Lipany</v>
          </cell>
          <cell r="I563" t="str">
            <v>Tehelná 23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</row>
        <row r="564">
          <cell r="F564">
            <v>42344751</v>
          </cell>
          <cell r="G564" t="str">
            <v>Spojená škola</v>
          </cell>
          <cell r="H564" t="str">
            <v>Sabinov</v>
          </cell>
          <cell r="I564" t="str">
            <v>SNP 15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</row>
        <row r="565">
          <cell r="F565">
            <v>42382530</v>
          </cell>
          <cell r="G565" t="str">
            <v>Spojená škola internátna</v>
          </cell>
          <cell r="H565" t="str">
            <v>Snina</v>
          </cell>
          <cell r="I565" t="str">
            <v>Palárikova 1602/1</v>
          </cell>
          <cell r="J565">
            <v>2</v>
          </cell>
          <cell r="K565">
            <v>0</v>
          </cell>
          <cell r="L565">
            <v>4</v>
          </cell>
          <cell r="M565">
            <v>0</v>
          </cell>
          <cell r="N565">
            <v>0</v>
          </cell>
          <cell r="O565">
            <v>3</v>
          </cell>
          <cell r="P565">
            <v>0</v>
          </cell>
          <cell r="Q565">
            <v>0</v>
          </cell>
          <cell r="R565">
            <v>6</v>
          </cell>
          <cell r="S565">
            <v>0</v>
          </cell>
          <cell r="T565">
            <v>134</v>
          </cell>
          <cell r="U565">
            <v>33.799999999999997</v>
          </cell>
        </row>
        <row r="566">
          <cell r="F566">
            <v>42089824</v>
          </cell>
          <cell r="G566" t="str">
            <v>Spojená škola internátna</v>
          </cell>
          <cell r="H566" t="str">
            <v>Stará Ľubovňa</v>
          </cell>
          <cell r="I566" t="str">
            <v>Levočská 24</v>
          </cell>
          <cell r="J566">
            <v>2</v>
          </cell>
          <cell r="K566">
            <v>0</v>
          </cell>
          <cell r="L566">
            <v>5</v>
          </cell>
          <cell r="M566">
            <v>0</v>
          </cell>
          <cell r="N566">
            <v>0</v>
          </cell>
          <cell r="O566">
            <v>3</v>
          </cell>
          <cell r="P566">
            <v>0</v>
          </cell>
          <cell r="Q566">
            <v>0</v>
          </cell>
          <cell r="R566">
            <v>21</v>
          </cell>
          <cell r="S566">
            <v>0</v>
          </cell>
          <cell r="T566">
            <v>167.5</v>
          </cell>
          <cell r="U566">
            <v>7.3</v>
          </cell>
        </row>
        <row r="567">
          <cell r="F567">
            <v>42090211</v>
          </cell>
          <cell r="G567" t="str">
            <v>Spojená škola internátna</v>
          </cell>
          <cell r="H567" t="str">
            <v>Svidník</v>
          </cell>
          <cell r="I567" t="str">
            <v>Partizánska 52</v>
          </cell>
          <cell r="J567">
            <v>1</v>
          </cell>
          <cell r="K567">
            <v>0</v>
          </cell>
          <cell r="L567">
            <v>4</v>
          </cell>
          <cell r="M567">
            <v>0</v>
          </cell>
          <cell r="N567">
            <v>0</v>
          </cell>
          <cell r="O567">
            <v>5</v>
          </cell>
          <cell r="P567">
            <v>0</v>
          </cell>
          <cell r="Q567">
            <v>0</v>
          </cell>
          <cell r="R567">
            <v>15</v>
          </cell>
          <cell r="S567">
            <v>0</v>
          </cell>
          <cell r="T567">
            <v>134</v>
          </cell>
          <cell r="U567">
            <v>76.400000000000006</v>
          </cell>
        </row>
        <row r="568">
          <cell r="F568">
            <v>42089816</v>
          </cell>
          <cell r="G568" t="str">
            <v>Spojená škola</v>
          </cell>
          <cell r="H568" t="str">
            <v>Vranov nad Topľou</v>
          </cell>
          <cell r="I568" t="str">
            <v>Budovateľská 1309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</row>
        <row r="569">
          <cell r="F569">
            <v>42089808</v>
          </cell>
          <cell r="G569" t="str">
            <v>Spojená škola internátna</v>
          </cell>
          <cell r="H569" t="str">
            <v>Vranov nad Topľou</v>
          </cell>
          <cell r="I569" t="str">
            <v>M. R. Štefánika 140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</row>
        <row r="570">
          <cell r="F570">
            <v>160911</v>
          </cell>
          <cell r="G570" t="str">
            <v>Gymnázium Leonarda Stöckela</v>
          </cell>
          <cell r="H570" t="str">
            <v>Bardejov</v>
          </cell>
          <cell r="I570" t="str">
            <v>Jiráskova 12</v>
          </cell>
          <cell r="J570">
            <v>14</v>
          </cell>
          <cell r="K570">
            <v>0</v>
          </cell>
          <cell r="L570">
            <v>30</v>
          </cell>
          <cell r="M570">
            <v>0</v>
          </cell>
          <cell r="N570">
            <v>3</v>
          </cell>
          <cell r="O570">
            <v>19</v>
          </cell>
          <cell r="P570">
            <v>1</v>
          </cell>
          <cell r="Q570">
            <v>18</v>
          </cell>
          <cell r="R570">
            <v>235</v>
          </cell>
          <cell r="S570">
            <v>38</v>
          </cell>
          <cell r="T570">
            <v>1005</v>
          </cell>
          <cell r="U570">
            <v>177.6</v>
          </cell>
        </row>
        <row r="571">
          <cell r="F571">
            <v>42077150</v>
          </cell>
          <cell r="G571" t="str">
            <v>Spojená škola</v>
          </cell>
          <cell r="H571" t="str">
            <v>Bardejov</v>
          </cell>
          <cell r="I571" t="str">
            <v>Štefánikova 64</v>
          </cell>
          <cell r="J571">
            <v>8</v>
          </cell>
          <cell r="K571">
            <v>0</v>
          </cell>
          <cell r="L571">
            <v>26</v>
          </cell>
          <cell r="M571">
            <v>0</v>
          </cell>
          <cell r="N571">
            <v>0</v>
          </cell>
          <cell r="O571">
            <v>12</v>
          </cell>
          <cell r="P571">
            <v>1</v>
          </cell>
          <cell r="Q571">
            <v>0</v>
          </cell>
          <cell r="R571">
            <v>241</v>
          </cell>
          <cell r="S571">
            <v>27</v>
          </cell>
          <cell r="T571">
            <v>871</v>
          </cell>
          <cell r="U571">
            <v>0</v>
          </cell>
        </row>
        <row r="572">
          <cell r="F572">
            <v>42035261</v>
          </cell>
          <cell r="G572" t="str">
            <v>Spojená škola Juraja Henischa</v>
          </cell>
          <cell r="H572" t="str">
            <v>Bardejov</v>
          </cell>
          <cell r="I572" t="str">
            <v>Slovenská 5</v>
          </cell>
          <cell r="J572">
            <v>13</v>
          </cell>
          <cell r="K572">
            <v>0</v>
          </cell>
          <cell r="L572">
            <v>44</v>
          </cell>
          <cell r="M572">
            <v>0</v>
          </cell>
          <cell r="N572">
            <v>1</v>
          </cell>
          <cell r="O572">
            <v>16</v>
          </cell>
          <cell r="P572">
            <v>2</v>
          </cell>
          <cell r="Q572">
            <v>4</v>
          </cell>
          <cell r="R572">
            <v>336</v>
          </cell>
          <cell r="S572">
            <v>256</v>
          </cell>
          <cell r="T572">
            <v>1474</v>
          </cell>
          <cell r="U572">
            <v>0</v>
          </cell>
        </row>
        <row r="573">
          <cell r="F573">
            <v>36155993</v>
          </cell>
          <cell r="G573" t="str">
            <v>Stredná odborná škola ekonomiky, hotelierstva a služieb Jána Andraščíka</v>
          </cell>
          <cell r="H573" t="str">
            <v>Bardejov</v>
          </cell>
          <cell r="I573" t="str">
            <v>Pod Vinbargom 3</v>
          </cell>
          <cell r="J573">
            <v>18</v>
          </cell>
          <cell r="K573">
            <v>0</v>
          </cell>
          <cell r="L573">
            <v>53</v>
          </cell>
          <cell r="M573">
            <v>0</v>
          </cell>
          <cell r="N573">
            <v>4</v>
          </cell>
          <cell r="O573">
            <v>25</v>
          </cell>
          <cell r="P573">
            <v>1</v>
          </cell>
          <cell r="Q573">
            <v>31</v>
          </cell>
          <cell r="R573">
            <v>445</v>
          </cell>
          <cell r="S573">
            <v>35</v>
          </cell>
          <cell r="T573">
            <v>1775.5</v>
          </cell>
          <cell r="U573">
            <v>111.2</v>
          </cell>
        </row>
        <row r="574">
          <cell r="F574">
            <v>161705</v>
          </cell>
          <cell r="G574" t="str">
            <v>Stredná priemyselná škola technická</v>
          </cell>
          <cell r="H574" t="str">
            <v>Bardejov</v>
          </cell>
          <cell r="I574" t="str">
            <v>Komenského 5</v>
          </cell>
          <cell r="J574">
            <v>17</v>
          </cell>
          <cell r="K574">
            <v>0</v>
          </cell>
          <cell r="L574">
            <v>82</v>
          </cell>
          <cell r="M574">
            <v>0</v>
          </cell>
          <cell r="N574">
            <v>0</v>
          </cell>
          <cell r="O574">
            <v>37</v>
          </cell>
          <cell r="P574">
            <v>2</v>
          </cell>
          <cell r="Q574">
            <v>0</v>
          </cell>
          <cell r="R574">
            <v>628</v>
          </cell>
          <cell r="S574">
            <v>333</v>
          </cell>
          <cell r="T574">
            <v>2747</v>
          </cell>
          <cell r="U574">
            <v>0</v>
          </cell>
        </row>
        <row r="575">
          <cell r="F575">
            <v>160954</v>
          </cell>
          <cell r="G575" t="str">
            <v>Gymnázium arm. gen. Ludvíka Svobodu</v>
          </cell>
          <cell r="H575" t="str">
            <v>Humenné</v>
          </cell>
          <cell r="I575" t="str">
            <v>Komenského 4</v>
          </cell>
          <cell r="J575">
            <v>12</v>
          </cell>
          <cell r="K575">
            <v>0</v>
          </cell>
          <cell r="L575">
            <v>44</v>
          </cell>
          <cell r="M575">
            <v>0</v>
          </cell>
          <cell r="N575">
            <v>4</v>
          </cell>
          <cell r="O575">
            <v>12</v>
          </cell>
          <cell r="P575">
            <v>2</v>
          </cell>
          <cell r="Q575">
            <v>47</v>
          </cell>
          <cell r="R575">
            <v>336</v>
          </cell>
          <cell r="S575">
            <v>139</v>
          </cell>
          <cell r="T575">
            <v>1474</v>
          </cell>
          <cell r="U575">
            <v>0</v>
          </cell>
        </row>
        <row r="576">
          <cell r="F576">
            <v>17078393</v>
          </cell>
          <cell r="G576" t="str">
            <v>Hotelová akadémia</v>
          </cell>
          <cell r="H576" t="str">
            <v>Humenné</v>
          </cell>
          <cell r="I576" t="str">
            <v>Štefánikova 28</v>
          </cell>
          <cell r="J576">
            <v>10</v>
          </cell>
          <cell r="K576">
            <v>0</v>
          </cell>
          <cell r="L576">
            <v>25</v>
          </cell>
          <cell r="M576">
            <v>0</v>
          </cell>
          <cell r="N576">
            <v>0</v>
          </cell>
          <cell r="O576">
            <v>18</v>
          </cell>
          <cell r="P576">
            <v>0</v>
          </cell>
          <cell r="Q576">
            <v>0</v>
          </cell>
          <cell r="R576">
            <v>227</v>
          </cell>
          <cell r="S576">
            <v>0</v>
          </cell>
          <cell r="T576">
            <v>837.5</v>
          </cell>
          <cell r="U576">
            <v>211.3</v>
          </cell>
        </row>
        <row r="577">
          <cell r="F577">
            <v>162132</v>
          </cell>
          <cell r="G577" t="str">
            <v>Obchodná akadémia</v>
          </cell>
          <cell r="H577" t="str">
            <v>Humenné</v>
          </cell>
          <cell r="I577" t="str">
            <v>Komenského 1</v>
          </cell>
          <cell r="J577">
            <v>11</v>
          </cell>
          <cell r="K577">
            <v>0</v>
          </cell>
          <cell r="L577">
            <v>39</v>
          </cell>
          <cell r="M577">
            <v>0</v>
          </cell>
          <cell r="N577">
            <v>1</v>
          </cell>
          <cell r="O577">
            <v>14</v>
          </cell>
          <cell r="P577">
            <v>2</v>
          </cell>
          <cell r="Q577">
            <v>52</v>
          </cell>
          <cell r="R577">
            <v>270</v>
          </cell>
          <cell r="S577">
            <v>132</v>
          </cell>
          <cell r="T577">
            <v>1306.5</v>
          </cell>
          <cell r="U577">
            <v>0</v>
          </cell>
        </row>
        <row r="578">
          <cell r="F578">
            <v>617750</v>
          </cell>
          <cell r="G578" t="str">
            <v>Stredná odborná škola obchodu a služieb</v>
          </cell>
          <cell r="H578" t="str">
            <v>Humenné</v>
          </cell>
          <cell r="I578" t="str">
            <v>Mierová 1973/79</v>
          </cell>
          <cell r="J578">
            <v>10</v>
          </cell>
          <cell r="K578">
            <v>0</v>
          </cell>
          <cell r="L578">
            <v>30</v>
          </cell>
          <cell r="M578">
            <v>0</v>
          </cell>
          <cell r="N578">
            <v>0</v>
          </cell>
          <cell r="O578">
            <v>18</v>
          </cell>
          <cell r="P578">
            <v>0</v>
          </cell>
          <cell r="Q578">
            <v>0</v>
          </cell>
          <cell r="R578">
            <v>280</v>
          </cell>
          <cell r="S578">
            <v>0</v>
          </cell>
          <cell r="T578">
            <v>1005</v>
          </cell>
          <cell r="U578">
            <v>0</v>
          </cell>
        </row>
        <row r="579">
          <cell r="F579">
            <v>893358</v>
          </cell>
          <cell r="G579" t="str">
            <v>Stredná odborná škola polytechnická</v>
          </cell>
          <cell r="H579" t="str">
            <v>Humenné</v>
          </cell>
          <cell r="I579" t="str">
            <v>Štefánikova 1550/20</v>
          </cell>
          <cell r="J579">
            <v>7</v>
          </cell>
          <cell r="K579">
            <v>0</v>
          </cell>
          <cell r="L579">
            <v>21</v>
          </cell>
          <cell r="M579">
            <v>0</v>
          </cell>
          <cell r="N579">
            <v>0</v>
          </cell>
          <cell r="O579">
            <v>16</v>
          </cell>
          <cell r="P579">
            <v>0</v>
          </cell>
          <cell r="Q579">
            <v>0</v>
          </cell>
          <cell r="R579">
            <v>251</v>
          </cell>
          <cell r="S579">
            <v>0</v>
          </cell>
          <cell r="T579">
            <v>703.5</v>
          </cell>
          <cell r="U579">
            <v>70.400000000000006</v>
          </cell>
        </row>
        <row r="580">
          <cell r="F580">
            <v>37942484</v>
          </cell>
          <cell r="G580" t="str">
            <v>Stredná odborná škola technická</v>
          </cell>
          <cell r="H580" t="str">
            <v>Humenné</v>
          </cell>
          <cell r="I580" t="str">
            <v>Družstevná 1474/19</v>
          </cell>
          <cell r="J580">
            <v>8</v>
          </cell>
          <cell r="K580">
            <v>0</v>
          </cell>
          <cell r="L580">
            <v>29</v>
          </cell>
          <cell r="M580">
            <v>0</v>
          </cell>
          <cell r="N580">
            <v>0</v>
          </cell>
          <cell r="O580">
            <v>8</v>
          </cell>
          <cell r="P580">
            <v>2</v>
          </cell>
          <cell r="Q580">
            <v>0</v>
          </cell>
          <cell r="R580">
            <v>306</v>
          </cell>
          <cell r="S580">
            <v>167</v>
          </cell>
          <cell r="T580">
            <v>971.5</v>
          </cell>
          <cell r="U580">
            <v>0</v>
          </cell>
        </row>
        <row r="581">
          <cell r="F581">
            <v>606740</v>
          </cell>
          <cell r="G581" t="str">
            <v>Stredná zdravotnícka škola</v>
          </cell>
          <cell r="H581" t="str">
            <v>Humenné</v>
          </cell>
          <cell r="I581" t="str">
            <v>Lipová 32</v>
          </cell>
          <cell r="J581">
            <v>7</v>
          </cell>
          <cell r="K581">
            <v>0</v>
          </cell>
          <cell r="L581">
            <v>40</v>
          </cell>
          <cell r="M581">
            <v>0</v>
          </cell>
          <cell r="N581">
            <v>4</v>
          </cell>
          <cell r="O581">
            <v>7</v>
          </cell>
          <cell r="P581">
            <v>3</v>
          </cell>
          <cell r="Q581">
            <v>135</v>
          </cell>
          <cell r="R581">
            <v>306</v>
          </cell>
          <cell r="S581">
            <v>324</v>
          </cell>
          <cell r="T581">
            <v>1340</v>
          </cell>
          <cell r="U581">
            <v>882</v>
          </cell>
        </row>
        <row r="582">
          <cell r="F582">
            <v>160962</v>
          </cell>
          <cell r="G582" t="str">
            <v>Gymnázium Pavla Országha Hviezdoslava</v>
          </cell>
          <cell r="H582" t="str">
            <v>Kežmarok</v>
          </cell>
          <cell r="I582" t="str">
            <v>Hviezdoslavova 20</v>
          </cell>
          <cell r="J582">
            <v>2</v>
          </cell>
          <cell r="K582">
            <v>0</v>
          </cell>
          <cell r="L582">
            <v>8</v>
          </cell>
          <cell r="M582">
            <v>0</v>
          </cell>
          <cell r="N582">
            <v>0</v>
          </cell>
          <cell r="O582">
            <v>2</v>
          </cell>
          <cell r="P582">
            <v>1</v>
          </cell>
          <cell r="Q582">
            <v>0</v>
          </cell>
          <cell r="R582">
            <v>28</v>
          </cell>
          <cell r="S582">
            <v>14</v>
          </cell>
          <cell r="T582">
            <v>268</v>
          </cell>
          <cell r="U582">
            <v>0</v>
          </cell>
        </row>
        <row r="583">
          <cell r="F583">
            <v>162175</v>
          </cell>
          <cell r="G583" t="str">
            <v>Hotelová akadémia Otta Brucknera</v>
          </cell>
          <cell r="H583" t="str">
            <v>Kežmarok</v>
          </cell>
          <cell r="I583" t="str">
            <v>Dr. Alexandra 29</v>
          </cell>
          <cell r="J583">
            <v>8</v>
          </cell>
          <cell r="K583">
            <v>2</v>
          </cell>
          <cell r="L583">
            <v>26</v>
          </cell>
          <cell r="M583">
            <v>5</v>
          </cell>
          <cell r="N583">
            <v>4</v>
          </cell>
          <cell r="O583">
            <v>11</v>
          </cell>
          <cell r="P583">
            <v>0</v>
          </cell>
          <cell r="Q583">
            <v>89</v>
          </cell>
          <cell r="R583">
            <v>197</v>
          </cell>
          <cell r="S583">
            <v>0</v>
          </cell>
          <cell r="T583">
            <v>871</v>
          </cell>
          <cell r="U583">
            <v>797.1</v>
          </cell>
        </row>
        <row r="584">
          <cell r="F584">
            <v>37880012</v>
          </cell>
          <cell r="G584" t="str">
            <v>Stredná odborná škola</v>
          </cell>
          <cell r="H584" t="str">
            <v>Kežmarok</v>
          </cell>
          <cell r="I584" t="str">
            <v>Garbiarska 1</v>
          </cell>
          <cell r="J584">
            <v>18</v>
          </cell>
          <cell r="K584">
            <v>0</v>
          </cell>
          <cell r="L584">
            <v>75</v>
          </cell>
          <cell r="M584">
            <v>0</v>
          </cell>
          <cell r="N584">
            <v>0</v>
          </cell>
          <cell r="O584">
            <v>31</v>
          </cell>
          <cell r="P584">
            <v>7</v>
          </cell>
          <cell r="Q584">
            <v>0</v>
          </cell>
          <cell r="R584">
            <v>489</v>
          </cell>
          <cell r="S584">
            <v>116</v>
          </cell>
          <cell r="T584">
            <v>2512.5</v>
          </cell>
          <cell r="U584">
            <v>575</v>
          </cell>
        </row>
        <row r="585">
          <cell r="F585">
            <v>159468</v>
          </cell>
          <cell r="G585" t="str">
            <v>Stredná odborná škola agropotravinárska a technická</v>
          </cell>
          <cell r="H585" t="str">
            <v>Kežmarok</v>
          </cell>
          <cell r="I585" t="str">
            <v>Kušnierska brána 349/2</v>
          </cell>
          <cell r="J585">
            <v>9</v>
          </cell>
          <cell r="K585">
            <v>0</v>
          </cell>
          <cell r="L585">
            <v>33</v>
          </cell>
          <cell r="M585">
            <v>0</v>
          </cell>
          <cell r="N585">
            <v>0</v>
          </cell>
          <cell r="O585">
            <v>19</v>
          </cell>
          <cell r="P585">
            <v>1</v>
          </cell>
          <cell r="Q585">
            <v>0</v>
          </cell>
          <cell r="R585">
            <v>268</v>
          </cell>
          <cell r="S585">
            <v>32</v>
          </cell>
          <cell r="T585">
            <v>1105.5</v>
          </cell>
          <cell r="U585">
            <v>0</v>
          </cell>
        </row>
        <row r="586">
          <cell r="F586">
            <v>36155667</v>
          </cell>
          <cell r="G586" t="str">
            <v>Škola umeleckého priemyslu</v>
          </cell>
          <cell r="H586" t="str">
            <v>Kežmarok</v>
          </cell>
          <cell r="I586" t="str">
            <v>Slavkovská 19</v>
          </cell>
          <cell r="J586">
            <v>7</v>
          </cell>
          <cell r="K586">
            <v>0</v>
          </cell>
          <cell r="L586">
            <v>18</v>
          </cell>
          <cell r="M586">
            <v>0</v>
          </cell>
          <cell r="N586">
            <v>0</v>
          </cell>
          <cell r="O586">
            <v>11</v>
          </cell>
          <cell r="P586">
            <v>0</v>
          </cell>
          <cell r="Q586">
            <v>0</v>
          </cell>
          <cell r="R586">
            <v>171</v>
          </cell>
          <cell r="S586">
            <v>0</v>
          </cell>
          <cell r="T586">
            <v>603</v>
          </cell>
          <cell r="U586">
            <v>0</v>
          </cell>
        </row>
        <row r="587">
          <cell r="F587">
            <v>161039</v>
          </cell>
          <cell r="G587" t="str">
            <v>Gymnázium Janka Francisciho - Rimavského</v>
          </cell>
          <cell r="H587" t="str">
            <v>Levoča</v>
          </cell>
          <cell r="I587" t="str">
            <v>Kláštorská 37</v>
          </cell>
          <cell r="J587">
            <v>7</v>
          </cell>
          <cell r="K587">
            <v>0</v>
          </cell>
          <cell r="L587">
            <v>21</v>
          </cell>
          <cell r="M587">
            <v>0</v>
          </cell>
          <cell r="N587">
            <v>1</v>
          </cell>
          <cell r="O587">
            <v>7</v>
          </cell>
          <cell r="P587">
            <v>0</v>
          </cell>
          <cell r="Q587">
            <v>14</v>
          </cell>
          <cell r="R587">
            <v>226</v>
          </cell>
          <cell r="S587">
            <v>0</v>
          </cell>
          <cell r="T587">
            <v>703.5</v>
          </cell>
          <cell r="U587">
            <v>0</v>
          </cell>
        </row>
        <row r="588">
          <cell r="F588">
            <v>162833</v>
          </cell>
          <cell r="G588" t="str">
            <v>Stredná odborná škola pedagogická</v>
          </cell>
          <cell r="H588" t="str">
            <v>Levoča</v>
          </cell>
          <cell r="I588" t="str">
            <v>Bottova 15A</v>
          </cell>
          <cell r="J588">
            <v>11</v>
          </cell>
          <cell r="K588">
            <v>1</v>
          </cell>
          <cell r="L588">
            <v>23</v>
          </cell>
          <cell r="M588">
            <v>4</v>
          </cell>
          <cell r="N588">
            <v>3</v>
          </cell>
          <cell r="O588">
            <v>13</v>
          </cell>
          <cell r="P588">
            <v>2</v>
          </cell>
          <cell r="Q588">
            <v>18</v>
          </cell>
          <cell r="R588">
            <v>171</v>
          </cell>
          <cell r="S588">
            <v>31</v>
          </cell>
          <cell r="T588">
            <v>770.5</v>
          </cell>
          <cell r="U588">
            <v>0</v>
          </cell>
        </row>
        <row r="589">
          <cell r="F589">
            <v>159514</v>
          </cell>
          <cell r="G589" t="str">
            <v>Stredná odborná škola služieb Majstra Pavla</v>
          </cell>
          <cell r="H589" t="str">
            <v>Levoča</v>
          </cell>
          <cell r="I589" t="str">
            <v>Kukučínova 9</v>
          </cell>
          <cell r="J589">
            <v>5</v>
          </cell>
          <cell r="K589">
            <v>0</v>
          </cell>
          <cell r="L589">
            <v>16</v>
          </cell>
          <cell r="M589">
            <v>0</v>
          </cell>
          <cell r="N589">
            <v>0</v>
          </cell>
          <cell r="O589">
            <v>11</v>
          </cell>
          <cell r="P589">
            <v>1</v>
          </cell>
          <cell r="Q589">
            <v>0</v>
          </cell>
          <cell r="R589">
            <v>128</v>
          </cell>
          <cell r="S589">
            <v>8</v>
          </cell>
          <cell r="T589">
            <v>536</v>
          </cell>
          <cell r="U589">
            <v>41.1</v>
          </cell>
        </row>
        <row r="590">
          <cell r="F590">
            <v>54018404</v>
          </cell>
          <cell r="G590" t="str">
            <v>Spojená škola</v>
          </cell>
          <cell r="H590" t="str">
            <v>Medzilaborce</v>
          </cell>
          <cell r="I590" t="str">
            <v>Duchnovičova 506</v>
          </cell>
          <cell r="J590">
            <v>7</v>
          </cell>
          <cell r="K590">
            <v>3</v>
          </cell>
          <cell r="L590">
            <v>24</v>
          </cell>
          <cell r="M590">
            <v>4</v>
          </cell>
          <cell r="N590">
            <v>5</v>
          </cell>
          <cell r="O590">
            <v>11</v>
          </cell>
          <cell r="P590">
            <v>0</v>
          </cell>
          <cell r="Q590">
            <v>44</v>
          </cell>
          <cell r="R590">
            <v>319</v>
          </cell>
          <cell r="S590">
            <v>0</v>
          </cell>
          <cell r="T590">
            <v>804</v>
          </cell>
          <cell r="U590">
            <v>131.69999999999999</v>
          </cell>
        </row>
        <row r="591">
          <cell r="F591">
            <v>161098</v>
          </cell>
          <cell r="G591" t="str">
            <v>Gymnázium</v>
          </cell>
          <cell r="H591" t="str">
            <v>Poprad</v>
          </cell>
          <cell r="I591" t="str">
            <v>Kukučínova 4239/1</v>
          </cell>
          <cell r="J591">
            <v>18</v>
          </cell>
          <cell r="K591">
            <v>0</v>
          </cell>
          <cell r="L591">
            <v>48</v>
          </cell>
          <cell r="M591">
            <v>0</v>
          </cell>
          <cell r="N591">
            <v>1</v>
          </cell>
          <cell r="O591">
            <v>20</v>
          </cell>
          <cell r="P591">
            <v>2</v>
          </cell>
          <cell r="Q591">
            <v>6</v>
          </cell>
          <cell r="R591">
            <v>233</v>
          </cell>
          <cell r="S591">
            <v>69</v>
          </cell>
          <cell r="T591">
            <v>1608</v>
          </cell>
          <cell r="U591">
            <v>0</v>
          </cell>
        </row>
        <row r="592">
          <cell r="F592">
            <v>162167</v>
          </cell>
          <cell r="G592" t="str">
            <v>Obchodná akadémia</v>
          </cell>
          <cell r="H592" t="str">
            <v>Poprad</v>
          </cell>
          <cell r="I592" t="str">
            <v>Murgašova 94</v>
          </cell>
          <cell r="J592">
            <v>10</v>
          </cell>
          <cell r="K592">
            <v>0</v>
          </cell>
          <cell r="L592">
            <v>43</v>
          </cell>
          <cell r="M592">
            <v>0</v>
          </cell>
          <cell r="N592">
            <v>3</v>
          </cell>
          <cell r="O592">
            <v>13</v>
          </cell>
          <cell r="P592">
            <v>2</v>
          </cell>
          <cell r="Q592">
            <v>18</v>
          </cell>
          <cell r="R592">
            <v>305</v>
          </cell>
          <cell r="S592">
            <v>146</v>
          </cell>
          <cell r="T592">
            <v>1440.5</v>
          </cell>
          <cell r="U592">
            <v>0</v>
          </cell>
        </row>
        <row r="593">
          <cell r="F593">
            <v>893102</v>
          </cell>
          <cell r="G593" t="str">
            <v>Stredná odborná škola elektrotechnická</v>
          </cell>
          <cell r="H593" t="str">
            <v>Poprad</v>
          </cell>
          <cell r="I593" t="str">
            <v>Hlavná 1400/1</v>
          </cell>
          <cell r="J593">
            <v>5</v>
          </cell>
          <cell r="K593">
            <v>0</v>
          </cell>
          <cell r="L593">
            <v>29</v>
          </cell>
          <cell r="M593">
            <v>0</v>
          </cell>
          <cell r="N593">
            <v>0</v>
          </cell>
          <cell r="O593">
            <v>9</v>
          </cell>
          <cell r="P593">
            <v>1</v>
          </cell>
          <cell r="Q593">
            <v>0</v>
          </cell>
          <cell r="R593">
            <v>306</v>
          </cell>
          <cell r="S593">
            <v>106</v>
          </cell>
          <cell r="T593">
            <v>971.5</v>
          </cell>
          <cell r="U593">
            <v>0</v>
          </cell>
        </row>
        <row r="594">
          <cell r="F594">
            <v>42077133</v>
          </cell>
          <cell r="G594" t="str">
            <v>Stredná odborná škola remesiel a služieb</v>
          </cell>
          <cell r="H594" t="str">
            <v>Poprad</v>
          </cell>
          <cell r="I594" t="str">
            <v>Okružná 761/25</v>
          </cell>
          <cell r="J594">
            <v>7</v>
          </cell>
          <cell r="K594">
            <v>0</v>
          </cell>
          <cell r="L594">
            <v>32</v>
          </cell>
          <cell r="M594">
            <v>0</v>
          </cell>
          <cell r="N594">
            <v>0</v>
          </cell>
          <cell r="O594">
            <v>16</v>
          </cell>
          <cell r="P594">
            <v>1</v>
          </cell>
          <cell r="Q594">
            <v>0</v>
          </cell>
          <cell r="R594">
            <v>228</v>
          </cell>
          <cell r="S594">
            <v>85</v>
          </cell>
          <cell r="T594">
            <v>1072</v>
          </cell>
          <cell r="U594">
            <v>0</v>
          </cell>
        </row>
        <row r="595">
          <cell r="F595">
            <v>891541</v>
          </cell>
          <cell r="G595" t="str">
            <v>Stredná odborná škola technická</v>
          </cell>
          <cell r="H595" t="str">
            <v>Poprad</v>
          </cell>
          <cell r="I595" t="str">
            <v>Kukučínova 483/12</v>
          </cell>
          <cell r="J595">
            <v>5</v>
          </cell>
          <cell r="K595">
            <v>0</v>
          </cell>
          <cell r="L595">
            <v>35</v>
          </cell>
          <cell r="M595">
            <v>0</v>
          </cell>
          <cell r="N595">
            <v>0</v>
          </cell>
          <cell r="O595">
            <v>16</v>
          </cell>
          <cell r="P595">
            <v>0</v>
          </cell>
          <cell r="Q595">
            <v>0</v>
          </cell>
          <cell r="R595">
            <v>319</v>
          </cell>
          <cell r="S595">
            <v>0</v>
          </cell>
          <cell r="T595">
            <v>1172.5</v>
          </cell>
          <cell r="U595">
            <v>0</v>
          </cell>
        </row>
        <row r="596">
          <cell r="F596">
            <v>161802</v>
          </cell>
          <cell r="G596" t="str">
            <v>Stredná priemyselná škola techniky a dizajnu</v>
          </cell>
          <cell r="H596" t="str">
            <v>Poprad</v>
          </cell>
          <cell r="I596" t="str">
            <v>Mnoheľova 828</v>
          </cell>
          <cell r="J596">
            <v>10</v>
          </cell>
          <cell r="K596">
            <v>0</v>
          </cell>
          <cell r="L596">
            <v>35</v>
          </cell>
          <cell r="M596">
            <v>0</v>
          </cell>
          <cell r="N596">
            <v>0</v>
          </cell>
          <cell r="O596">
            <v>13</v>
          </cell>
          <cell r="P596">
            <v>1</v>
          </cell>
          <cell r="Q596">
            <v>0</v>
          </cell>
          <cell r="R596">
            <v>245</v>
          </cell>
          <cell r="S596">
            <v>83</v>
          </cell>
          <cell r="T596">
            <v>1172.5</v>
          </cell>
          <cell r="U596">
            <v>0</v>
          </cell>
        </row>
        <row r="597">
          <cell r="F597">
            <v>52439534</v>
          </cell>
          <cell r="G597" t="str">
            <v>Stredná športová škola</v>
          </cell>
          <cell r="H597" t="str">
            <v>Poprad</v>
          </cell>
          <cell r="I597" t="str">
            <v>Dlhé hony 5766/16</v>
          </cell>
          <cell r="J597">
            <v>5</v>
          </cell>
          <cell r="K597">
            <v>0</v>
          </cell>
          <cell r="L597">
            <v>8</v>
          </cell>
          <cell r="M597">
            <v>0</v>
          </cell>
          <cell r="N597">
            <v>1</v>
          </cell>
          <cell r="O597">
            <v>4</v>
          </cell>
          <cell r="P597">
            <v>0</v>
          </cell>
          <cell r="Q597">
            <v>23</v>
          </cell>
          <cell r="R597">
            <v>40</v>
          </cell>
          <cell r="S597">
            <v>0</v>
          </cell>
          <cell r="T597">
            <v>268</v>
          </cell>
          <cell r="U597">
            <v>0</v>
          </cell>
        </row>
        <row r="598">
          <cell r="F598">
            <v>606791</v>
          </cell>
          <cell r="G598" t="str">
            <v>Stredná zdravotnícka škola</v>
          </cell>
          <cell r="H598" t="str">
            <v>Poprad</v>
          </cell>
          <cell r="I598" t="str">
            <v>Levočská 5</v>
          </cell>
          <cell r="J598">
            <v>11</v>
          </cell>
          <cell r="K598">
            <v>0</v>
          </cell>
          <cell r="L598">
            <v>51</v>
          </cell>
          <cell r="M598">
            <v>0</v>
          </cell>
          <cell r="N598">
            <v>0</v>
          </cell>
          <cell r="O598">
            <v>19</v>
          </cell>
          <cell r="P598">
            <v>1</v>
          </cell>
          <cell r="Q598">
            <v>0</v>
          </cell>
          <cell r="R598">
            <v>383</v>
          </cell>
          <cell r="S598">
            <v>114</v>
          </cell>
          <cell r="T598">
            <v>1708.5</v>
          </cell>
          <cell r="U598">
            <v>189.7</v>
          </cell>
        </row>
        <row r="599">
          <cell r="F599">
            <v>37947541</v>
          </cell>
          <cell r="G599" t="str">
            <v>Stredná odborná škola polytechnická Jána Antonína Baťu</v>
          </cell>
          <cell r="H599" t="str">
            <v>Svit</v>
          </cell>
          <cell r="I599" t="str">
            <v>Štefánikova 39</v>
          </cell>
          <cell r="J599">
            <v>14</v>
          </cell>
          <cell r="K599">
            <v>0</v>
          </cell>
          <cell r="L599">
            <v>74</v>
          </cell>
          <cell r="M599">
            <v>0</v>
          </cell>
          <cell r="N599">
            <v>0</v>
          </cell>
          <cell r="O599">
            <v>18</v>
          </cell>
          <cell r="P599">
            <v>3</v>
          </cell>
          <cell r="Q599">
            <v>0</v>
          </cell>
          <cell r="R599">
            <v>534</v>
          </cell>
          <cell r="S599">
            <v>187</v>
          </cell>
          <cell r="T599">
            <v>2479</v>
          </cell>
          <cell r="U599">
            <v>386.2</v>
          </cell>
        </row>
        <row r="600">
          <cell r="F600">
            <v>893552</v>
          </cell>
          <cell r="G600" t="str">
            <v>Stredná odborná škola hotelová</v>
          </cell>
          <cell r="H600" t="str">
            <v>Vysoké Tatry</v>
          </cell>
          <cell r="I600" t="str">
            <v>Horný Smokovec 26</v>
          </cell>
          <cell r="J600">
            <v>3</v>
          </cell>
          <cell r="K600">
            <v>0</v>
          </cell>
          <cell r="L600">
            <v>10</v>
          </cell>
          <cell r="M600">
            <v>0</v>
          </cell>
          <cell r="N600">
            <v>0</v>
          </cell>
          <cell r="O600">
            <v>5</v>
          </cell>
          <cell r="P600">
            <v>0</v>
          </cell>
          <cell r="Q600">
            <v>0</v>
          </cell>
          <cell r="R600">
            <v>76</v>
          </cell>
          <cell r="S600">
            <v>0</v>
          </cell>
          <cell r="T600">
            <v>335</v>
          </cell>
          <cell r="U600">
            <v>0</v>
          </cell>
        </row>
        <row r="601">
          <cell r="F601">
            <v>161110</v>
          </cell>
          <cell r="G601" t="str">
            <v>Gymnázium</v>
          </cell>
          <cell r="H601" t="str">
            <v>Prešov</v>
          </cell>
          <cell r="I601" t="str">
            <v>Konštantínova 2</v>
          </cell>
          <cell r="J601">
            <v>30</v>
          </cell>
          <cell r="K601">
            <v>0</v>
          </cell>
          <cell r="L601">
            <v>119</v>
          </cell>
          <cell r="M601">
            <v>0</v>
          </cell>
          <cell r="N601">
            <v>5</v>
          </cell>
          <cell r="O601">
            <v>41</v>
          </cell>
          <cell r="P601">
            <v>3</v>
          </cell>
          <cell r="Q601">
            <v>78</v>
          </cell>
          <cell r="R601">
            <v>962</v>
          </cell>
          <cell r="S601">
            <v>246</v>
          </cell>
          <cell r="T601">
            <v>3986.5</v>
          </cell>
          <cell r="U601">
            <v>0</v>
          </cell>
        </row>
        <row r="602">
          <cell r="F602">
            <v>161101</v>
          </cell>
          <cell r="G602" t="str">
            <v>Gymnázium Jána Adama Raymana</v>
          </cell>
          <cell r="H602" t="str">
            <v>Prešov</v>
          </cell>
          <cell r="I602" t="str">
            <v>Mudroňova 20</v>
          </cell>
          <cell r="J602">
            <v>6</v>
          </cell>
          <cell r="K602">
            <v>0</v>
          </cell>
          <cell r="L602">
            <v>29</v>
          </cell>
          <cell r="M602">
            <v>0</v>
          </cell>
          <cell r="N602">
            <v>0</v>
          </cell>
          <cell r="O602">
            <v>6</v>
          </cell>
          <cell r="P602">
            <v>2</v>
          </cell>
          <cell r="Q602">
            <v>0</v>
          </cell>
          <cell r="R602">
            <v>160</v>
          </cell>
          <cell r="S602">
            <v>194</v>
          </cell>
          <cell r="T602">
            <v>971.5</v>
          </cell>
          <cell r="U602">
            <v>0</v>
          </cell>
        </row>
        <row r="603">
          <cell r="F603">
            <v>162191</v>
          </cell>
          <cell r="G603" t="str">
            <v>Hotelová akadémia</v>
          </cell>
          <cell r="H603" t="str">
            <v>Prešov</v>
          </cell>
          <cell r="I603" t="str">
            <v>Baštová 32</v>
          </cell>
          <cell r="J603">
            <v>8</v>
          </cell>
          <cell r="K603">
            <v>0</v>
          </cell>
          <cell r="L603">
            <v>46</v>
          </cell>
          <cell r="M603">
            <v>0</v>
          </cell>
          <cell r="N603">
            <v>0</v>
          </cell>
          <cell r="O603">
            <v>15</v>
          </cell>
          <cell r="P603">
            <v>1</v>
          </cell>
          <cell r="Q603">
            <v>0</v>
          </cell>
          <cell r="R603">
            <v>424</v>
          </cell>
          <cell r="S603">
            <v>54</v>
          </cell>
          <cell r="T603">
            <v>1541</v>
          </cell>
          <cell r="U603">
            <v>149.94999999999999</v>
          </cell>
        </row>
        <row r="604">
          <cell r="F604">
            <v>37946765</v>
          </cell>
          <cell r="G604" t="str">
            <v>Spojená škola</v>
          </cell>
          <cell r="H604" t="str">
            <v>Prešov</v>
          </cell>
          <cell r="I604" t="str">
            <v>Ľ. Podjavorinskej 22</v>
          </cell>
          <cell r="J604">
            <v>11</v>
          </cell>
          <cell r="K604">
            <v>4</v>
          </cell>
          <cell r="L604">
            <v>43</v>
          </cell>
          <cell r="M604">
            <v>27</v>
          </cell>
          <cell r="N604">
            <v>13</v>
          </cell>
          <cell r="O604">
            <v>24</v>
          </cell>
          <cell r="P604">
            <v>1</v>
          </cell>
          <cell r="Q604">
            <v>288</v>
          </cell>
          <cell r="R604">
            <v>423</v>
          </cell>
          <cell r="S604">
            <v>26</v>
          </cell>
          <cell r="T604">
            <v>1440.5</v>
          </cell>
          <cell r="U604">
            <v>0</v>
          </cell>
        </row>
        <row r="605">
          <cell r="F605">
            <v>54018391</v>
          </cell>
          <cell r="G605" t="str">
            <v>Spojená škola</v>
          </cell>
          <cell r="H605" t="str">
            <v>Prešov</v>
          </cell>
          <cell r="I605" t="str">
            <v>Masarykova 24</v>
          </cell>
          <cell r="J605">
            <v>11</v>
          </cell>
          <cell r="K605">
            <v>0</v>
          </cell>
          <cell r="L605">
            <v>50</v>
          </cell>
          <cell r="M605">
            <v>0</v>
          </cell>
          <cell r="N605">
            <v>0</v>
          </cell>
          <cell r="O605">
            <v>18</v>
          </cell>
          <cell r="P605">
            <v>1</v>
          </cell>
          <cell r="Q605">
            <v>0</v>
          </cell>
          <cell r="R605">
            <v>347</v>
          </cell>
          <cell r="S605">
            <v>69</v>
          </cell>
          <cell r="T605">
            <v>1675</v>
          </cell>
          <cell r="U605">
            <v>0</v>
          </cell>
        </row>
        <row r="606">
          <cell r="F606">
            <v>37947923</v>
          </cell>
          <cell r="G606" t="str">
            <v>Spojená škola Tarasa Ševčenka s vyučovacím jazykom ukrajinským</v>
          </cell>
          <cell r="H606" t="str">
            <v>Prešov</v>
          </cell>
          <cell r="I606" t="str">
            <v>Sládkovičova 4</v>
          </cell>
          <cell r="J606">
            <v>8</v>
          </cell>
          <cell r="K606">
            <v>0</v>
          </cell>
          <cell r="L606">
            <v>32</v>
          </cell>
          <cell r="M606">
            <v>0</v>
          </cell>
          <cell r="N606">
            <v>4</v>
          </cell>
          <cell r="O606">
            <v>11</v>
          </cell>
          <cell r="P606">
            <v>1</v>
          </cell>
          <cell r="Q606">
            <v>102</v>
          </cell>
          <cell r="R606">
            <v>270</v>
          </cell>
          <cell r="S606">
            <v>134</v>
          </cell>
          <cell r="T606">
            <v>1072</v>
          </cell>
          <cell r="U606">
            <v>0</v>
          </cell>
        </row>
        <row r="607">
          <cell r="F607">
            <v>17078440</v>
          </cell>
          <cell r="G607" t="str">
            <v>Stredná odborná škola dopravná</v>
          </cell>
          <cell r="H607" t="str">
            <v>Prešov</v>
          </cell>
          <cell r="I607" t="str">
            <v>Volgogradská 3</v>
          </cell>
          <cell r="J607">
            <v>3</v>
          </cell>
          <cell r="K607">
            <v>0</v>
          </cell>
          <cell r="L607">
            <v>14</v>
          </cell>
          <cell r="M607">
            <v>0</v>
          </cell>
          <cell r="N607">
            <v>0</v>
          </cell>
          <cell r="O607">
            <v>9</v>
          </cell>
          <cell r="P607">
            <v>1</v>
          </cell>
          <cell r="Q607">
            <v>0</v>
          </cell>
          <cell r="R607">
            <v>123</v>
          </cell>
          <cell r="S607">
            <v>60</v>
          </cell>
          <cell r="T607">
            <v>469</v>
          </cell>
          <cell r="U607">
            <v>0</v>
          </cell>
        </row>
        <row r="608">
          <cell r="F608">
            <v>17078482</v>
          </cell>
          <cell r="G608" t="str">
            <v>Stredná odborná škola gastronómie a služieb</v>
          </cell>
          <cell r="H608" t="str">
            <v>Prešov</v>
          </cell>
          <cell r="I608" t="str">
            <v>Sídlisko duklianskych hrdinov 3</v>
          </cell>
          <cell r="J608">
            <v>8</v>
          </cell>
          <cell r="K608">
            <v>0</v>
          </cell>
          <cell r="L608">
            <v>30</v>
          </cell>
          <cell r="M608">
            <v>0</v>
          </cell>
          <cell r="N608">
            <v>0</v>
          </cell>
          <cell r="O608">
            <v>12</v>
          </cell>
          <cell r="P608">
            <v>1</v>
          </cell>
          <cell r="Q608">
            <v>0</v>
          </cell>
          <cell r="R608">
            <v>303</v>
          </cell>
          <cell r="S608">
            <v>101</v>
          </cell>
          <cell r="T608">
            <v>1005</v>
          </cell>
          <cell r="U608">
            <v>0</v>
          </cell>
        </row>
        <row r="609">
          <cell r="F609">
            <v>51896109</v>
          </cell>
          <cell r="G609" t="str">
            <v>Stredná odborná škola lesnícka</v>
          </cell>
          <cell r="H609" t="str">
            <v>Prešov</v>
          </cell>
          <cell r="I609" t="str">
            <v>Kollárova 10</v>
          </cell>
          <cell r="J609">
            <v>8</v>
          </cell>
          <cell r="K609">
            <v>0</v>
          </cell>
          <cell r="L609">
            <v>34</v>
          </cell>
          <cell r="M609">
            <v>0</v>
          </cell>
          <cell r="N609">
            <v>0</v>
          </cell>
          <cell r="O609">
            <v>11</v>
          </cell>
          <cell r="P609">
            <v>1</v>
          </cell>
          <cell r="Q609">
            <v>0</v>
          </cell>
          <cell r="R609">
            <v>317</v>
          </cell>
          <cell r="S609">
            <v>80</v>
          </cell>
          <cell r="T609">
            <v>1139</v>
          </cell>
          <cell r="U609">
            <v>353.74</v>
          </cell>
        </row>
        <row r="610">
          <cell r="F610">
            <v>162825</v>
          </cell>
          <cell r="G610" t="str">
            <v>Stredná odborná škola pedagogická</v>
          </cell>
          <cell r="H610" t="str">
            <v>Prešov</v>
          </cell>
          <cell r="I610" t="str">
            <v>Kmeťovo stromoradie 5</v>
          </cell>
          <cell r="J610">
            <v>19</v>
          </cell>
          <cell r="K610">
            <v>0</v>
          </cell>
          <cell r="L610">
            <v>73</v>
          </cell>
          <cell r="M610">
            <v>0</v>
          </cell>
          <cell r="N610">
            <v>1</v>
          </cell>
          <cell r="O610">
            <v>24</v>
          </cell>
          <cell r="P610">
            <v>2</v>
          </cell>
          <cell r="Q610">
            <v>9</v>
          </cell>
          <cell r="R610">
            <v>661</v>
          </cell>
          <cell r="S610">
            <v>284</v>
          </cell>
          <cell r="T610">
            <v>2445.5</v>
          </cell>
          <cell r="U610">
            <v>0</v>
          </cell>
        </row>
        <row r="611">
          <cell r="F611">
            <v>37880080</v>
          </cell>
          <cell r="G611" t="str">
            <v>Stredná odborná škola služieb</v>
          </cell>
          <cell r="H611" t="str">
            <v>Prešov</v>
          </cell>
          <cell r="I611" t="str">
            <v>Košická 20</v>
          </cell>
          <cell r="J611">
            <v>4</v>
          </cell>
          <cell r="K611">
            <v>0</v>
          </cell>
          <cell r="L611">
            <v>30</v>
          </cell>
          <cell r="M611">
            <v>0</v>
          </cell>
          <cell r="N611">
            <v>0</v>
          </cell>
          <cell r="O611">
            <v>9</v>
          </cell>
          <cell r="P611">
            <v>2</v>
          </cell>
          <cell r="Q611">
            <v>0</v>
          </cell>
          <cell r="R611">
            <v>242</v>
          </cell>
          <cell r="S611">
            <v>56</v>
          </cell>
          <cell r="T611">
            <v>1005</v>
          </cell>
          <cell r="U611">
            <v>29.7</v>
          </cell>
        </row>
        <row r="612">
          <cell r="F612">
            <v>893251</v>
          </cell>
          <cell r="G612" t="str">
            <v>Stredná odborná škola technická</v>
          </cell>
          <cell r="H612" t="str">
            <v>Prešov</v>
          </cell>
          <cell r="I612" t="str">
            <v>Volgogradská 1</v>
          </cell>
          <cell r="J612">
            <v>13</v>
          </cell>
          <cell r="K612">
            <v>0</v>
          </cell>
          <cell r="L612">
            <v>67</v>
          </cell>
          <cell r="M612">
            <v>0</v>
          </cell>
          <cell r="N612">
            <v>0</v>
          </cell>
          <cell r="O612">
            <v>27</v>
          </cell>
          <cell r="P612">
            <v>2</v>
          </cell>
          <cell r="Q612">
            <v>0</v>
          </cell>
          <cell r="R612">
            <v>427</v>
          </cell>
          <cell r="S612">
            <v>68</v>
          </cell>
          <cell r="T612">
            <v>2244.5</v>
          </cell>
          <cell r="U612">
            <v>0</v>
          </cell>
        </row>
        <row r="613">
          <cell r="F613">
            <v>161829</v>
          </cell>
          <cell r="G613" t="str">
            <v>Stredná priemyselná škola elektrotechnická</v>
          </cell>
          <cell r="H613" t="str">
            <v>Prešov</v>
          </cell>
          <cell r="I613" t="str">
            <v>Plzenská 1</v>
          </cell>
          <cell r="J613">
            <v>13</v>
          </cell>
          <cell r="K613">
            <v>0</v>
          </cell>
          <cell r="L613">
            <v>51</v>
          </cell>
          <cell r="M613">
            <v>0</v>
          </cell>
          <cell r="N613">
            <v>0</v>
          </cell>
          <cell r="O613">
            <v>21</v>
          </cell>
          <cell r="P613">
            <v>0</v>
          </cell>
          <cell r="Q613">
            <v>0</v>
          </cell>
          <cell r="R613">
            <v>498</v>
          </cell>
          <cell r="S613">
            <v>0</v>
          </cell>
          <cell r="T613">
            <v>1708.5</v>
          </cell>
          <cell r="U613">
            <v>0</v>
          </cell>
        </row>
        <row r="614">
          <cell r="F614">
            <v>161837</v>
          </cell>
          <cell r="G614" t="str">
            <v>Stredná priemyselná škola stavebná</v>
          </cell>
          <cell r="H614" t="str">
            <v>Prešov</v>
          </cell>
          <cell r="I614" t="str">
            <v>Plzenská 10</v>
          </cell>
          <cell r="J614">
            <v>6</v>
          </cell>
          <cell r="K614">
            <v>0</v>
          </cell>
          <cell r="L614">
            <v>28</v>
          </cell>
          <cell r="M614">
            <v>0</v>
          </cell>
          <cell r="N614">
            <v>0</v>
          </cell>
          <cell r="O614">
            <v>15</v>
          </cell>
          <cell r="P614">
            <v>0</v>
          </cell>
          <cell r="Q614">
            <v>0</v>
          </cell>
          <cell r="R614">
            <v>263</v>
          </cell>
          <cell r="S614">
            <v>0</v>
          </cell>
          <cell r="T614">
            <v>938</v>
          </cell>
          <cell r="U614">
            <v>200.55</v>
          </cell>
        </row>
        <row r="615">
          <cell r="F615">
            <v>161845</v>
          </cell>
          <cell r="G615" t="str">
            <v>Stredná priemyselná škola strojnícka</v>
          </cell>
          <cell r="H615" t="str">
            <v>Prešov</v>
          </cell>
          <cell r="I615" t="str">
            <v>Duklianska 1</v>
          </cell>
          <cell r="J615">
            <v>4</v>
          </cell>
          <cell r="K615">
            <v>0</v>
          </cell>
          <cell r="L615">
            <v>28</v>
          </cell>
          <cell r="M615">
            <v>0</v>
          </cell>
          <cell r="N615">
            <v>0</v>
          </cell>
          <cell r="O615">
            <v>15</v>
          </cell>
          <cell r="P615">
            <v>0</v>
          </cell>
          <cell r="Q615">
            <v>0</v>
          </cell>
          <cell r="R615">
            <v>326</v>
          </cell>
          <cell r="S615">
            <v>0</v>
          </cell>
          <cell r="T615">
            <v>938</v>
          </cell>
          <cell r="U615">
            <v>0</v>
          </cell>
        </row>
        <row r="616">
          <cell r="F616">
            <v>606804</v>
          </cell>
          <cell r="G616" t="str">
            <v>Stredná zdravotnícka škola</v>
          </cell>
          <cell r="H616" t="str">
            <v>Prešov</v>
          </cell>
          <cell r="I616" t="str">
            <v>Sládkovičova 36</v>
          </cell>
          <cell r="J616">
            <v>15</v>
          </cell>
          <cell r="K616">
            <v>0</v>
          </cell>
          <cell r="L616">
            <v>100</v>
          </cell>
          <cell r="M616">
            <v>0</v>
          </cell>
          <cell r="N616">
            <v>0</v>
          </cell>
          <cell r="O616">
            <v>34</v>
          </cell>
          <cell r="P616">
            <v>5</v>
          </cell>
          <cell r="Q616">
            <v>0</v>
          </cell>
          <cell r="R616">
            <v>813</v>
          </cell>
          <cell r="S616">
            <v>215</v>
          </cell>
          <cell r="T616">
            <v>3350</v>
          </cell>
          <cell r="U616">
            <v>3396.7</v>
          </cell>
        </row>
        <row r="617">
          <cell r="F617">
            <v>17078466</v>
          </cell>
          <cell r="G617" t="str">
            <v>Škola umeleckého priemyslu</v>
          </cell>
          <cell r="H617" t="str">
            <v>Prešov</v>
          </cell>
          <cell r="I617" t="str">
            <v>Vodárenská 3</v>
          </cell>
          <cell r="J617">
            <v>11</v>
          </cell>
          <cell r="K617">
            <v>0</v>
          </cell>
          <cell r="L617">
            <v>25</v>
          </cell>
          <cell r="M617">
            <v>0</v>
          </cell>
          <cell r="N617">
            <v>0</v>
          </cell>
          <cell r="O617">
            <v>26</v>
          </cell>
          <cell r="P617">
            <v>0</v>
          </cell>
          <cell r="Q617">
            <v>0</v>
          </cell>
          <cell r="R617">
            <v>274</v>
          </cell>
          <cell r="S617">
            <v>0</v>
          </cell>
          <cell r="T617">
            <v>837.5</v>
          </cell>
          <cell r="U617">
            <v>421.64</v>
          </cell>
        </row>
        <row r="618">
          <cell r="F618">
            <v>161047</v>
          </cell>
          <cell r="G618" t="str">
            <v>Gymnázium</v>
          </cell>
          <cell r="H618" t="str">
            <v>Lipany</v>
          </cell>
          <cell r="I618" t="str">
            <v>Komenského 13</v>
          </cell>
          <cell r="J618">
            <v>10</v>
          </cell>
          <cell r="K618">
            <v>0</v>
          </cell>
          <cell r="L618">
            <v>34</v>
          </cell>
          <cell r="M618">
            <v>0</v>
          </cell>
          <cell r="N618">
            <v>2</v>
          </cell>
          <cell r="O618">
            <v>13</v>
          </cell>
          <cell r="P618">
            <v>2</v>
          </cell>
          <cell r="Q618">
            <v>17</v>
          </cell>
          <cell r="R618">
            <v>189</v>
          </cell>
          <cell r="S618">
            <v>115</v>
          </cell>
          <cell r="T618">
            <v>1139</v>
          </cell>
          <cell r="U618">
            <v>543</v>
          </cell>
        </row>
        <row r="619">
          <cell r="F619">
            <v>159476</v>
          </cell>
          <cell r="G619" t="str">
            <v>Stredná odborná škola podnikania a služieb</v>
          </cell>
          <cell r="H619" t="str">
            <v>Lipany</v>
          </cell>
          <cell r="I619" t="str">
            <v>Komenského 16</v>
          </cell>
          <cell r="J619">
            <v>16</v>
          </cell>
          <cell r="K619">
            <v>0</v>
          </cell>
          <cell r="L619">
            <v>65</v>
          </cell>
          <cell r="M619">
            <v>0</v>
          </cell>
          <cell r="N619">
            <v>1</v>
          </cell>
          <cell r="O619">
            <v>41</v>
          </cell>
          <cell r="P619">
            <v>3</v>
          </cell>
          <cell r="Q619">
            <v>8</v>
          </cell>
          <cell r="R619">
            <v>465</v>
          </cell>
          <cell r="S619">
            <v>160</v>
          </cell>
          <cell r="T619">
            <v>2177.5</v>
          </cell>
          <cell r="U619">
            <v>598.6</v>
          </cell>
        </row>
        <row r="620">
          <cell r="F620">
            <v>42383153</v>
          </cell>
          <cell r="G620" t="str">
            <v>Spojená škola</v>
          </cell>
          <cell r="H620" t="str">
            <v>Sabinov</v>
          </cell>
          <cell r="I620" t="str">
            <v>SNP 16</v>
          </cell>
          <cell r="J620">
            <v>13</v>
          </cell>
          <cell r="K620" t="str">
            <v>,</v>
          </cell>
          <cell r="L620">
            <v>47</v>
          </cell>
          <cell r="M620">
            <v>0</v>
          </cell>
          <cell r="N620">
            <v>0</v>
          </cell>
          <cell r="O620">
            <v>24</v>
          </cell>
          <cell r="P620">
            <v>1</v>
          </cell>
          <cell r="Q620">
            <v>0</v>
          </cell>
          <cell r="R620">
            <v>253</v>
          </cell>
          <cell r="S620">
            <v>38</v>
          </cell>
          <cell r="T620">
            <v>1574.5</v>
          </cell>
          <cell r="U620">
            <v>57.1</v>
          </cell>
        </row>
        <row r="621">
          <cell r="F621">
            <v>161179</v>
          </cell>
          <cell r="G621" t="str">
            <v>Gymnázium</v>
          </cell>
          <cell r="H621" t="str">
            <v>Snina</v>
          </cell>
          <cell r="I621" t="str">
            <v>Študentská 4</v>
          </cell>
          <cell r="J621">
            <v>8</v>
          </cell>
          <cell r="K621">
            <v>0</v>
          </cell>
          <cell r="L621">
            <v>23</v>
          </cell>
          <cell r="M621">
            <v>0</v>
          </cell>
          <cell r="N621">
            <v>1</v>
          </cell>
          <cell r="O621">
            <v>11</v>
          </cell>
          <cell r="P621">
            <v>2</v>
          </cell>
          <cell r="Q621">
            <v>36</v>
          </cell>
          <cell r="R621">
            <v>223</v>
          </cell>
          <cell r="S621">
            <v>109</v>
          </cell>
          <cell r="T621">
            <v>770.5</v>
          </cell>
          <cell r="U621">
            <v>0</v>
          </cell>
        </row>
        <row r="622">
          <cell r="F622">
            <v>37878247</v>
          </cell>
          <cell r="G622" t="str">
            <v>Stredná odborná škola</v>
          </cell>
          <cell r="H622" t="str">
            <v>Snina</v>
          </cell>
          <cell r="I622" t="str">
            <v>Sládkovičova 2723/120</v>
          </cell>
          <cell r="J622">
            <v>4</v>
          </cell>
          <cell r="K622">
            <v>2</v>
          </cell>
          <cell r="L622">
            <v>15</v>
          </cell>
          <cell r="M622">
            <v>6</v>
          </cell>
          <cell r="N622">
            <v>2</v>
          </cell>
          <cell r="O622">
            <v>9</v>
          </cell>
          <cell r="P622">
            <v>0</v>
          </cell>
          <cell r="Q622">
            <v>27</v>
          </cell>
          <cell r="R622">
            <v>181</v>
          </cell>
          <cell r="S622">
            <v>0</v>
          </cell>
          <cell r="T622">
            <v>502.5</v>
          </cell>
          <cell r="U622">
            <v>28.8</v>
          </cell>
        </row>
        <row r="623">
          <cell r="F623">
            <v>161721</v>
          </cell>
          <cell r="G623" t="str">
            <v>Stredná priemyselná škola</v>
          </cell>
          <cell r="H623" t="str">
            <v>Snina</v>
          </cell>
          <cell r="I623" t="str">
            <v>Partizánska 1059</v>
          </cell>
          <cell r="J623">
            <v>10</v>
          </cell>
          <cell r="K623">
            <v>0</v>
          </cell>
          <cell r="L623">
            <v>22</v>
          </cell>
          <cell r="M623">
            <v>0</v>
          </cell>
          <cell r="N623">
            <v>0</v>
          </cell>
          <cell r="O623">
            <v>12</v>
          </cell>
          <cell r="P623">
            <v>0</v>
          </cell>
          <cell r="Q623">
            <v>0</v>
          </cell>
          <cell r="R623">
            <v>204</v>
          </cell>
          <cell r="S623">
            <v>0</v>
          </cell>
          <cell r="T623">
            <v>737</v>
          </cell>
          <cell r="U623">
            <v>0</v>
          </cell>
        </row>
        <row r="624">
          <cell r="F624">
            <v>161217</v>
          </cell>
          <cell r="G624" t="str">
            <v>Gymnázium Terézie Vansovej</v>
          </cell>
          <cell r="H624" t="str">
            <v>Stará Ľubovňa</v>
          </cell>
          <cell r="I624" t="str">
            <v>17. novembra 6</v>
          </cell>
          <cell r="J624">
            <v>8</v>
          </cell>
          <cell r="K624">
            <v>0</v>
          </cell>
          <cell r="L624">
            <v>25</v>
          </cell>
          <cell r="M624">
            <v>0</v>
          </cell>
          <cell r="N624">
            <v>0</v>
          </cell>
          <cell r="O624">
            <v>12</v>
          </cell>
          <cell r="P624">
            <v>2</v>
          </cell>
          <cell r="Q624">
            <v>0</v>
          </cell>
          <cell r="R624">
            <v>176</v>
          </cell>
          <cell r="S624">
            <v>81</v>
          </cell>
          <cell r="T624">
            <v>837.5</v>
          </cell>
          <cell r="U624">
            <v>122.45</v>
          </cell>
        </row>
        <row r="625">
          <cell r="F625">
            <v>53265301</v>
          </cell>
          <cell r="G625" t="str">
            <v>Spojená škola</v>
          </cell>
          <cell r="H625" t="str">
            <v>Stará Ľubovňa</v>
          </cell>
          <cell r="I625" t="str">
            <v>Jarmočná 108</v>
          </cell>
          <cell r="J625">
            <v>13</v>
          </cell>
          <cell r="K625">
            <v>0</v>
          </cell>
          <cell r="L625">
            <v>46</v>
          </cell>
          <cell r="M625">
            <v>0</v>
          </cell>
          <cell r="N625">
            <v>1</v>
          </cell>
          <cell r="O625">
            <v>24</v>
          </cell>
          <cell r="P625">
            <v>2</v>
          </cell>
          <cell r="Q625">
            <v>35</v>
          </cell>
          <cell r="R625">
            <v>256</v>
          </cell>
          <cell r="S625">
            <v>114</v>
          </cell>
          <cell r="T625">
            <v>1541</v>
          </cell>
          <cell r="U625">
            <v>0</v>
          </cell>
        </row>
        <row r="626">
          <cell r="F626">
            <v>17050405</v>
          </cell>
          <cell r="G626" t="str">
            <v>Stredná odborná škola technická</v>
          </cell>
          <cell r="H626" t="str">
            <v>Stará Ľubovňa</v>
          </cell>
          <cell r="I626" t="str">
            <v>Levočská 40</v>
          </cell>
          <cell r="J626">
            <v>6</v>
          </cell>
          <cell r="K626">
            <v>0</v>
          </cell>
          <cell r="L626">
            <v>16</v>
          </cell>
          <cell r="M626">
            <v>0</v>
          </cell>
          <cell r="N626">
            <v>2</v>
          </cell>
          <cell r="O626">
            <v>9</v>
          </cell>
          <cell r="P626">
            <v>0</v>
          </cell>
          <cell r="Q626">
            <v>9</v>
          </cell>
          <cell r="R626">
            <v>115</v>
          </cell>
          <cell r="S626">
            <v>0</v>
          </cell>
          <cell r="T626">
            <v>536</v>
          </cell>
          <cell r="U626">
            <v>0</v>
          </cell>
        </row>
        <row r="627">
          <cell r="F627">
            <v>161225</v>
          </cell>
          <cell r="G627" t="str">
            <v>Gymnázium</v>
          </cell>
          <cell r="H627" t="str">
            <v>Stropkov</v>
          </cell>
          <cell r="I627" t="str">
            <v>Konštantínova 1751/64</v>
          </cell>
          <cell r="J627">
            <v>6</v>
          </cell>
          <cell r="K627">
            <v>0</v>
          </cell>
          <cell r="L627">
            <v>15</v>
          </cell>
          <cell r="M627">
            <v>0</v>
          </cell>
          <cell r="N627">
            <v>1</v>
          </cell>
          <cell r="O627">
            <v>7</v>
          </cell>
          <cell r="P627">
            <v>1</v>
          </cell>
          <cell r="Q627">
            <v>3</v>
          </cell>
          <cell r="R627">
            <v>37</v>
          </cell>
          <cell r="S627">
            <v>45</v>
          </cell>
          <cell r="T627">
            <v>502.5</v>
          </cell>
          <cell r="U627">
            <v>139.5</v>
          </cell>
        </row>
        <row r="628">
          <cell r="F628">
            <v>37947915</v>
          </cell>
          <cell r="G628" t="str">
            <v>Stredná odborná škola elektrotechnická</v>
          </cell>
          <cell r="H628" t="str">
            <v>Stropkov</v>
          </cell>
          <cell r="I628" t="str">
            <v>Hviezdoslavova 44</v>
          </cell>
          <cell r="J628">
            <v>5</v>
          </cell>
          <cell r="K628">
            <v>2</v>
          </cell>
          <cell r="L628">
            <v>12</v>
          </cell>
          <cell r="M628">
            <v>5</v>
          </cell>
          <cell r="N628">
            <v>1</v>
          </cell>
          <cell r="O628">
            <v>11</v>
          </cell>
          <cell r="P628">
            <v>0</v>
          </cell>
          <cell r="Q628">
            <v>29</v>
          </cell>
          <cell r="R628">
            <v>130</v>
          </cell>
          <cell r="S628">
            <v>0</v>
          </cell>
          <cell r="T628">
            <v>402</v>
          </cell>
          <cell r="U628">
            <v>51.2</v>
          </cell>
        </row>
        <row r="629">
          <cell r="F629">
            <v>161233</v>
          </cell>
          <cell r="G629" t="str">
            <v>Gymnázium duklianskych hrdinov</v>
          </cell>
          <cell r="H629" t="str">
            <v>Svidník</v>
          </cell>
          <cell r="I629" t="str">
            <v>Komenského 16</v>
          </cell>
          <cell r="J629">
            <v>8</v>
          </cell>
          <cell r="K629">
            <v>0</v>
          </cell>
          <cell r="L629">
            <v>22</v>
          </cell>
          <cell r="M629">
            <v>0</v>
          </cell>
          <cell r="N629">
            <v>1</v>
          </cell>
          <cell r="O629">
            <v>10</v>
          </cell>
          <cell r="P629">
            <v>2</v>
          </cell>
          <cell r="Q629">
            <v>0</v>
          </cell>
          <cell r="R629">
            <v>152</v>
          </cell>
          <cell r="S629">
            <v>41</v>
          </cell>
          <cell r="T629">
            <v>737</v>
          </cell>
          <cell r="U629">
            <v>0</v>
          </cell>
        </row>
        <row r="630">
          <cell r="F630">
            <v>37947931</v>
          </cell>
          <cell r="G630" t="str">
            <v>Spojená škola</v>
          </cell>
          <cell r="H630" t="str">
            <v>Svidník</v>
          </cell>
          <cell r="I630" t="str">
            <v>Centrálna 464</v>
          </cell>
          <cell r="J630">
            <v>6</v>
          </cell>
          <cell r="K630">
            <v>0</v>
          </cell>
          <cell r="L630">
            <v>17</v>
          </cell>
          <cell r="M630">
            <v>0</v>
          </cell>
          <cell r="N630">
            <v>1</v>
          </cell>
          <cell r="O630">
            <v>7</v>
          </cell>
          <cell r="P630">
            <v>1</v>
          </cell>
          <cell r="Q630">
            <v>20</v>
          </cell>
          <cell r="R630">
            <v>88</v>
          </cell>
          <cell r="S630">
            <v>24</v>
          </cell>
          <cell r="T630">
            <v>569.5</v>
          </cell>
          <cell r="U630">
            <v>0</v>
          </cell>
        </row>
        <row r="631">
          <cell r="F631">
            <v>893692</v>
          </cell>
          <cell r="G631" t="str">
            <v>Stredná odborná škola polytechnická a služieb arm. gen. L. Svobodu</v>
          </cell>
          <cell r="H631" t="str">
            <v>Svidník</v>
          </cell>
          <cell r="I631" t="str">
            <v>Bardejovská 715/18</v>
          </cell>
          <cell r="J631">
            <v>12</v>
          </cell>
          <cell r="K631">
            <v>0</v>
          </cell>
          <cell r="L631">
            <v>50</v>
          </cell>
          <cell r="M631">
            <v>0</v>
          </cell>
          <cell r="N631">
            <v>0</v>
          </cell>
          <cell r="O631">
            <v>36</v>
          </cell>
          <cell r="P631">
            <v>1</v>
          </cell>
          <cell r="Q631">
            <v>0</v>
          </cell>
          <cell r="R631">
            <v>319</v>
          </cell>
          <cell r="S631">
            <v>77</v>
          </cell>
          <cell r="T631">
            <v>1675</v>
          </cell>
          <cell r="U631">
            <v>43.8</v>
          </cell>
        </row>
        <row r="632">
          <cell r="F632">
            <v>52915654</v>
          </cell>
          <cell r="G632" t="str">
            <v>Škola umeleckého priemyslu</v>
          </cell>
          <cell r="H632" t="str">
            <v>Svidník</v>
          </cell>
          <cell r="I632" t="str">
            <v>Sovietskych hrdinov 369/24</v>
          </cell>
          <cell r="J632">
            <v>6</v>
          </cell>
          <cell r="K632">
            <v>0</v>
          </cell>
          <cell r="L632">
            <v>17</v>
          </cell>
          <cell r="M632">
            <v>0</v>
          </cell>
          <cell r="N632">
            <v>1</v>
          </cell>
          <cell r="O632">
            <v>5</v>
          </cell>
          <cell r="P632">
            <v>1</v>
          </cell>
          <cell r="Q632">
            <v>3</v>
          </cell>
          <cell r="R632">
            <v>140</v>
          </cell>
          <cell r="S632">
            <v>40</v>
          </cell>
          <cell r="T632">
            <v>569.5</v>
          </cell>
          <cell r="U632">
            <v>0</v>
          </cell>
        </row>
        <row r="633">
          <cell r="F633">
            <v>42076439</v>
          </cell>
          <cell r="G633" t="str">
            <v>Spojená škola</v>
          </cell>
          <cell r="H633" t="str">
            <v>Čaklov</v>
          </cell>
          <cell r="I633" t="str">
            <v>Čaklov 249</v>
          </cell>
          <cell r="J633">
            <v>2</v>
          </cell>
          <cell r="K633">
            <v>0</v>
          </cell>
          <cell r="L633">
            <v>3</v>
          </cell>
          <cell r="M633">
            <v>0</v>
          </cell>
          <cell r="N633">
            <v>0</v>
          </cell>
          <cell r="O633">
            <v>3</v>
          </cell>
          <cell r="P633">
            <v>0</v>
          </cell>
          <cell r="Q633">
            <v>0</v>
          </cell>
          <cell r="R633">
            <v>21</v>
          </cell>
          <cell r="S633">
            <v>0</v>
          </cell>
          <cell r="T633">
            <v>100.5</v>
          </cell>
          <cell r="U633">
            <v>20.9</v>
          </cell>
        </row>
        <row r="634">
          <cell r="F634">
            <v>161268</v>
          </cell>
          <cell r="G634" t="str">
            <v>Gymnázium Cyrila Daxnera</v>
          </cell>
          <cell r="H634" t="str">
            <v>Vranov nad Topľou</v>
          </cell>
          <cell r="I634" t="str">
            <v>Dr. C. Daxnera 88/3</v>
          </cell>
          <cell r="J634">
            <v>7</v>
          </cell>
          <cell r="K634">
            <v>0</v>
          </cell>
          <cell r="L634">
            <v>35</v>
          </cell>
          <cell r="M634">
            <v>0</v>
          </cell>
          <cell r="N634">
            <v>1</v>
          </cell>
          <cell r="O634">
            <v>6</v>
          </cell>
          <cell r="P634">
            <v>3</v>
          </cell>
          <cell r="Q634">
            <v>0</v>
          </cell>
          <cell r="R634">
            <v>245</v>
          </cell>
          <cell r="S634">
            <v>140</v>
          </cell>
          <cell r="T634">
            <v>1172.5</v>
          </cell>
          <cell r="U634">
            <v>0</v>
          </cell>
        </row>
        <row r="635">
          <cell r="F635">
            <v>162230</v>
          </cell>
          <cell r="G635" t="str">
            <v>Obchodná akadémia</v>
          </cell>
          <cell r="H635" t="str">
            <v>Vranov nad Topľou</v>
          </cell>
          <cell r="I635" t="str">
            <v>Daxnerova 88</v>
          </cell>
          <cell r="J635">
            <v>6</v>
          </cell>
          <cell r="K635">
            <v>0</v>
          </cell>
          <cell r="L635">
            <v>29</v>
          </cell>
          <cell r="M635">
            <v>0</v>
          </cell>
          <cell r="N635">
            <v>0</v>
          </cell>
          <cell r="O635">
            <v>9</v>
          </cell>
          <cell r="P635">
            <v>1</v>
          </cell>
          <cell r="Q635">
            <v>0</v>
          </cell>
          <cell r="R635">
            <v>290</v>
          </cell>
          <cell r="S635">
            <v>80</v>
          </cell>
          <cell r="T635">
            <v>971.5</v>
          </cell>
          <cell r="U635">
            <v>0</v>
          </cell>
        </row>
        <row r="636">
          <cell r="F636">
            <v>37946773</v>
          </cell>
          <cell r="G636" t="str">
            <v>Stredná odborná škola</v>
          </cell>
          <cell r="H636" t="str">
            <v>Vranov nad Topľou</v>
          </cell>
          <cell r="I636" t="str">
            <v>A. Dubčeka 963/2</v>
          </cell>
          <cell r="J636">
            <v>7</v>
          </cell>
          <cell r="K636">
            <v>0</v>
          </cell>
          <cell r="L636">
            <v>26</v>
          </cell>
          <cell r="M636">
            <v>0</v>
          </cell>
          <cell r="N636">
            <v>0</v>
          </cell>
          <cell r="O636">
            <v>19</v>
          </cell>
          <cell r="P636">
            <v>0</v>
          </cell>
          <cell r="Q636">
            <v>0</v>
          </cell>
          <cell r="R636">
            <v>166</v>
          </cell>
          <cell r="S636">
            <v>0</v>
          </cell>
          <cell r="T636">
            <v>871</v>
          </cell>
          <cell r="U636">
            <v>114.9</v>
          </cell>
        </row>
        <row r="637">
          <cell r="F637">
            <v>37942492</v>
          </cell>
          <cell r="G637" t="str">
            <v>Stredná odborná škola drevárska</v>
          </cell>
          <cell r="H637" t="str">
            <v>Vranov nad Topľou</v>
          </cell>
          <cell r="I637" t="str">
            <v>Lúčna 1055</v>
          </cell>
          <cell r="J637">
            <v>10</v>
          </cell>
          <cell r="K637">
            <v>5</v>
          </cell>
          <cell r="L637">
            <v>27</v>
          </cell>
          <cell r="M637">
            <v>18</v>
          </cell>
          <cell r="N637">
            <v>10</v>
          </cell>
          <cell r="O637">
            <v>18</v>
          </cell>
          <cell r="P637">
            <v>1</v>
          </cell>
          <cell r="Q637">
            <v>122</v>
          </cell>
          <cell r="R637">
            <v>227</v>
          </cell>
          <cell r="S637">
            <v>30</v>
          </cell>
          <cell r="T637">
            <v>904.5</v>
          </cell>
          <cell r="U637">
            <v>96.05</v>
          </cell>
        </row>
        <row r="638">
          <cell r="F638">
            <v>42232228</v>
          </cell>
          <cell r="G638" t="str">
            <v>Spojená škola</v>
          </cell>
          <cell r="H638" t="str">
            <v>Spišská Stará Ves</v>
          </cell>
          <cell r="I638" t="str">
            <v>Štúrova 231/123</v>
          </cell>
          <cell r="J638">
            <v>9</v>
          </cell>
          <cell r="K638">
            <v>0</v>
          </cell>
          <cell r="L638">
            <v>20</v>
          </cell>
          <cell r="M638">
            <v>0</v>
          </cell>
          <cell r="N638">
            <v>1</v>
          </cell>
          <cell r="O638">
            <v>8</v>
          </cell>
          <cell r="P638">
            <v>1</v>
          </cell>
          <cell r="Q638">
            <v>19</v>
          </cell>
          <cell r="R638">
            <v>171</v>
          </cell>
          <cell r="S638">
            <v>62</v>
          </cell>
          <cell r="T638">
            <v>670</v>
          </cell>
          <cell r="U638">
            <v>0</v>
          </cell>
        </row>
        <row r="639">
          <cell r="F639">
            <v>52800318</v>
          </cell>
          <cell r="G639" t="str">
            <v>Spojená škola</v>
          </cell>
          <cell r="H639" t="str">
            <v>Giraltovce</v>
          </cell>
          <cell r="I639" t="str">
            <v>Dukelská 26/30</v>
          </cell>
          <cell r="J639">
            <v>8</v>
          </cell>
          <cell r="K639">
            <v>0</v>
          </cell>
          <cell r="L639">
            <v>14</v>
          </cell>
          <cell r="M639">
            <v>14</v>
          </cell>
          <cell r="N639">
            <v>1</v>
          </cell>
          <cell r="O639">
            <v>7</v>
          </cell>
          <cell r="P639">
            <v>0</v>
          </cell>
          <cell r="Q639">
            <v>7</v>
          </cell>
          <cell r="R639">
            <v>132</v>
          </cell>
          <cell r="S639">
            <v>0</v>
          </cell>
          <cell r="T639">
            <v>469</v>
          </cell>
          <cell r="U639">
            <v>0</v>
          </cell>
        </row>
        <row r="640">
          <cell r="F640">
            <v>42071399</v>
          </cell>
          <cell r="G640" t="str">
            <v>Cirkevná spojená škola</v>
          </cell>
          <cell r="H640" t="str">
            <v>Dolný Kubín</v>
          </cell>
          <cell r="I640" t="str">
            <v>Okružná 2062/25</v>
          </cell>
          <cell r="J640">
            <v>6</v>
          </cell>
          <cell r="K640">
            <v>0</v>
          </cell>
          <cell r="L640">
            <v>21</v>
          </cell>
          <cell r="M640">
            <v>0</v>
          </cell>
          <cell r="N640">
            <v>0</v>
          </cell>
          <cell r="O640">
            <v>7</v>
          </cell>
          <cell r="P640">
            <v>1</v>
          </cell>
          <cell r="Q640">
            <v>0</v>
          </cell>
          <cell r="R640">
            <v>312</v>
          </cell>
          <cell r="S640">
            <v>31</v>
          </cell>
          <cell r="T640">
            <v>703.5</v>
          </cell>
          <cell r="U640">
            <v>111.45</v>
          </cell>
        </row>
        <row r="641">
          <cell r="F641">
            <v>36161667</v>
          </cell>
          <cell r="G641" t="str">
            <v>Gymnázium sv. Jána Zlatoústeho</v>
          </cell>
          <cell r="H641" t="str">
            <v>Humenné</v>
          </cell>
          <cell r="I641" t="str">
            <v>Lesná 28</v>
          </cell>
          <cell r="J641">
            <v>8</v>
          </cell>
          <cell r="K641">
            <v>0</v>
          </cell>
          <cell r="L641">
            <v>20</v>
          </cell>
          <cell r="M641">
            <v>0</v>
          </cell>
          <cell r="N641">
            <v>1</v>
          </cell>
          <cell r="O641">
            <v>11</v>
          </cell>
          <cell r="P641">
            <v>0</v>
          </cell>
          <cell r="Q641">
            <v>2</v>
          </cell>
          <cell r="R641">
            <v>151</v>
          </cell>
          <cell r="S641">
            <v>0</v>
          </cell>
          <cell r="T641">
            <v>670</v>
          </cell>
          <cell r="U641">
            <v>0</v>
          </cell>
        </row>
        <row r="642">
          <cell r="F642">
            <v>31305288</v>
          </cell>
          <cell r="G642" t="str">
            <v>Evanjelické gymnázium Jána Ámosa Komenského</v>
          </cell>
          <cell r="H642" t="str">
            <v>Košice-Staré Mesto</v>
          </cell>
          <cell r="I642" t="str">
            <v>Škultétyho 10</v>
          </cell>
          <cell r="J642">
            <v>25</v>
          </cell>
          <cell r="K642">
            <v>1</v>
          </cell>
          <cell r="L642">
            <v>78</v>
          </cell>
          <cell r="M642">
            <v>1</v>
          </cell>
          <cell r="N642">
            <v>2</v>
          </cell>
          <cell r="O642">
            <v>25</v>
          </cell>
          <cell r="P642">
            <v>1</v>
          </cell>
          <cell r="Q642">
            <v>15</v>
          </cell>
          <cell r="R642">
            <v>839</v>
          </cell>
          <cell r="S642">
            <v>182</v>
          </cell>
          <cell r="T642">
            <v>2613</v>
          </cell>
          <cell r="U642">
            <v>0</v>
          </cell>
        </row>
        <row r="643">
          <cell r="F643">
            <v>17082447</v>
          </cell>
          <cell r="G643" t="str">
            <v>Gymnázium sv. Františka Assiského</v>
          </cell>
          <cell r="H643" t="str">
            <v>Levoča</v>
          </cell>
          <cell r="I643" t="str">
            <v>Kláštorská 24</v>
          </cell>
          <cell r="J643">
            <v>4</v>
          </cell>
          <cell r="K643">
            <v>0</v>
          </cell>
          <cell r="L643">
            <v>12</v>
          </cell>
          <cell r="M643">
            <v>0</v>
          </cell>
          <cell r="N643">
            <v>0</v>
          </cell>
          <cell r="O643">
            <v>5</v>
          </cell>
          <cell r="P643">
            <v>0</v>
          </cell>
          <cell r="Q643">
            <v>0</v>
          </cell>
          <cell r="R643">
            <v>129</v>
          </cell>
          <cell r="S643">
            <v>0</v>
          </cell>
          <cell r="T643">
            <v>402</v>
          </cell>
          <cell r="U643">
            <v>0</v>
          </cell>
        </row>
        <row r="644">
          <cell r="F644">
            <v>42090598</v>
          </cell>
          <cell r="G644" t="str">
            <v>Spojená škola Jána Vojtaššáka internátna</v>
          </cell>
          <cell r="H644" t="str">
            <v>Levoča</v>
          </cell>
          <cell r="I644" t="str">
            <v>Kláštorská 24/a</v>
          </cell>
          <cell r="J644">
            <v>1</v>
          </cell>
          <cell r="K644">
            <v>0</v>
          </cell>
          <cell r="L644">
            <v>2</v>
          </cell>
          <cell r="M644">
            <v>0</v>
          </cell>
          <cell r="N644">
            <v>0</v>
          </cell>
          <cell r="O644">
            <v>1</v>
          </cell>
          <cell r="P644">
            <v>0</v>
          </cell>
          <cell r="Q644">
            <v>0</v>
          </cell>
          <cell r="R644">
            <v>34</v>
          </cell>
          <cell r="S644">
            <v>0</v>
          </cell>
          <cell r="T644">
            <v>67</v>
          </cell>
          <cell r="U644">
            <v>86.28</v>
          </cell>
        </row>
        <row r="645">
          <cell r="F645">
            <v>37937731</v>
          </cell>
          <cell r="G645" t="str">
            <v>Stredná zdravotnícka škola Štefana Kluberta</v>
          </cell>
          <cell r="H645" t="str">
            <v>Levoča</v>
          </cell>
          <cell r="I645" t="str">
            <v>Kláštorská 24A</v>
          </cell>
          <cell r="J645">
            <v>15</v>
          </cell>
          <cell r="K645">
            <v>0</v>
          </cell>
          <cell r="L645">
            <v>56</v>
          </cell>
          <cell r="M645">
            <v>0</v>
          </cell>
          <cell r="N645">
            <v>2</v>
          </cell>
          <cell r="O645">
            <v>18</v>
          </cell>
          <cell r="P645">
            <v>2</v>
          </cell>
          <cell r="Q645">
            <v>21</v>
          </cell>
          <cell r="R645">
            <v>436</v>
          </cell>
          <cell r="S645">
            <v>89</v>
          </cell>
          <cell r="T645">
            <v>1876</v>
          </cell>
          <cell r="U645">
            <v>1410.77</v>
          </cell>
        </row>
        <row r="646">
          <cell r="F646">
            <v>37975650</v>
          </cell>
          <cell r="G646" t="str">
            <v>Evanjelická spojená škola</v>
          </cell>
          <cell r="H646" t="str">
            <v>Liptovský Mikuláš</v>
          </cell>
          <cell r="I646" t="str">
            <v>Komenského 10</v>
          </cell>
          <cell r="J646">
            <v>14</v>
          </cell>
          <cell r="K646">
            <v>0</v>
          </cell>
          <cell r="L646">
            <v>30</v>
          </cell>
          <cell r="M646">
            <v>0</v>
          </cell>
          <cell r="N646">
            <v>0</v>
          </cell>
          <cell r="O646">
            <v>16</v>
          </cell>
          <cell r="P646">
            <v>2</v>
          </cell>
          <cell r="Q646">
            <v>0</v>
          </cell>
          <cell r="R646">
            <v>240</v>
          </cell>
          <cell r="S646">
            <v>71</v>
          </cell>
          <cell r="T646">
            <v>1005</v>
          </cell>
          <cell r="U646">
            <v>216.9</v>
          </cell>
        </row>
        <row r="647">
          <cell r="F647">
            <v>42224055</v>
          </cell>
          <cell r="G647" t="str">
            <v>Evanjelická spojená škola</v>
          </cell>
          <cell r="H647" t="str">
            <v>Martin</v>
          </cell>
          <cell r="I647" t="str">
            <v>M. R. Štefánika 19</v>
          </cell>
          <cell r="J647">
            <v>12</v>
          </cell>
          <cell r="K647">
            <v>0</v>
          </cell>
          <cell r="L647">
            <v>30</v>
          </cell>
          <cell r="M647">
            <v>0</v>
          </cell>
          <cell r="N647">
            <v>1</v>
          </cell>
          <cell r="O647">
            <v>15</v>
          </cell>
          <cell r="P647">
            <v>1</v>
          </cell>
          <cell r="Q647">
            <v>1</v>
          </cell>
          <cell r="R647">
            <v>168</v>
          </cell>
          <cell r="S647">
            <v>148</v>
          </cell>
          <cell r="T647">
            <v>1005</v>
          </cell>
          <cell r="U647">
            <v>469.16</v>
          </cell>
        </row>
        <row r="648">
          <cell r="F648">
            <v>37942743</v>
          </cell>
          <cell r="G648" t="str">
            <v>Spojená škola sv. Jána Pavla II.</v>
          </cell>
          <cell r="H648" t="str">
            <v>Poprad</v>
          </cell>
          <cell r="I648" t="str">
            <v>Dlhé hony 3522/2</v>
          </cell>
          <cell r="J648">
            <v>2</v>
          </cell>
          <cell r="K648">
            <v>0</v>
          </cell>
          <cell r="L648">
            <v>5</v>
          </cell>
          <cell r="M648">
            <v>0</v>
          </cell>
          <cell r="N648">
            <v>0</v>
          </cell>
          <cell r="O648">
            <v>2</v>
          </cell>
          <cell r="P648">
            <v>1</v>
          </cell>
          <cell r="Q648">
            <v>0</v>
          </cell>
          <cell r="R648">
            <v>32</v>
          </cell>
          <cell r="S648">
            <v>24</v>
          </cell>
          <cell r="T648">
            <v>167.5</v>
          </cell>
          <cell r="U648">
            <v>0</v>
          </cell>
        </row>
        <row r="649">
          <cell r="F649">
            <v>42227372</v>
          </cell>
          <cell r="G649" t="str">
            <v>Evanjelická spojená škola internátna</v>
          </cell>
          <cell r="H649" t="str">
            <v>Červenica</v>
          </cell>
          <cell r="I649" t="str">
            <v>Červenica 114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</row>
        <row r="650">
          <cell r="F650">
            <v>42227496</v>
          </cell>
          <cell r="G650" t="str">
            <v>Evanjelická spojená škola</v>
          </cell>
          <cell r="H650" t="str">
            <v>Prešov</v>
          </cell>
          <cell r="I650" t="str">
            <v>Námestie legionárov 3</v>
          </cell>
          <cell r="J650">
            <v>9</v>
          </cell>
          <cell r="K650">
            <v>0</v>
          </cell>
          <cell r="L650">
            <v>24</v>
          </cell>
          <cell r="M650">
            <v>0</v>
          </cell>
          <cell r="N650">
            <v>1</v>
          </cell>
          <cell r="O650">
            <v>11</v>
          </cell>
          <cell r="P650">
            <v>1</v>
          </cell>
          <cell r="Q650">
            <v>20</v>
          </cell>
          <cell r="R650">
            <v>166</v>
          </cell>
          <cell r="S650">
            <v>42</v>
          </cell>
          <cell r="T650">
            <v>804</v>
          </cell>
          <cell r="U650">
            <v>2.7</v>
          </cell>
        </row>
        <row r="651">
          <cell r="F651">
            <v>53200284</v>
          </cell>
          <cell r="G651" t="str">
            <v>Spojená škola bl. biskupa Gojdiča</v>
          </cell>
          <cell r="H651" t="str">
            <v>Prešov</v>
          </cell>
          <cell r="I651" t="str">
            <v>Bernolákova 21</v>
          </cell>
          <cell r="J651">
            <v>7</v>
          </cell>
          <cell r="K651">
            <v>0</v>
          </cell>
          <cell r="L651">
            <v>15</v>
          </cell>
          <cell r="M651">
            <v>0</v>
          </cell>
          <cell r="N651">
            <v>1</v>
          </cell>
          <cell r="O651">
            <v>8</v>
          </cell>
          <cell r="P651">
            <v>2</v>
          </cell>
          <cell r="Q651">
            <v>3</v>
          </cell>
          <cell r="R651">
            <v>50</v>
          </cell>
          <cell r="S651">
            <v>18</v>
          </cell>
          <cell r="T651">
            <v>502.5</v>
          </cell>
          <cell r="U651">
            <v>0</v>
          </cell>
        </row>
        <row r="652">
          <cell r="F652">
            <v>698288</v>
          </cell>
          <cell r="G652" t="str">
            <v>Stredná zdravotnícka škola sv. Bazila Veľkého</v>
          </cell>
          <cell r="H652" t="str">
            <v>Prešov</v>
          </cell>
          <cell r="I652" t="str">
            <v>Kmeťovo stromoradie 1</v>
          </cell>
          <cell r="J652">
            <v>8</v>
          </cell>
          <cell r="K652">
            <v>0</v>
          </cell>
          <cell r="L652">
            <v>52</v>
          </cell>
          <cell r="M652">
            <v>0</v>
          </cell>
          <cell r="N652">
            <v>0</v>
          </cell>
          <cell r="O652">
            <v>13</v>
          </cell>
          <cell r="P652">
            <v>17</v>
          </cell>
          <cell r="Q652">
            <v>0</v>
          </cell>
          <cell r="R652">
            <v>428</v>
          </cell>
          <cell r="S652">
            <v>210</v>
          </cell>
          <cell r="T652">
            <v>1742</v>
          </cell>
          <cell r="U652">
            <v>210.4</v>
          </cell>
        </row>
        <row r="653">
          <cell r="F653">
            <v>17060532</v>
          </cell>
          <cell r="G653" t="str">
            <v>Gymnázium sv. Andreja</v>
          </cell>
          <cell r="H653" t="str">
            <v>Ružomberok</v>
          </cell>
          <cell r="I653" t="str">
            <v>Námestie A. Hlinku 5</v>
          </cell>
          <cell r="J653">
            <v>13</v>
          </cell>
          <cell r="K653">
            <v>0</v>
          </cell>
          <cell r="L653">
            <v>38</v>
          </cell>
          <cell r="M653">
            <v>0</v>
          </cell>
          <cell r="N653">
            <v>1</v>
          </cell>
          <cell r="O653">
            <v>12</v>
          </cell>
          <cell r="P653">
            <v>1</v>
          </cell>
          <cell r="Q653">
            <v>5</v>
          </cell>
          <cell r="R653">
            <v>333</v>
          </cell>
          <cell r="S653">
            <v>77</v>
          </cell>
          <cell r="T653">
            <v>1273</v>
          </cell>
          <cell r="U653">
            <v>5.8</v>
          </cell>
        </row>
        <row r="654">
          <cell r="F654">
            <v>35565136</v>
          </cell>
          <cell r="G654" t="str">
            <v>Cirkevné gymnázium Štefana Mišíka</v>
          </cell>
          <cell r="H654" t="str">
            <v>Spišská Nová Ves</v>
          </cell>
          <cell r="I654" t="str">
            <v>Radničné námestie 271/8</v>
          </cell>
          <cell r="J654">
            <v>4</v>
          </cell>
          <cell r="K654">
            <v>0</v>
          </cell>
          <cell r="L654">
            <v>11</v>
          </cell>
          <cell r="M654">
            <v>0</v>
          </cell>
          <cell r="N654">
            <v>0</v>
          </cell>
          <cell r="O654">
            <v>4</v>
          </cell>
          <cell r="P654">
            <v>1</v>
          </cell>
          <cell r="Q654">
            <v>0</v>
          </cell>
          <cell r="R654">
            <v>60</v>
          </cell>
          <cell r="S654">
            <v>61</v>
          </cell>
          <cell r="T654">
            <v>368.5</v>
          </cell>
          <cell r="U654">
            <v>6.8</v>
          </cell>
        </row>
        <row r="655">
          <cell r="F655">
            <v>51906228</v>
          </cell>
          <cell r="G655" t="str">
            <v>Spojená škola sv. Klementa Hofbauera internátna</v>
          </cell>
          <cell r="H655" t="str">
            <v>Podolínec</v>
          </cell>
          <cell r="I655" t="str">
            <v>Kláštorná 2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</row>
        <row r="656">
          <cell r="F656">
            <v>17151481</v>
          </cell>
          <cell r="G656" t="str">
            <v>Stredná odborná škola sv. Klementa Hofbauera</v>
          </cell>
          <cell r="H656" t="str">
            <v>Podolínec</v>
          </cell>
          <cell r="I656" t="str">
            <v>Kláštorná 2</v>
          </cell>
          <cell r="J656">
            <v>7</v>
          </cell>
          <cell r="K656">
            <v>0</v>
          </cell>
          <cell r="L656">
            <v>23</v>
          </cell>
          <cell r="M656">
            <v>0</v>
          </cell>
          <cell r="N656">
            <v>1</v>
          </cell>
          <cell r="O656">
            <v>8</v>
          </cell>
          <cell r="P656">
            <v>1</v>
          </cell>
          <cell r="Q656">
            <v>3</v>
          </cell>
          <cell r="R656">
            <v>107</v>
          </cell>
          <cell r="S656">
            <v>46</v>
          </cell>
          <cell r="T656">
            <v>770.5</v>
          </cell>
          <cell r="U656">
            <v>33.6</v>
          </cell>
        </row>
        <row r="657">
          <cell r="F657">
            <v>37945785</v>
          </cell>
          <cell r="G657" t="str">
            <v>Cirkevné gymnázium sv. Mikuláša</v>
          </cell>
          <cell r="H657" t="str">
            <v>Stará Ľubovňa</v>
          </cell>
          <cell r="I657" t="str">
            <v>Štúrova 383/3</v>
          </cell>
          <cell r="J657">
            <v>10</v>
          </cell>
          <cell r="K657">
            <v>0</v>
          </cell>
          <cell r="L657">
            <v>25</v>
          </cell>
          <cell r="M657">
            <v>0</v>
          </cell>
          <cell r="N657">
            <v>1</v>
          </cell>
          <cell r="O657">
            <v>8</v>
          </cell>
          <cell r="P657">
            <v>2</v>
          </cell>
          <cell r="Q657">
            <v>7</v>
          </cell>
          <cell r="R657">
            <v>116</v>
          </cell>
          <cell r="S657">
            <v>49</v>
          </cell>
          <cell r="T657">
            <v>837.5</v>
          </cell>
          <cell r="U657">
            <v>0</v>
          </cell>
        </row>
        <row r="658">
          <cell r="F658">
            <v>51076438</v>
          </cell>
          <cell r="G658" t="str">
            <v>Súkromná spojená škola, Biela voda</v>
          </cell>
          <cell r="H658" t="str">
            <v>Kežmarok</v>
          </cell>
          <cell r="I658" t="str">
            <v>Nad traťou 1342/28</v>
          </cell>
          <cell r="J658">
            <v>5</v>
          </cell>
          <cell r="K658">
            <v>0</v>
          </cell>
          <cell r="L658">
            <v>14</v>
          </cell>
          <cell r="M658">
            <v>0</v>
          </cell>
          <cell r="N658">
            <v>0</v>
          </cell>
          <cell r="O658">
            <v>13</v>
          </cell>
          <cell r="P658">
            <v>0</v>
          </cell>
          <cell r="Q658">
            <v>0</v>
          </cell>
          <cell r="R658">
            <v>77</v>
          </cell>
          <cell r="S658">
            <v>0</v>
          </cell>
          <cell r="T658">
            <v>469</v>
          </cell>
          <cell r="U658">
            <v>193.01</v>
          </cell>
        </row>
        <row r="659">
          <cell r="F659">
            <v>52108163</v>
          </cell>
          <cell r="G659" t="str">
            <v>Súkromná spojená škola</v>
          </cell>
          <cell r="H659" t="str">
            <v>Poprad</v>
          </cell>
          <cell r="I659" t="str">
            <v>Rovná 597/15</v>
          </cell>
          <cell r="J659">
            <v>6</v>
          </cell>
          <cell r="K659">
            <v>0</v>
          </cell>
          <cell r="L659">
            <v>28</v>
          </cell>
          <cell r="M659">
            <v>0</v>
          </cell>
          <cell r="N659">
            <v>0</v>
          </cell>
          <cell r="O659">
            <v>8</v>
          </cell>
          <cell r="P659">
            <v>1</v>
          </cell>
          <cell r="Q659">
            <v>0</v>
          </cell>
          <cell r="R659">
            <v>275</v>
          </cell>
          <cell r="S659">
            <v>25</v>
          </cell>
          <cell r="T659">
            <v>938</v>
          </cell>
          <cell r="U659">
            <v>0</v>
          </cell>
        </row>
        <row r="660">
          <cell r="F660">
            <v>42039371</v>
          </cell>
          <cell r="G660" t="str">
            <v>Súkromná stredná odborná škola</v>
          </cell>
          <cell r="H660" t="str">
            <v>Poprad</v>
          </cell>
          <cell r="I660" t="str">
            <v>Ul. 29. augusta 4812</v>
          </cell>
          <cell r="J660">
            <v>5</v>
          </cell>
          <cell r="K660">
            <v>0</v>
          </cell>
          <cell r="L660">
            <v>15</v>
          </cell>
          <cell r="M660">
            <v>0</v>
          </cell>
          <cell r="N660">
            <v>0</v>
          </cell>
          <cell r="O660">
            <v>5</v>
          </cell>
          <cell r="P660">
            <v>1</v>
          </cell>
          <cell r="Q660">
            <v>0</v>
          </cell>
          <cell r="R660">
            <v>96</v>
          </cell>
          <cell r="S660">
            <v>56</v>
          </cell>
          <cell r="T660">
            <v>502.5</v>
          </cell>
          <cell r="U660">
            <v>0</v>
          </cell>
        </row>
        <row r="661">
          <cell r="F661">
            <v>37870548</v>
          </cell>
          <cell r="G661" t="str">
            <v>Súkromná obchodná akadémia</v>
          </cell>
          <cell r="H661" t="str">
            <v>Prešov</v>
          </cell>
          <cell r="I661" t="str">
            <v>Petrovianska 34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</row>
        <row r="662">
          <cell r="F662">
            <v>50535421</v>
          </cell>
          <cell r="G662" t="str">
            <v>Súkromná spojená škola</v>
          </cell>
          <cell r="H662" t="str">
            <v>Prešov</v>
          </cell>
          <cell r="I662" t="str">
            <v>Vodárenská 3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</row>
        <row r="663">
          <cell r="F663">
            <v>42384010</v>
          </cell>
          <cell r="G663" t="str">
            <v>Súkromná spojená škola European English School</v>
          </cell>
          <cell r="H663" t="str">
            <v>Prešov</v>
          </cell>
          <cell r="I663" t="str">
            <v>Solivarská 28</v>
          </cell>
          <cell r="J663">
            <v>9</v>
          </cell>
          <cell r="K663">
            <v>2</v>
          </cell>
          <cell r="L663">
            <v>13</v>
          </cell>
          <cell r="M663">
            <v>4</v>
          </cell>
          <cell r="N663">
            <v>5</v>
          </cell>
          <cell r="O663">
            <v>7</v>
          </cell>
          <cell r="P663">
            <v>1</v>
          </cell>
          <cell r="Q663">
            <v>44</v>
          </cell>
          <cell r="R663">
            <v>123</v>
          </cell>
          <cell r="S663">
            <v>21</v>
          </cell>
          <cell r="T663">
            <v>435.5</v>
          </cell>
          <cell r="U663">
            <v>0</v>
          </cell>
        </row>
        <row r="664">
          <cell r="F664">
            <v>37784722</v>
          </cell>
          <cell r="G664" t="str">
            <v>Súkromná stredná odborná škola ELBA</v>
          </cell>
          <cell r="H664" t="str">
            <v>Prešov</v>
          </cell>
          <cell r="I664" t="str">
            <v>Smetanova 2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</row>
        <row r="665">
          <cell r="F665">
            <v>686514</v>
          </cell>
          <cell r="G665" t="str">
            <v>Súkromná stredná odborná škola hotelierstva a gastronómie Mladosť</v>
          </cell>
          <cell r="H665" t="str">
            <v>Prešov</v>
          </cell>
          <cell r="I665" t="str">
            <v>Pod Kalváriou 36</v>
          </cell>
          <cell r="J665">
            <v>8</v>
          </cell>
          <cell r="K665">
            <v>0</v>
          </cell>
          <cell r="L665">
            <v>25</v>
          </cell>
          <cell r="M665">
            <v>0</v>
          </cell>
          <cell r="N665">
            <v>1</v>
          </cell>
          <cell r="O665">
            <v>11</v>
          </cell>
          <cell r="P665">
            <v>2</v>
          </cell>
          <cell r="Q665">
            <v>20</v>
          </cell>
          <cell r="R665">
            <v>135</v>
          </cell>
          <cell r="S665">
            <v>32</v>
          </cell>
          <cell r="T665">
            <v>837.5</v>
          </cell>
          <cell r="U665">
            <v>72.8</v>
          </cell>
        </row>
        <row r="666">
          <cell r="F666">
            <v>37945653</v>
          </cell>
          <cell r="G666" t="str">
            <v>Súkromná stredná športová škola ELBA</v>
          </cell>
          <cell r="H666" t="str">
            <v>Prešov</v>
          </cell>
          <cell r="I666" t="str">
            <v>Smetanova 2</v>
          </cell>
          <cell r="J666">
            <v>9</v>
          </cell>
          <cell r="K666">
            <v>0</v>
          </cell>
          <cell r="L666">
            <v>18</v>
          </cell>
          <cell r="M666">
            <v>0</v>
          </cell>
          <cell r="N666">
            <v>4</v>
          </cell>
          <cell r="O666">
            <v>5</v>
          </cell>
          <cell r="P666">
            <v>0</v>
          </cell>
          <cell r="Q666">
            <v>27</v>
          </cell>
          <cell r="R666">
            <v>121</v>
          </cell>
          <cell r="S666">
            <v>0</v>
          </cell>
          <cell r="T666">
            <v>603</v>
          </cell>
          <cell r="U666">
            <v>0</v>
          </cell>
        </row>
        <row r="667">
          <cell r="F667">
            <v>42421560</v>
          </cell>
          <cell r="G667" t="str">
            <v>Súkromné konzervatórium Dezidera Kardoša</v>
          </cell>
          <cell r="H667" t="str">
            <v>Prešov</v>
          </cell>
          <cell r="I667" t="str">
            <v>M. Benku 7</v>
          </cell>
          <cell r="J667">
            <v>5</v>
          </cell>
          <cell r="K667">
            <v>0</v>
          </cell>
          <cell r="L667">
            <v>28</v>
          </cell>
          <cell r="M667">
            <v>0</v>
          </cell>
          <cell r="N667">
            <v>0</v>
          </cell>
          <cell r="O667">
            <v>9</v>
          </cell>
          <cell r="P667">
            <v>1</v>
          </cell>
          <cell r="Q667">
            <v>0</v>
          </cell>
          <cell r="R667">
            <v>192</v>
          </cell>
          <cell r="S667">
            <v>31</v>
          </cell>
          <cell r="T667">
            <v>938</v>
          </cell>
          <cell r="U667">
            <v>0</v>
          </cell>
        </row>
        <row r="668">
          <cell r="F668">
            <v>50328026</v>
          </cell>
          <cell r="G668" t="str">
            <v>Súkromné odborné učilište ELBA</v>
          </cell>
          <cell r="H668" t="str">
            <v>Svinia</v>
          </cell>
          <cell r="I668" t="str">
            <v>Záhradnícka 83/19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</row>
        <row r="669">
          <cell r="F669">
            <v>42227445</v>
          </cell>
          <cell r="G669" t="str">
            <v>Súkromné odborné učilište</v>
          </cell>
          <cell r="H669" t="str">
            <v>Stropkov</v>
          </cell>
          <cell r="I669" t="str">
            <v>Hlavná 6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</row>
        <row r="670">
          <cell r="F670">
            <v>686506</v>
          </cell>
          <cell r="G670" t="str">
            <v>Súkromná stredná odborná škola</v>
          </cell>
          <cell r="H670" t="str">
            <v>Giraltovce</v>
          </cell>
          <cell r="I670" t="str">
            <v>Dukelská 33</v>
          </cell>
          <cell r="J670">
            <v>8</v>
          </cell>
          <cell r="K670">
            <v>0</v>
          </cell>
          <cell r="L670">
            <v>27</v>
          </cell>
          <cell r="M670">
            <v>0</v>
          </cell>
          <cell r="N670">
            <v>0</v>
          </cell>
          <cell r="O670">
            <v>17</v>
          </cell>
          <cell r="P670">
            <v>1</v>
          </cell>
          <cell r="Q670">
            <v>0</v>
          </cell>
          <cell r="R670">
            <v>225</v>
          </cell>
          <cell r="S670">
            <v>44</v>
          </cell>
          <cell r="T670">
            <v>904.5</v>
          </cell>
          <cell r="U670">
            <v>130.69999999999999</v>
          </cell>
        </row>
        <row r="671">
          <cell r="F671">
            <v>31070850</v>
          </cell>
          <cell r="G671" t="str">
            <v>Súkromná stredná odborná škola</v>
          </cell>
          <cell r="H671" t="str">
            <v>Žilina</v>
          </cell>
          <cell r="I671" t="str">
            <v>Dom Odborov Antona Bernoláka 51/blok B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</row>
        <row r="672">
          <cell r="F672">
            <v>523461</v>
          </cell>
          <cell r="G672" t="str">
            <v>Spojená škola internátna</v>
          </cell>
          <cell r="H672" t="str">
            <v>Prakovce</v>
          </cell>
          <cell r="I672" t="str">
            <v>Breziny 256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</row>
        <row r="673">
          <cell r="F673">
            <v>17069840</v>
          </cell>
          <cell r="G673" t="str">
            <v>Spojená škola</v>
          </cell>
          <cell r="H673" t="str">
            <v>Moldava nad Bodvou</v>
          </cell>
          <cell r="I673" t="str">
            <v>Hlavná 53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</row>
        <row r="674">
          <cell r="F674">
            <v>31946356</v>
          </cell>
          <cell r="G674" t="str">
            <v>Spojená škola internátna</v>
          </cell>
          <cell r="H674" t="str">
            <v>Ždaňa</v>
          </cell>
          <cell r="I674" t="str">
            <v>Abovská 244/18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</row>
        <row r="675">
          <cell r="F675">
            <v>35531754</v>
          </cell>
          <cell r="G675" t="str">
            <v>Gymnázium</v>
          </cell>
          <cell r="H675" t="str">
            <v>Košice-Sever</v>
          </cell>
          <cell r="I675" t="str">
            <v>Park mládeže 5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</row>
        <row r="676">
          <cell r="F676">
            <v>163368</v>
          </cell>
          <cell r="G676" t="str">
            <v>Reedukačné centrum</v>
          </cell>
          <cell r="H676" t="str">
            <v>Košice-Sever</v>
          </cell>
          <cell r="I676" t="str">
            <v>Bankov 15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</row>
        <row r="677">
          <cell r="F677">
            <v>160971</v>
          </cell>
          <cell r="G677" t="str">
            <v>Gymnázium Milana Rastislava Štefánika</v>
          </cell>
          <cell r="H677" t="str">
            <v>Košice-Staré Mesto</v>
          </cell>
          <cell r="I677" t="str">
            <v>Nám. L. Novomeského 4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</row>
        <row r="678">
          <cell r="F678">
            <v>31298028</v>
          </cell>
          <cell r="G678" t="str">
            <v>Spojená škola</v>
          </cell>
          <cell r="H678" t="str">
            <v>Košice-Staré Mesto</v>
          </cell>
          <cell r="I678" t="str">
            <v>Vojenská 13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</row>
        <row r="679">
          <cell r="F679">
            <v>35570563</v>
          </cell>
          <cell r="G679" t="str">
            <v>Stredná odborná škola železničná</v>
          </cell>
          <cell r="H679" t="str">
            <v>Košice-Staré Mesto</v>
          </cell>
          <cell r="I679" t="str">
            <v>Palackého 14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</row>
        <row r="680">
          <cell r="F680">
            <v>619671</v>
          </cell>
          <cell r="G680" t="str">
            <v>Spojená škola</v>
          </cell>
          <cell r="H680" t="str">
            <v>Košice-Juh</v>
          </cell>
          <cell r="I680" t="str">
            <v>Alejová 6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</row>
        <row r="681">
          <cell r="F681">
            <v>88714</v>
          </cell>
          <cell r="G681" t="str">
            <v>Spojená škola</v>
          </cell>
          <cell r="H681" t="str">
            <v>Košice-Vyšné Opátske</v>
          </cell>
          <cell r="I681" t="str">
            <v>Opatovská cesta 101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</row>
        <row r="682">
          <cell r="F682">
            <v>500402</v>
          </cell>
          <cell r="G682" t="str">
            <v>Spojená škola internátna</v>
          </cell>
          <cell r="H682" t="str">
            <v>Michalovce</v>
          </cell>
          <cell r="I682" t="str">
            <v>Školská 12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</row>
        <row r="683">
          <cell r="F683">
            <v>31309771</v>
          </cell>
          <cell r="G683" t="str">
            <v>Spojená škola</v>
          </cell>
          <cell r="H683" t="str">
            <v>Pavlovce nad Uhom</v>
          </cell>
          <cell r="I683" t="str">
            <v>Kapušianska 2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</row>
        <row r="684">
          <cell r="F684">
            <v>188514</v>
          </cell>
          <cell r="G684" t="str">
            <v>Spojená škola</v>
          </cell>
          <cell r="H684" t="str">
            <v>Veľké Kapušany</v>
          </cell>
          <cell r="I684" t="str">
            <v>J. Dózsu 32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</row>
        <row r="685">
          <cell r="F685">
            <v>31309704</v>
          </cell>
          <cell r="G685" t="str">
            <v>Spojená škola</v>
          </cell>
          <cell r="H685" t="str">
            <v>Dobšiná</v>
          </cell>
          <cell r="I685" t="str">
            <v>Nová 803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</row>
        <row r="686">
          <cell r="F686">
            <v>187615</v>
          </cell>
          <cell r="G686" t="str">
            <v>Spojená škola internátna</v>
          </cell>
          <cell r="H686" t="str">
            <v>Rožňava</v>
          </cell>
          <cell r="I686" t="str">
            <v>Zeleného stromu 8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</row>
        <row r="687">
          <cell r="F687">
            <v>31309631</v>
          </cell>
          <cell r="G687" t="str">
            <v>Spojená škola</v>
          </cell>
          <cell r="H687" t="str">
            <v>Rudňany</v>
          </cell>
          <cell r="I687" t="str">
            <v>Zimné 465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</row>
        <row r="688">
          <cell r="F688">
            <v>31309658</v>
          </cell>
          <cell r="G688" t="str">
            <v>Spojená škola</v>
          </cell>
          <cell r="H688" t="str">
            <v>Spišská Nová Ves</v>
          </cell>
          <cell r="I688" t="str">
            <v>J. Fabiniho 3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</row>
        <row r="689">
          <cell r="F689">
            <v>187917</v>
          </cell>
          <cell r="G689" t="str">
            <v>Spojená škola internátna</v>
          </cell>
          <cell r="H689" t="str">
            <v>Spišské Vlachy</v>
          </cell>
          <cell r="I689" t="str">
            <v>Partizánska 13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</row>
        <row r="690">
          <cell r="F690">
            <v>52842452</v>
          </cell>
          <cell r="G690" t="str">
            <v>Spojená škola</v>
          </cell>
          <cell r="H690" t="str">
            <v>Kráľovský Chlmec</v>
          </cell>
          <cell r="I690" t="str">
            <v>F. Rákocziho 432/28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</row>
        <row r="691">
          <cell r="F691">
            <v>17072948</v>
          </cell>
          <cell r="G691" t="str">
            <v>Spojená škola internátna</v>
          </cell>
          <cell r="H691" t="str">
            <v>Trebišov</v>
          </cell>
          <cell r="I691" t="str">
            <v>Poľná 1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</row>
        <row r="692">
          <cell r="F692">
            <v>160938</v>
          </cell>
          <cell r="G692" t="str">
            <v>Gymnázium</v>
          </cell>
          <cell r="H692" t="str">
            <v>Gelnica</v>
          </cell>
          <cell r="I692" t="str">
            <v>SNP 1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</row>
        <row r="693">
          <cell r="F693">
            <v>35568348</v>
          </cell>
          <cell r="G693" t="str">
            <v>Stredná odborná škola techniky a služieb</v>
          </cell>
          <cell r="H693" t="str">
            <v>Prakovce</v>
          </cell>
          <cell r="I693" t="str">
            <v>Prakovce 282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</row>
        <row r="694">
          <cell r="F694">
            <v>161071</v>
          </cell>
          <cell r="G694" t="str">
            <v>Gymnázium Štefana Moysesa</v>
          </cell>
          <cell r="H694" t="str">
            <v>Moldava nad Bodvou</v>
          </cell>
          <cell r="I694" t="str">
            <v>Školská 13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</row>
        <row r="695">
          <cell r="F695">
            <v>42102341</v>
          </cell>
          <cell r="G695" t="str">
            <v>Stredná odborná škola agrotechnická - Agrotechnikai Szakközépiskola</v>
          </cell>
          <cell r="H695" t="str">
            <v>Moldava nad Bodvou</v>
          </cell>
          <cell r="I695" t="str">
            <v>Hlavná 54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</row>
        <row r="696">
          <cell r="F696">
            <v>162141</v>
          </cell>
          <cell r="G696" t="str">
            <v>Obchodná akadémia</v>
          </cell>
          <cell r="H696" t="str">
            <v>Košice-Sever</v>
          </cell>
          <cell r="I696" t="str">
            <v>Watsonova 61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</row>
        <row r="697">
          <cell r="F697">
            <v>161756</v>
          </cell>
          <cell r="G697" t="str">
            <v>Stredná priemyselná škola elektrotechnická</v>
          </cell>
          <cell r="H697" t="str">
            <v>Košice-Sever</v>
          </cell>
          <cell r="I697" t="str">
            <v>Komenského 44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</row>
        <row r="698">
          <cell r="F698">
            <v>160989</v>
          </cell>
          <cell r="G698" t="str">
            <v>Gymnázium</v>
          </cell>
          <cell r="H698" t="str">
            <v>Košice-Staré Mesto</v>
          </cell>
          <cell r="I698" t="str">
            <v>Šrobárova 1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</row>
        <row r="699">
          <cell r="F699">
            <v>160997</v>
          </cell>
          <cell r="G699" t="str">
            <v>Gymnázium</v>
          </cell>
          <cell r="H699" t="str">
            <v>Košice-Staré Mesto</v>
          </cell>
          <cell r="I699" t="str">
            <v>Poštová 9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</row>
        <row r="700">
          <cell r="F700">
            <v>161004</v>
          </cell>
          <cell r="G700" t="str">
            <v>GYMNÁZIUM a Základná škola s vyučovacím jazykom maďarským - Márai Sándor Magyar Tanítási Nyelvű Gimnázium és Alapiskola</v>
          </cell>
          <cell r="H700" t="str">
            <v>Košice-Staré Mesto</v>
          </cell>
          <cell r="I700" t="str">
            <v>Kuzmányho 6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</row>
        <row r="701">
          <cell r="F701">
            <v>162761</v>
          </cell>
          <cell r="G701" t="str">
            <v>Konzervatórium</v>
          </cell>
          <cell r="H701" t="str">
            <v>Košice-Staré Mesto</v>
          </cell>
          <cell r="I701" t="str">
            <v>Timonova 2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</row>
        <row r="702">
          <cell r="F702">
            <v>35570172</v>
          </cell>
          <cell r="G702" t="str">
            <v>Stredná odborná škola obchodu a služieb Jána Bocatia</v>
          </cell>
          <cell r="H702" t="str">
            <v>Košice-Staré Mesto</v>
          </cell>
          <cell r="I702" t="str">
            <v>Bocatiova 1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</row>
        <row r="703">
          <cell r="F703">
            <v>161781</v>
          </cell>
          <cell r="G703" t="str">
            <v>Stredná odborná škola technická a ekonomická Jozefa Szakkayho - Szakkay József Műszaki és Közgazdasági Szakközépiskola</v>
          </cell>
          <cell r="H703" t="str">
            <v>Košice-Staré Mesto</v>
          </cell>
          <cell r="I703" t="str">
            <v>Grešákova 1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</row>
        <row r="704">
          <cell r="F704">
            <v>161730</v>
          </cell>
          <cell r="G704" t="str">
            <v>Stredná priemyselná škola dopravná</v>
          </cell>
          <cell r="H704" t="str">
            <v>Košice-Staré Mesto</v>
          </cell>
          <cell r="I704" t="str">
            <v>Hlavná 113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</row>
        <row r="705">
          <cell r="F705">
            <v>161764</v>
          </cell>
          <cell r="G705" t="str">
            <v>Stredná priemyselná škola stavebná a geodetická</v>
          </cell>
          <cell r="H705" t="str">
            <v>Košice-Staré Mesto</v>
          </cell>
          <cell r="I705" t="str">
            <v>Lermontovova 1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</row>
        <row r="706">
          <cell r="F706">
            <v>161772</v>
          </cell>
          <cell r="G706" t="str">
            <v>Stredná priemyselná škola strojnícka</v>
          </cell>
          <cell r="H706" t="str">
            <v>Košice-Staré Mesto</v>
          </cell>
          <cell r="I706" t="str">
            <v>Komenského 2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</row>
        <row r="707">
          <cell r="F707">
            <v>606766</v>
          </cell>
          <cell r="G707" t="str">
            <v>Stredná zdravotnícka škola</v>
          </cell>
          <cell r="H707" t="str">
            <v>Košice-Staré Mesto</v>
          </cell>
          <cell r="I707" t="str">
            <v>Moyzesova 17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</row>
        <row r="708">
          <cell r="F708">
            <v>133132</v>
          </cell>
          <cell r="G708" t="str">
            <v>Škola umeleckého priemyslu</v>
          </cell>
          <cell r="H708" t="str">
            <v>Košice-Staré Mesto</v>
          </cell>
          <cell r="I708" t="str">
            <v>Jakobyho 15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</row>
        <row r="709">
          <cell r="F709">
            <v>17050367</v>
          </cell>
          <cell r="G709" t="str">
            <v>Stredná odborná škola priemyselných technológii</v>
          </cell>
          <cell r="H709" t="str">
            <v>Košice-Šaca</v>
          </cell>
          <cell r="I709" t="str">
            <v>Učňovská 5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</row>
        <row r="710">
          <cell r="F710">
            <v>398900</v>
          </cell>
          <cell r="G710" t="str">
            <v>Gymnázium</v>
          </cell>
          <cell r="H710" t="str">
            <v>Košice-Západ</v>
          </cell>
          <cell r="I710" t="str">
            <v>Trebišovská 12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</row>
        <row r="711">
          <cell r="F711">
            <v>521965</v>
          </cell>
          <cell r="G711" t="str">
            <v>Stredná športová škola</v>
          </cell>
          <cell r="H711" t="str">
            <v>Košice-Západ</v>
          </cell>
          <cell r="I711" t="str">
            <v>Trieda SNP 104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</row>
        <row r="712">
          <cell r="F712">
            <v>42243262</v>
          </cell>
          <cell r="G712" t="str">
            <v>Konzervatórium Jozefa Adamoviča</v>
          </cell>
          <cell r="H712" t="str">
            <v>Košice-Dargovských hrdinov</v>
          </cell>
          <cell r="I712" t="str">
            <v>Exnárova 8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</row>
        <row r="713">
          <cell r="F713">
            <v>162574</v>
          </cell>
          <cell r="G713" t="str">
            <v>Stredná odborná škola veterinárna</v>
          </cell>
          <cell r="H713" t="str">
            <v>Košice-Barca</v>
          </cell>
          <cell r="I713" t="str">
            <v>Námestie mladých poľnohospodárov 2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</row>
        <row r="714">
          <cell r="F714">
            <v>598071</v>
          </cell>
          <cell r="G714" t="str">
            <v>Gymnázium</v>
          </cell>
          <cell r="H714" t="str">
            <v>Košice-Juh</v>
          </cell>
          <cell r="I714" t="str">
            <v>Alejová 1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</row>
        <row r="715">
          <cell r="F715">
            <v>31946615</v>
          </cell>
          <cell r="G715" t="str">
            <v>Hotelová akadémia</v>
          </cell>
          <cell r="H715" t="str">
            <v>Košice-Juh</v>
          </cell>
          <cell r="I715" t="str">
            <v>Južná trieda 10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</row>
        <row r="716">
          <cell r="F716">
            <v>17078407</v>
          </cell>
          <cell r="G716" t="str">
            <v>Stredná odborná škola automobilová</v>
          </cell>
          <cell r="H716" t="str">
            <v>Košice-Juh</v>
          </cell>
          <cell r="I716" t="str">
            <v>Moldavská cesta 2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</row>
        <row r="717">
          <cell r="F717">
            <v>17078423</v>
          </cell>
          <cell r="G717" t="str">
            <v>Stredná odborná škola beauty služieb</v>
          </cell>
          <cell r="H717" t="str">
            <v>Košice-Juh</v>
          </cell>
          <cell r="I717" t="str">
            <v>Gemerská 1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</row>
        <row r="718">
          <cell r="F718">
            <v>893331</v>
          </cell>
          <cell r="G718" t="str">
            <v>Stredná odborná škola informačných technológií</v>
          </cell>
          <cell r="H718" t="str">
            <v>Košice-Juh</v>
          </cell>
          <cell r="I718" t="str">
            <v>Ostrovského 1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</row>
        <row r="719">
          <cell r="F719">
            <v>159433</v>
          </cell>
          <cell r="G719" t="str">
            <v>Stredná odborná škola poľnohospodárstva a služieb na vidieku</v>
          </cell>
          <cell r="H719" t="str">
            <v>Košice-Juh</v>
          </cell>
          <cell r="I719" t="str">
            <v>Kukučínova 23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</row>
        <row r="720">
          <cell r="F720">
            <v>893340</v>
          </cell>
          <cell r="G720" t="str">
            <v>Stredná odborná škola technická</v>
          </cell>
          <cell r="H720" t="str">
            <v>Košice-Juh</v>
          </cell>
          <cell r="I720" t="str">
            <v>Kukučínova 23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</row>
        <row r="721">
          <cell r="F721">
            <v>606758</v>
          </cell>
          <cell r="G721" t="str">
            <v>Stredná zdravotnícka škola</v>
          </cell>
          <cell r="H721" t="str">
            <v>Košice-Juh</v>
          </cell>
          <cell r="I721" t="str">
            <v>Kukučínova 40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</row>
        <row r="722">
          <cell r="F722">
            <v>31956688</v>
          </cell>
          <cell r="G722" t="str">
            <v>Obchodná akadémia</v>
          </cell>
          <cell r="H722" t="str">
            <v>Košice-Nad jazerom</v>
          </cell>
          <cell r="I722" t="str">
            <v>Polárna 1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</row>
        <row r="723">
          <cell r="F723">
            <v>162159</v>
          </cell>
          <cell r="G723" t="str">
            <v>Gymnázium</v>
          </cell>
          <cell r="H723" t="str">
            <v>Košice-Vyšné Opátske</v>
          </cell>
          <cell r="I723" t="str">
            <v>Opatovská cesta 7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</row>
        <row r="724">
          <cell r="F724">
            <v>17151341</v>
          </cell>
          <cell r="G724" t="str">
            <v>Gymnázium</v>
          </cell>
          <cell r="H724" t="str">
            <v>Michalovce</v>
          </cell>
          <cell r="I724" t="str">
            <v>Ľ. Štúra 26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</row>
        <row r="725">
          <cell r="F725">
            <v>161063</v>
          </cell>
          <cell r="G725" t="str">
            <v>Gymnázium Pavla Horova</v>
          </cell>
          <cell r="H725" t="str">
            <v>Michalovce</v>
          </cell>
          <cell r="I725" t="str">
            <v>Masarykova 1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</row>
        <row r="726">
          <cell r="F726">
            <v>31953549</v>
          </cell>
          <cell r="G726" t="str">
            <v>Obchodná akadémia</v>
          </cell>
          <cell r="H726" t="str">
            <v>Michalovce</v>
          </cell>
          <cell r="I726" t="str">
            <v>Kapušianska 2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</row>
        <row r="727">
          <cell r="F727">
            <v>17078385</v>
          </cell>
          <cell r="G727" t="str">
            <v>Stredná odborná škola obchodu a služieb</v>
          </cell>
          <cell r="H727" t="str">
            <v>Michalovce</v>
          </cell>
          <cell r="I727" t="str">
            <v>Školská 4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</row>
        <row r="728">
          <cell r="F728">
            <v>42096651</v>
          </cell>
          <cell r="G728" t="str">
            <v>Stredná odborná škola technická</v>
          </cell>
          <cell r="H728" t="str">
            <v>Michalovce</v>
          </cell>
          <cell r="I728" t="str">
            <v>Partizánska 1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</row>
        <row r="729">
          <cell r="F729">
            <v>606782</v>
          </cell>
          <cell r="G729" t="str">
            <v>Stredná zdravotnícka škola</v>
          </cell>
          <cell r="H729" t="str">
            <v>Michalovce</v>
          </cell>
          <cell r="I729" t="str">
            <v>Masarykova 27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</row>
        <row r="730">
          <cell r="F730">
            <v>42104980</v>
          </cell>
          <cell r="G730" t="str">
            <v>Stredná odborná škola dopravy a služieb</v>
          </cell>
          <cell r="H730" t="str">
            <v>Strážske</v>
          </cell>
          <cell r="I730" t="str">
            <v>Mierová 727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</row>
        <row r="731">
          <cell r="F731">
            <v>161250</v>
          </cell>
          <cell r="G731" t="str">
            <v>Gymnázium - Gimnázium</v>
          </cell>
          <cell r="H731" t="str">
            <v>Veľké Kapušany</v>
          </cell>
          <cell r="I731" t="str">
            <v>Zoltána Fábryho 1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</row>
        <row r="732">
          <cell r="F732">
            <v>17055393</v>
          </cell>
          <cell r="G732" t="str">
            <v>Stredná odborná škola techniky a služieb - Műszaki és Szolgáltóipari Szakközépiskola</v>
          </cell>
          <cell r="H732" t="str">
            <v>Veľké Kapušany</v>
          </cell>
          <cell r="I732" t="str">
            <v>Janka Kráľa 25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</row>
        <row r="733">
          <cell r="F733">
            <v>53966864</v>
          </cell>
          <cell r="G733" t="str">
            <v>Stredná odborná škola techniky a služieb</v>
          </cell>
          <cell r="H733" t="str">
            <v>Dobšiná</v>
          </cell>
          <cell r="I733" t="str">
            <v>SNP 607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</row>
        <row r="734">
          <cell r="F734">
            <v>161144</v>
          </cell>
          <cell r="G734" t="str">
            <v>Gymnázium Pavla Jozefa Šafárika - Pavol Jozef Šafárik Gimnázium</v>
          </cell>
          <cell r="H734" t="str">
            <v>Rožňava</v>
          </cell>
          <cell r="I734" t="str">
            <v>Akademika Hronca 1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</row>
        <row r="735">
          <cell r="F735">
            <v>162205</v>
          </cell>
          <cell r="G735" t="str">
            <v>Obchodná akadémia</v>
          </cell>
          <cell r="H735" t="str">
            <v>Rožňava</v>
          </cell>
          <cell r="I735" t="str">
            <v>Akademika Hronca 8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</row>
        <row r="736">
          <cell r="F736">
            <v>617652</v>
          </cell>
          <cell r="G736" t="str">
            <v>Stredná odborná škola obchodu a služieb</v>
          </cell>
          <cell r="H736" t="str">
            <v>Rožňava</v>
          </cell>
          <cell r="I736" t="str">
            <v>Rožňavská Baňa 211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</row>
        <row r="737">
          <cell r="F737">
            <v>17050545</v>
          </cell>
          <cell r="G737" t="str">
            <v>Stredná odborná škola technická</v>
          </cell>
          <cell r="H737" t="str">
            <v>Rožňava</v>
          </cell>
          <cell r="I737" t="str">
            <v>Hviezdoslavova 5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</row>
        <row r="738">
          <cell r="F738">
            <v>606812</v>
          </cell>
          <cell r="G738" t="str">
            <v>Stredná zdravotnícka škola - Egészségügyi Középiskola</v>
          </cell>
          <cell r="H738" t="str">
            <v>Rožňava</v>
          </cell>
          <cell r="I738" t="str">
            <v>Námestie 1. mája č. 1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</row>
        <row r="739">
          <cell r="F739">
            <v>161187</v>
          </cell>
          <cell r="G739" t="str">
            <v>Gymnázium</v>
          </cell>
          <cell r="H739" t="str">
            <v>Sobrance</v>
          </cell>
          <cell r="I739" t="str">
            <v>Kpt. Nálepku 6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</row>
        <row r="740">
          <cell r="F740">
            <v>35568364</v>
          </cell>
          <cell r="G740" t="str">
            <v>Stredná odborná škola obchodu a služieb</v>
          </cell>
          <cell r="H740" t="str">
            <v>Sobrance</v>
          </cell>
          <cell r="I740" t="str">
            <v>Námestie slobody 12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</row>
        <row r="741">
          <cell r="F741">
            <v>161021</v>
          </cell>
          <cell r="G741" t="str">
            <v>Gymnázium</v>
          </cell>
          <cell r="H741" t="str">
            <v>Krompachy</v>
          </cell>
          <cell r="I741" t="str">
            <v>Lorencova ulica 46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</row>
        <row r="742">
          <cell r="F742">
            <v>161195</v>
          </cell>
          <cell r="G742" t="str">
            <v>Gymnázium</v>
          </cell>
          <cell r="H742" t="str">
            <v>Spišská Nová Ves</v>
          </cell>
          <cell r="I742" t="str">
            <v>Školská 7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</row>
        <row r="743">
          <cell r="F743">
            <v>17151589</v>
          </cell>
          <cell r="G743" t="str">
            <v>Gymnázium</v>
          </cell>
          <cell r="H743" t="str">
            <v>Spišská Nová Ves</v>
          </cell>
          <cell r="I743" t="str">
            <v>Javorová 16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</row>
        <row r="744">
          <cell r="F744">
            <v>17078504</v>
          </cell>
          <cell r="G744" t="str">
            <v>Hotelová akadémia</v>
          </cell>
          <cell r="H744" t="str">
            <v>Spišská Nová Ves</v>
          </cell>
          <cell r="I744" t="str">
            <v>Radničné námestie 300/1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</row>
        <row r="745">
          <cell r="F745">
            <v>42096642</v>
          </cell>
          <cell r="G745" t="str">
            <v>Stredná odborná škola drevárska</v>
          </cell>
          <cell r="H745" t="str">
            <v>Spišská Nová Ves</v>
          </cell>
          <cell r="I745" t="str">
            <v>Filinského 7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</row>
        <row r="746">
          <cell r="F746">
            <v>35568381</v>
          </cell>
          <cell r="G746" t="str">
            <v>Stredná odborná škola ekonomická</v>
          </cell>
          <cell r="H746" t="str">
            <v>Spišská Nová Ves</v>
          </cell>
          <cell r="I746" t="str">
            <v>Stojan 1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</row>
        <row r="747">
          <cell r="F747">
            <v>17078491</v>
          </cell>
          <cell r="G747" t="str">
            <v>Stredná odborná škola techniky a služieb</v>
          </cell>
          <cell r="H747" t="str">
            <v>Spišská Nová Ves</v>
          </cell>
          <cell r="I747" t="str">
            <v>Markušovská cesta 4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</row>
        <row r="748">
          <cell r="F748">
            <v>521663</v>
          </cell>
          <cell r="G748" t="str">
            <v>Stredná priemyselná škola technická</v>
          </cell>
          <cell r="H748" t="str">
            <v>Spišská Nová Ves</v>
          </cell>
          <cell r="I748" t="str">
            <v>Hviezdoslavova 6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</row>
        <row r="749">
          <cell r="F749">
            <v>161012</v>
          </cell>
          <cell r="G749" t="str">
            <v>Gymnázium - Gimnázium</v>
          </cell>
          <cell r="H749" t="str">
            <v>Kráľovský Chlmec</v>
          </cell>
          <cell r="I749" t="str">
            <v>Horešská 18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</row>
        <row r="750">
          <cell r="F750">
            <v>35568330</v>
          </cell>
          <cell r="G750" t="str">
            <v>Stredná odborná škola techniky a remesiel - Műszaki Szakok és Mesterségek Szakközépiskola</v>
          </cell>
          <cell r="H750" t="str">
            <v>Kráľovský Chlmec</v>
          </cell>
          <cell r="I750" t="str">
            <v>Rákocziho 23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</row>
        <row r="751">
          <cell r="F751">
            <v>159557</v>
          </cell>
          <cell r="G751" t="str">
            <v>Stredná odborná škola agrotechnických a gastronomických služieb - Agrártechnikai és Gasztronómiai Szolgáltatási Szakközépiskola</v>
          </cell>
          <cell r="H751" t="str">
            <v>Pribeník</v>
          </cell>
          <cell r="I751" t="str">
            <v>J. Majlátha 2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</row>
        <row r="752">
          <cell r="F752">
            <v>35568356</v>
          </cell>
          <cell r="G752" t="str">
            <v>Spojená škola</v>
          </cell>
          <cell r="H752" t="str">
            <v>Sečovce</v>
          </cell>
          <cell r="I752" t="str">
            <v>Kollárova 17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</row>
        <row r="753">
          <cell r="F753">
            <v>161241</v>
          </cell>
          <cell r="G753" t="str">
            <v>Gymnázium</v>
          </cell>
          <cell r="H753" t="str">
            <v>Trebišov</v>
          </cell>
          <cell r="I753" t="str">
            <v>Komenského 32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</row>
        <row r="754">
          <cell r="F754">
            <v>162213</v>
          </cell>
          <cell r="G754" t="str">
            <v>Obchodná akadémia</v>
          </cell>
          <cell r="H754" t="str">
            <v>Trebišov</v>
          </cell>
          <cell r="I754" t="str">
            <v>Komenského 3425/18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</row>
        <row r="755">
          <cell r="F755">
            <v>42243378</v>
          </cell>
          <cell r="G755" t="str">
            <v>Spojená škola</v>
          </cell>
          <cell r="H755" t="str">
            <v>Rožňava</v>
          </cell>
          <cell r="I755" t="str">
            <v>J. A. Komenského 5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</row>
        <row r="756">
          <cell r="F756">
            <v>31942733</v>
          </cell>
          <cell r="G756" t="str">
            <v>Cirkevná spojená škola</v>
          </cell>
          <cell r="H756" t="str">
            <v>Bardejov</v>
          </cell>
          <cell r="I756" t="str">
            <v>Jiráskova 5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</row>
        <row r="757">
          <cell r="F757">
            <v>37938045</v>
          </cell>
          <cell r="G757" t="str">
            <v>Cirkevná spojená škola</v>
          </cell>
          <cell r="H757" t="str">
            <v>Humenné</v>
          </cell>
          <cell r="I757" t="str">
            <v>Duchnovičova 24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</row>
        <row r="758">
          <cell r="F758">
            <v>50295829</v>
          </cell>
          <cell r="G758" t="str">
            <v>Cirkevná spojená škola</v>
          </cell>
          <cell r="H758" t="str">
            <v>Moldava nad Bodvou</v>
          </cell>
          <cell r="I758" t="str">
            <v>Ulica Československej armády 1450/39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</row>
        <row r="759">
          <cell r="F759">
            <v>42319234</v>
          </cell>
          <cell r="G759" t="str">
            <v>Premonštrátske gymnázium</v>
          </cell>
          <cell r="H759" t="str">
            <v>Košice-Staré Mesto</v>
          </cell>
          <cell r="I759" t="str">
            <v>Kováčska 28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</row>
        <row r="760">
          <cell r="F760">
            <v>618233</v>
          </cell>
          <cell r="G760" t="str">
            <v>Stredná zdravotnícka škola sv. Alžbety</v>
          </cell>
          <cell r="H760" t="str">
            <v>Košice-Staré Mesto</v>
          </cell>
          <cell r="I760" t="str">
            <v>Mäsiarska 25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</row>
        <row r="761">
          <cell r="F761">
            <v>35561548</v>
          </cell>
          <cell r="G761" t="str">
            <v>Spojená škola sv. Košických mučeníkov</v>
          </cell>
          <cell r="H761" t="str">
            <v>Košice-Sídlisko KVP</v>
          </cell>
          <cell r="I761" t="str">
            <v>Čordákova 50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</row>
        <row r="762">
          <cell r="F762">
            <v>35560321</v>
          </cell>
          <cell r="G762" t="str">
            <v>Gymnázium sv. Edity Steinovej</v>
          </cell>
          <cell r="H762" t="str">
            <v>Košice-Dargovských hrdinov</v>
          </cell>
          <cell r="I762" t="str">
            <v>Charkovská 1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</row>
        <row r="763">
          <cell r="F763">
            <v>35564024</v>
          </cell>
          <cell r="G763" t="str">
            <v>Stredná odborná škola pedagogická sv. Cyrila a Metoda</v>
          </cell>
          <cell r="H763" t="str">
            <v>Košice-Juh</v>
          </cell>
          <cell r="I763" t="str">
            <v>Južná trieda 48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</row>
        <row r="764">
          <cell r="F764">
            <v>31942369</v>
          </cell>
          <cell r="G764" t="str">
            <v>Stredná odborná škola sv. Cyrila a Metoda</v>
          </cell>
          <cell r="H764" t="str">
            <v>Michalovce</v>
          </cell>
          <cell r="I764" t="str">
            <v>Tehliarska 2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</row>
        <row r="765">
          <cell r="F765">
            <v>31991653</v>
          </cell>
          <cell r="G765" t="str">
            <v>Gymnázium sv. Moniky</v>
          </cell>
          <cell r="H765" t="str">
            <v>Prešov</v>
          </cell>
          <cell r="I765" t="str">
            <v>Tarasa Ševčenka 1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</row>
        <row r="766">
          <cell r="F766">
            <v>17080151</v>
          </cell>
          <cell r="G766" t="str">
            <v>Katolícka spojená škola sv. Mikuláša</v>
          </cell>
          <cell r="H766" t="str">
            <v>Prešov</v>
          </cell>
          <cell r="I766" t="str">
            <v>Duklianska 16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</row>
        <row r="767">
          <cell r="F767">
            <v>37796046</v>
          </cell>
          <cell r="G767" t="str">
            <v>Cirkevná spojená škola</v>
          </cell>
          <cell r="H767" t="str">
            <v>Snina</v>
          </cell>
          <cell r="I767" t="str">
            <v>Švermova 10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</row>
        <row r="768">
          <cell r="F768">
            <v>42326931</v>
          </cell>
          <cell r="G768" t="str">
            <v>Spojená škola sv. Maximiliána Mária Kolbeho</v>
          </cell>
          <cell r="H768" t="str">
            <v>Spišská Nová Ves</v>
          </cell>
          <cell r="I768" t="str">
            <v>Gaštanová 11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</row>
        <row r="769">
          <cell r="F769">
            <v>618462</v>
          </cell>
          <cell r="G769" t="str">
            <v>Stredná zdravotnícka škola milosrdného Samaritána</v>
          </cell>
          <cell r="H769" t="str">
            <v>Svidník</v>
          </cell>
          <cell r="I769" t="str">
            <v>Sovietskych hrdinov 80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</row>
        <row r="770">
          <cell r="F770">
            <v>31986072</v>
          </cell>
          <cell r="G770" t="str">
            <v>Cirkevné gymnázium sv. Jána Krstiteľa</v>
          </cell>
          <cell r="H770" t="str">
            <v>Trebišov</v>
          </cell>
          <cell r="I770" t="str">
            <v>M. R. Štefánika 9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</row>
        <row r="771">
          <cell r="F771">
            <v>35555912</v>
          </cell>
          <cell r="G771" t="str">
            <v>Stredná odborná škola služieb a priemyslu sv. Jozafáta</v>
          </cell>
          <cell r="H771" t="str">
            <v>Trebišov</v>
          </cell>
          <cell r="I771" t="str">
            <v>Komenského 1963/10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</row>
        <row r="772">
          <cell r="F772">
            <v>17151627</v>
          </cell>
          <cell r="G772" t="str">
            <v>Cirkevná spojená škola</v>
          </cell>
          <cell r="H772" t="str">
            <v>Vranov nad Topľou</v>
          </cell>
          <cell r="I772" t="str">
            <v>Školská 650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</row>
        <row r="773">
          <cell r="F773">
            <v>35547031</v>
          </cell>
          <cell r="G773" t="str">
            <v>Súkromná stredná odborná škola ekonomická KOŠICKÁ AKADÉMIA</v>
          </cell>
          <cell r="H773" t="str">
            <v>Košice-Staré Mesto</v>
          </cell>
          <cell r="I773" t="str">
            <v>Tajovského 15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</row>
        <row r="774">
          <cell r="F774">
            <v>42407362</v>
          </cell>
          <cell r="G774" t="str">
            <v>Súkromné gymnázium FUTURUM</v>
          </cell>
          <cell r="H774" t="str">
            <v>Košice-Staré Mesto</v>
          </cell>
          <cell r="I774" t="str">
            <v>Moyzesova 5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</row>
        <row r="775">
          <cell r="F775">
            <v>35562820</v>
          </cell>
          <cell r="G775" t="str">
            <v>Súkromné konzervatórium</v>
          </cell>
          <cell r="H775" t="str">
            <v>Košice-Staré Mesto</v>
          </cell>
          <cell r="I775" t="str">
            <v>Zádielska 12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</row>
        <row r="776">
          <cell r="F776">
            <v>42099803</v>
          </cell>
          <cell r="G776" t="str">
            <v>Súkromná praktická škola</v>
          </cell>
          <cell r="H776" t="str">
            <v>Košice-Myslava</v>
          </cell>
          <cell r="I776" t="str">
            <v>Myslavská 401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</row>
        <row r="777">
          <cell r="F777">
            <v>35558555</v>
          </cell>
          <cell r="G777" t="str">
            <v>Súkromná škola umeleckého priemyslu filmová</v>
          </cell>
          <cell r="H777" t="str">
            <v>Košice-Západ</v>
          </cell>
          <cell r="I777" t="str">
            <v>Petzvalova 2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</row>
        <row r="778">
          <cell r="F778">
            <v>35562986</v>
          </cell>
          <cell r="G778" t="str">
            <v>Súkromné gymnázium</v>
          </cell>
          <cell r="H778" t="str">
            <v>Košice-Západ</v>
          </cell>
          <cell r="I778" t="str">
            <v>Katkin park 2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</row>
        <row r="779">
          <cell r="F779">
            <v>31313833</v>
          </cell>
          <cell r="G779" t="str">
            <v>Súkromná stredná odborná škola ekonomicko-technická</v>
          </cell>
          <cell r="H779" t="str">
            <v>Košice-Dargovských hrdinov</v>
          </cell>
          <cell r="I779" t="str">
            <v>Postupimská 37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</row>
        <row r="780">
          <cell r="F780">
            <v>35565233</v>
          </cell>
          <cell r="G780" t="str">
            <v>Súkromná stredná odborná škola pedagogická a sociálna</v>
          </cell>
          <cell r="H780" t="str">
            <v>Košice-Juh</v>
          </cell>
          <cell r="I780" t="str">
            <v>Požiarnická 1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</row>
        <row r="781">
          <cell r="F781">
            <v>35547260</v>
          </cell>
          <cell r="G781" t="str">
            <v>Súkromná stredná odborná škola PAMIKO</v>
          </cell>
          <cell r="H781" t="str">
            <v>Košice-Juh</v>
          </cell>
          <cell r="I781" t="str">
            <v>Kukučínova 23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</row>
        <row r="782">
          <cell r="F782">
            <v>35575182</v>
          </cell>
          <cell r="G782" t="str">
            <v>Súkromná stredná športová škola</v>
          </cell>
          <cell r="H782" t="str">
            <v>Košice-Juh</v>
          </cell>
          <cell r="I782" t="str">
            <v>Užhorodská 39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</row>
        <row r="783">
          <cell r="F783">
            <v>42107148</v>
          </cell>
          <cell r="G783" t="str">
            <v>Súkromné hudobné a dramatické konzervatórium</v>
          </cell>
          <cell r="H783" t="str">
            <v>Košice-Juh</v>
          </cell>
          <cell r="I783" t="str">
            <v>Požiarnická 1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</row>
        <row r="784">
          <cell r="F784">
            <v>31295657</v>
          </cell>
          <cell r="G784" t="str">
            <v>Súkromná stredná odborná škola</v>
          </cell>
          <cell r="H784" t="str">
            <v>Košice-Nad jazerom</v>
          </cell>
          <cell r="I784" t="str">
            <v>Bukovecká 17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</row>
        <row r="785">
          <cell r="F785">
            <v>42249252</v>
          </cell>
          <cell r="G785" t="str">
            <v>Súkromná stredná odborná škola</v>
          </cell>
          <cell r="H785" t="str">
            <v>Košice-Nad jazerom</v>
          </cell>
          <cell r="I785" t="str">
            <v>Dneperská 1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</row>
        <row r="786">
          <cell r="F786">
            <v>31262767</v>
          </cell>
          <cell r="G786" t="str">
            <v>Súkromné gymnázium</v>
          </cell>
          <cell r="H786" t="str">
            <v>Košice-Nad jazerom</v>
          </cell>
          <cell r="I786" t="str">
            <v>Dneperská 1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</row>
        <row r="787">
          <cell r="F787">
            <v>53255500</v>
          </cell>
          <cell r="G787" t="str">
            <v>Súkromná spojená škola</v>
          </cell>
          <cell r="H787" t="str">
            <v>Klokočov</v>
          </cell>
          <cell r="I787" t="str">
            <v>Klokočov 90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</row>
        <row r="788">
          <cell r="F788">
            <v>42319838</v>
          </cell>
          <cell r="G788" t="str">
            <v>Súkromná stredná odborná škola Nová cesta Magán Szakközépiskola Új út</v>
          </cell>
          <cell r="H788" t="str">
            <v>Malčice</v>
          </cell>
          <cell r="I788" t="str">
            <v>Hlavná 265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</row>
        <row r="789">
          <cell r="F789">
            <v>45006601</v>
          </cell>
          <cell r="G789" t="str">
            <v>Súkromná hotelová akadémia - Dufincova</v>
          </cell>
          <cell r="H789" t="str">
            <v>Michalovce</v>
          </cell>
          <cell r="I789" t="str">
            <v>Komenského 1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</row>
        <row r="790">
          <cell r="F790">
            <v>42394732</v>
          </cell>
          <cell r="G790" t="str">
            <v>Súkromné hudobné a dramatické konzervatórium</v>
          </cell>
          <cell r="H790" t="str">
            <v>Rimavská Sobota</v>
          </cell>
          <cell r="I790" t="str">
            <v>Školská 31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</row>
        <row r="791">
          <cell r="F791">
            <v>42102553</v>
          </cell>
          <cell r="G791" t="str">
            <v>Súkromná spojená škola EDURAM</v>
          </cell>
          <cell r="H791" t="str">
            <v>Krompachy</v>
          </cell>
          <cell r="I791" t="str">
            <v>Maurerova 55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</row>
        <row r="792">
          <cell r="F792">
            <v>42410134</v>
          </cell>
          <cell r="G792" t="str">
            <v>Súkromná stredná odborná škola</v>
          </cell>
          <cell r="H792" t="str">
            <v>Trebišov</v>
          </cell>
          <cell r="I792" t="str">
            <v>29. augusta 2340/38A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</row>
        <row r="793">
          <cell r="F793">
            <v>42152411</v>
          </cell>
          <cell r="G793" t="str">
            <v>Súkromné gymnázium FUTURUM</v>
          </cell>
          <cell r="H793" t="str">
            <v>Trenčín</v>
          </cell>
          <cell r="I793" t="str">
            <v>Školská 66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</row>
        <row r="794">
          <cell r="F794">
            <v>37873172</v>
          </cell>
          <cell r="G794" t="str">
            <v>Základná škola</v>
          </cell>
          <cell r="H794" t="str">
            <v>Stropkov</v>
          </cell>
          <cell r="I794" t="str">
            <v>Konštantínova 1751/64</v>
          </cell>
          <cell r="J794">
            <v>3</v>
          </cell>
          <cell r="K794">
            <v>0</v>
          </cell>
          <cell r="L794">
            <v>3</v>
          </cell>
          <cell r="M794">
            <v>0</v>
          </cell>
          <cell r="N794">
            <v>3</v>
          </cell>
          <cell r="O794">
            <v>0</v>
          </cell>
          <cell r="P794">
            <v>0</v>
          </cell>
          <cell r="Q794">
            <v>33</v>
          </cell>
          <cell r="R794">
            <v>0</v>
          </cell>
          <cell r="S794">
            <v>0</v>
          </cell>
          <cell r="T794">
            <v>100.5</v>
          </cell>
          <cell r="U794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>
        <row r="672">
          <cell r="F672">
            <v>523461</v>
          </cell>
          <cell r="G672" t="str">
            <v>Spojená škola internátna</v>
          </cell>
          <cell r="H672" t="str">
            <v>Prakovce</v>
          </cell>
          <cell r="I672" t="str">
            <v>Breziny 256</v>
          </cell>
          <cell r="J672">
            <v>1</v>
          </cell>
          <cell r="K672">
            <v>0</v>
          </cell>
          <cell r="L672">
            <v>2</v>
          </cell>
          <cell r="M672">
            <v>0</v>
          </cell>
          <cell r="N672">
            <v>0</v>
          </cell>
          <cell r="O672">
            <v>4</v>
          </cell>
          <cell r="P672">
            <v>0</v>
          </cell>
          <cell r="Q672">
            <v>0</v>
          </cell>
          <cell r="R672">
            <v>16</v>
          </cell>
          <cell r="S672">
            <v>0</v>
          </cell>
          <cell r="T672">
            <v>67</v>
          </cell>
          <cell r="U672">
            <v>0</v>
          </cell>
        </row>
        <row r="673">
          <cell r="F673">
            <v>17069840</v>
          </cell>
          <cell r="G673" t="str">
            <v>Spojená škola</v>
          </cell>
          <cell r="H673" t="str">
            <v>Moldava nad Bodvou</v>
          </cell>
          <cell r="I673" t="str">
            <v>Hlavná 53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</row>
        <row r="674">
          <cell r="F674">
            <v>31946356</v>
          </cell>
          <cell r="G674" t="str">
            <v>Spojená škola internátna</v>
          </cell>
          <cell r="H674" t="str">
            <v>Ždaňa</v>
          </cell>
          <cell r="I674" t="str">
            <v>Abovská 244/18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</row>
        <row r="675">
          <cell r="F675">
            <v>35531754</v>
          </cell>
          <cell r="G675" t="str">
            <v>Gymnázium</v>
          </cell>
          <cell r="H675" t="str">
            <v>Košice-Sever</v>
          </cell>
          <cell r="I675" t="str">
            <v>Park mládeže 5</v>
          </cell>
          <cell r="J675">
            <v>11</v>
          </cell>
          <cell r="K675">
            <v>0</v>
          </cell>
          <cell r="L675">
            <v>32</v>
          </cell>
          <cell r="M675">
            <v>0</v>
          </cell>
          <cell r="N675">
            <v>3</v>
          </cell>
          <cell r="O675">
            <v>18</v>
          </cell>
          <cell r="P675">
            <v>1</v>
          </cell>
          <cell r="Q675">
            <v>6</v>
          </cell>
          <cell r="R675">
            <v>246</v>
          </cell>
          <cell r="S675">
            <v>41</v>
          </cell>
          <cell r="T675">
            <v>1072</v>
          </cell>
          <cell r="U675">
            <v>235.08</v>
          </cell>
        </row>
        <row r="676">
          <cell r="F676">
            <v>163368</v>
          </cell>
          <cell r="G676" t="str">
            <v>Reedukačné centrum</v>
          </cell>
          <cell r="H676" t="str">
            <v>Košice-Sever</v>
          </cell>
          <cell r="I676" t="str">
            <v>Bankov 15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</row>
        <row r="677">
          <cell r="F677">
            <v>160971</v>
          </cell>
          <cell r="G677" t="str">
            <v>Gymnázium Milana Rastislava Štefánika</v>
          </cell>
          <cell r="H677" t="str">
            <v>Košice-Staré Mesto</v>
          </cell>
          <cell r="I677" t="str">
            <v>Nám. L. Novomeského 4</v>
          </cell>
          <cell r="J677">
            <v>16</v>
          </cell>
          <cell r="K677">
            <v>0</v>
          </cell>
          <cell r="L677">
            <v>44</v>
          </cell>
          <cell r="M677">
            <v>0</v>
          </cell>
          <cell r="N677">
            <v>4</v>
          </cell>
          <cell r="O677">
            <v>11</v>
          </cell>
          <cell r="P677">
            <v>3</v>
          </cell>
          <cell r="Q677">
            <v>27</v>
          </cell>
          <cell r="R677">
            <v>153</v>
          </cell>
          <cell r="S677">
            <v>150</v>
          </cell>
          <cell r="T677">
            <v>1474</v>
          </cell>
          <cell r="U677">
            <v>0</v>
          </cell>
        </row>
        <row r="678">
          <cell r="F678">
            <v>31298028</v>
          </cell>
          <cell r="G678" t="str">
            <v>Spojená škola</v>
          </cell>
          <cell r="H678" t="str">
            <v>Košice-Staré Mesto</v>
          </cell>
          <cell r="I678" t="str">
            <v>Vojenská 13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</row>
        <row r="679">
          <cell r="F679">
            <v>35570563</v>
          </cell>
          <cell r="G679" t="str">
            <v>Stredná odborná škola železničná</v>
          </cell>
          <cell r="H679" t="str">
            <v>Košice-Staré Mesto</v>
          </cell>
          <cell r="I679" t="str">
            <v>Palackého 14</v>
          </cell>
          <cell r="J679">
            <v>11</v>
          </cell>
          <cell r="K679">
            <v>0</v>
          </cell>
          <cell r="L679">
            <v>39</v>
          </cell>
          <cell r="M679">
            <v>0</v>
          </cell>
          <cell r="N679">
            <v>0</v>
          </cell>
          <cell r="O679">
            <v>16</v>
          </cell>
          <cell r="P679">
            <v>2</v>
          </cell>
          <cell r="Q679">
            <v>0</v>
          </cell>
          <cell r="R679">
            <v>194</v>
          </cell>
          <cell r="S679">
            <v>95</v>
          </cell>
          <cell r="T679">
            <v>1306.5</v>
          </cell>
          <cell r="U679">
            <v>0</v>
          </cell>
        </row>
        <row r="680">
          <cell r="F680">
            <v>619671</v>
          </cell>
          <cell r="G680" t="str">
            <v>Spojená škola</v>
          </cell>
          <cell r="H680" t="str">
            <v>Košice-Juh</v>
          </cell>
          <cell r="I680" t="str">
            <v>Alejová 6</v>
          </cell>
          <cell r="J680">
            <v>2</v>
          </cell>
          <cell r="K680">
            <v>0</v>
          </cell>
          <cell r="L680">
            <v>5</v>
          </cell>
          <cell r="M680">
            <v>0</v>
          </cell>
          <cell r="N680">
            <v>0</v>
          </cell>
          <cell r="O680">
            <v>8</v>
          </cell>
          <cell r="P680">
            <v>0</v>
          </cell>
          <cell r="Q680">
            <v>0</v>
          </cell>
          <cell r="R680">
            <v>17</v>
          </cell>
          <cell r="S680">
            <v>0</v>
          </cell>
          <cell r="T680">
            <v>167.5</v>
          </cell>
          <cell r="U680">
            <v>52.8</v>
          </cell>
        </row>
        <row r="681">
          <cell r="F681">
            <v>88714</v>
          </cell>
          <cell r="G681" t="str">
            <v>Spojená škola</v>
          </cell>
          <cell r="H681" t="str">
            <v>Košice-Vyšné Opátske</v>
          </cell>
          <cell r="I681" t="str">
            <v>Opatovská cesta 101</v>
          </cell>
          <cell r="J681">
            <v>2</v>
          </cell>
          <cell r="K681">
            <v>0</v>
          </cell>
          <cell r="L681">
            <v>8</v>
          </cell>
          <cell r="M681">
            <v>0</v>
          </cell>
          <cell r="N681">
            <v>0</v>
          </cell>
          <cell r="O681">
            <v>6</v>
          </cell>
          <cell r="P681">
            <v>0</v>
          </cell>
          <cell r="Q681">
            <v>0</v>
          </cell>
          <cell r="R681">
            <v>93</v>
          </cell>
          <cell r="S681">
            <v>0</v>
          </cell>
          <cell r="T681">
            <v>268</v>
          </cell>
          <cell r="U681">
            <v>0</v>
          </cell>
        </row>
        <row r="682">
          <cell r="F682">
            <v>500402</v>
          </cell>
          <cell r="G682" t="str">
            <v>Spojená škola internátna</v>
          </cell>
          <cell r="H682" t="str">
            <v>Michalovce</v>
          </cell>
          <cell r="I682" t="str">
            <v>Školská 12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</row>
        <row r="683">
          <cell r="F683">
            <v>31309771</v>
          </cell>
          <cell r="G683" t="str">
            <v>Spojená škola</v>
          </cell>
          <cell r="H683" t="str">
            <v>Pavlovce nad Uhom</v>
          </cell>
          <cell r="I683" t="str">
            <v>Kapušianska 2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</row>
        <row r="684">
          <cell r="F684">
            <v>188514</v>
          </cell>
          <cell r="G684" t="str">
            <v>Spojená škola</v>
          </cell>
          <cell r="H684" t="str">
            <v>Veľké Kapušany</v>
          </cell>
          <cell r="I684" t="str">
            <v>J. Dózsu 32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</row>
        <row r="685">
          <cell r="F685">
            <v>31309704</v>
          </cell>
          <cell r="G685" t="str">
            <v>Spojená škola</v>
          </cell>
          <cell r="H685" t="str">
            <v>Dobšiná</v>
          </cell>
          <cell r="I685" t="str">
            <v>Nová 803</v>
          </cell>
          <cell r="J685">
            <v>1</v>
          </cell>
          <cell r="K685">
            <v>0</v>
          </cell>
          <cell r="L685">
            <v>2</v>
          </cell>
          <cell r="M685">
            <v>0</v>
          </cell>
          <cell r="N685">
            <v>0</v>
          </cell>
          <cell r="O685">
            <v>3</v>
          </cell>
          <cell r="P685">
            <v>0</v>
          </cell>
          <cell r="Q685">
            <v>0</v>
          </cell>
          <cell r="R685">
            <v>0</v>
          </cell>
          <cell r="S685">
            <v>9</v>
          </cell>
          <cell r="T685">
            <v>67</v>
          </cell>
          <cell r="U685">
            <v>5</v>
          </cell>
        </row>
        <row r="686">
          <cell r="F686">
            <v>187615</v>
          </cell>
          <cell r="G686" t="str">
            <v>Spojená škola internátna</v>
          </cell>
          <cell r="H686" t="str">
            <v>Rožňava</v>
          </cell>
          <cell r="I686" t="str">
            <v>Zeleného stromu 8</v>
          </cell>
          <cell r="J686">
            <v>1</v>
          </cell>
          <cell r="K686">
            <v>0</v>
          </cell>
          <cell r="L686">
            <v>2</v>
          </cell>
          <cell r="M686">
            <v>0</v>
          </cell>
          <cell r="N686">
            <v>0</v>
          </cell>
          <cell r="O686">
            <v>2</v>
          </cell>
          <cell r="P686">
            <v>0</v>
          </cell>
          <cell r="Q686">
            <v>0</v>
          </cell>
          <cell r="R686">
            <v>7</v>
          </cell>
          <cell r="S686">
            <v>0</v>
          </cell>
          <cell r="T686">
            <v>67</v>
          </cell>
          <cell r="U686">
            <v>24.6</v>
          </cell>
        </row>
        <row r="687">
          <cell r="F687">
            <v>31309631</v>
          </cell>
          <cell r="G687" t="str">
            <v>Spojená škola</v>
          </cell>
          <cell r="H687" t="str">
            <v>Rudňany</v>
          </cell>
          <cell r="I687" t="str">
            <v>Zimné 465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</row>
        <row r="688">
          <cell r="F688">
            <v>31309658</v>
          </cell>
          <cell r="G688" t="str">
            <v>Spojená škola</v>
          </cell>
          <cell r="H688" t="str">
            <v>Spišská Nová Ves</v>
          </cell>
          <cell r="I688" t="str">
            <v>J. Fabiniho 3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</row>
        <row r="689">
          <cell r="F689">
            <v>187917</v>
          </cell>
          <cell r="G689" t="str">
            <v>Spojená škola internátna</v>
          </cell>
          <cell r="H689" t="str">
            <v>Spišské Vlachy</v>
          </cell>
          <cell r="I689" t="str">
            <v>Partizánska 13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</row>
        <row r="690">
          <cell r="F690">
            <v>52842452</v>
          </cell>
          <cell r="G690" t="str">
            <v>Spojená škola</v>
          </cell>
          <cell r="H690" t="str">
            <v>Kráľovský Chlmec</v>
          </cell>
          <cell r="I690" t="str">
            <v>F. Rákocziho 432/28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</row>
        <row r="691">
          <cell r="F691">
            <v>17072948</v>
          </cell>
          <cell r="G691" t="str">
            <v>Spojená škola internátna</v>
          </cell>
          <cell r="H691" t="str">
            <v>Trebišov</v>
          </cell>
          <cell r="I691" t="str">
            <v>Poľná 1</v>
          </cell>
          <cell r="J691">
            <v>2</v>
          </cell>
          <cell r="K691">
            <v>0</v>
          </cell>
          <cell r="L691">
            <v>4</v>
          </cell>
          <cell r="M691">
            <v>0</v>
          </cell>
          <cell r="N691">
            <v>0</v>
          </cell>
          <cell r="O691">
            <v>3</v>
          </cell>
          <cell r="P691">
            <v>0</v>
          </cell>
          <cell r="Q691">
            <v>0</v>
          </cell>
          <cell r="R691">
            <v>17</v>
          </cell>
          <cell r="S691">
            <v>0</v>
          </cell>
          <cell r="T691">
            <v>134</v>
          </cell>
          <cell r="U691">
            <v>50.2</v>
          </cell>
        </row>
        <row r="692">
          <cell r="F692">
            <v>160938</v>
          </cell>
          <cell r="G692" t="str">
            <v>Gymnázium</v>
          </cell>
          <cell r="H692" t="str">
            <v>Gelnica</v>
          </cell>
          <cell r="I692" t="str">
            <v>SNP 1</v>
          </cell>
          <cell r="J692">
            <v>10</v>
          </cell>
          <cell r="K692">
            <v>0</v>
          </cell>
          <cell r="L692">
            <v>18</v>
          </cell>
          <cell r="M692">
            <v>0</v>
          </cell>
          <cell r="N692">
            <v>2</v>
          </cell>
          <cell r="O692">
            <v>12</v>
          </cell>
          <cell r="P692">
            <v>1</v>
          </cell>
          <cell r="Q692">
            <v>5</v>
          </cell>
          <cell r="R692">
            <v>72</v>
          </cell>
          <cell r="S692">
            <v>114</v>
          </cell>
          <cell r="T692">
            <v>603</v>
          </cell>
          <cell r="U692">
            <v>110.95</v>
          </cell>
        </row>
        <row r="693">
          <cell r="F693">
            <v>35568348</v>
          </cell>
          <cell r="G693" t="str">
            <v>Stredná odborná škola techniky a služieb</v>
          </cell>
          <cell r="H693" t="str">
            <v>Prakovce</v>
          </cell>
          <cell r="I693" t="str">
            <v>Prakovce 282</v>
          </cell>
          <cell r="J693">
            <v>6</v>
          </cell>
          <cell r="K693">
            <v>6</v>
          </cell>
          <cell r="L693">
            <v>17</v>
          </cell>
          <cell r="M693">
            <v>12</v>
          </cell>
          <cell r="N693">
            <v>7</v>
          </cell>
          <cell r="O693">
            <v>12</v>
          </cell>
          <cell r="P693">
            <v>1</v>
          </cell>
          <cell r="Q693">
            <v>44</v>
          </cell>
          <cell r="R693">
            <v>116</v>
          </cell>
          <cell r="S693">
            <v>25</v>
          </cell>
          <cell r="T693">
            <v>569.5</v>
          </cell>
          <cell r="U693">
            <v>28.2</v>
          </cell>
        </row>
        <row r="694">
          <cell r="F694">
            <v>161071</v>
          </cell>
          <cell r="G694" t="str">
            <v>Gymnázium Štefana Moysesa</v>
          </cell>
          <cell r="H694" t="str">
            <v>Moldava nad Bodvou</v>
          </cell>
          <cell r="I694" t="str">
            <v>Školská 13</v>
          </cell>
          <cell r="J694">
            <v>8</v>
          </cell>
          <cell r="K694">
            <v>0</v>
          </cell>
          <cell r="L694">
            <v>19</v>
          </cell>
          <cell r="M694">
            <v>0</v>
          </cell>
          <cell r="N694">
            <v>0</v>
          </cell>
          <cell r="O694">
            <v>11</v>
          </cell>
          <cell r="P694">
            <v>1</v>
          </cell>
          <cell r="Q694">
            <v>0</v>
          </cell>
          <cell r="R694">
            <v>144</v>
          </cell>
          <cell r="S694">
            <v>33</v>
          </cell>
          <cell r="T694">
            <v>636.5</v>
          </cell>
          <cell r="U694">
            <v>55.4</v>
          </cell>
        </row>
        <row r="695">
          <cell r="F695">
            <v>42102341</v>
          </cell>
          <cell r="G695" t="str">
            <v>Stredná odborná škola agrotechnická - Agrotechnikai Szakközépiskola</v>
          </cell>
          <cell r="H695" t="str">
            <v>Moldava nad Bodvou</v>
          </cell>
          <cell r="I695" t="str">
            <v>Hlavná 54</v>
          </cell>
          <cell r="J695">
            <v>11</v>
          </cell>
          <cell r="K695">
            <v>0</v>
          </cell>
          <cell r="L695">
            <v>34</v>
          </cell>
          <cell r="M695">
            <v>0</v>
          </cell>
          <cell r="N695">
            <v>2</v>
          </cell>
          <cell r="O695">
            <v>14</v>
          </cell>
          <cell r="P695">
            <v>1</v>
          </cell>
          <cell r="Q695">
            <v>10</v>
          </cell>
          <cell r="R695">
            <v>219</v>
          </cell>
          <cell r="S695">
            <v>13</v>
          </cell>
          <cell r="T695">
            <v>1139</v>
          </cell>
          <cell r="U695">
            <v>316.75</v>
          </cell>
        </row>
        <row r="696">
          <cell r="F696">
            <v>162141</v>
          </cell>
          <cell r="G696" t="str">
            <v>Obchodná akadémia</v>
          </cell>
          <cell r="H696" t="str">
            <v>Košice-Sever</v>
          </cell>
          <cell r="I696" t="str">
            <v>Watsonova 61</v>
          </cell>
          <cell r="J696">
            <v>21</v>
          </cell>
          <cell r="K696">
            <v>0</v>
          </cell>
          <cell r="L696">
            <v>81</v>
          </cell>
          <cell r="M696">
            <v>0</v>
          </cell>
          <cell r="N696">
            <v>0</v>
          </cell>
          <cell r="O696">
            <v>31</v>
          </cell>
          <cell r="P696">
            <v>1</v>
          </cell>
          <cell r="Q696">
            <v>0</v>
          </cell>
          <cell r="R696">
            <v>701</v>
          </cell>
          <cell r="S696">
            <v>70</v>
          </cell>
          <cell r="T696">
            <v>2713.5</v>
          </cell>
          <cell r="U696">
            <v>0</v>
          </cell>
        </row>
        <row r="697">
          <cell r="F697">
            <v>161756</v>
          </cell>
          <cell r="G697" t="str">
            <v>Stredná priemyselná škola elektrotechnická</v>
          </cell>
          <cell r="H697" t="str">
            <v>Košice-Sever</v>
          </cell>
          <cell r="I697" t="str">
            <v>Komenského 44</v>
          </cell>
          <cell r="J697">
            <v>19</v>
          </cell>
          <cell r="K697">
            <v>0</v>
          </cell>
          <cell r="L697">
            <v>64</v>
          </cell>
          <cell r="M697">
            <v>0</v>
          </cell>
          <cell r="N697">
            <v>1</v>
          </cell>
          <cell r="O697">
            <v>27</v>
          </cell>
          <cell r="P697">
            <v>0</v>
          </cell>
          <cell r="Q697">
            <v>1</v>
          </cell>
          <cell r="R697">
            <v>673</v>
          </cell>
          <cell r="S697">
            <v>0</v>
          </cell>
          <cell r="T697">
            <v>2144</v>
          </cell>
          <cell r="U697">
            <v>214.2</v>
          </cell>
        </row>
        <row r="698">
          <cell r="F698">
            <v>160989</v>
          </cell>
          <cell r="G698" t="str">
            <v>Gymnázium</v>
          </cell>
          <cell r="H698" t="str">
            <v>Košice-Staré Mesto</v>
          </cell>
          <cell r="I698" t="str">
            <v>Šrobárova 1</v>
          </cell>
          <cell r="J698">
            <v>15</v>
          </cell>
          <cell r="K698">
            <v>0</v>
          </cell>
          <cell r="L698">
            <v>53</v>
          </cell>
          <cell r="M698">
            <v>0</v>
          </cell>
          <cell r="N698">
            <v>1</v>
          </cell>
          <cell r="O698">
            <v>15</v>
          </cell>
          <cell r="P698">
            <v>1</v>
          </cell>
          <cell r="Q698">
            <v>10</v>
          </cell>
          <cell r="R698">
            <v>530</v>
          </cell>
          <cell r="S698">
            <v>99</v>
          </cell>
          <cell r="T698">
            <v>1775.5</v>
          </cell>
          <cell r="U698">
            <v>0</v>
          </cell>
        </row>
        <row r="699">
          <cell r="F699">
            <v>160997</v>
          </cell>
          <cell r="G699" t="str">
            <v>Gymnázium</v>
          </cell>
          <cell r="H699" t="str">
            <v>Košice-Staré Mesto</v>
          </cell>
          <cell r="I699" t="str">
            <v>Poštová 9</v>
          </cell>
          <cell r="J699">
            <v>12</v>
          </cell>
          <cell r="K699">
            <v>0</v>
          </cell>
          <cell r="L699">
            <v>31</v>
          </cell>
          <cell r="M699">
            <v>0</v>
          </cell>
          <cell r="N699">
            <v>0</v>
          </cell>
          <cell r="O699">
            <v>14</v>
          </cell>
          <cell r="P699">
            <v>1</v>
          </cell>
          <cell r="Q699">
            <v>0</v>
          </cell>
          <cell r="R699">
            <v>270</v>
          </cell>
          <cell r="S699">
            <v>144</v>
          </cell>
          <cell r="T699">
            <v>1038.5</v>
          </cell>
          <cell r="U699">
            <v>0</v>
          </cell>
        </row>
        <row r="700">
          <cell r="F700">
            <v>161004</v>
          </cell>
          <cell r="G700" t="str">
            <v>GYMNÁZIUM a Základná škola s vyučovacím jazykom maďarským - Márai Sándor Magyar Tanítási Nyelvű Gimnázium és Alapiskola</v>
          </cell>
          <cell r="H700" t="str">
            <v>Košice-Staré Mesto</v>
          </cell>
          <cell r="I700" t="str">
            <v>Kuzmányho 6</v>
          </cell>
          <cell r="J700">
            <v>8</v>
          </cell>
          <cell r="K700">
            <v>1</v>
          </cell>
          <cell r="L700">
            <v>21</v>
          </cell>
          <cell r="M700">
            <v>2</v>
          </cell>
          <cell r="N700">
            <v>1</v>
          </cell>
          <cell r="O700">
            <v>8</v>
          </cell>
          <cell r="P700">
            <v>1</v>
          </cell>
          <cell r="Q700">
            <v>21</v>
          </cell>
          <cell r="R700">
            <v>107</v>
          </cell>
          <cell r="S700">
            <v>24</v>
          </cell>
          <cell r="T700">
            <v>703.5</v>
          </cell>
          <cell r="U700">
            <v>33.65</v>
          </cell>
        </row>
        <row r="701">
          <cell r="F701">
            <v>162761</v>
          </cell>
          <cell r="G701" t="str">
            <v>Konzervatórium</v>
          </cell>
          <cell r="H701" t="str">
            <v>Košice-Staré Mesto</v>
          </cell>
          <cell r="I701" t="str">
            <v>Timonova 2</v>
          </cell>
          <cell r="J701">
            <v>10</v>
          </cell>
          <cell r="K701">
            <v>0</v>
          </cell>
          <cell r="L701">
            <v>16</v>
          </cell>
          <cell r="M701">
            <v>0</v>
          </cell>
          <cell r="N701">
            <v>0</v>
          </cell>
          <cell r="O701">
            <v>14</v>
          </cell>
          <cell r="P701">
            <v>0</v>
          </cell>
          <cell r="Q701">
            <v>0</v>
          </cell>
          <cell r="R701">
            <v>118</v>
          </cell>
          <cell r="S701">
            <v>0</v>
          </cell>
          <cell r="T701">
            <v>536</v>
          </cell>
          <cell r="U701">
            <v>432.07</v>
          </cell>
        </row>
        <row r="702">
          <cell r="F702">
            <v>35570172</v>
          </cell>
          <cell r="G702" t="str">
            <v>Stredná odborná škola obchodu a služieb Jána Bocatia</v>
          </cell>
          <cell r="H702" t="str">
            <v>Košice-Staré Mesto</v>
          </cell>
          <cell r="I702" t="str">
            <v>Bocatiova 1</v>
          </cell>
          <cell r="J702">
            <v>1</v>
          </cell>
          <cell r="K702">
            <v>0</v>
          </cell>
          <cell r="L702">
            <v>6</v>
          </cell>
          <cell r="M702">
            <v>0</v>
          </cell>
          <cell r="N702">
            <v>0</v>
          </cell>
          <cell r="O702">
            <v>1</v>
          </cell>
          <cell r="P702">
            <v>0</v>
          </cell>
          <cell r="Q702">
            <v>0</v>
          </cell>
          <cell r="R702">
            <v>97</v>
          </cell>
          <cell r="S702">
            <v>0</v>
          </cell>
          <cell r="T702">
            <v>201</v>
          </cell>
          <cell r="U702">
            <v>0</v>
          </cell>
        </row>
        <row r="703">
          <cell r="F703">
            <v>161781</v>
          </cell>
          <cell r="G703" t="str">
            <v>Stredná odborná škola technická a ekonomická Jozefa Szakkayho - Szakkay József Műszaki és Közgazdasági Szakközépiskola</v>
          </cell>
          <cell r="H703" t="str">
            <v>Košice-Staré Mesto</v>
          </cell>
          <cell r="I703" t="str">
            <v>Grešákova 1</v>
          </cell>
          <cell r="J703">
            <v>11</v>
          </cell>
          <cell r="K703">
            <v>0</v>
          </cell>
          <cell r="L703">
            <v>30</v>
          </cell>
          <cell r="M703">
            <v>0</v>
          </cell>
          <cell r="N703">
            <v>1</v>
          </cell>
          <cell r="O703">
            <v>24</v>
          </cell>
          <cell r="P703">
            <v>1</v>
          </cell>
          <cell r="Q703">
            <v>8</v>
          </cell>
          <cell r="R703">
            <v>185</v>
          </cell>
          <cell r="S703">
            <v>27</v>
          </cell>
          <cell r="T703">
            <v>1005</v>
          </cell>
          <cell r="U703">
            <v>85.8</v>
          </cell>
        </row>
        <row r="704">
          <cell r="F704">
            <v>161730</v>
          </cell>
          <cell r="G704" t="str">
            <v>Stredná priemyselná škola dopravná</v>
          </cell>
          <cell r="H704" t="str">
            <v>Košice-Staré Mesto</v>
          </cell>
          <cell r="I704" t="str">
            <v>Hlavná 113</v>
          </cell>
          <cell r="J704">
            <v>9</v>
          </cell>
          <cell r="K704">
            <v>0</v>
          </cell>
          <cell r="L704">
            <v>51</v>
          </cell>
          <cell r="M704">
            <v>0</v>
          </cell>
          <cell r="N704">
            <v>0</v>
          </cell>
          <cell r="O704">
            <v>12</v>
          </cell>
          <cell r="P704">
            <v>2</v>
          </cell>
          <cell r="Q704">
            <v>0</v>
          </cell>
          <cell r="R704">
            <v>268</v>
          </cell>
          <cell r="S704">
            <v>269</v>
          </cell>
          <cell r="T704">
            <v>1708.5</v>
          </cell>
          <cell r="U704">
            <v>0</v>
          </cell>
        </row>
        <row r="705">
          <cell r="F705">
            <v>161764</v>
          </cell>
          <cell r="G705" t="str">
            <v>Stredná priemyselná škola stavebná a geodetická</v>
          </cell>
          <cell r="H705" t="str">
            <v>Košice-Staré Mesto</v>
          </cell>
          <cell r="I705" t="str">
            <v>Lermontovova 1</v>
          </cell>
          <cell r="J705">
            <v>6</v>
          </cell>
          <cell r="K705">
            <v>0</v>
          </cell>
          <cell r="L705">
            <v>14</v>
          </cell>
          <cell r="M705">
            <v>0</v>
          </cell>
          <cell r="N705">
            <v>0</v>
          </cell>
          <cell r="O705">
            <v>10</v>
          </cell>
          <cell r="P705">
            <v>0</v>
          </cell>
          <cell r="Q705">
            <v>0</v>
          </cell>
          <cell r="R705">
            <v>149</v>
          </cell>
          <cell r="S705">
            <v>0</v>
          </cell>
          <cell r="T705">
            <v>469</v>
          </cell>
          <cell r="U705">
            <v>38.299999999999997</v>
          </cell>
        </row>
        <row r="706">
          <cell r="F706">
            <v>161772</v>
          </cell>
          <cell r="G706" t="str">
            <v>Stredná priemyselná škola strojnícka</v>
          </cell>
          <cell r="H706" t="str">
            <v>Košice-Staré Mesto</v>
          </cell>
          <cell r="I706" t="str">
            <v>Komenského 2</v>
          </cell>
          <cell r="J706">
            <v>8</v>
          </cell>
          <cell r="K706">
            <v>0</v>
          </cell>
          <cell r="L706">
            <v>31</v>
          </cell>
          <cell r="M706">
            <v>0</v>
          </cell>
          <cell r="N706">
            <v>2</v>
          </cell>
          <cell r="O706">
            <v>7</v>
          </cell>
          <cell r="P706">
            <v>1</v>
          </cell>
          <cell r="Q706">
            <v>22</v>
          </cell>
          <cell r="R706">
            <v>238</v>
          </cell>
          <cell r="S706">
            <v>75</v>
          </cell>
          <cell r="T706">
            <v>1038.5</v>
          </cell>
          <cell r="U706">
            <v>0</v>
          </cell>
        </row>
        <row r="707">
          <cell r="F707">
            <v>606766</v>
          </cell>
          <cell r="G707" t="str">
            <v>Stredná zdravotnícka škola</v>
          </cell>
          <cell r="H707" t="str">
            <v>Košice-Staré Mesto</v>
          </cell>
          <cell r="I707" t="str">
            <v>Moyzesova 17</v>
          </cell>
          <cell r="J707">
            <v>13</v>
          </cell>
          <cell r="K707">
            <v>16</v>
          </cell>
          <cell r="L707">
            <v>52</v>
          </cell>
          <cell r="M707">
            <v>55</v>
          </cell>
          <cell r="N707">
            <v>23</v>
          </cell>
          <cell r="O707">
            <v>14</v>
          </cell>
          <cell r="P707">
            <v>1</v>
          </cell>
          <cell r="Q707">
            <v>469</v>
          </cell>
          <cell r="R707">
            <v>449</v>
          </cell>
          <cell r="S707">
            <v>112</v>
          </cell>
          <cell r="T707">
            <v>1742</v>
          </cell>
          <cell r="U707">
            <v>582.30999999999995</v>
          </cell>
        </row>
        <row r="708">
          <cell r="F708">
            <v>133132</v>
          </cell>
          <cell r="G708" t="str">
            <v>Škola umeleckého priemyslu</v>
          </cell>
          <cell r="H708" t="str">
            <v>Košice-Staré Mesto</v>
          </cell>
          <cell r="I708" t="str">
            <v>Jakobyho 15</v>
          </cell>
          <cell r="J708">
            <v>12</v>
          </cell>
          <cell r="K708">
            <v>0</v>
          </cell>
          <cell r="L708">
            <v>27</v>
          </cell>
          <cell r="M708">
            <v>0</v>
          </cell>
          <cell r="N708">
            <v>0</v>
          </cell>
          <cell r="O708">
            <v>19</v>
          </cell>
          <cell r="P708">
            <v>0</v>
          </cell>
          <cell r="Q708">
            <v>0</v>
          </cell>
          <cell r="R708">
            <v>276</v>
          </cell>
          <cell r="S708">
            <v>0</v>
          </cell>
          <cell r="T708">
            <v>904.5</v>
          </cell>
          <cell r="U708">
            <v>697.65</v>
          </cell>
        </row>
        <row r="709">
          <cell r="F709">
            <v>17050367</v>
          </cell>
          <cell r="G709" t="str">
            <v>Stredná odborná škola priemyselných technológii</v>
          </cell>
          <cell r="H709" t="str">
            <v>Košice-Šaca</v>
          </cell>
          <cell r="I709" t="str">
            <v>Učňovská 5</v>
          </cell>
          <cell r="J709">
            <v>10</v>
          </cell>
          <cell r="K709">
            <v>0</v>
          </cell>
          <cell r="L709">
            <v>23</v>
          </cell>
          <cell r="M709">
            <v>0</v>
          </cell>
          <cell r="N709">
            <v>1</v>
          </cell>
          <cell r="O709">
            <v>13</v>
          </cell>
          <cell r="P709">
            <v>0</v>
          </cell>
          <cell r="Q709">
            <v>18</v>
          </cell>
          <cell r="R709">
            <v>178</v>
          </cell>
          <cell r="S709">
            <v>0</v>
          </cell>
          <cell r="T709">
            <v>770.5</v>
          </cell>
          <cell r="U709">
            <v>0</v>
          </cell>
        </row>
        <row r="710">
          <cell r="F710">
            <v>398900</v>
          </cell>
          <cell r="G710" t="str">
            <v>Gymnázium</v>
          </cell>
          <cell r="H710" t="str">
            <v>Košice-Západ</v>
          </cell>
          <cell r="I710" t="str">
            <v>Trebišovská 12</v>
          </cell>
          <cell r="J710">
            <v>28</v>
          </cell>
          <cell r="K710">
            <v>0</v>
          </cell>
          <cell r="L710">
            <v>83</v>
          </cell>
          <cell r="M710">
            <v>0</v>
          </cell>
          <cell r="N710">
            <v>0</v>
          </cell>
          <cell r="O710">
            <v>30</v>
          </cell>
          <cell r="P710">
            <v>4</v>
          </cell>
          <cell r="Q710">
            <v>0</v>
          </cell>
          <cell r="R710">
            <v>609</v>
          </cell>
          <cell r="S710">
            <v>274</v>
          </cell>
          <cell r="T710">
            <v>2780.5</v>
          </cell>
          <cell r="U710">
            <v>0</v>
          </cell>
        </row>
        <row r="711">
          <cell r="F711">
            <v>521965</v>
          </cell>
          <cell r="G711" t="str">
            <v>Stredná športová škola</v>
          </cell>
          <cell r="H711" t="str">
            <v>Košice-Západ</v>
          </cell>
          <cell r="I711" t="str">
            <v>Trieda SNP 104</v>
          </cell>
          <cell r="J711">
            <v>17</v>
          </cell>
          <cell r="K711">
            <v>0</v>
          </cell>
          <cell r="L711">
            <v>37</v>
          </cell>
          <cell r="M711">
            <v>0</v>
          </cell>
          <cell r="N711">
            <v>1</v>
          </cell>
          <cell r="O711">
            <v>20</v>
          </cell>
          <cell r="P711">
            <v>1</v>
          </cell>
          <cell r="Q711">
            <v>6</v>
          </cell>
          <cell r="R711">
            <v>267</v>
          </cell>
          <cell r="S711">
            <v>114</v>
          </cell>
          <cell r="T711">
            <v>1239.5</v>
          </cell>
          <cell r="U711">
            <v>0</v>
          </cell>
        </row>
        <row r="712">
          <cell r="F712">
            <v>42243262</v>
          </cell>
          <cell r="G712" t="str">
            <v>Konzervatórium Jozefa Adamoviča</v>
          </cell>
          <cell r="H712" t="str">
            <v>Košice-Dargovských hrdinov</v>
          </cell>
          <cell r="I712" t="str">
            <v>Exnárova 8</v>
          </cell>
          <cell r="J712">
            <v>13</v>
          </cell>
          <cell r="K712">
            <v>0</v>
          </cell>
          <cell r="L712">
            <v>39</v>
          </cell>
          <cell r="M712">
            <v>0</v>
          </cell>
          <cell r="N712">
            <v>0</v>
          </cell>
          <cell r="O712">
            <v>20</v>
          </cell>
          <cell r="P712">
            <v>0</v>
          </cell>
          <cell r="Q712">
            <v>0</v>
          </cell>
          <cell r="R712">
            <v>333</v>
          </cell>
          <cell r="S712">
            <v>0</v>
          </cell>
          <cell r="T712">
            <v>1306.5</v>
          </cell>
          <cell r="U712">
            <v>0</v>
          </cell>
        </row>
        <row r="713">
          <cell r="F713">
            <v>162574</v>
          </cell>
          <cell r="G713" t="str">
            <v>Stredná odborná škola veterinárna</v>
          </cell>
          <cell r="H713" t="str">
            <v>Košice-Barca</v>
          </cell>
          <cell r="I713" t="str">
            <v>Námestie mladých poľnohospodárov 2</v>
          </cell>
          <cell r="J713">
            <v>12</v>
          </cell>
          <cell r="K713">
            <v>0</v>
          </cell>
          <cell r="L713">
            <v>70</v>
          </cell>
          <cell r="M713">
            <v>0</v>
          </cell>
          <cell r="N713">
            <v>0</v>
          </cell>
          <cell r="O713">
            <v>12</v>
          </cell>
          <cell r="P713">
            <v>4</v>
          </cell>
          <cell r="Q713">
            <v>0</v>
          </cell>
          <cell r="R713">
            <v>330</v>
          </cell>
          <cell r="S713">
            <v>339</v>
          </cell>
          <cell r="T713">
            <v>2345</v>
          </cell>
          <cell r="U713">
            <v>368.4</v>
          </cell>
        </row>
        <row r="714">
          <cell r="F714">
            <v>598071</v>
          </cell>
          <cell r="G714" t="str">
            <v>Gymnázium</v>
          </cell>
          <cell r="H714" t="str">
            <v>Košice-Juh</v>
          </cell>
          <cell r="I714" t="str">
            <v>Alejová 1</v>
          </cell>
          <cell r="J714">
            <v>17</v>
          </cell>
          <cell r="K714">
            <v>0</v>
          </cell>
          <cell r="L714">
            <v>57</v>
          </cell>
          <cell r="M714">
            <v>0</v>
          </cell>
          <cell r="N714">
            <v>1</v>
          </cell>
          <cell r="O714">
            <v>21</v>
          </cell>
          <cell r="P714">
            <v>3</v>
          </cell>
          <cell r="Q714">
            <v>8</v>
          </cell>
          <cell r="R714">
            <v>429</v>
          </cell>
          <cell r="S714">
            <v>161</v>
          </cell>
          <cell r="T714">
            <v>1909.5</v>
          </cell>
          <cell r="U714">
            <v>0</v>
          </cell>
        </row>
        <row r="715">
          <cell r="F715">
            <v>31946615</v>
          </cell>
          <cell r="G715" t="str">
            <v>Hotelová akadémia</v>
          </cell>
          <cell r="H715" t="str">
            <v>Košice-Juh</v>
          </cell>
          <cell r="I715" t="str">
            <v>Južná trieda 10</v>
          </cell>
          <cell r="J715">
            <v>30</v>
          </cell>
          <cell r="K715">
            <v>0</v>
          </cell>
          <cell r="L715">
            <v>107</v>
          </cell>
          <cell r="M715">
            <v>0</v>
          </cell>
          <cell r="N715">
            <v>0</v>
          </cell>
          <cell r="O715">
            <v>45</v>
          </cell>
          <cell r="P715">
            <v>3</v>
          </cell>
          <cell r="Q715">
            <v>0</v>
          </cell>
          <cell r="R715">
            <v>980</v>
          </cell>
          <cell r="S715">
            <v>135</v>
          </cell>
          <cell r="T715">
            <v>3584.5</v>
          </cell>
          <cell r="U715">
            <v>0</v>
          </cell>
        </row>
        <row r="716">
          <cell r="F716">
            <v>17078407</v>
          </cell>
          <cell r="G716" t="str">
            <v>Stredná odborná škola automobilová</v>
          </cell>
          <cell r="H716" t="str">
            <v>Košice-Juh</v>
          </cell>
          <cell r="I716" t="str">
            <v>Moldavská cesta 2</v>
          </cell>
          <cell r="J716">
            <v>17</v>
          </cell>
          <cell r="K716">
            <v>3</v>
          </cell>
          <cell r="L716">
            <v>49</v>
          </cell>
          <cell r="M716">
            <v>15</v>
          </cell>
          <cell r="N716">
            <v>7</v>
          </cell>
          <cell r="O716">
            <v>25</v>
          </cell>
          <cell r="P716">
            <v>0</v>
          </cell>
          <cell r="Q716">
            <v>137</v>
          </cell>
          <cell r="R716">
            <v>376</v>
          </cell>
          <cell r="S716">
            <v>0</v>
          </cell>
          <cell r="T716">
            <v>1641.5</v>
          </cell>
          <cell r="U716">
            <v>241.4</v>
          </cell>
        </row>
        <row r="717">
          <cell r="F717">
            <v>17078423</v>
          </cell>
          <cell r="G717" t="str">
            <v>Stredná odborná škola beauty služieb</v>
          </cell>
          <cell r="H717" t="str">
            <v>Košice-Juh</v>
          </cell>
          <cell r="I717" t="str">
            <v>Gemerská 1</v>
          </cell>
          <cell r="J717">
            <v>13</v>
          </cell>
          <cell r="K717">
            <v>3</v>
          </cell>
          <cell r="L717">
            <v>57</v>
          </cell>
          <cell r="M717">
            <v>13</v>
          </cell>
          <cell r="N717">
            <v>9</v>
          </cell>
          <cell r="O717">
            <v>17</v>
          </cell>
          <cell r="P717">
            <v>2</v>
          </cell>
          <cell r="Q717">
            <v>88</v>
          </cell>
          <cell r="R717">
            <v>396</v>
          </cell>
          <cell r="S717">
            <v>243</v>
          </cell>
          <cell r="T717">
            <v>1909.5</v>
          </cell>
          <cell r="U717">
            <v>0</v>
          </cell>
        </row>
        <row r="718">
          <cell r="F718">
            <v>893331</v>
          </cell>
          <cell r="G718" t="str">
            <v>Stredná odborná škola informačných technológií</v>
          </cell>
          <cell r="H718" t="str">
            <v>Košice-Juh</v>
          </cell>
          <cell r="I718" t="str">
            <v>Ostrovského 1</v>
          </cell>
          <cell r="J718">
            <v>14</v>
          </cell>
          <cell r="K718">
            <v>5</v>
          </cell>
          <cell r="L718">
            <v>38</v>
          </cell>
          <cell r="M718">
            <v>17</v>
          </cell>
          <cell r="N718">
            <v>11</v>
          </cell>
          <cell r="O718">
            <v>23</v>
          </cell>
          <cell r="P718">
            <v>0</v>
          </cell>
          <cell r="Q718">
            <v>288</v>
          </cell>
          <cell r="R718">
            <v>340</v>
          </cell>
          <cell r="S718">
            <v>0</v>
          </cell>
          <cell r="T718">
            <v>1273</v>
          </cell>
          <cell r="U718">
            <v>448.8</v>
          </cell>
        </row>
        <row r="719">
          <cell r="F719">
            <v>159433</v>
          </cell>
          <cell r="G719" t="str">
            <v>Stredná odborná škola poľnohospodárstva a služieb na vidieku</v>
          </cell>
          <cell r="H719" t="str">
            <v>Košice-Juh</v>
          </cell>
          <cell r="I719" t="str">
            <v>Kukučínova 23</v>
          </cell>
          <cell r="J719">
            <v>7</v>
          </cell>
          <cell r="K719">
            <v>0</v>
          </cell>
          <cell r="L719">
            <v>35</v>
          </cell>
          <cell r="M719">
            <v>0</v>
          </cell>
          <cell r="N719">
            <v>0</v>
          </cell>
          <cell r="O719">
            <v>10</v>
          </cell>
          <cell r="P719">
            <v>1</v>
          </cell>
          <cell r="Q719">
            <v>0</v>
          </cell>
          <cell r="R719">
            <v>297</v>
          </cell>
          <cell r="S719">
            <v>60</v>
          </cell>
          <cell r="T719">
            <v>1172.5</v>
          </cell>
          <cell r="U719">
            <v>0</v>
          </cell>
        </row>
        <row r="720">
          <cell r="F720">
            <v>893340</v>
          </cell>
          <cell r="G720" t="str">
            <v>Stredná odborná škola technická</v>
          </cell>
          <cell r="H720" t="str">
            <v>Košice-Juh</v>
          </cell>
          <cell r="I720" t="str">
            <v>Kukučínova 23</v>
          </cell>
          <cell r="J720">
            <v>16</v>
          </cell>
          <cell r="K720">
            <v>0</v>
          </cell>
          <cell r="L720">
            <v>86</v>
          </cell>
          <cell r="M720">
            <v>0</v>
          </cell>
          <cell r="N720">
            <v>0</v>
          </cell>
          <cell r="O720">
            <v>16</v>
          </cell>
          <cell r="P720">
            <v>3</v>
          </cell>
          <cell r="Q720">
            <v>0</v>
          </cell>
          <cell r="R720">
            <v>402</v>
          </cell>
          <cell r="S720">
            <v>283</v>
          </cell>
          <cell r="T720">
            <v>2881</v>
          </cell>
          <cell r="U720">
            <v>0</v>
          </cell>
        </row>
        <row r="721">
          <cell r="F721">
            <v>606758</v>
          </cell>
          <cell r="G721" t="str">
            <v>Stredná zdravotnícka škola</v>
          </cell>
          <cell r="H721" t="str">
            <v>Košice-Juh</v>
          </cell>
          <cell r="I721" t="str">
            <v>Kukučínova 40</v>
          </cell>
          <cell r="J721">
            <v>6</v>
          </cell>
          <cell r="K721">
            <v>9</v>
          </cell>
          <cell r="L721">
            <v>34</v>
          </cell>
          <cell r="M721">
            <v>21</v>
          </cell>
          <cell r="N721">
            <v>9</v>
          </cell>
          <cell r="O721">
            <v>14</v>
          </cell>
          <cell r="P721">
            <v>1</v>
          </cell>
          <cell r="Q721">
            <v>167</v>
          </cell>
          <cell r="R721">
            <v>212</v>
          </cell>
          <cell r="S721">
            <v>40</v>
          </cell>
          <cell r="T721">
            <v>1139</v>
          </cell>
          <cell r="U721">
            <v>1776.83</v>
          </cell>
        </row>
        <row r="722">
          <cell r="F722">
            <v>31956688</v>
          </cell>
          <cell r="G722" t="str">
            <v>Obchodná akadémia</v>
          </cell>
          <cell r="H722" t="str">
            <v>Košice-Nad jazerom</v>
          </cell>
          <cell r="I722" t="str">
            <v>Polárna 1</v>
          </cell>
          <cell r="J722">
            <v>3</v>
          </cell>
          <cell r="K722">
            <v>0</v>
          </cell>
          <cell r="L722">
            <v>18</v>
          </cell>
          <cell r="M722">
            <v>0</v>
          </cell>
          <cell r="N722">
            <v>0</v>
          </cell>
          <cell r="O722">
            <v>3</v>
          </cell>
          <cell r="P722">
            <v>1</v>
          </cell>
          <cell r="Q722">
            <v>0</v>
          </cell>
          <cell r="R722">
            <v>167</v>
          </cell>
          <cell r="S722">
            <v>71</v>
          </cell>
          <cell r="T722">
            <v>603</v>
          </cell>
          <cell r="U722">
            <v>0</v>
          </cell>
        </row>
        <row r="723">
          <cell r="F723">
            <v>162159</v>
          </cell>
          <cell r="G723" t="str">
            <v>Gymnázium</v>
          </cell>
          <cell r="H723" t="str">
            <v>Košice-Vyšné Opátske</v>
          </cell>
          <cell r="I723" t="str">
            <v>Opatovská cesta 7</v>
          </cell>
          <cell r="J723">
            <v>17</v>
          </cell>
          <cell r="K723">
            <v>0</v>
          </cell>
          <cell r="L723">
            <v>47</v>
          </cell>
          <cell r="M723">
            <v>0</v>
          </cell>
          <cell r="N723">
            <v>0</v>
          </cell>
          <cell r="O723">
            <v>19</v>
          </cell>
          <cell r="P723">
            <v>1</v>
          </cell>
          <cell r="Q723">
            <v>0</v>
          </cell>
          <cell r="R723">
            <v>381</v>
          </cell>
          <cell r="S723">
            <v>140</v>
          </cell>
          <cell r="T723">
            <v>1574.5</v>
          </cell>
          <cell r="U723">
            <v>0</v>
          </cell>
        </row>
        <row r="724">
          <cell r="F724">
            <v>17151341</v>
          </cell>
          <cell r="G724" t="str">
            <v>Gymnázium</v>
          </cell>
          <cell r="H724" t="str">
            <v>Michalovce</v>
          </cell>
          <cell r="I724" t="str">
            <v>Ľ. Štúra 26</v>
          </cell>
          <cell r="J724">
            <v>7</v>
          </cell>
          <cell r="K724">
            <v>0</v>
          </cell>
          <cell r="L724">
            <v>26</v>
          </cell>
          <cell r="M724">
            <v>0</v>
          </cell>
          <cell r="N724">
            <v>1</v>
          </cell>
          <cell r="O724">
            <v>9</v>
          </cell>
          <cell r="P724">
            <v>1</v>
          </cell>
          <cell r="Q724">
            <v>1</v>
          </cell>
          <cell r="R724">
            <v>210</v>
          </cell>
          <cell r="S724">
            <v>159</v>
          </cell>
          <cell r="T724">
            <v>871</v>
          </cell>
          <cell r="U724">
            <v>0</v>
          </cell>
        </row>
        <row r="725">
          <cell r="F725">
            <v>161063</v>
          </cell>
          <cell r="G725" t="str">
            <v>Gymnázium Pavla Horova</v>
          </cell>
          <cell r="H725" t="str">
            <v>Michalovce</v>
          </cell>
          <cell r="I725" t="str">
            <v>Masarykova 1</v>
          </cell>
          <cell r="J725">
            <v>22</v>
          </cell>
          <cell r="K725">
            <v>0</v>
          </cell>
          <cell r="L725">
            <v>67</v>
          </cell>
          <cell r="M725">
            <v>0</v>
          </cell>
          <cell r="N725">
            <v>2</v>
          </cell>
          <cell r="O725">
            <v>20</v>
          </cell>
          <cell r="P725">
            <v>3</v>
          </cell>
          <cell r="Q725">
            <v>66</v>
          </cell>
          <cell r="R725">
            <v>416</v>
          </cell>
          <cell r="S725">
            <v>302</v>
          </cell>
          <cell r="T725">
            <v>2244.5</v>
          </cell>
          <cell r="U725">
            <v>0</v>
          </cell>
        </row>
        <row r="726">
          <cell r="F726">
            <v>31953549</v>
          </cell>
          <cell r="G726" t="str">
            <v>Obchodná akadémia</v>
          </cell>
          <cell r="H726" t="str">
            <v>Michalovce</v>
          </cell>
          <cell r="I726" t="str">
            <v>Kapušianska 2</v>
          </cell>
          <cell r="J726">
            <v>6</v>
          </cell>
          <cell r="K726">
            <v>0</v>
          </cell>
          <cell r="L726">
            <v>17</v>
          </cell>
          <cell r="M726">
            <v>0</v>
          </cell>
          <cell r="N726">
            <v>0</v>
          </cell>
          <cell r="O726">
            <v>9</v>
          </cell>
          <cell r="P726">
            <v>0</v>
          </cell>
          <cell r="Q726">
            <v>0</v>
          </cell>
          <cell r="R726">
            <v>170</v>
          </cell>
          <cell r="S726">
            <v>0</v>
          </cell>
          <cell r="T726">
            <v>569.5</v>
          </cell>
          <cell r="U726">
            <v>126.8</v>
          </cell>
        </row>
        <row r="727">
          <cell r="F727">
            <v>17078385</v>
          </cell>
          <cell r="G727" t="str">
            <v>Stredná odborná škola obchodu a služieb</v>
          </cell>
          <cell r="H727" t="str">
            <v>Michalovce</v>
          </cell>
          <cell r="I727" t="str">
            <v>Školská 4</v>
          </cell>
          <cell r="J727">
            <v>12</v>
          </cell>
          <cell r="K727">
            <v>0</v>
          </cell>
          <cell r="L727">
            <v>38</v>
          </cell>
          <cell r="M727">
            <v>0</v>
          </cell>
          <cell r="N727">
            <v>3</v>
          </cell>
          <cell r="O727">
            <v>12</v>
          </cell>
          <cell r="P727">
            <v>2</v>
          </cell>
          <cell r="Q727">
            <v>61</v>
          </cell>
          <cell r="R727">
            <v>160</v>
          </cell>
          <cell r="S727">
            <v>58</v>
          </cell>
          <cell r="T727">
            <v>1273</v>
          </cell>
          <cell r="U727">
            <v>37.1</v>
          </cell>
        </row>
        <row r="728">
          <cell r="F728">
            <v>42096651</v>
          </cell>
          <cell r="G728" t="str">
            <v>Stredná odborná škola technická</v>
          </cell>
          <cell r="H728" t="str">
            <v>Michalovce</v>
          </cell>
          <cell r="I728" t="str">
            <v>Partizánska 1</v>
          </cell>
          <cell r="J728">
            <v>30</v>
          </cell>
          <cell r="K728">
            <v>3</v>
          </cell>
          <cell r="L728">
            <v>85</v>
          </cell>
          <cell r="M728">
            <v>3</v>
          </cell>
          <cell r="N728">
            <v>5</v>
          </cell>
          <cell r="O728">
            <v>34</v>
          </cell>
          <cell r="P728">
            <v>2</v>
          </cell>
          <cell r="Q728">
            <v>35</v>
          </cell>
          <cell r="R728">
            <v>797</v>
          </cell>
          <cell r="S728">
            <v>125</v>
          </cell>
          <cell r="T728">
            <v>2847.5</v>
          </cell>
          <cell r="U728">
            <v>299.60000000000002</v>
          </cell>
        </row>
        <row r="729">
          <cell r="F729">
            <v>606782</v>
          </cell>
          <cell r="G729" t="str">
            <v>Stredná zdravotnícka škola</v>
          </cell>
          <cell r="H729" t="str">
            <v>Michalovce</v>
          </cell>
          <cell r="I729" t="str">
            <v>Masarykova 27</v>
          </cell>
          <cell r="J729">
            <v>25</v>
          </cell>
          <cell r="K729">
            <v>2</v>
          </cell>
          <cell r="L729">
            <v>89</v>
          </cell>
          <cell r="M729">
            <v>6</v>
          </cell>
          <cell r="N729">
            <v>4</v>
          </cell>
          <cell r="O729">
            <v>34</v>
          </cell>
          <cell r="P729">
            <v>0</v>
          </cell>
          <cell r="Q729">
            <v>99</v>
          </cell>
          <cell r="R729">
            <v>828</v>
          </cell>
          <cell r="S729">
            <v>0</v>
          </cell>
          <cell r="T729">
            <v>2981.5</v>
          </cell>
          <cell r="U729">
            <v>2651.07</v>
          </cell>
        </row>
        <row r="730">
          <cell r="F730">
            <v>42104980</v>
          </cell>
          <cell r="G730" t="str">
            <v>Stredná odborná škola dopravy a služieb</v>
          </cell>
          <cell r="H730" t="str">
            <v>Strážske</v>
          </cell>
          <cell r="I730" t="str">
            <v>Mierová 727</v>
          </cell>
          <cell r="J730">
            <v>4</v>
          </cell>
          <cell r="K730">
            <v>0</v>
          </cell>
          <cell r="L730">
            <v>20</v>
          </cell>
          <cell r="M730">
            <v>0</v>
          </cell>
          <cell r="N730">
            <v>0</v>
          </cell>
          <cell r="O730">
            <v>5</v>
          </cell>
          <cell r="P730">
            <v>0</v>
          </cell>
          <cell r="Q730">
            <v>0</v>
          </cell>
          <cell r="R730">
            <v>212</v>
          </cell>
          <cell r="S730">
            <v>0</v>
          </cell>
          <cell r="T730">
            <v>670</v>
          </cell>
          <cell r="U730">
            <v>134.80000000000001</v>
          </cell>
        </row>
        <row r="731">
          <cell r="F731">
            <v>161250</v>
          </cell>
          <cell r="G731" t="str">
            <v>Gymnázium - Gimnázium</v>
          </cell>
          <cell r="H731" t="str">
            <v>Veľké Kapušany</v>
          </cell>
          <cell r="I731" t="str">
            <v>Zoltána Fábryho 1</v>
          </cell>
          <cell r="J731">
            <v>10</v>
          </cell>
          <cell r="K731">
            <v>1</v>
          </cell>
          <cell r="L731">
            <v>18</v>
          </cell>
          <cell r="M731">
            <v>2</v>
          </cell>
          <cell r="N731">
            <v>2</v>
          </cell>
          <cell r="O731">
            <v>10</v>
          </cell>
          <cell r="P731">
            <v>1</v>
          </cell>
          <cell r="Q731">
            <v>55</v>
          </cell>
          <cell r="R731">
            <v>161</v>
          </cell>
          <cell r="S731">
            <v>29</v>
          </cell>
          <cell r="T731">
            <v>603</v>
          </cell>
          <cell r="U731">
            <v>52</v>
          </cell>
        </row>
        <row r="732">
          <cell r="F732">
            <v>17055393</v>
          </cell>
          <cell r="G732" t="str">
            <v>Stredná odborná škola techniky a služieb - Műszaki és Szolgáltóipari Szakközépiskola</v>
          </cell>
          <cell r="H732" t="str">
            <v>Veľké Kapušany</v>
          </cell>
          <cell r="I732" t="str">
            <v>Janka Kráľa 25</v>
          </cell>
          <cell r="J732">
            <v>8</v>
          </cell>
          <cell r="K732">
            <v>0</v>
          </cell>
          <cell r="L732">
            <v>16</v>
          </cell>
          <cell r="M732">
            <v>0</v>
          </cell>
          <cell r="N732">
            <v>0</v>
          </cell>
          <cell r="O732">
            <v>14</v>
          </cell>
          <cell r="P732">
            <v>2</v>
          </cell>
          <cell r="Q732">
            <v>0</v>
          </cell>
          <cell r="R732">
            <v>105</v>
          </cell>
          <cell r="S732">
            <v>28</v>
          </cell>
          <cell r="T732">
            <v>536</v>
          </cell>
          <cell r="U732">
            <v>0</v>
          </cell>
        </row>
        <row r="733">
          <cell r="F733">
            <v>53966864</v>
          </cell>
          <cell r="G733" t="str">
            <v>Stredná odborná škola techniky a služieb</v>
          </cell>
          <cell r="H733" t="str">
            <v>Dobšiná</v>
          </cell>
          <cell r="I733" t="str">
            <v>SNP 607</v>
          </cell>
          <cell r="J733">
            <v>9</v>
          </cell>
          <cell r="K733">
            <v>0</v>
          </cell>
          <cell r="L733">
            <v>26</v>
          </cell>
          <cell r="M733">
            <v>0</v>
          </cell>
          <cell r="N733">
            <v>1</v>
          </cell>
          <cell r="O733">
            <v>15</v>
          </cell>
          <cell r="P733">
            <v>1</v>
          </cell>
          <cell r="Q733">
            <v>4</v>
          </cell>
          <cell r="R733">
            <v>171</v>
          </cell>
          <cell r="S733">
            <v>25</v>
          </cell>
          <cell r="T733">
            <v>871</v>
          </cell>
          <cell r="U733">
            <v>232.4</v>
          </cell>
        </row>
        <row r="734">
          <cell r="F734">
            <v>161144</v>
          </cell>
          <cell r="G734" t="str">
            <v>Gymnázium Pavla Jozefa Šafárika - Pavol Jozef Šafárik Gimnázium</v>
          </cell>
          <cell r="H734" t="str">
            <v>Rožňava</v>
          </cell>
          <cell r="I734" t="str">
            <v>Akademika Hronca 1</v>
          </cell>
          <cell r="J734">
            <v>6</v>
          </cell>
          <cell r="K734">
            <v>0</v>
          </cell>
          <cell r="L734">
            <v>16</v>
          </cell>
          <cell r="M734">
            <v>0</v>
          </cell>
          <cell r="N734">
            <v>1</v>
          </cell>
          <cell r="O734">
            <v>7</v>
          </cell>
          <cell r="P734">
            <v>1</v>
          </cell>
          <cell r="Q734">
            <v>12</v>
          </cell>
          <cell r="R734">
            <v>117</v>
          </cell>
          <cell r="S734">
            <v>56</v>
          </cell>
          <cell r="T734">
            <v>536</v>
          </cell>
          <cell r="U734">
            <v>30.9</v>
          </cell>
        </row>
        <row r="735">
          <cell r="F735">
            <v>162205</v>
          </cell>
          <cell r="G735" t="str">
            <v>Obchodná akadémia</v>
          </cell>
          <cell r="H735" t="str">
            <v>Rožňava</v>
          </cell>
          <cell r="I735" t="str">
            <v>Akademika Hronca 8</v>
          </cell>
          <cell r="J735">
            <v>2</v>
          </cell>
          <cell r="K735">
            <v>2</v>
          </cell>
          <cell r="L735">
            <v>12</v>
          </cell>
          <cell r="M735">
            <v>7</v>
          </cell>
          <cell r="N735">
            <v>4</v>
          </cell>
          <cell r="O735">
            <v>3</v>
          </cell>
          <cell r="P735">
            <v>1</v>
          </cell>
          <cell r="Q735">
            <v>80</v>
          </cell>
          <cell r="R735">
            <v>132</v>
          </cell>
          <cell r="S735">
            <v>94</v>
          </cell>
          <cell r="T735">
            <v>402</v>
          </cell>
          <cell r="U735">
            <v>0</v>
          </cell>
        </row>
        <row r="736">
          <cell r="F736">
            <v>617652</v>
          </cell>
          <cell r="G736" t="str">
            <v>Stredná odborná škola obchodu a služieb</v>
          </cell>
          <cell r="H736" t="str">
            <v>Rožňava</v>
          </cell>
          <cell r="I736" t="str">
            <v>Rožňavská Baňa 211</v>
          </cell>
          <cell r="J736">
            <v>6</v>
          </cell>
          <cell r="K736">
            <v>0</v>
          </cell>
          <cell r="L736">
            <v>20</v>
          </cell>
          <cell r="M736">
            <v>0</v>
          </cell>
          <cell r="N736">
            <v>0</v>
          </cell>
          <cell r="O736">
            <v>14</v>
          </cell>
          <cell r="P736">
            <v>1</v>
          </cell>
          <cell r="Q736">
            <v>0</v>
          </cell>
          <cell r="R736">
            <v>110</v>
          </cell>
          <cell r="S736">
            <v>93</v>
          </cell>
          <cell r="T736">
            <v>670</v>
          </cell>
          <cell r="U736">
            <v>0</v>
          </cell>
        </row>
        <row r="737">
          <cell r="F737">
            <v>17050545</v>
          </cell>
          <cell r="G737" t="str">
            <v>Stredná odborná škola technická</v>
          </cell>
          <cell r="H737" t="str">
            <v>Rožňava</v>
          </cell>
          <cell r="I737" t="str">
            <v>Hviezdoslavova 5</v>
          </cell>
          <cell r="J737">
            <v>8</v>
          </cell>
          <cell r="K737">
            <v>0</v>
          </cell>
          <cell r="L737">
            <v>19</v>
          </cell>
          <cell r="M737">
            <v>0</v>
          </cell>
          <cell r="N737">
            <v>2</v>
          </cell>
          <cell r="O737">
            <v>16</v>
          </cell>
          <cell r="P737">
            <v>1</v>
          </cell>
          <cell r="Q737">
            <v>40</v>
          </cell>
          <cell r="R737">
            <v>165</v>
          </cell>
          <cell r="S737">
            <v>16</v>
          </cell>
          <cell r="T737">
            <v>636.5</v>
          </cell>
          <cell r="U737">
            <v>157.9</v>
          </cell>
        </row>
        <row r="738">
          <cell r="F738">
            <v>606812</v>
          </cell>
          <cell r="G738" t="str">
            <v>Stredná zdravotnícka škola - Egészségügyi Középiskola</v>
          </cell>
          <cell r="H738" t="str">
            <v>Rožňava</v>
          </cell>
          <cell r="I738" t="str">
            <v>Námestie 1. mája č. 1</v>
          </cell>
          <cell r="J738">
            <v>19</v>
          </cell>
          <cell r="K738">
            <v>1</v>
          </cell>
          <cell r="L738">
            <v>76</v>
          </cell>
          <cell r="M738">
            <v>1</v>
          </cell>
          <cell r="N738">
            <v>2</v>
          </cell>
          <cell r="O738">
            <v>29</v>
          </cell>
          <cell r="P738">
            <v>1</v>
          </cell>
          <cell r="Q738">
            <v>22</v>
          </cell>
          <cell r="R738">
            <v>677</v>
          </cell>
          <cell r="S738">
            <v>57</v>
          </cell>
          <cell r="T738">
            <v>2546</v>
          </cell>
          <cell r="U738">
            <v>3069.1</v>
          </cell>
        </row>
        <row r="739">
          <cell r="F739">
            <v>161187</v>
          </cell>
          <cell r="G739" t="str">
            <v>Gymnázium</v>
          </cell>
          <cell r="H739" t="str">
            <v>Sobrance</v>
          </cell>
          <cell r="I739" t="str">
            <v>Kpt. Nálepku 6</v>
          </cell>
          <cell r="J739">
            <v>8</v>
          </cell>
          <cell r="K739">
            <v>0</v>
          </cell>
          <cell r="L739">
            <v>23</v>
          </cell>
          <cell r="M739">
            <v>0</v>
          </cell>
          <cell r="N739">
            <v>0</v>
          </cell>
          <cell r="O739">
            <v>8</v>
          </cell>
          <cell r="P739">
            <v>1</v>
          </cell>
          <cell r="Q739">
            <v>0</v>
          </cell>
          <cell r="R739">
            <v>185</v>
          </cell>
          <cell r="S739">
            <v>19</v>
          </cell>
          <cell r="T739">
            <v>770.5</v>
          </cell>
          <cell r="U739">
            <v>185.1</v>
          </cell>
        </row>
        <row r="740">
          <cell r="F740">
            <v>35568364</v>
          </cell>
          <cell r="G740" t="str">
            <v>Stredná odborná škola obchodu a služieb</v>
          </cell>
          <cell r="H740" t="str">
            <v>Sobrance</v>
          </cell>
          <cell r="I740" t="str">
            <v>Námestie slobody 12</v>
          </cell>
          <cell r="J740">
            <v>6</v>
          </cell>
          <cell r="K740">
            <v>0</v>
          </cell>
          <cell r="L740">
            <v>26</v>
          </cell>
          <cell r="M740">
            <v>0</v>
          </cell>
          <cell r="N740">
            <v>0</v>
          </cell>
          <cell r="O740">
            <v>6</v>
          </cell>
          <cell r="P740">
            <v>2</v>
          </cell>
          <cell r="Q740">
            <v>0</v>
          </cell>
          <cell r="R740">
            <v>190</v>
          </cell>
          <cell r="S740">
            <v>132</v>
          </cell>
          <cell r="T740">
            <v>871</v>
          </cell>
          <cell r="U740">
            <v>121.5</v>
          </cell>
        </row>
        <row r="741">
          <cell r="F741">
            <v>161021</v>
          </cell>
          <cell r="G741" t="str">
            <v>Gymnázium</v>
          </cell>
          <cell r="H741" t="str">
            <v>Krompachy</v>
          </cell>
          <cell r="I741" t="str">
            <v>Lorencova ulica 46</v>
          </cell>
          <cell r="J741">
            <v>5</v>
          </cell>
          <cell r="K741">
            <v>0</v>
          </cell>
          <cell r="L741">
            <v>9</v>
          </cell>
          <cell r="M741">
            <v>0</v>
          </cell>
          <cell r="N741">
            <v>0</v>
          </cell>
          <cell r="O741">
            <v>6</v>
          </cell>
          <cell r="P741">
            <v>0</v>
          </cell>
          <cell r="Q741">
            <v>0</v>
          </cell>
          <cell r="R741">
            <v>70</v>
          </cell>
          <cell r="S741">
            <v>0</v>
          </cell>
          <cell r="T741">
            <v>301.5</v>
          </cell>
          <cell r="U741">
            <v>68.400000000000006</v>
          </cell>
        </row>
        <row r="742">
          <cell r="F742">
            <v>161195</v>
          </cell>
          <cell r="G742" t="str">
            <v>Gymnázium</v>
          </cell>
          <cell r="H742" t="str">
            <v>Spišská Nová Ves</v>
          </cell>
          <cell r="I742" t="str">
            <v>Školská 7</v>
          </cell>
          <cell r="J742">
            <v>17</v>
          </cell>
          <cell r="K742">
            <v>0</v>
          </cell>
          <cell r="L742">
            <v>34</v>
          </cell>
          <cell r="M742">
            <v>0</v>
          </cell>
          <cell r="N742">
            <v>2</v>
          </cell>
          <cell r="O742">
            <v>14</v>
          </cell>
          <cell r="P742">
            <v>3</v>
          </cell>
          <cell r="Q742">
            <v>4</v>
          </cell>
          <cell r="R742">
            <v>118</v>
          </cell>
          <cell r="S742">
            <v>48</v>
          </cell>
          <cell r="T742">
            <v>1139</v>
          </cell>
          <cell r="U742">
            <v>57.7</v>
          </cell>
        </row>
        <row r="743">
          <cell r="F743">
            <v>17151589</v>
          </cell>
          <cell r="G743" t="str">
            <v>Gymnázium</v>
          </cell>
          <cell r="H743" t="str">
            <v>Spišská Nová Ves</v>
          </cell>
          <cell r="I743" t="str">
            <v>Javorová 16</v>
          </cell>
          <cell r="J743">
            <v>15</v>
          </cell>
          <cell r="K743">
            <v>0</v>
          </cell>
          <cell r="L743">
            <v>28</v>
          </cell>
          <cell r="M743">
            <v>0</v>
          </cell>
          <cell r="N743">
            <v>4</v>
          </cell>
          <cell r="O743">
            <v>13</v>
          </cell>
          <cell r="P743">
            <v>1</v>
          </cell>
          <cell r="Q743">
            <v>26</v>
          </cell>
          <cell r="R743">
            <v>129</v>
          </cell>
          <cell r="S743">
            <v>22</v>
          </cell>
          <cell r="T743">
            <v>938</v>
          </cell>
          <cell r="U743">
            <v>40.85</v>
          </cell>
        </row>
        <row r="744">
          <cell r="F744">
            <v>17078504</v>
          </cell>
          <cell r="G744" t="str">
            <v>Hotelová akadémia</v>
          </cell>
          <cell r="H744" t="str">
            <v>Spišská Nová Ves</v>
          </cell>
          <cell r="I744" t="str">
            <v>Radničné námestie 300/1</v>
          </cell>
          <cell r="J744">
            <v>9</v>
          </cell>
          <cell r="K744">
            <v>0</v>
          </cell>
          <cell r="L744">
            <v>36</v>
          </cell>
          <cell r="M744">
            <v>0</v>
          </cell>
          <cell r="N744">
            <v>0</v>
          </cell>
          <cell r="O744">
            <v>15</v>
          </cell>
          <cell r="P744">
            <v>1</v>
          </cell>
          <cell r="Q744">
            <v>0</v>
          </cell>
          <cell r="R744">
            <v>270</v>
          </cell>
          <cell r="S744">
            <v>34</v>
          </cell>
          <cell r="T744">
            <v>1206</v>
          </cell>
          <cell r="U744">
            <v>0</v>
          </cell>
        </row>
        <row r="745">
          <cell r="F745">
            <v>42096642</v>
          </cell>
          <cell r="G745" t="str">
            <v>Stredná odborná škola drevárska</v>
          </cell>
          <cell r="H745" t="str">
            <v>Spišská Nová Ves</v>
          </cell>
          <cell r="I745" t="str">
            <v>Filinského 7</v>
          </cell>
          <cell r="J745">
            <v>13</v>
          </cell>
          <cell r="K745">
            <v>0</v>
          </cell>
          <cell r="L745">
            <v>41</v>
          </cell>
          <cell r="M745">
            <v>0</v>
          </cell>
          <cell r="N745">
            <v>5</v>
          </cell>
          <cell r="O745">
            <v>15</v>
          </cell>
          <cell r="P745">
            <v>1</v>
          </cell>
          <cell r="Q745">
            <v>72</v>
          </cell>
          <cell r="R745">
            <v>294</v>
          </cell>
          <cell r="S745">
            <v>64</v>
          </cell>
          <cell r="T745">
            <v>1373.5</v>
          </cell>
          <cell r="U745">
            <v>33.049999999999997</v>
          </cell>
        </row>
        <row r="746">
          <cell r="F746">
            <v>35568381</v>
          </cell>
          <cell r="G746" t="str">
            <v>Stredná odborná škola ekonomická</v>
          </cell>
          <cell r="H746" t="str">
            <v>Spišská Nová Ves</v>
          </cell>
          <cell r="I746" t="str">
            <v>Stojan 1</v>
          </cell>
          <cell r="J746">
            <v>8</v>
          </cell>
          <cell r="K746">
            <v>0</v>
          </cell>
          <cell r="L746">
            <v>35</v>
          </cell>
          <cell r="M746">
            <v>0</v>
          </cell>
          <cell r="N746">
            <v>0</v>
          </cell>
          <cell r="O746">
            <v>9</v>
          </cell>
          <cell r="P746">
            <v>1</v>
          </cell>
          <cell r="Q746">
            <v>0</v>
          </cell>
          <cell r="R746">
            <v>309</v>
          </cell>
          <cell r="S746">
            <v>49</v>
          </cell>
          <cell r="T746">
            <v>1172.5</v>
          </cell>
          <cell r="U746">
            <v>0</v>
          </cell>
        </row>
        <row r="747">
          <cell r="F747">
            <v>17078491</v>
          </cell>
          <cell r="G747" t="str">
            <v>Stredná odborná škola techniky a služieb</v>
          </cell>
          <cell r="H747" t="str">
            <v>Spišská Nová Ves</v>
          </cell>
          <cell r="I747" t="str">
            <v>Markušovská cesta 4</v>
          </cell>
          <cell r="J747">
            <v>28</v>
          </cell>
          <cell r="K747">
            <v>0</v>
          </cell>
          <cell r="L747">
            <v>97</v>
          </cell>
          <cell r="M747">
            <v>0</v>
          </cell>
          <cell r="N747">
            <v>0</v>
          </cell>
          <cell r="O747">
            <v>47</v>
          </cell>
          <cell r="P747">
            <v>1</v>
          </cell>
          <cell r="Q747">
            <v>0</v>
          </cell>
          <cell r="R747">
            <v>671</v>
          </cell>
          <cell r="S747">
            <v>119</v>
          </cell>
          <cell r="T747">
            <v>3249.5</v>
          </cell>
          <cell r="U747">
            <v>428.8</v>
          </cell>
        </row>
        <row r="748">
          <cell r="F748">
            <v>521663</v>
          </cell>
          <cell r="G748" t="str">
            <v>Stredná priemyselná škola technická</v>
          </cell>
          <cell r="H748" t="str">
            <v>Spišská Nová Ves</v>
          </cell>
          <cell r="I748" t="str">
            <v>Hviezdoslavova 6</v>
          </cell>
          <cell r="J748">
            <v>15</v>
          </cell>
          <cell r="K748">
            <v>0</v>
          </cell>
          <cell r="L748">
            <v>49</v>
          </cell>
          <cell r="M748">
            <v>0</v>
          </cell>
          <cell r="N748">
            <v>2</v>
          </cell>
          <cell r="O748">
            <v>16</v>
          </cell>
          <cell r="P748">
            <v>1</v>
          </cell>
          <cell r="Q748">
            <v>2</v>
          </cell>
          <cell r="R748">
            <v>314</v>
          </cell>
          <cell r="S748">
            <v>76</v>
          </cell>
          <cell r="T748">
            <v>1641.5</v>
          </cell>
          <cell r="U748">
            <v>0</v>
          </cell>
        </row>
        <row r="749">
          <cell r="F749">
            <v>161012</v>
          </cell>
          <cell r="G749" t="str">
            <v>Gymnázium - Gimnázium</v>
          </cell>
          <cell r="H749" t="str">
            <v>Kráľovský Chlmec</v>
          </cell>
          <cell r="I749" t="str">
            <v>Horešská 18</v>
          </cell>
          <cell r="J749">
            <v>12</v>
          </cell>
          <cell r="K749">
            <v>0</v>
          </cell>
          <cell r="L749">
            <v>30</v>
          </cell>
          <cell r="M749">
            <v>0</v>
          </cell>
          <cell r="N749">
            <v>3</v>
          </cell>
          <cell r="O749">
            <v>13</v>
          </cell>
          <cell r="P749">
            <v>2</v>
          </cell>
          <cell r="Q749">
            <v>29</v>
          </cell>
          <cell r="R749">
            <v>143</v>
          </cell>
          <cell r="S749">
            <v>63</v>
          </cell>
          <cell r="T749">
            <v>1005</v>
          </cell>
          <cell r="U749">
            <v>9.3000000000000007</v>
          </cell>
        </row>
        <row r="750">
          <cell r="F750">
            <v>35568330</v>
          </cell>
          <cell r="G750" t="str">
            <v>Stredná odborná škola techniky a remesiel - Műszaki Szakok és Mesterségek Szakközépiskola</v>
          </cell>
          <cell r="H750" t="str">
            <v>Kráľovský Chlmec</v>
          </cell>
          <cell r="I750" t="str">
            <v>Rákocziho 23</v>
          </cell>
          <cell r="J750">
            <v>10</v>
          </cell>
          <cell r="K750">
            <v>0</v>
          </cell>
          <cell r="L750">
            <v>12</v>
          </cell>
          <cell r="M750">
            <v>0</v>
          </cell>
          <cell r="N750">
            <v>1</v>
          </cell>
          <cell r="O750">
            <v>12</v>
          </cell>
          <cell r="P750">
            <v>0</v>
          </cell>
          <cell r="Q750">
            <v>17</v>
          </cell>
          <cell r="R750">
            <v>101</v>
          </cell>
          <cell r="S750">
            <v>0</v>
          </cell>
          <cell r="T750">
            <v>402</v>
          </cell>
          <cell r="U750">
            <v>11.5</v>
          </cell>
        </row>
        <row r="751">
          <cell r="F751">
            <v>159557</v>
          </cell>
          <cell r="G751" t="str">
            <v>Stredná odborná škola agrotechnických a gastronomických služieb - Agrártechnikai és Gasztronómiai Szolgáltatási Szakközépiskola</v>
          </cell>
          <cell r="H751" t="str">
            <v>Pribeník</v>
          </cell>
          <cell r="I751" t="str">
            <v>J. Majlátha 2</v>
          </cell>
          <cell r="J751">
            <v>7</v>
          </cell>
          <cell r="K751">
            <v>2</v>
          </cell>
          <cell r="L751">
            <v>21</v>
          </cell>
          <cell r="M751">
            <v>4</v>
          </cell>
          <cell r="N751">
            <v>9</v>
          </cell>
          <cell r="O751">
            <v>9</v>
          </cell>
          <cell r="P751">
            <v>1</v>
          </cell>
          <cell r="Q751">
            <v>81</v>
          </cell>
          <cell r="R751">
            <v>118</v>
          </cell>
          <cell r="S751">
            <v>51</v>
          </cell>
          <cell r="T751">
            <v>703.5</v>
          </cell>
          <cell r="U751">
            <v>0</v>
          </cell>
        </row>
        <row r="752">
          <cell r="F752">
            <v>35568356</v>
          </cell>
          <cell r="G752" t="str">
            <v>Spojená škola</v>
          </cell>
          <cell r="H752" t="str">
            <v>Sečovce</v>
          </cell>
          <cell r="I752" t="str">
            <v>Kollárova 17</v>
          </cell>
          <cell r="J752">
            <v>17</v>
          </cell>
          <cell r="K752">
            <v>0</v>
          </cell>
          <cell r="L752">
            <v>36</v>
          </cell>
          <cell r="M752">
            <v>0</v>
          </cell>
          <cell r="N752">
            <v>3</v>
          </cell>
          <cell r="O752">
            <v>22</v>
          </cell>
          <cell r="P752">
            <v>1</v>
          </cell>
          <cell r="Q752">
            <v>22</v>
          </cell>
          <cell r="R752">
            <v>179</v>
          </cell>
          <cell r="S752">
            <v>21</v>
          </cell>
          <cell r="T752">
            <v>1206</v>
          </cell>
          <cell r="U752">
            <v>196.55</v>
          </cell>
        </row>
        <row r="753">
          <cell r="F753">
            <v>161241</v>
          </cell>
          <cell r="G753" t="str">
            <v>Gymnázium</v>
          </cell>
          <cell r="H753" t="str">
            <v>Trebišov</v>
          </cell>
          <cell r="I753" t="str">
            <v>Komenského 32</v>
          </cell>
          <cell r="J753">
            <v>11</v>
          </cell>
          <cell r="K753">
            <v>0</v>
          </cell>
          <cell r="L753">
            <v>19</v>
          </cell>
          <cell r="M753">
            <v>0</v>
          </cell>
          <cell r="N753">
            <v>2</v>
          </cell>
          <cell r="O753">
            <v>10</v>
          </cell>
          <cell r="P753">
            <v>0</v>
          </cell>
          <cell r="Q753">
            <v>11</v>
          </cell>
          <cell r="R753">
            <v>159</v>
          </cell>
          <cell r="S753">
            <v>0</v>
          </cell>
          <cell r="T753">
            <v>636.5</v>
          </cell>
          <cell r="U753">
            <v>32.75</v>
          </cell>
        </row>
        <row r="754">
          <cell r="F754">
            <v>162213</v>
          </cell>
          <cell r="G754" t="str">
            <v>Obchodná akadémia</v>
          </cell>
          <cell r="H754" t="str">
            <v>Trebišov</v>
          </cell>
          <cell r="I754" t="str">
            <v>Komenského 3425/18</v>
          </cell>
          <cell r="J754">
            <v>6</v>
          </cell>
          <cell r="K754">
            <v>0</v>
          </cell>
          <cell r="L754">
            <v>26</v>
          </cell>
          <cell r="M754">
            <v>0</v>
          </cell>
          <cell r="N754">
            <v>0</v>
          </cell>
          <cell r="O754">
            <v>10</v>
          </cell>
          <cell r="P754">
            <v>1</v>
          </cell>
          <cell r="Q754">
            <v>0</v>
          </cell>
          <cell r="R754">
            <v>256</v>
          </cell>
          <cell r="S754">
            <v>37</v>
          </cell>
          <cell r="T754">
            <v>871</v>
          </cell>
          <cell r="U754">
            <v>0</v>
          </cell>
        </row>
        <row r="755">
          <cell r="F755">
            <v>42243378</v>
          </cell>
          <cell r="G755" t="str">
            <v>Spojená škola</v>
          </cell>
          <cell r="H755" t="str">
            <v>Rožňava</v>
          </cell>
          <cell r="I755" t="str">
            <v>J. A. Komenského 5</v>
          </cell>
          <cell r="J755">
            <v>1</v>
          </cell>
          <cell r="K755">
            <v>0</v>
          </cell>
          <cell r="L755">
            <v>1</v>
          </cell>
          <cell r="M755">
            <v>0</v>
          </cell>
          <cell r="N755">
            <v>0</v>
          </cell>
          <cell r="O755">
            <v>1</v>
          </cell>
          <cell r="P755">
            <v>0</v>
          </cell>
          <cell r="Q755">
            <v>0</v>
          </cell>
          <cell r="R755">
            <v>12</v>
          </cell>
          <cell r="S755">
            <v>0</v>
          </cell>
          <cell r="T755">
            <v>33.5</v>
          </cell>
          <cell r="U755">
            <v>0</v>
          </cell>
        </row>
        <row r="756">
          <cell r="F756">
            <v>31942733</v>
          </cell>
          <cell r="G756" t="str">
            <v>Cirkevná spojená škola</v>
          </cell>
          <cell r="H756" t="str">
            <v>Bardejov</v>
          </cell>
          <cell r="I756" t="str">
            <v>Jiráskova 5</v>
          </cell>
          <cell r="J756">
            <v>7</v>
          </cell>
          <cell r="K756">
            <v>0</v>
          </cell>
          <cell r="L756">
            <v>13</v>
          </cell>
          <cell r="M756">
            <v>0</v>
          </cell>
          <cell r="N756">
            <v>1</v>
          </cell>
          <cell r="O756">
            <v>10</v>
          </cell>
          <cell r="P756">
            <v>0</v>
          </cell>
          <cell r="Q756">
            <v>10</v>
          </cell>
          <cell r="R756">
            <v>91</v>
          </cell>
          <cell r="S756">
            <v>0</v>
          </cell>
          <cell r="T756">
            <v>435.5</v>
          </cell>
          <cell r="U756">
            <v>12.4</v>
          </cell>
        </row>
        <row r="757">
          <cell r="F757">
            <v>37938045</v>
          </cell>
          <cell r="G757" t="str">
            <v>Cirkevná spojená škola</v>
          </cell>
          <cell r="H757" t="str">
            <v>Humenné</v>
          </cell>
          <cell r="I757" t="str">
            <v>Duchnovičova 24</v>
          </cell>
          <cell r="J757">
            <v>9</v>
          </cell>
          <cell r="K757">
            <v>0</v>
          </cell>
          <cell r="L757">
            <v>18</v>
          </cell>
          <cell r="M757">
            <v>0</v>
          </cell>
          <cell r="N757">
            <v>2</v>
          </cell>
          <cell r="O757">
            <v>10</v>
          </cell>
          <cell r="P757">
            <v>1</v>
          </cell>
          <cell r="Q757">
            <v>13</v>
          </cell>
          <cell r="R757">
            <v>128</v>
          </cell>
          <cell r="S757">
            <v>30</v>
          </cell>
          <cell r="T757">
            <v>603</v>
          </cell>
          <cell r="U757">
            <v>0</v>
          </cell>
        </row>
        <row r="758">
          <cell r="F758">
            <v>50295829</v>
          </cell>
          <cell r="G758" t="str">
            <v>Cirkevná spojená škola</v>
          </cell>
          <cell r="H758" t="str">
            <v>Moldava nad Bodvou</v>
          </cell>
          <cell r="I758" t="str">
            <v>Ulica Československej armády 1450/39</v>
          </cell>
          <cell r="J758">
            <v>5</v>
          </cell>
          <cell r="K758">
            <v>0</v>
          </cell>
          <cell r="L758">
            <v>17</v>
          </cell>
          <cell r="M758">
            <v>0</v>
          </cell>
          <cell r="N758">
            <v>4</v>
          </cell>
          <cell r="O758">
            <v>5</v>
          </cell>
          <cell r="P758">
            <v>1</v>
          </cell>
          <cell r="Q758">
            <v>15</v>
          </cell>
          <cell r="R758">
            <v>33</v>
          </cell>
          <cell r="S758">
            <v>18</v>
          </cell>
          <cell r="T758">
            <v>569.5</v>
          </cell>
          <cell r="U758">
            <v>0</v>
          </cell>
        </row>
        <row r="759">
          <cell r="F759">
            <v>42319234</v>
          </cell>
          <cell r="G759" t="str">
            <v>Premonštrátske gymnázium</v>
          </cell>
          <cell r="H759" t="str">
            <v>Košice-Staré Mesto</v>
          </cell>
          <cell r="I759" t="str">
            <v>Kováčska 28</v>
          </cell>
          <cell r="J759">
            <v>12</v>
          </cell>
          <cell r="K759">
            <v>0</v>
          </cell>
          <cell r="L759">
            <v>22</v>
          </cell>
          <cell r="M759">
            <v>0</v>
          </cell>
          <cell r="N759">
            <v>0</v>
          </cell>
          <cell r="O759">
            <v>13</v>
          </cell>
          <cell r="P759">
            <v>1</v>
          </cell>
          <cell r="Q759">
            <v>0</v>
          </cell>
          <cell r="R759">
            <v>151</v>
          </cell>
          <cell r="S759">
            <v>17</v>
          </cell>
          <cell r="T759">
            <v>737</v>
          </cell>
          <cell r="U759">
            <v>0</v>
          </cell>
        </row>
        <row r="760">
          <cell r="F760">
            <v>618233</v>
          </cell>
          <cell r="G760" t="str">
            <v>Stredná zdravotnícka škola sv. Alžbety</v>
          </cell>
          <cell r="H760" t="str">
            <v>Košice-Staré Mesto</v>
          </cell>
          <cell r="I760" t="str">
            <v>Mäsiarska 25</v>
          </cell>
          <cell r="J760">
            <v>6</v>
          </cell>
          <cell r="K760">
            <v>0</v>
          </cell>
          <cell r="L760">
            <v>21</v>
          </cell>
          <cell r="M760">
            <v>0</v>
          </cell>
          <cell r="N760">
            <v>1</v>
          </cell>
          <cell r="O760">
            <v>11</v>
          </cell>
          <cell r="P760">
            <v>1</v>
          </cell>
          <cell r="Q760">
            <v>1</v>
          </cell>
          <cell r="R760">
            <v>188</v>
          </cell>
          <cell r="S760">
            <v>35</v>
          </cell>
          <cell r="T760">
            <v>703.5</v>
          </cell>
          <cell r="U760">
            <v>31.6</v>
          </cell>
        </row>
        <row r="761">
          <cell r="F761">
            <v>35561548</v>
          </cell>
          <cell r="G761" t="str">
            <v>Spojená škola sv. Košických mučeníkov</v>
          </cell>
          <cell r="H761" t="str">
            <v>Košice-Sídlisko KVP</v>
          </cell>
          <cell r="I761" t="str">
            <v>Čordákova 50</v>
          </cell>
          <cell r="J761">
            <v>12</v>
          </cell>
          <cell r="K761">
            <v>0</v>
          </cell>
          <cell r="L761">
            <v>47</v>
          </cell>
          <cell r="M761">
            <v>0</v>
          </cell>
          <cell r="N761">
            <v>1</v>
          </cell>
          <cell r="O761">
            <v>12</v>
          </cell>
          <cell r="P761">
            <v>2</v>
          </cell>
          <cell r="Q761">
            <v>20</v>
          </cell>
          <cell r="R761">
            <v>315</v>
          </cell>
          <cell r="S761">
            <v>233</v>
          </cell>
          <cell r="T761">
            <v>1574.5</v>
          </cell>
          <cell r="U761">
            <v>310.2</v>
          </cell>
        </row>
        <row r="762">
          <cell r="F762">
            <v>35560321</v>
          </cell>
          <cell r="G762" t="str">
            <v>Gymnázium sv. Edity Steinovej</v>
          </cell>
          <cell r="H762" t="str">
            <v>Košice-Dargovských hrdinov</v>
          </cell>
          <cell r="I762" t="str">
            <v>Charkovská 1</v>
          </cell>
          <cell r="J762">
            <v>20</v>
          </cell>
          <cell r="K762">
            <v>0</v>
          </cell>
          <cell r="L762">
            <v>49</v>
          </cell>
          <cell r="M762">
            <v>0</v>
          </cell>
          <cell r="N762">
            <v>4</v>
          </cell>
          <cell r="O762">
            <v>20</v>
          </cell>
          <cell r="P762">
            <v>3</v>
          </cell>
          <cell r="Q762">
            <v>33</v>
          </cell>
          <cell r="R762">
            <v>302</v>
          </cell>
          <cell r="S762">
            <v>209</v>
          </cell>
          <cell r="T762">
            <v>1641.5</v>
          </cell>
          <cell r="U762">
            <v>0</v>
          </cell>
        </row>
        <row r="763">
          <cell r="F763">
            <v>35564024</v>
          </cell>
          <cell r="G763" t="str">
            <v>Stredná odborná škola pedagogická sv. Cyrila a Metoda</v>
          </cell>
          <cell r="H763" t="str">
            <v>Košice-Juh</v>
          </cell>
          <cell r="I763" t="str">
            <v>Južná trieda 48</v>
          </cell>
          <cell r="J763">
            <v>4</v>
          </cell>
          <cell r="K763">
            <v>0</v>
          </cell>
          <cell r="L763">
            <v>15</v>
          </cell>
          <cell r="M763">
            <v>0</v>
          </cell>
          <cell r="N763">
            <v>1</v>
          </cell>
          <cell r="O763">
            <v>3</v>
          </cell>
          <cell r="P763">
            <v>1</v>
          </cell>
          <cell r="Q763">
            <v>22</v>
          </cell>
          <cell r="R763">
            <v>40</v>
          </cell>
          <cell r="S763">
            <v>54</v>
          </cell>
          <cell r="T763">
            <v>502.5</v>
          </cell>
          <cell r="U763">
            <v>7.67</v>
          </cell>
        </row>
        <row r="764">
          <cell r="F764">
            <v>31942369</v>
          </cell>
          <cell r="G764" t="str">
            <v>Stredná odborná škola sv. Cyrila a Metoda</v>
          </cell>
          <cell r="H764" t="str">
            <v>Michalovce</v>
          </cell>
          <cell r="I764" t="str">
            <v>Tehliarska 2</v>
          </cell>
          <cell r="J764">
            <v>2</v>
          </cell>
          <cell r="K764">
            <v>0</v>
          </cell>
          <cell r="L764">
            <v>9</v>
          </cell>
          <cell r="M764">
            <v>0</v>
          </cell>
          <cell r="N764">
            <v>0</v>
          </cell>
          <cell r="O764">
            <v>3</v>
          </cell>
          <cell r="P764">
            <v>0</v>
          </cell>
          <cell r="Q764">
            <v>0</v>
          </cell>
          <cell r="R764">
            <v>108</v>
          </cell>
          <cell r="S764">
            <v>0</v>
          </cell>
          <cell r="T764">
            <v>301.5</v>
          </cell>
          <cell r="U764">
            <v>0</v>
          </cell>
        </row>
        <row r="765">
          <cell r="F765">
            <v>31991653</v>
          </cell>
          <cell r="G765" t="str">
            <v>Gymnázium sv. Moniky</v>
          </cell>
          <cell r="H765" t="str">
            <v>Prešov</v>
          </cell>
          <cell r="I765" t="str">
            <v>Tarasa Ševčenka 1</v>
          </cell>
          <cell r="J765">
            <v>11</v>
          </cell>
          <cell r="K765">
            <v>3</v>
          </cell>
          <cell r="L765">
            <v>28</v>
          </cell>
          <cell r="M765">
            <v>5</v>
          </cell>
          <cell r="N765">
            <v>5</v>
          </cell>
          <cell r="O765">
            <v>14</v>
          </cell>
          <cell r="P765">
            <v>0</v>
          </cell>
          <cell r="Q765">
            <v>59</v>
          </cell>
          <cell r="R765">
            <v>201</v>
          </cell>
          <cell r="S765">
            <v>0</v>
          </cell>
          <cell r="T765">
            <v>938</v>
          </cell>
          <cell r="U765">
            <v>7</v>
          </cell>
        </row>
        <row r="766">
          <cell r="F766">
            <v>17080151</v>
          </cell>
          <cell r="G766" t="str">
            <v>Katolícka spojená škola sv. Mikuláša</v>
          </cell>
          <cell r="H766" t="str">
            <v>Prešov</v>
          </cell>
          <cell r="I766" t="str">
            <v>Duklianska 16</v>
          </cell>
          <cell r="J766">
            <v>11</v>
          </cell>
          <cell r="K766">
            <v>0</v>
          </cell>
          <cell r="L766">
            <v>30</v>
          </cell>
          <cell r="M766">
            <v>0</v>
          </cell>
          <cell r="N766">
            <v>1</v>
          </cell>
          <cell r="O766">
            <v>11</v>
          </cell>
          <cell r="P766">
            <v>2</v>
          </cell>
          <cell r="Q766">
            <v>16</v>
          </cell>
          <cell r="R766">
            <v>183</v>
          </cell>
          <cell r="S766">
            <v>168</v>
          </cell>
          <cell r="T766">
            <v>1005</v>
          </cell>
          <cell r="U766">
            <v>0</v>
          </cell>
        </row>
        <row r="767">
          <cell r="F767">
            <v>37796046</v>
          </cell>
          <cell r="G767" t="str">
            <v>Cirkevná spojená škola</v>
          </cell>
          <cell r="H767" t="str">
            <v>Snina</v>
          </cell>
          <cell r="I767" t="str">
            <v>Švermova 10</v>
          </cell>
          <cell r="J767">
            <v>11</v>
          </cell>
          <cell r="K767">
            <v>0</v>
          </cell>
          <cell r="L767">
            <v>35</v>
          </cell>
          <cell r="M767">
            <v>0</v>
          </cell>
          <cell r="N767">
            <v>1</v>
          </cell>
          <cell r="O767">
            <v>16</v>
          </cell>
          <cell r="P767">
            <v>2</v>
          </cell>
          <cell r="Q767">
            <v>6</v>
          </cell>
          <cell r="R767">
            <v>231</v>
          </cell>
          <cell r="S767">
            <v>79</v>
          </cell>
          <cell r="T767">
            <v>1172.5</v>
          </cell>
          <cell r="U767">
            <v>52.8</v>
          </cell>
        </row>
        <row r="768">
          <cell r="F768">
            <v>42326931</v>
          </cell>
          <cell r="G768" t="str">
            <v>Spojená škola sv. Maximiliána Mária Kolbeho</v>
          </cell>
          <cell r="H768" t="str">
            <v>Spišská Nová Ves</v>
          </cell>
          <cell r="I768" t="str">
            <v>Gaštanová 11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</row>
        <row r="769">
          <cell r="F769">
            <v>618462</v>
          </cell>
          <cell r="G769" t="str">
            <v>Stredná zdravotnícka škola milosrdného Samaritána</v>
          </cell>
          <cell r="H769" t="str">
            <v>Svidník</v>
          </cell>
          <cell r="I769" t="str">
            <v>Sovietskych hrdinov 80</v>
          </cell>
          <cell r="J769">
            <v>3</v>
          </cell>
          <cell r="K769">
            <v>0</v>
          </cell>
          <cell r="L769">
            <v>10</v>
          </cell>
          <cell r="M769">
            <v>0</v>
          </cell>
          <cell r="N769">
            <v>0</v>
          </cell>
          <cell r="O769">
            <v>3</v>
          </cell>
          <cell r="P769">
            <v>1</v>
          </cell>
          <cell r="Q769">
            <v>0</v>
          </cell>
          <cell r="R769">
            <v>53</v>
          </cell>
          <cell r="S769">
            <v>33</v>
          </cell>
          <cell r="T769">
            <v>335</v>
          </cell>
          <cell r="U769">
            <v>95.92</v>
          </cell>
        </row>
        <row r="770">
          <cell r="F770">
            <v>31986072</v>
          </cell>
          <cell r="G770" t="str">
            <v>Cirkevné gymnázium sv. Jána Krstiteľa</v>
          </cell>
          <cell r="H770" t="str">
            <v>Trebišov</v>
          </cell>
          <cell r="I770" t="str">
            <v>M. R. Štefánika 9</v>
          </cell>
          <cell r="J770">
            <v>1</v>
          </cell>
          <cell r="K770">
            <v>1</v>
          </cell>
          <cell r="L770">
            <v>2</v>
          </cell>
          <cell r="M770">
            <v>3</v>
          </cell>
          <cell r="N770">
            <v>0</v>
          </cell>
          <cell r="O770">
            <v>2</v>
          </cell>
          <cell r="P770">
            <v>0</v>
          </cell>
          <cell r="Q770">
            <v>0</v>
          </cell>
          <cell r="R770">
            <v>49</v>
          </cell>
          <cell r="S770">
            <v>0</v>
          </cell>
          <cell r="T770">
            <v>67</v>
          </cell>
          <cell r="U770">
            <v>0</v>
          </cell>
        </row>
        <row r="771">
          <cell r="F771">
            <v>35555912</v>
          </cell>
          <cell r="G771" t="str">
            <v>Stredná odborná škola služieb a priemyslu sv. Jozafáta</v>
          </cell>
          <cell r="H771" t="str">
            <v>Trebišov</v>
          </cell>
          <cell r="I771" t="str">
            <v>Komenského 1963/10</v>
          </cell>
          <cell r="J771">
            <v>22</v>
          </cell>
          <cell r="K771">
            <v>0</v>
          </cell>
          <cell r="L771">
            <v>83</v>
          </cell>
          <cell r="M771">
            <v>0</v>
          </cell>
          <cell r="N771">
            <v>3</v>
          </cell>
          <cell r="O771">
            <v>24</v>
          </cell>
          <cell r="P771">
            <v>4</v>
          </cell>
          <cell r="Q771">
            <v>30</v>
          </cell>
          <cell r="R771">
            <v>384</v>
          </cell>
          <cell r="S771">
            <v>495</v>
          </cell>
          <cell r="T771">
            <v>2780.5</v>
          </cell>
          <cell r="U771">
            <v>0</v>
          </cell>
        </row>
        <row r="772">
          <cell r="F772">
            <v>17151627</v>
          </cell>
          <cell r="G772" t="str">
            <v>Cirkevná spojená škola</v>
          </cell>
          <cell r="H772" t="str">
            <v>Vranov nad Topľou</v>
          </cell>
          <cell r="I772" t="str">
            <v>Školská 650</v>
          </cell>
          <cell r="J772">
            <v>10</v>
          </cell>
          <cell r="K772">
            <v>0</v>
          </cell>
          <cell r="L772">
            <v>20</v>
          </cell>
          <cell r="M772">
            <v>0</v>
          </cell>
          <cell r="N772">
            <v>3</v>
          </cell>
          <cell r="O772">
            <v>11</v>
          </cell>
          <cell r="P772">
            <v>1</v>
          </cell>
          <cell r="Q772">
            <v>38</v>
          </cell>
          <cell r="R772">
            <v>159</v>
          </cell>
          <cell r="S772">
            <v>38</v>
          </cell>
          <cell r="T772">
            <v>670</v>
          </cell>
          <cell r="U772">
            <v>0</v>
          </cell>
        </row>
        <row r="773">
          <cell r="F773">
            <v>35547031</v>
          </cell>
          <cell r="G773" t="str">
            <v>Súkromná stredná odborná škola ekonomická KOŠICKÁ AKADÉMIA</v>
          </cell>
          <cell r="H773" t="str">
            <v>Košice-Staré Mesto</v>
          </cell>
          <cell r="I773" t="str">
            <v>Tajovského 15</v>
          </cell>
          <cell r="J773">
            <v>3</v>
          </cell>
          <cell r="K773">
            <v>0</v>
          </cell>
          <cell r="L773">
            <v>13</v>
          </cell>
          <cell r="M773">
            <v>0</v>
          </cell>
          <cell r="N773">
            <v>0</v>
          </cell>
          <cell r="O773">
            <v>3</v>
          </cell>
          <cell r="P773">
            <v>0</v>
          </cell>
          <cell r="Q773">
            <v>0</v>
          </cell>
          <cell r="R773">
            <v>150</v>
          </cell>
          <cell r="S773">
            <v>0</v>
          </cell>
          <cell r="T773">
            <v>435.5</v>
          </cell>
          <cell r="U773">
            <v>0</v>
          </cell>
        </row>
        <row r="774">
          <cell r="F774">
            <v>42407362</v>
          </cell>
          <cell r="G774" t="str">
            <v>Súkromné gymnázium FUTURUM</v>
          </cell>
          <cell r="H774" t="str">
            <v>Košice-Staré Mesto</v>
          </cell>
          <cell r="I774" t="str">
            <v>Moyzesova 5</v>
          </cell>
          <cell r="J774">
            <v>2</v>
          </cell>
          <cell r="K774">
            <v>0</v>
          </cell>
          <cell r="L774">
            <v>3</v>
          </cell>
          <cell r="M774">
            <v>0</v>
          </cell>
          <cell r="N774">
            <v>0</v>
          </cell>
          <cell r="O774">
            <v>2</v>
          </cell>
          <cell r="P774">
            <v>0</v>
          </cell>
          <cell r="Q774">
            <v>0</v>
          </cell>
          <cell r="R774">
            <v>46</v>
          </cell>
          <cell r="S774">
            <v>0</v>
          </cell>
          <cell r="T774">
            <v>100.5</v>
          </cell>
          <cell r="U774">
            <v>0</v>
          </cell>
        </row>
        <row r="775">
          <cell r="F775">
            <v>35562820</v>
          </cell>
          <cell r="G775" t="str">
            <v>Súkromné konzervatórium</v>
          </cell>
          <cell r="H775" t="str">
            <v>Košice-Staré Mesto</v>
          </cell>
          <cell r="I775" t="str">
            <v>Zádielska 12</v>
          </cell>
          <cell r="J775">
            <v>3</v>
          </cell>
          <cell r="K775">
            <v>0</v>
          </cell>
          <cell r="L775">
            <v>8</v>
          </cell>
          <cell r="M775">
            <v>0</v>
          </cell>
          <cell r="N775">
            <v>0</v>
          </cell>
          <cell r="O775">
            <v>5</v>
          </cell>
          <cell r="P775">
            <v>0</v>
          </cell>
          <cell r="Q775">
            <v>0</v>
          </cell>
          <cell r="R775">
            <v>68</v>
          </cell>
          <cell r="S775">
            <v>0</v>
          </cell>
          <cell r="T775">
            <v>268</v>
          </cell>
          <cell r="U775">
            <v>0</v>
          </cell>
        </row>
        <row r="776">
          <cell r="F776">
            <v>42099803</v>
          </cell>
          <cell r="G776" t="str">
            <v>Súkromná praktická škola</v>
          </cell>
          <cell r="H776" t="str">
            <v>Košice-Myslava</v>
          </cell>
          <cell r="I776" t="str">
            <v>Myslavská 401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</row>
        <row r="777">
          <cell r="F777">
            <v>35558555</v>
          </cell>
          <cell r="G777" t="str">
            <v>Súkromná škola umeleckého priemyslu filmová</v>
          </cell>
          <cell r="H777" t="str">
            <v>Košice-Západ</v>
          </cell>
          <cell r="I777" t="str">
            <v>Petzvalova 2</v>
          </cell>
          <cell r="J777">
            <v>1</v>
          </cell>
          <cell r="K777">
            <v>3</v>
          </cell>
          <cell r="L777">
            <v>2</v>
          </cell>
          <cell r="M777">
            <v>7</v>
          </cell>
          <cell r="N777">
            <v>1</v>
          </cell>
          <cell r="O777">
            <v>4</v>
          </cell>
          <cell r="P777">
            <v>1</v>
          </cell>
          <cell r="Q777">
            <v>39</v>
          </cell>
          <cell r="R777">
            <v>68</v>
          </cell>
          <cell r="S777">
            <v>11</v>
          </cell>
          <cell r="T777">
            <v>67</v>
          </cell>
          <cell r="U777">
            <v>0</v>
          </cell>
        </row>
        <row r="778">
          <cell r="F778">
            <v>35562986</v>
          </cell>
          <cell r="G778" t="str">
            <v>Súkromné gymnázium</v>
          </cell>
          <cell r="H778" t="str">
            <v>Košice-Západ</v>
          </cell>
          <cell r="I778" t="str">
            <v>Katkin park 2</v>
          </cell>
          <cell r="J778">
            <v>1</v>
          </cell>
          <cell r="K778">
            <v>0</v>
          </cell>
          <cell r="L778">
            <v>2</v>
          </cell>
          <cell r="M778">
            <v>0</v>
          </cell>
          <cell r="N778">
            <v>1</v>
          </cell>
          <cell r="O778">
            <v>0</v>
          </cell>
          <cell r="P778">
            <v>0</v>
          </cell>
          <cell r="Q778">
            <v>34</v>
          </cell>
          <cell r="R778">
            <v>0</v>
          </cell>
          <cell r="S778">
            <v>0</v>
          </cell>
          <cell r="T778">
            <v>67</v>
          </cell>
          <cell r="U778">
            <v>0</v>
          </cell>
        </row>
        <row r="779">
          <cell r="F779">
            <v>31313833</v>
          </cell>
          <cell r="G779" t="str">
            <v>Súkromná stredná odborná škola ekonomicko-technická</v>
          </cell>
          <cell r="H779" t="str">
            <v>Košice-Dargovských hrdinov</v>
          </cell>
          <cell r="I779" t="str">
            <v>Postupimská 37</v>
          </cell>
          <cell r="J779">
            <v>3</v>
          </cell>
          <cell r="K779">
            <v>0</v>
          </cell>
          <cell r="L779">
            <v>6</v>
          </cell>
          <cell r="M779">
            <v>0</v>
          </cell>
          <cell r="N779">
            <v>1</v>
          </cell>
          <cell r="O779">
            <v>2</v>
          </cell>
          <cell r="P779">
            <v>0</v>
          </cell>
          <cell r="Q779">
            <v>9</v>
          </cell>
          <cell r="R779">
            <v>53</v>
          </cell>
          <cell r="S779">
            <v>0</v>
          </cell>
          <cell r="T779">
            <v>201</v>
          </cell>
          <cell r="U779">
            <v>0</v>
          </cell>
        </row>
        <row r="780">
          <cell r="F780">
            <v>35565233</v>
          </cell>
          <cell r="G780" t="str">
            <v>Súkromná stredná odborná škola pedagogická a sociálna</v>
          </cell>
          <cell r="H780" t="str">
            <v>Košice-Juh</v>
          </cell>
          <cell r="I780" t="str">
            <v>Požiarnická 1</v>
          </cell>
          <cell r="J780">
            <v>2</v>
          </cell>
          <cell r="K780">
            <v>0</v>
          </cell>
          <cell r="L780">
            <v>3</v>
          </cell>
          <cell r="M780">
            <v>0</v>
          </cell>
          <cell r="N780">
            <v>0</v>
          </cell>
          <cell r="O780">
            <v>3</v>
          </cell>
          <cell r="P780">
            <v>0</v>
          </cell>
          <cell r="Q780">
            <v>0</v>
          </cell>
          <cell r="R780">
            <v>27</v>
          </cell>
          <cell r="S780">
            <v>0</v>
          </cell>
          <cell r="T780">
            <v>100.5</v>
          </cell>
          <cell r="U780">
            <v>0</v>
          </cell>
        </row>
        <row r="781">
          <cell r="F781">
            <v>35547260</v>
          </cell>
          <cell r="G781" t="str">
            <v>Súkromná stredná odborná škola PAMIKO</v>
          </cell>
          <cell r="H781" t="str">
            <v>Košice-Juh</v>
          </cell>
          <cell r="I781" t="str">
            <v>Kukučínova 23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</row>
        <row r="782">
          <cell r="F782">
            <v>35575182</v>
          </cell>
          <cell r="G782" t="str">
            <v>Súkromná stredná športová škola</v>
          </cell>
          <cell r="H782" t="str">
            <v>Košice-Juh</v>
          </cell>
          <cell r="I782" t="str">
            <v>Užhorodská 39</v>
          </cell>
          <cell r="J782">
            <v>4</v>
          </cell>
          <cell r="K782">
            <v>0</v>
          </cell>
          <cell r="L782">
            <v>8</v>
          </cell>
          <cell r="M782">
            <v>0</v>
          </cell>
          <cell r="N782">
            <v>1</v>
          </cell>
          <cell r="O782">
            <v>3</v>
          </cell>
          <cell r="P782">
            <v>0</v>
          </cell>
          <cell r="Q782">
            <v>10</v>
          </cell>
          <cell r="R782">
            <v>66</v>
          </cell>
          <cell r="S782">
            <v>0</v>
          </cell>
          <cell r="T782">
            <v>268</v>
          </cell>
          <cell r="U782">
            <v>0</v>
          </cell>
        </row>
        <row r="783">
          <cell r="F783">
            <v>42107148</v>
          </cell>
          <cell r="G783" t="str">
            <v>Súkromné hudobné a dramatické konzervatórium</v>
          </cell>
          <cell r="H783" t="str">
            <v>Košice-Juh</v>
          </cell>
          <cell r="I783" t="str">
            <v>Požiarnická 1</v>
          </cell>
          <cell r="J783">
            <v>7</v>
          </cell>
          <cell r="K783">
            <v>0</v>
          </cell>
          <cell r="L783">
            <v>25</v>
          </cell>
          <cell r="M783">
            <v>0</v>
          </cell>
          <cell r="N783">
            <v>1</v>
          </cell>
          <cell r="O783">
            <v>9</v>
          </cell>
          <cell r="P783">
            <v>3</v>
          </cell>
          <cell r="Q783">
            <v>2</v>
          </cell>
          <cell r="R783">
            <v>161</v>
          </cell>
          <cell r="S783">
            <v>247</v>
          </cell>
          <cell r="T783">
            <v>837.5</v>
          </cell>
          <cell r="U783">
            <v>444.17</v>
          </cell>
        </row>
        <row r="784">
          <cell r="F784">
            <v>31295657</v>
          </cell>
          <cell r="G784" t="str">
            <v>Súkromná stredná odborná škola</v>
          </cell>
          <cell r="H784" t="str">
            <v>Košice-Nad jazerom</v>
          </cell>
          <cell r="I784" t="str">
            <v>Bukovecká 17</v>
          </cell>
          <cell r="J784">
            <v>5</v>
          </cell>
          <cell r="K784">
            <v>6</v>
          </cell>
          <cell r="L784">
            <v>14</v>
          </cell>
          <cell r="M784">
            <v>22</v>
          </cell>
          <cell r="N784">
            <v>12</v>
          </cell>
          <cell r="O784">
            <v>6</v>
          </cell>
          <cell r="P784">
            <v>0</v>
          </cell>
          <cell r="Q784">
            <v>340</v>
          </cell>
          <cell r="R784">
            <v>97</v>
          </cell>
          <cell r="S784">
            <v>0</v>
          </cell>
          <cell r="T784">
            <v>469</v>
          </cell>
          <cell r="U784">
            <v>0</v>
          </cell>
        </row>
        <row r="785">
          <cell r="F785">
            <v>42249252</v>
          </cell>
          <cell r="G785" t="str">
            <v>Súkromná stredná odborná škola</v>
          </cell>
          <cell r="H785" t="str">
            <v>Košice-Nad jazerom</v>
          </cell>
          <cell r="I785" t="str">
            <v>Dneperská 1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</row>
        <row r="786">
          <cell r="F786">
            <v>31262767</v>
          </cell>
          <cell r="G786" t="str">
            <v>Súkromné gymnázium</v>
          </cell>
          <cell r="H786" t="str">
            <v>Košice-Nad jazerom</v>
          </cell>
          <cell r="I786" t="str">
            <v>Dneperská 1</v>
          </cell>
          <cell r="J786">
            <v>4</v>
          </cell>
          <cell r="K786">
            <v>0</v>
          </cell>
          <cell r="L786">
            <v>13</v>
          </cell>
          <cell r="M786">
            <v>0</v>
          </cell>
          <cell r="N786">
            <v>0</v>
          </cell>
          <cell r="O786">
            <v>7</v>
          </cell>
          <cell r="P786">
            <v>0</v>
          </cell>
          <cell r="Q786">
            <v>0</v>
          </cell>
          <cell r="R786">
            <v>176</v>
          </cell>
          <cell r="S786">
            <v>0</v>
          </cell>
          <cell r="T786">
            <v>435.5</v>
          </cell>
          <cell r="U786">
            <v>0</v>
          </cell>
        </row>
        <row r="787">
          <cell r="F787">
            <v>53255500</v>
          </cell>
          <cell r="G787" t="str">
            <v>Súkromná spojená škola</v>
          </cell>
          <cell r="H787" t="str">
            <v>Klokočov</v>
          </cell>
          <cell r="I787" t="str">
            <v>Klokočov 90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</row>
        <row r="788">
          <cell r="F788">
            <v>42319838</v>
          </cell>
          <cell r="G788" t="str">
            <v>Súkromná stredná odborná škola Nová cesta Magán Szakközépiskola Új út</v>
          </cell>
          <cell r="H788" t="str">
            <v>Malčice</v>
          </cell>
          <cell r="I788" t="str">
            <v>Hlavná 265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</row>
        <row r="789">
          <cell r="F789">
            <v>45006601</v>
          </cell>
          <cell r="G789" t="str">
            <v>Súkromná hotelová akadémia - Dufincova</v>
          </cell>
          <cell r="H789" t="str">
            <v>Michalovce</v>
          </cell>
          <cell r="I789" t="str">
            <v>Komenského 1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</row>
        <row r="790">
          <cell r="F790">
            <v>42394732</v>
          </cell>
          <cell r="G790" t="str">
            <v>Súkromné hudobné a dramatické konzervatórium</v>
          </cell>
          <cell r="H790" t="str">
            <v>Rimavská Sobota</v>
          </cell>
          <cell r="I790" t="str">
            <v>Školská 31</v>
          </cell>
          <cell r="J790">
            <v>5</v>
          </cell>
          <cell r="K790">
            <v>0</v>
          </cell>
          <cell r="L790">
            <v>14</v>
          </cell>
          <cell r="M790">
            <v>0</v>
          </cell>
          <cell r="N790">
            <v>1</v>
          </cell>
          <cell r="O790">
            <v>7</v>
          </cell>
          <cell r="P790">
            <v>1</v>
          </cell>
          <cell r="Q790">
            <v>1</v>
          </cell>
          <cell r="R790">
            <v>49</v>
          </cell>
          <cell r="S790">
            <v>9</v>
          </cell>
          <cell r="T790">
            <v>469</v>
          </cell>
          <cell r="U790">
            <v>138.58000000000001</v>
          </cell>
        </row>
        <row r="791">
          <cell r="F791">
            <v>42102553</v>
          </cell>
          <cell r="G791" t="str">
            <v>Súkromná spojená škola EDURAM</v>
          </cell>
          <cell r="H791" t="str">
            <v>Krompachy</v>
          </cell>
          <cell r="I791" t="str">
            <v>Maurerova 55</v>
          </cell>
          <cell r="J791">
            <v>7</v>
          </cell>
          <cell r="K791">
            <v>0</v>
          </cell>
          <cell r="L791">
            <v>28</v>
          </cell>
          <cell r="M791">
            <v>0</v>
          </cell>
          <cell r="N791">
            <v>1</v>
          </cell>
          <cell r="O791">
            <v>14</v>
          </cell>
          <cell r="P791">
            <v>0</v>
          </cell>
          <cell r="Q791">
            <v>3</v>
          </cell>
          <cell r="R791">
            <v>233</v>
          </cell>
          <cell r="S791">
            <v>0</v>
          </cell>
          <cell r="T791">
            <v>938</v>
          </cell>
          <cell r="U791">
            <v>313.3</v>
          </cell>
        </row>
        <row r="792">
          <cell r="F792">
            <v>42410134</v>
          </cell>
          <cell r="G792" t="str">
            <v>Súkromná stredná odborná škola</v>
          </cell>
          <cell r="H792" t="str">
            <v>Trebišov</v>
          </cell>
          <cell r="I792" t="str">
            <v>29. augusta 2340/38A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</row>
        <row r="793">
          <cell r="F793">
            <v>42152411</v>
          </cell>
          <cell r="G793" t="str">
            <v>Súkromné gymnázium FUTURUM</v>
          </cell>
          <cell r="H793" t="str">
            <v>Trenčín</v>
          </cell>
          <cell r="I793" t="str">
            <v>Školská 66</v>
          </cell>
          <cell r="J793">
            <v>10</v>
          </cell>
          <cell r="K793">
            <v>0</v>
          </cell>
          <cell r="L793">
            <v>44</v>
          </cell>
          <cell r="M793">
            <v>0</v>
          </cell>
          <cell r="N793">
            <v>3</v>
          </cell>
          <cell r="O793">
            <v>10</v>
          </cell>
          <cell r="P793">
            <v>1</v>
          </cell>
          <cell r="Q793">
            <v>61</v>
          </cell>
          <cell r="R793">
            <v>290</v>
          </cell>
          <cell r="S793">
            <v>79</v>
          </cell>
          <cell r="T793">
            <v>1474</v>
          </cell>
          <cell r="U79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DD30A-D446-4267-A635-DB908E495C7E}">
  <sheetPr>
    <pageSetUpPr fitToPage="1"/>
  </sheetPr>
  <dimension ref="A1:Z807"/>
  <sheetViews>
    <sheetView tabSelected="1" topLeftCell="F1" workbookViewId="0">
      <selection activeCell="F2" sqref="F2"/>
    </sheetView>
  </sheetViews>
  <sheetFormatPr defaultRowHeight="15" x14ac:dyDescent="0.25"/>
  <cols>
    <col min="1" max="1" width="6.5703125" customWidth="1"/>
    <col min="2" max="2" width="3.28515625" bestFit="1" customWidth="1"/>
    <col min="3" max="3" width="8.28515625" customWidth="1"/>
    <col min="4" max="4" width="9" bestFit="1" customWidth="1"/>
    <col min="5" max="5" width="29" customWidth="1"/>
    <col min="6" max="6" width="10" bestFit="1" customWidth="1"/>
    <col min="7" max="7" width="42.85546875" customWidth="1"/>
    <col min="8" max="8" width="18" customWidth="1"/>
    <col min="9" max="9" width="21.140625" customWidth="1"/>
    <col min="10" max="19" width="9.140625" customWidth="1"/>
  </cols>
  <sheetData>
    <row r="1" spans="1:26" ht="15.75" thickBot="1" x14ac:dyDescent="0.3">
      <c r="A1" s="1" t="s">
        <v>0</v>
      </c>
      <c r="B1" s="250" t="s">
        <v>1</v>
      </c>
      <c r="C1" s="250"/>
      <c r="T1" s="2">
        <v>33.5</v>
      </c>
      <c r="U1" s="2">
        <v>13.5</v>
      </c>
      <c r="V1" s="2">
        <v>1.5</v>
      </c>
      <c r="W1" s="2">
        <v>2</v>
      </c>
      <c r="X1" s="2">
        <v>27</v>
      </c>
    </row>
    <row r="2" spans="1:26" ht="209.25" x14ac:dyDescent="0.25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5" t="s">
        <v>8</v>
      </c>
      <c r="H2" s="4" t="s">
        <v>9</v>
      </c>
      <c r="I2" s="6" t="s">
        <v>10</v>
      </c>
      <c r="J2" s="7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9" t="s">
        <v>17</v>
      </c>
      <c r="Q2" s="7" t="s">
        <v>18</v>
      </c>
      <c r="R2" s="8" t="s">
        <v>19</v>
      </c>
      <c r="S2" s="10" t="s">
        <v>20</v>
      </c>
      <c r="T2" s="11" t="s">
        <v>21</v>
      </c>
      <c r="U2" s="12" t="s">
        <v>22</v>
      </c>
      <c r="V2" s="12" t="s">
        <v>23</v>
      </c>
      <c r="W2" s="12" t="s">
        <v>24</v>
      </c>
      <c r="X2" s="13" t="s">
        <v>25</v>
      </c>
      <c r="Y2" s="14" t="s">
        <v>26</v>
      </c>
      <c r="Z2" s="15" t="s">
        <v>27</v>
      </c>
    </row>
    <row r="3" spans="1:26" ht="27.75" thickBot="1" x14ac:dyDescent="0.3">
      <c r="A3" s="16" t="s">
        <v>28</v>
      </c>
      <c r="B3" s="17" t="s">
        <v>29</v>
      </c>
      <c r="C3" s="17" t="s">
        <v>30</v>
      </c>
      <c r="D3" s="17" t="s">
        <v>31</v>
      </c>
      <c r="E3" s="17" t="s">
        <v>32</v>
      </c>
      <c r="F3" s="17" t="s">
        <v>33</v>
      </c>
      <c r="G3" s="18" t="s">
        <v>34</v>
      </c>
      <c r="H3" s="18" t="s">
        <v>35</v>
      </c>
      <c r="I3" s="19" t="s">
        <v>36</v>
      </c>
      <c r="J3" s="20">
        <v>1</v>
      </c>
      <c r="K3" s="21">
        <v>2</v>
      </c>
      <c r="L3" s="21">
        <v>3</v>
      </c>
      <c r="M3" s="21">
        <v>4</v>
      </c>
      <c r="N3" s="21">
        <v>5</v>
      </c>
      <c r="O3" s="21">
        <v>6</v>
      </c>
      <c r="P3" s="22">
        <v>7</v>
      </c>
      <c r="Q3" s="20">
        <v>8</v>
      </c>
      <c r="R3" s="21">
        <v>9</v>
      </c>
      <c r="S3" s="23">
        <v>10</v>
      </c>
      <c r="T3" s="24" t="s">
        <v>37</v>
      </c>
      <c r="U3" s="21">
        <v>12</v>
      </c>
      <c r="V3" s="25" t="s">
        <v>38</v>
      </c>
      <c r="W3" s="25" t="s">
        <v>39</v>
      </c>
      <c r="X3" s="26" t="s">
        <v>40</v>
      </c>
      <c r="Y3" s="27" t="s">
        <v>41</v>
      </c>
      <c r="Z3" s="28">
        <v>17</v>
      </c>
    </row>
    <row r="4" spans="1:26" ht="15.75" thickTop="1" x14ac:dyDescent="0.25">
      <c r="A4" s="29" t="s">
        <v>42</v>
      </c>
      <c r="B4" s="29" t="s">
        <v>43</v>
      </c>
      <c r="C4" s="29" t="s">
        <v>44</v>
      </c>
      <c r="D4" s="30">
        <v>54130395</v>
      </c>
      <c r="E4" s="31" t="s">
        <v>45</v>
      </c>
      <c r="F4" s="29">
        <v>17337097</v>
      </c>
      <c r="G4" s="32" t="s">
        <v>46</v>
      </c>
      <c r="H4" s="32" t="s">
        <v>47</v>
      </c>
      <c r="I4" s="33" t="s">
        <v>48</v>
      </c>
      <c r="J4" s="34">
        <f>VLOOKUP($F$4,[1]Hárok1!$F$4:$S$124,5,0)</f>
        <v>17</v>
      </c>
      <c r="K4" s="35">
        <f>VLOOKUP($F$4,[1]Hárok1!$F$4:$S$124,6,0)</f>
        <v>0</v>
      </c>
      <c r="L4" s="35">
        <f>VLOOKUP($F$4,[1]Hárok1!$F$4:$S$124,7,0)</f>
        <v>52</v>
      </c>
      <c r="M4" s="35">
        <f>VLOOKUP($F$4,[1]Hárok1!$F$4:$S$124,8,0)</f>
        <v>0</v>
      </c>
      <c r="N4" s="35">
        <f>VLOOKUP($F$4,[1]Hárok1!$F$4:$S$124,9,0)</f>
        <v>0</v>
      </c>
      <c r="O4" s="35">
        <f>VLOOKUP($F$4,[1]Hárok1!$F$4:$S$124,10,0)</f>
        <v>22</v>
      </c>
      <c r="P4" s="36">
        <f>VLOOKUP($F$4,[1]Hárok1!$F$4:$S$124,11,0)</f>
        <v>1</v>
      </c>
      <c r="Q4" s="34">
        <f>VLOOKUP($F$4,[1]Hárok1!$F$4:$S$124,12,0)</f>
        <v>0</v>
      </c>
      <c r="R4" s="35">
        <f>VLOOKUP($F$4,[1]Hárok1!$F$4:$S$124,13,0)</f>
        <v>481</v>
      </c>
      <c r="S4" s="36">
        <f>VLOOKUP($F$4,[1]Hárok1!$F$4:$S$124,14,0)</f>
        <v>45</v>
      </c>
      <c r="T4" s="37">
        <f>$T$1*L4</f>
        <v>1742</v>
      </c>
      <c r="U4" s="38">
        <f>VLOOKUP(F4,[1]Hárok1!$F$4:$U$124,16,0)</f>
        <v>0</v>
      </c>
      <c r="V4" s="38">
        <f>$U$1*N4+$V$1*Q4</f>
        <v>0</v>
      </c>
      <c r="W4" s="38">
        <f>$U$1*O4+$W$1*R4</f>
        <v>1259</v>
      </c>
      <c r="X4" s="39">
        <f>$X$1*P4+$V$1*S4</f>
        <v>94.5</v>
      </c>
      <c r="Y4" s="40">
        <f>T4+U4+V4+W4+X4</f>
        <v>3095.5</v>
      </c>
      <c r="Z4" s="41">
        <f>ROUND(Y4,0)</f>
        <v>3096</v>
      </c>
    </row>
    <row r="5" spans="1:26" x14ac:dyDescent="0.25">
      <c r="A5" s="29" t="s">
        <v>42</v>
      </c>
      <c r="B5" s="29" t="s">
        <v>43</v>
      </c>
      <c r="C5" s="29" t="s">
        <v>44</v>
      </c>
      <c r="D5" s="30">
        <v>54130395</v>
      </c>
      <c r="E5" s="31" t="s">
        <v>45</v>
      </c>
      <c r="F5" s="29">
        <v>42262488</v>
      </c>
      <c r="G5" s="32" t="s">
        <v>49</v>
      </c>
      <c r="H5" s="32" t="s">
        <v>50</v>
      </c>
      <c r="I5" s="33" t="s">
        <v>51</v>
      </c>
      <c r="J5" s="42">
        <f>VLOOKUP(F5,[1]Hárok1!$F$4:$S$124,5,0)</f>
        <v>14</v>
      </c>
      <c r="K5" s="43">
        <f>VLOOKUP(F5,[1]Hárok1!$F$4:$S$124,6,0)</f>
        <v>3</v>
      </c>
      <c r="L5" s="43">
        <f>VLOOKUP(F5,[1]Hárok1!$F$4:$S$124,7,0)</f>
        <v>46</v>
      </c>
      <c r="M5" s="43">
        <f>VLOOKUP(F5,[1]Hárok1!$F$4:$S$124,8,0)</f>
        <v>5</v>
      </c>
      <c r="N5" s="43">
        <f>VLOOKUP(F5,[1]Hárok1!$F$4:$S$124,9,0)</f>
        <v>2</v>
      </c>
      <c r="O5" s="43">
        <f>VLOOKUP(F5,[1]Hárok1!$F$4:$S$124,10,0)</f>
        <v>20</v>
      </c>
      <c r="P5" s="44">
        <f>VLOOKUP(F5,[1]Hárok1!$F$4:$S$124,11,0)</f>
        <v>3</v>
      </c>
      <c r="Q5" s="42">
        <f>VLOOKUP(F5,[1]Hárok1!$F$4:$S$124,12,0)</f>
        <v>56</v>
      </c>
      <c r="R5" s="43">
        <f>VLOOKUP(F5,[1]Hárok1!$F$4:$S$124,13,0)</f>
        <v>410</v>
      </c>
      <c r="S5" s="44">
        <f>VLOOKUP(F5,[1]Hárok1!$F$4:$S$124,14,0)</f>
        <v>107</v>
      </c>
      <c r="T5" s="45">
        <f t="shared" ref="T5:T68" si="0">$T$1*L5</f>
        <v>1541</v>
      </c>
      <c r="U5" s="46">
        <f>VLOOKUP(F5,[1]Hárok1!$F$4:$U$124,16,0)</f>
        <v>0</v>
      </c>
      <c r="V5" s="47">
        <f>$U$1*N5+$V$1*Q5</f>
        <v>111</v>
      </c>
      <c r="W5" s="47">
        <f>$U$1*O5+$W$1*R5</f>
        <v>1090</v>
      </c>
      <c r="X5" s="48">
        <f>$X$1*P5+$V$1*S5</f>
        <v>241.5</v>
      </c>
      <c r="Y5" s="49">
        <f>T5+U5+V5+W5+X5</f>
        <v>2983.5</v>
      </c>
      <c r="Z5" s="50">
        <f>ROUND(Y5,0)</f>
        <v>2984</v>
      </c>
    </row>
    <row r="6" spans="1:26" x14ac:dyDescent="0.25">
      <c r="A6" s="29" t="s">
        <v>42</v>
      </c>
      <c r="B6" s="29" t="s">
        <v>43</v>
      </c>
      <c r="C6" s="29" t="s">
        <v>44</v>
      </c>
      <c r="D6" s="30">
        <v>54130395</v>
      </c>
      <c r="E6" s="31" t="s">
        <v>45</v>
      </c>
      <c r="F6" s="29">
        <v>36075213</v>
      </c>
      <c r="G6" s="32" t="s">
        <v>52</v>
      </c>
      <c r="H6" s="32" t="s">
        <v>50</v>
      </c>
      <c r="I6" s="33" t="s">
        <v>53</v>
      </c>
      <c r="J6" s="42">
        <f>VLOOKUP(F6,[1]Hárok1!$F$4:$S$124,5,0)</f>
        <v>26</v>
      </c>
      <c r="K6" s="43">
        <f>VLOOKUP(F6,[1]Hárok1!$F$4:$S$124,6,0)</f>
        <v>0</v>
      </c>
      <c r="L6" s="43">
        <f>VLOOKUP(F6,[1]Hárok1!$F$4:$S$124,7,0)</f>
        <v>85</v>
      </c>
      <c r="M6" s="43">
        <f>VLOOKUP(F6,[1]Hárok1!$F$4:$S$124,8,0)</f>
        <v>0</v>
      </c>
      <c r="N6" s="43">
        <f>VLOOKUP(F6,[1]Hárok1!$F$4:$S$124,9,0)</f>
        <v>0</v>
      </c>
      <c r="O6" s="43">
        <f>VLOOKUP(F6,[1]Hárok1!$F$4:$S$124,10,0)</f>
        <v>29</v>
      </c>
      <c r="P6" s="44">
        <f>VLOOKUP(F6,[1]Hárok1!$F$4:$S$124,11,0)</f>
        <v>4</v>
      </c>
      <c r="Q6" s="42">
        <f>VLOOKUP(F6,[1]Hárok1!$F$4:$S$124,12,0)</f>
        <v>0</v>
      </c>
      <c r="R6" s="43">
        <f>VLOOKUP(F6,[1]Hárok1!$F$4:$S$124,13,0)</f>
        <v>683</v>
      </c>
      <c r="S6" s="44">
        <f>VLOOKUP(F6,[1]Hárok1!$F$4:$S$124,14,0)</f>
        <v>234</v>
      </c>
      <c r="T6" s="45">
        <f t="shared" si="0"/>
        <v>2847.5</v>
      </c>
      <c r="U6" s="46">
        <f>VLOOKUP(F6,[1]Hárok1!$F$4:$U$124,16,0)</f>
        <v>0</v>
      </c>
      <c r="V6" s="47">
        <f t="shared" ref="V6:V69" si="1">$U$1*N6+$V$1*Q6</f>
        <v>0</v>
      </c>
      <c r="W6" s="47">
        <f t="shared" ref="W6:W69" si="2">$U$1*O6+$W$1*R6</f>
        <v>1757.5</v>
      </c>
      <c r="X6" s="48">
        <f t="shared" ref="X6:X69" si="3">$X$1*P6+$V$1*S6</f>
        <v>459</v>
      </c>
      <c r="Y6" s="49">
        <f t="shared" ref="Y6:Y69" si="4">T6+U6+V6+W6+X6</f>
        <v>5064</v>
      </c>
      <c r="Z6" s="50">
        <f t="shared" ref="Z6:Z69" si="5">ROUND(Y6,0)</f>
        <v>5064</v>
      </c>
    </row>
    <row r="7" spans="1:26" x14ac:dyDescent="0.25">
      <c r="A7" s="29" t="s">
        <v>42</v>
      </c>
      <c r="B7" s="29" t="s">
        <v>43</v>
      </c>
      <c r="C7" s="29" t="s">
        <v>44</v>
      </c>
      <c r="D7" s="30">
        <v>54130395</v>
      </c>
      <c r="E7" s="31" t="s">
        <v>45</v>
      </c>
      <c r="F7" s="29">
        <v>17319153</v>
      </c>
      <c r="G7" s="32" t="s">
        <v>54</v>
      </c>
      <c r="H7" s="32" t="s">
        <v>55</v>
      </c>
      <c r="I7" s="33" t="s">
        <v>56</v>
      </c>
      <c r="J7" s="42">
        <f>VLOOKUP(F7,[1]Hárok1!$F$4:$S$124,5,0)</f>
        <v>4</v>
      </c>
      <c r="K7" s="43">
        <f>VLOOKUP(F7,[1]Hárok1!$F$4:$S$124,6,0)</f>
        <v>2</v>
      </c>
      <c r="L7" s="43">
        <f>VLOOKUP(F7,[1]Hárok1!$F$4:$S$124,7,0)</f>
        <v>22</v>
      </c>
      <c r="M7" s="43">
        <f>VLOOKUP(F7,[1]Hárok1!$F$4:$S$124,8,0)</f>
        <v>12</v>
      </c>
      <c r="N7" s="43">
        <f>VLOOKUP(F7,[1]Hárok1!$F$4:$S$124,9,0)</f>
        <v>0</v>
      </c>
      <c r="O7" s="43">
        <f>VLOOKUP(F7,[1]Hárok1!$F$4:$S$124,10,0)</f>
        <v>7</v>
      </c>
      <c r="P7" s="44">
        <f>VLOOKUP(F7,[1]Hárok1!$F$4:$S$124,11,0)</f>
        <v>2</v>
      </c>
      <c r="Q7" s="42">
        <f>VLOOKUP(F7,[1]Hárok1!$F$4:$S$124,12,0)</f>
        <v>0</v>
      </c>
      <c r="R7" s="43">
        <f>VLOOKUP(F7,[1]Hárok1!$F$4:$S$124,13,0)</f>
        <v>128</v>
      </c>
      <c r="S7" s="44">
        <f>VLOOKUP(F7,[1]Hárok1!$F$4:$S$124,14,0)</f>
        <v>80</v>
      </c>
      <c r="T7" s="45">
        <f t="shared" si="0"/>
        <v>737</v>
      </c>
      <c r="U7" s="46">
        <f>VLOOKUP(F7,[1]Hárok1!$F$4:$U$124,16,0)</f>
        <v>0</v>
      </c>
      <c r="V7" s="47">
        <f t="shared" si="1"/>
        <v>0</v>
      </c>
      <c r="W7" s="47">
        <f t="shared" si="2"/>
        <v>350.5</v>
      </c>
      <c r="X7" s="48">
        <f t="shared" si="3"/>
        <v>174</v>
      </c>
      <c r="Y7" s="49">
        <f t="shared" si="4"/>
        <v>1261.5</v>
      </c>
      <c r="Z7" s="50">
        <f t="shared" si="5"/>
        <v>1262</v>
      </c>
    </row>
    <row r="8" spans="1:26" x14ac:dyDescent="0.25">
      <c r="A8" s="29" t="s">
        <v>42</v>
      </c>
      <c r="B8" s="29" t="s">
        <v>43</v>
      </c>
      <c r="C8" s="29" t="s">
        <v>44</v>
      </c>
      <c r="D8" s="30">
        <v>54130395</v>
      </c>
      <c r="E8" s="31" t="s">
        <v>45</v>
      </c>
      <c r="F8" s="29">
        <v>605751</v>
      </c>
      <c r="G8" s="32" t="s">
        <v>49</v>
      </c>
      <c r="H8" s="32" t="s">
        <v>57</v>
      </c>
      <c r="I8" s="33" t="s">
        <v>58</v>
      </c>
      <c r="J8" s="42">
        <f>VLOOKUP(F8,[1]Hárok1!$F$4:$S$124,5,0)</f>
        <v>21</v>
      </c>
      <c r="K8" s="43">
        <f>VLOOKUP(F8,[1]Hárok1!$F$4:$S$124,6,0)</f>
        <v>0</v>
      </c>
      <c r="L8" s="43">
        <f>VLOOKUP(F8,[1]Hárok1!$F$4:$S$124,7,0)</f>
        <v>46</v>
      </c>
      <c r="M8" s="43">
        <f>VLOOKUP(F8,[1]Hárok1!$F$4:$S$124,8,0)</f>
        <v>0</v>
      </c>
      <c r="N8" s="43">
        <f>VLOOKUP(F8,[1]Hárok1!$F$4:$S$124,9,0)</f>
        <v>0</v>
      </c>
      <c r="O8" s="43">
        <f>VLOOKUP(F8,[1]Hárok1!$F$4:$S$124,10,0)</f>
        <v>21</v>
      </c>
      <c r="P8" s="44">
        <f>VLOOKUP(F8,[1]Hárok1!$F$4:$S$124,11,0)</f>
        <v>2</v>
      </c>
      <c r="Q8" s="42">
        <f>VLOOKUP(F8,[1]Hárok1!$F$4:$S$124,12,0)</f>
        <v>0</v>
      </c>
      <c r="R8" s="43">
        <f>VLOOKUP(F8,[1]Hárok1!$F$4:$S$124,13,0)</f>
        <v>389</v>
      </c>
      <c r="S8" s="44">
        <f>VLOOKUP(F8,[1]Hárok1!$F$4:$S$124,14,0)</f>
        <v>136</v>
      </c>
      <c r="T8" s="45">
        <f t="shared" si="0"/>
        <v>1541</v>
      </c>
      <c r="U8" s="46">
        <f>VLOOKUP(F8,[1]Hárok1!$F$4:$U$124,16,0)</f>
        <v>0</v>
      </c>
      <c r="V8" s="47">
        <f t="shared" si="1"/>
        <v>0</v>
      </c>
      <c r="W8" s="47">
        <f t="shared" si="2"/>
        <v>1061.5</v>
      </c>
      <c r="X8" s="48">
        <f t="shared" si="3"/>
        <v>258</v>
      </c>
      <c r="Y8" s="49">
        <f t="shared" si="4"/>
        <v>2860.5</v>
      </c>
      <c r="Z8" s="50">
        <f t="shared" si="5"/>
        <v>2861</v>
      </c>
    </row>
    <row r="9" spans="1:26" x14ac:dyDescent="0.25">
      <c r="A9" s="51" t="s">
        <v>42</v>
      </c>
      <c r="B9" s="51" t="s">
        <v>43</v>
      </c>
      <c r="C9" s="51" t="s">
        <v>44</v>
      </c>
      <c r="D9" s="30">
        <v>54130395</v>
      </c>
      <c r="E9" s="31" t="s">
        <v>45</v>
      </c>
      <c r="F9" s="51">
        <v>31780407</v>
      </c>
      <c r="G9" s="32" t="s">
        <v>52</v>
      </c>
      <c r="H9" s="32" t="s">
        <v>57</v>
      </c>
      <c r="I9" s="33" t="s">
        <v>59</v>
      </c>
      <c r="J9" s="42">
        <f>VLOOKUP(F9,[1]Hárok1!$F$4:$S$124,5,0)</f>
        <v>0</v>
      </c>
      <c r="K9" s="43">
        <f>VLOOKUP(F9,[1]Hárok1!$F$4:$S$124,6,0)</f>
        <v>0</v>
      </c>
      <c r="L9" s="43">
        <f>VLOOKUP(F9,[1]Hárok1!$F$4:$S$124,7,0)</f>
        <v>0</v>
      </c>
      <c r="M9" s="43">
        <f>VLOOKUP(F9,[1]Hárok1!$F$4:$S$124,8,0)</f>
        <v>0</v>
      </c>
      <c r="N9" s="43">
        <f>VLOOKUP(F9,[1]Hárok1!$F$4:$S$124,9,0)</f>
        <v>0</v>
      </c>
      <c r="O9" s="43">
        <f>VLOOKUP(F9,[1]Hárok1!$F$4:$S$124,10,0)</f>
        <v>0</v>
      </c>
      <c r="P9" s="44">
        <f>VLOOKUP(F9,[1]Hárok1!$F$4:$S$124,11,0)</f>
        <v>0</v>
      </c>
      <c r="Q9" s="42">
        <f>VLOOKUP(F9,[1]Hárok1!$F$4:$S$124,12,0)</f>
        <v>0</v>
      </c>
      <c r="R9" s="43">
        <f>VLOOKUP(F9,[1]Hárok1!$F$4:$S$124,13,0)</f>
        <v>0</v>
      </c>
      <c r="S9" s="44">
        <f>VLOOKUP(F9,[1]Hárok1!$F$4:$S$124,14,0)</f>
        <v>0</v>
      </c>
      <c r="T9" s="45">
        <f t="shared" si="0"/>
        <v>0</v>
      </c>
      <c r="U9" s="46">
        <f>VLOOKUP(F9,[1]Hárok1!$F$4:$U$124,16,0)</f>
        <v>0</v>
      </c>
      <c r="V9" s="47">
        <f t="shared" si="1"/>
        <v>0</v>
      </c>
      <c r="W9" s="47">
        <f t="shared" si="2"/>
        <v>0</v>
      </c>
      <c r="X9" s="48">
        <f t="shared" si="3"/>
        <v>0</v>
      </c>
      <c r="Y9" s="49">
        <f t="shared" si="4"/>
        <v>0</v>
      </c>
      <c r="Z9" s="50">
        <f t="shared" si="5"/>
        <v>0</v>
      </c>
    </row>
    <row r="10" spans="1:26" x14ac:dyDescent="0.25">
      <c r="A10" s="29" t="s">
        <v>42</v>
      </c>
      <c r="B10" s="29" t="s">
        <v>43</v>
      </c>
      <c r="C10" s="29" t="s">
        <v>44</v>
      </c>
      <c r="D10" s="30">
        <v>54130395</v>
      </c>
      <c r="E10" s="31" t="s">
        <v>45</v>
      </c>
      <c r="F10" s="29">
        <v>17337054</v>
      </c>
      <c r="G10" s="32" t="s">
        <v>49</v>
      </c>
      <c r="H10" s="32" t="s">
        <v>60</v>
      </c>
      <c r="I10" s="33" t="s">
        <v>61</v>
      </c>
      <c r="J10" s="42">
        <f>VLOOKUP($F$10,[1]Hárok1!$F$4:$S$124,5,0)</f>
        <v>22</v>
      </c>
      <c r="K10" s="42">
        <f>VLOOKUP($F$10,[1]Hárok1!$F$4:$S$124,6,0)+VLOOKUP($F$10,[2]Hárok1!$F$4:$S$4,6,0)</f>
        <v>0</v>
      </c>
      <c r="L10" s="42">
        <f>VLOOKUP($F$10,[1]Hárok1!$F$4:$S$124,7,0)</f>
        <v>65</v>
      </c>
      <c r="M10" s="42">
        <f>VLOOKUP($F$10,[1]Hárok1!$F$4:$S$124,8,0)+VLOOKUP($F$10,[2]Hárok1!$F$4:$S$4,8,0)</f>
        <v>0</v>
      </c>
      <c r="N10" s="42">
        <f>VLOOKUP($F$10,[1]Hárok1!$F$4:$S$124,9,0)+VLOOKUP($F$10,[2]Hárok1!$F$4:$S$4,9,0)</f>
        <v>1</v>
      </c>
      <c r="O10" s="42">
        <f>VLOOKUP($F$10,[1]Hárok1!$F$4:$S$124,10,0)+VLOOKUP($F$10,[2]Hárok1!$F$4:$S$4,10,0)</f>
        <v>23</v>
      </c>
      <c r="P10" s="42">
        <f>VLOOKUP($F$10,[1]Hárok1!$F$4:$S$124,11,0)+VLOOKUP($F$10,[2]Hárok1!$F$4:$S$4,11,0)</f>
        <v>1</v>
      </c>
      <c r="Q10" s="42">
        <f>VLOOKUP($F$10,[1]Hárok1!$F$4:$S$124,12,0)+VLOOKUP($F$10,[2]Hárok1!$F$4:$S$4,12,0)</f>
        <v>10</v>
      </c>
      <c r="R10" s="42">
        <f>VLOOKUP($F$10,[1]Hárok1!$F$4:$S$124,13,0)</f>
        <v>522</v>
      </c>
      <c r="S10" s="42">
        <f>VLOOKUP($F$10,[1]Hárok1!$F$4:$S$124,14,0)+VLOOKUP($F$10,[2]Hárok1!$F$4:$S$4,14,0)</f>
        <v>166</v>
      </c>
      <c r="T10" s="45">
        <f t="shared" si="0"/>
        <v>2177.5</v>
      </c>
      <c r="U10" s="46">
        <f>VLOOKUP(F10,[1]Hárok1!$F$4:$U$124,16,0)</f>
        <v>0</v>
      </c>
      <c r="V10" s="47">
        <f t="shared" si="1"/>
        <v>28.5</v>
      </c>
      <c r="W10" s="47">
        <f t="shared" si="2"/>
        <v>1354.5</v>
      </c>
      <c r="X10" s="48">
        <f t="shared" si="3"/>
        <v>276</v>
      </c>
      <c r="Y10" s="49">
        <f t="shared" si="4"/>
        <v>3836.5</v>
      </c>
      <c r="Z10" s="50">
        <f t="shared" si="5"/>
        <v>3837</v>
      </c>
    </row>
    <row r="11" spans="1:26" x14ac:dyDescent="0.25">
      <c r="A11" s="29" t="s">
        <v>42</v>
      </c>
      <c r="B11" s="29" t="s">
        <v>43</v>
      </c>
      <c r="C11" s="29" t="s">
        <v>44</v>
      </c>
      <c r="D11" s="30">
        <v>54130395</v>
      </c>
      <c r="E11" s="31" t="s">
        <v>45</v>
      </c>
      <c r="F11" s="29">
        <v>30778964</v>
      </c>
      <c r="G11" s="32" t="s">
        <v>52</v>
      </c>
      <c r="H11" s="32" t="s">
        <v>60</v>
      </c>
      <c r="I11" s="33" t="s">
        <v>62</v>
      </c>
      <c r="J11" s="42">
        <f>VLOOKUP(F11,[1]Hárok1!$F$4:$S$124,5,0)</f>
        <v>10</v>
      </c>
      <c r="K11" s="43">
        <f>VLOOKUP(F11,[1]Hárok1!$F$4:$S$124,6,0)</f>
        <v>2</v>
      </c>
      <c r="L11" s="43">
        <f>VLOOKUP(F11,[1]Hárok1!$F$4:$S$124,7,0)</f>
        <v>27</v>
      </c>
      <c r="M11" s="43">
        <f>VLOOKUP(F11,[1]Hárok1!$F$4:$S$124,8,0)</f>
        <v>10</v>
      </c>
      <c r="N11" s="43">
        <f>VLOOKUP(F11,[1]Hárok1!$F$4:$S$124,9,0)</f>
        <v>0</v>
      </c>
      <c r="O11" s="43">
        <f>VLOOKUP(F11,[1]Hárok1!$F$4:$S$124,10,0)</f>
        <v>14</v>
      </c>
      <c r="P11" s="44">
        <f>VLOOKUP(F11,[1]Hárok1!$F$4:$S$124,11,0)</f>
        <v>4</v>
      </c>
      <c r="Q11" s="42">
        <f>VLOOKUP(F11,[1]Hárok1!$F$4:$S$124,12,0)</f>
        <v>0</v>
      </c>
      <c r="R11" s="43">
        <f>VLOOKUP(F11,[1]Hárok1!$F$4:$S$124,13,0)</f>
        <v>218</v>
      </c>
      <c r="S11" s="44">
        <f>VLOOKUP(F11,[1]Hárok1!$F$4:$S$124,14,0)</f>
        <v>71</v>
      </c>
      <c r="T11" s="45">
        <f t="shared" si="0"/>
        <v>904.5</v>
      </c>
      <c r="U11" s="46">
        <f>VLOOKUP(F11,[1]Hárok1!$F$4:$U$124,16,0)</f>
        <v>0</v>
      </c>
      <c r="V11" s="47">
        <f t="shared" si="1"/>
        <v>0</v>
      </c>
      <c r="W11" s="47">
        <f t="shared" si="2"/>
        <v>625</v>
      </c>
      <c r="X11" s="48">
        <f t="shared" si="3"/>
        <v>214.5</v>
      </c>
      <c r="Y11" s="49">
        <f t="shared" si="4"/>
        <v>1744</v>
      </c>
      <c r="Z11" s="50">
        <f t="shared" si="5"/>
        <v>1744</v>
      </c>
    </row>
    <row r="12" spans="1:26" x14ac:dyDescent="0.25">
      <c r="A12" s="29" t="s">
        <v>42</v>
      </c>
      <c r="B12" s="29" t="s">
        <v>43</v>
      </c>
      <c r="C12" s="29" t="s">
        <v>44</v>
      </c>
      <c r="D12" s="30">
        <v>54130395</v>
      </c>
      <c r="E12" s="31" t="s">
        <v>45</v>
      </c>
      <c r="F12" s="29">
        <v>31769446</v>
      </c>
      <c r="G12" s="32" t="s">
        <v>52</v>
      </c>
      <c r="H12" s="32" t="s">
        <v>60</v>
      </c>
      <c r="I12" s="33" t="s">
        <v>63</v>
      </c>
      <c r="J12" s="42">
        <f>VLOOKUP(F12,[1]Hárok1!$F$4:$S$124,5,0)</f>
        <v>0</v>
      </c>
      <c r="K12" s="43">
        <f>VLOOKUP(F12,[1]Hárok1!$F$4:$S$124,6,0)</f>
        <v>0</v>
      </c>
      <c r="L12" s="43">
        <f>VLOOKUP(F12,[1]Hárok1!$F$4:$S$124,7,0)</f>
        <v>0</v>
      </c>
      <c r="M12" s="43">
        <f>VLOOKUP(F12,[1]Hárok1!$F$4:$S$124,8,0)</f>
        <v>0</v>
      </c>
      <c r="N12" s="43">
        <f>VLOOKUP(F12,[1]Hárok1!$F$4:$S$124,9,0)</f>
        <v>0</v>
      </c>
      <c r="O12" s="43">
        <f>VLOOKUP(F12,[1]Hárok1!$F$4:$S$124,10,0)</f>
        <v>0</v>
      </c>
      <c r="P12" s="44">
        <f>VLOOKUP(F12,[1]Hárok1!$F$4:$S$124,11,0)</f>
        <v>0</v>
      </c>
      <c r="Q12" s="42">
        <f>VLOOKUP(F12,[1]Hárok1!$F$4:$S$124,12,0)</f>
        <v>0</v>
      </c>
      <c r="R12" s="43">
        <f>VLOOKUP(F12,[1]Hárok1!$F$4:$S$124,13,0)</f>
        <v>0</v>
      </c>
      <c r="S12" s="44">
        <f>VLOOKUP(F12,[1]Hárok1!$F$4:$S$124,14,0)</f>
        <v>0</v>
      </c>
      <c r="T12" s="45">
        <f t="shared" si="0"/>
        <v>0</v>
      </c>
      <c r="U12" s="46">
        <f>VLOOKUP(F12,[1]Hárok1!$F$4:$U$124,16,0)</f>
        <v>0</v>
      </c>
      <c r="V12" s="47">
        <f t="shared" si="1"/>
        <v>0</v>
      </c>
      <c r="W12" s="47">
        <f t="shared" si="2"/>
        <v>0</v>
      </c>
      <c r="X12" s="48">
        <f t="shared" si="3"/>
        <v>0</v>
      </c>
      <c r="Y12" s="49">
        <f t="shared" si="4"/>
        <v>0</v>
      </c>
      <c r="Z12" s="50">
        <f t="shared" si="5"/>
        <v>0</v>
      </c>
    </row>
    <row r="13" spans="1:26" x14ac:dyDescent="0.25">
      <c r="A13" s="29" t="s">
        <v>42</v>
      </c>
      <c r="B13" s="29" t="s">
        <v>43</v>
      </c>
      <c r="C13" s="29" t="s">
        <v>44</v>
      </c>
      <c r="D13" s="30">
        <v>54130395</v>
      </c>
      <c r="E13" s="31" t="s">
        <v>45</v>
      </c>
      <c r="F13" s="29">
        <v>54732662</v>
      </c>
      <c r="G13" s="32" t="s">
        <v>64</v>
      </c>
      <c r="H13" s="32" t="s">
        <v>60</v>
      </c>
      <c r="I13" s="33" t="s">
        <v>63</v>
      </c>
      <c r="J13" s="42">
        <f>VLOOKUP(F13,[1]Hárok1!$F$4:$S$124,5,0)</f>
        <v>2</v>
      </c>
      <c r="K13" s="43">
        <f>VLOOKUP(F13,[1]Hárok1!$F$4:$S$124,6,0)</f>
        <v>0</v>
      </c>
      <c r="L13" s="43">
        <f>VLOOKUP(F13,[1]Hárok1!$F$4:$S$124,7,0)</f>
        <v>4</v>
      </c>
      <c r="M13" s="43">
        <f>VLOOKUP(F13,[1]Hárok1!$F$4:$S$124,8,0)</f>
        <v>0</v>
      </c>
      <c r="N13" s="43">
        <f>VLOOKUP(F13,[1]Hárok1!$F$4:$S$124,9,0)</f>
        <v>0</v>
      </c>
      <c r="O13" s="43">
        <f>VLOOKUP(F13,[1]Hárok1!$F$4:$S$124,10,0)</f>
        <v>2</v>
      </c>
      <c r="P13" s="44">
        <f>VLOOKUP(F13,[1]Hárok1!$F$4:$S$124,11,0)</f>
        <v>0</v>
      </c>
      <c r="Q13" s="42">
        <f>VLOOKUP(F13,[1]Hárok1!$F$4:$S$124,12,0)</f>
        <v>0</v>
      </c>
      <c r="R13" s="43">
        <f>VLOOKUP(F13,[1]Hárok1!$F$4:$S$124,13,0)</f>
        <v>11</v>
      </c>
      <c r="S13" s="44">
        <f>VLOOKUP(F13,[1]Hárok1!$F$4:$S$124,14,0)</f>
        <v>0</v>
      </c>
      <c r="T13" s="45">
        <f t="shared" si="0"/>
        <v>134</v>
      </c>
      <c r="U13" s="46">
        <f>VLOOKUP(F13,[1]Hárok1!$F$4:$U$124,16,0)</f>
        <v>0</v>
      </c>
      <c r="V13" s="47">
        <f t="shared" si="1"/>
        <v>0</v>
      </c>
      <c r="W13" s="47">
        <f t="shared" si="2"/>
        <v>49</v>
      </c>
      <c r="X13" s="48">
        <f t="shared" si="3"/>
        <v>0</v>
      </c>
      <c r="Y13" s="49">
        <f t="shared" si="4"/>
        <v>183</v>
      </c>
      <c r="Z13" s="50">
        <f t="shared" si="5"/>
        <v>183</v>
      </c>
    </row>
    <row r="14" spans="1:26" x14ac:dyDescent="0.25">
      <c r="A14" s="29" t="s">
        <v>42</v>
      </c>
      <c r="B14" s="29" t="s">
        <v>43</v>
      </c>
      <c r="C14" s="29" t="s">
        <v>44</v>
      </c>
      <c r="D14" s="30">
        <v>54130395</v>
      </c>
      <c r="E14" s="31" t="s">
        <v>45</v>
      </c>
      <c r="F14" s="29">
        <v>30775426</v>
      </c>
      <c r="G14" s="32" t="s">
        <v>65</v>
      </c>
      <c r="H14" s="32" t="s">
        <v>66</v>
      </c>
      <c r="I14" s="33" t="s">
        <v>67</v>
      </c>
      <c r="J14" s="42">
        <f>VLOOKUP(F14,[1]Hárok1!$F$4:$S$124,5,0)</f>
        <v>10</v>
      </c>
      <c r="K14" s="43">
        <f>VLOOKUP(F14,[1]Hárok1!$F$4:$S$124,6,0)</f>
        <v>0</v>
      </c>
      <c r="L14" s="43">
        <f>VLOOKUP(F14,[1]Hárok1!$F$4:$S$124,7,0)</f>
        <v>63</v>
      </c>
      <c r="M14" s="43">
        <f>VLOOKUP(F14,[1]Hárok1!$F$4:$S$124,8,0)</f>
        <v>0</v>
      </c>
      <c r="N14" s="43">
        <f>VLOOKUP(F14,[1]Hárok1!$F$4:$S$124,9,0)</f>
        <v>0</v>
      </c>
      <c r="O14" s="43">
        <f>VLOOKUP(F14,[1]Hárok1!$F$4:$S$124,10,0)</f>
        <v>12</v>
      </c>
      <c r="P14" s="44">
        <f>VLOOKUP(F14,[1]Hárok1!$F$4:$S$124,11,0)</f>
        <v>2</v>
      </c>
      <c r="Q14" s="42">
        <f>VLOOKUP(F14,[1]Hárok1!$F$4:$S$124,12,0)</f>
        <v>0</v>
      </c>
      <c r="R14" s="43">
        <f>VLOOKUP(F14,[1]Hárok1!$F$4:$S$124,13,0)</f>
        <v>365</v>
      </c>
      <c r="S14" s="44">
        <f>VLOOKUP(F14,[1]Hárok1!$F$4:$S$124,14,0)</f>
        <v>134</v>
      </c>
      <c r="T14" s="45">
        <f t="shared" si="0"/>
        <v>2110.5</v>
      </c>
      <c r="U14" s="46">
        <f>VLOOKUP(F14,[1]Hárok1!$F$4:$U$124,16,0)</f>
        <v>0</v>
      </c>
      <c r="V14" s="47">
        <f t="shared" si="1"/>
        <v>0</v>
      </c>
      <c r="W14" s="47">
        <f t="shared" si="2"/>
        <v>892</v>
      </c>
      <c r="X14" s="48">
        <f t="shared" si="3"/>
        <v>255</v>
      </c>
      <c r="Y14" s="49">
        <f t="shared" si="4"/>
        <v>3257.5</v>
      </c>
      <c r="Z14" s="50">
        <f t="shared" si="5"/>
        <v>3258</v>
      </c>
    </row>
    <row r="15" spans="1:26" x14ac:dyDescent="0.25">
      <c r="A15" s="29" t="s">
        <v>42</v>
      </c>
      <c r="B15" s="29" t="s">
        <v>43</v>
      </c>
      <c r="C15" s="29" t="s">
        <v>44</v>
      </c>
      <c r="D15" s="30">
        <v>54130395</v>
      </c>
      <c r="E15" s="31" t="s">
        <v>45</v>
      </c>
      <c r="F15" s="29">
        <v>31780610</v>
      </c>
      <c r="G15" s="32" t="s">
        <v>52</v>
      </c>
      <c r="H15" s="32" t="s">
        <v>68</v>
      </c>
      <c r="I15" s="33" t="s">
        <v>69</v>
      </c>
      <c r="J15" s="42">
        <f>VLOOKUP(F15,[1]Hárok1!$F$4:$S$124,5,0)</f>
        <v>0</v>
      </c>
      <c r="K15" s="43">
        <f>VLOOKUP(F15,[1]Hárok1!$F$4:$S$124,6,0)</f>
        <v>0</v>
      </c>
      <c r="L15" s="43">
        <f>VLOOKUP(F15,[1]Hárok1!$F$4:$S$124,7,0)</f>
        <v>0</v>
      </c>
      <c r="M15" s="43">
        <f>VLOOKUP(F15,[1]Hárok1!$F$4:$S$124,8,0)</f>
        <v>0</v>
      </c>
      <c r="N15" s="43">
        <f>VLOOKUP(F15,[1]Hárok1!$F$4:$S$124,9,0)</f>
        <v>0</v>
      </c>
      <c r="O15" s="43">
        <f>VLOOKUP(F15,[1]Hárok1!$F$4:$S$124,10,0)</f>
        <v>0</v>
      </c>
      <c r="P15" s="44">
        <f>VLOOKUP(F15,[1]Hárok1!$F$4:$S$124,11,0)</f>
        <v>0</v>
      </c>
      <c r="Q15" s="42">
        <f>VLOOKUP(F15,[1]Hárok1!$F$4:$S$124,12,0)</f>
        <v>0</v>
      </c>
      <c r="R15" s="43">
        <f>VLOOKUP(F15,[1]Hárok1!$F$4:$S$124,13,0)</f>
        <v>0</v>
      </c>
      <c r="S15" s="44">
        <f>VLOOKUP(F15,[1]Hárok1!$F$4:$S$124,14,0)</f>
        <v>0</v>
      </c>
      <c r="T15" s="45">
        <f t="shared" si="0"/>
        <v>0</v>
      </c>
      <c r="U15" s="46">
        <f>VLOOKUP(F15,[1]Hárok1!$F$4:$U$124,16,0)</f>
        <v>0</v>
      </c>
      <c r="V15" s="47">
        <f t="shared" si="1"/>
        <v>0</v>
      </c>
      <c r="W15" s="47">
        <f t="shared" si="2"/>
        <v>0</v>
      </c>
      <c r="X15" s="48">
        <f t="shared" si="3"/>
        <v>0</v>
      </c>
      <c r="Y15" s="49">
        <f t="shared" si="4"/>
        <v>0</v>
      </c>
      <c r="Z15" s="50">
        <f t="shared" si="5"/>
        <v>0</v>
      </c>
    </row>
    <row r="16" spans="1:26" x14ac:dyDescent="0.25">
      <c r="A16" s="29" t="s">
        <v>42</v>
      </c>
      <c r="B16" s="29" t="s">
        <v>43</v>
      </c>
      <c r="C16" s="29" t="s">
        <v>44</v>
      </c>
      <c r="D16" s="30">
        <v>54130395</v>
      </c>
      <c r="E16" s="31" t="s">
        <v>45</v>
      </c>
      <c r="F16" s="29">
        <v>500798</v>
      </c>
      <c r="G16" s="32" t="s">
        <v>70</v>
      </c>
      <c r="H16" s="32" t="s">
        <v>71</v>
      </c>
      <c r="I16" s="33" t="s">
        <v>72</v>
      </c>
      <c r="J16" s="42">
        <f>VLOOKUP(F16,[1]Hárok1!$F$4:$S$124,5,0)</f>
        <v>1</v>
      </c>
      <c r="K16" s="43">
        <f>VLOOKUP(F16,[1]Hárok1!$F$4:$S$124,6,0)</f>
        <v>0</v>
      </c>
      <c r="L16" s="43">
        <f>VLOOKUP(F16,[1]Hárok1!$F$4:$S$124,7,0)</f>
        <v>3</v>
      </c>
      <c r="M16" s="43">
        <f>VLOOKUP(F16,[1]Hárok1!$F$4:$S$124,8,0)</f>
        <v>0</v>
      </c>
      <c r="N16" s="43">
        <f>VLOOKUP(F16,[1]Hárok1!$F$4:$S$124,9,0)</f>
        <v>0</v>
      </c>
      <c r="O16" s="43">
        <f>VLOOKUP(F16,[1]Hárok1!$F$4:$S$124,10,0)</f>
        <v>1</v>
      </c>
      <c r="P16" s="44">
        <f>VLOOKUP(F16,[1]Hárok1!$F$4:$S$124,11,0)</f>
        <v>0</v>
      </c>
      <c r="Q16" s="42">
        <f>VLOOKUP(F16,[1]Hárok1!$F$4:$S$124,12,0)</f>
        <v>0</v>
      </c>
      <c r="R16" s="43">
        <f>VLOOKUP(F16,[1]Hárok1!$F$4:$S$124,13,0)</f>
        <v>9</v>
      </c>
      <c r="S16" s="44">
        <f>VLOOKUP(F16,[1]Hárok1!$F$4:$S$124,14,0)</f>
        <v>0</v>
      </c>
      <c r="T16" s="45">
        <f t="shared" si="0"/>
        <v>100.5</v>
      </c>
      <c r="U16" s="46">
        <f>VLOOKUP(F16,[1]Hárok1!$F$4:$U$124,16,0)</f>
        <v>0</v>
      </c>
      <c r="V16" s="47">
        <f t="shared" si="1"/>
        <v>0</v>
      </c>
      <c r="W16" s="47">
        <f t="shared" si="2"/>
        <v>31.5</v>
      </c>
      <c r="X16" s="48">
        <f t="shared" si="3"/>
        <v>0</v>
      </c>
      <c r="Y16" s="49">
        <f t="shared" si="4"/>
        <v>132</v>
      </c>
      <c r="Z16" s="50">
        <f t="shared" si="5"/>
        <v>132</v>
      </c>
    </row>
    <row r="17" spans="1:26" x14ac:dyDescent="0.25">
      <c r="A17" s="29" t="s">
        <v>42</v>
      </c>
      <c r="B17" s="29" t="s">
        <v>43</v>
      </c>
      <c r="C17" s="29" t="s">
        <v>44</v>
      </c>
      <c r="D17" s="30">
        <v>54130395</v>
      </c>
      <c r="E17" s="31" t="s">
        <v>45</v>
      </c>
      <c r="F17" s="29">
        <v>17050162</v>
      </c>
      <c r="G17" s="32" t="s">
        <v>70</v>
      </c>
      <c r="H17" s="32" t="s">
        <v>73</v>
      </c>
      <c r="I17" s="33" t="s">
        <v>74</v>
      </c>
      <c r="J17" s="42">
        <f>VLOOKUP(F17,[1]Hárok1!$F$4:$S$124,5,0)</f>
        <v>1</v>
      </c>
      <c r="K17" s="43">
        <f>VLOOKUP(F17,[1]Hárok1!$F$4:$S$124,6,0)</f>
        <v>0</v>
      </c>
      <c r="L17" s="43">
        <f>VLOOKUP(F17,[1]Hárok1!$F$4:$S$124,7,0)</f>
        <v>2</v>
      </c>
      <c r="M17" s="43">
        <f>VLOOKUP(F17,[1]Hárok1!$F$4:$S$124,8,0)</f>
        <v>0</v>
      </c>
      <c r="N17" s="43">
        <f>VLOOKUP(F17,[1]Hárok1!$F$4:$S$124,9,0)</f>
        <v>0</v>
      </c>
      <c r="O17" s="43">
        <f>VLOOKUP(F17,[1]Hárok1!$F$4:$S$124,10,0)</f>
        <v>1</v>
      </c>
      <c r="P17" s="44">
        <f>VLOOKUP(F17,[1]Hárok1!$F$4:$S$124,11,0)</f>
        <v>0</v>
      </c>
      <c r="Q17" s="42">
        <f>VLOOKUP(F17,[1]Hárok1!$F$4:$S$124,12,0)</f>
        <v>0</v>
      </c>
      <c r="R17" s="43">
        <f>VLOOKUP(F17,[1]Hárok1!$F$4:$S$124,13,0)</f>
        <v>2</v>
      </c>
      <c r="S17" s="44">
        <f>VLOOKUP(F17,[1]Hárok1!$F$4:$S$124,14,0)</f>
        <v>0</v>
      </c>
      <c r="T17" s="45">
        <f t="shared" si="0"/>
        <v>67</v>
      </c>
      <c r="U17" s="46">
        <f>VLOOKUP(F17,[1]Hárok1!$F$4:$U$124,16,0)</f>
        <v>0</v>
      </c>
      <c r="V17" s="47">
        <f t="shared" si="1"/>
        <v>0</v>
      </c>
      <c r="W17" s="47">
        <f t="shared" si="2"/>
        <v>17.5</v>
      </c>
      <c r="X17" s="48">
        <f t="shared" si="3"/>
        <v>0</v>
      </c>
      <c r="Y17" s="49">
        <f t="shared" si="4"/>
        <v>84.5</v>
      </c>
      <c r="Z17" s="50">
        <f t="shared" si="5"/>
        <v>85</v>
      </c>
    </row>
    <row r="18" spans="1:26" x14ac:dyDescent="0.25">
      <c r="A18" s="29" t="s">
        <v>42</v>
      </c>
      <c r="B18" s="29" t="s">
        <v>43</v>
      </c>
      <c r="C18" s="29" t="s">
        <v>44</v>
      </c>
      <c r="D18" s="30">
        <v>54130395</v>
      </c>
      <c r="E18" s="31" t="s">
        <v>45</v>
      </c>
      <c r="F18" s="29">
        <v>35629428</v>
      </c>
      <c r="G18" s="32" t="s">
        <v>52</v>
      </c>
      <c r="H18" s="32" t="s">
        <v>75</v>
      </c>
      <c r="I18" s="33" t="s">
        <v>76</v>
      </c>
      <c r="J18" s="42">
        <f>VLOOKUP(F18,[1]Hárok1!$F$4:$S$124,5,0)</f>
        <v>0</v>
      </c>
      <c r="K18" s="43">
        <f>VLOOKUP(F18,[1]Hárok1!$F$4:$S$124,6,0)</f>
        <v>0</v>
      </c>
      <c r="L18" s="43">
        <f>VLOOKUP(F18,[1]Hárok1!$F$4:$S$124,7,0)</f>
        <v>0</v>
      </c>
      <c r="M18" s="43">
        <f>VLOOKUP(F18,[1]Hárok1!$F$4:$S$124,8,0)</f>
        <v>0</v>
      </c>
      <c r="N18" s="43">
        <f>VLOOKUP(F18,[1]Hárok1!$F$4:$S$124,9,0)</f>
        <v>0</v>
      </c>
      <c r="O18" s="43">
        <f>VLOOKUP(F18,[1]Hárok1!$F$4:$S$124,10,0)</f>
        <v>0</v>
      </c>
      <c r="P18" s="44">
        <f>VLOOKUP(F18,[1]Hárok1!$F$4:$S$124,11,0)</f>
        <v>0</v>
      </c>
      <c r="Q18" s="42">
        <f>VLOOKUP(F18,[1]Hárok1!$F$4:$S$124,12,0)</f>
        <v>0</v>
      </c>
      <c r="R18" s="43">
        <f>VLOOKUP(F18,[1]Hárok1!$F$4:$S$124,13,0)</f>
        <v>0</v>
      </c>
      <c r="S18" s="44">
        <f>VLOOKUP(F18,[1]Hárok1!$F$4:$S$124,14,0)</f>
        <v>0</v>
      </c>
      <c r="T18" s="45">
        <f t="shared" si="0"/>
        <v>0</v>
      </c>
      <c r="U18" s="46">
        <f>VLOOKUP(F18,[1]Hárok1!$F$4:$U$124,16,0)</f>
        <v>0</v>
      </c>
      <c r="V18" s="47">
        <f t="shared" si="1"/>
        <v>0</v>
      </c>
      <c r="W18" s="47">
        <f t="shared" si="2"/>
        <v>0</v>
      </c>
      <c r="X18" s="48">
        <f t="shared" si="3"/>
        <v>0</v>
      </c>
      <c r="Y18" s="49">
        <f t="shared" si="4"/>
        <v>0</v>
      </c>
      <c r="Z18" s="50">
        <f t="shared" si="5"/>
        <v>0</v>
      </c>
    </row>
    <row r="19" spans="1:26" x14ac:dyDescent="0.25">
      <c r="A19" s="29" t="s">
        <v>42</v>
      </c>
      <c r="B19" s="29" t="s">
        <v>43</v>
      </c>
      <c r="C19" s="29" t="s">
        <v>44</v>
      </c>
      <c r="D19" s="30">
        <v>54130395</v>
      </c>
      <c r="E19" s="31" t="s">
        <v>45</v>
      </c>
      <c r="F19" s="29">
        <v>42175372</v>
      </c>
      <c r="G19" s="32" t="s">
        <v>52</v>
      </c>
      <c r="H19" s="32" t="s">
        <v>77</v>
      </c>
      <c r="I19" s="33" t="s">
        <v>78</v>
      </c>
      <c r="J19" s="42">
        <f>VLOOKUP(F19,[1]Hárok1!$F$4:$S$124,5,0)</f>
        <v>0</v>
      </c>
      <c r="K19" s="43">
        <f>VLOOKUP(F19,[1]Hárok1!$F$4:$S$124,6,0)</f>
        <v>0</v>
      </c>
      <c r="L19" s="43">
        <f>VLOOKUP(F19,[1]Hárok1!$F$4:$S$124,7,0)</f>
        <v>0</v>
      </c>
      <c r="M19" s="43">
        <f>VLOOKUP(F19,[1]Hárok1!$F$4:$S$124,8,0)</f>
        <v>0</v>
      </c>
      <c r="N19" s="43">
        <f>VLOOKUP(F19,[1]Hárok1!$F$4:$S$124,9,0)</f>
        <v>0</v>
      </c>
      <c r="O19" s="43">
        <f>VLOOKUP(F19,[1]Hárok1!$F$4:$S$124,10,0)</f>
        <v>0</v>
      </c>
      <c r="P19" s="44">
        <f>VLOOKUP(F19,[1]Hárok1!$F$4:$S$124,11,0)</f>
        <v>0</v>
      </c>
      <c r="Q19" s="42">
        <f>VLOOKUP(F19,[1]Hárok1!$F$4:$S$124,12,0)</f>
        <v>0</v>
      </c>
      <c r="R19" s="43">
        <f>VLOOKUP(F19,[1]Hárok1!$F$4:$S$124,13,0)</f>
        <v>0</v>
      </c>
      <c r="S19" s="44">
        <f>VLOOKUP(F19,[1]Hárok1!$F$4:$S$124,14,0)</f>
        <v>0</v>
      </c>
      <c r="T19" s="45">
        <f t="shared" si="0"/>
        <v>0</v>
      </c>
      <c r="U19" s="46">
        <f>VLOOKUP(F19,[1]Hárok1!$F$4:$U$124,16,0)</f>
        <v>0</v>
      </c>
      <c r="V19" s="47">
        <f t="shared" si="1"/>
        <v>0</v>
      </c>
      <c r="W19" s="47">
        <f t="shared" si="2"/>
        <v>0</v>
      </c>
      <c r="X19" s="48">
        <f t="shared" si="3"/>
        <v>0</v>
      </c>
      <c r="Y19" s="49">
        <f t="shared" si="4"/>
        <v>0</v>
      </c>
      <c r="Z19" s="50">
        <f t="shared" si="5"/>
        <v>0</v>
      </c>
    </row>
    <row r="20" spans="1:26" x14ac:dyDescent="0.25">
      <c r="A20" s="29" t="s">
        <v>42</v>
      </c>
      <c r="B20" s="29" t="s">
        <v>79</v>
      </c>
      <c r="C20" s="29" t="s">
        <v>80</v>
      </c>
      <c r="D20" s="30">
        <v>36063606</v>
      </c>
      <c r="E20" s="31" t="s">
        <v>81</v>
      </c>
      <c r="F20" s="29">
        <v>17337101</v>
      </c>
      <c r="G20" s="32" t="s">
        <v>49</v>
      </c>
      <c r="H20" s="32" t="s">
        <v>82</v>
      </c>
      <c r="I20" s="33" t="s">
        <v>83</v>
      </c>
      <c r="J20" s="42">
        <f>VLOOKUP(F20,[1]Hárok1!$F$4:$S$124,5,0)</f>
        <v>15</v>
      </c>
      <c r="K20" s="43">
        <f>VLOOKUP(F20,[1]Hárok1!$F$4:$S$124,6,0)</f>
        <v>0</v>
      </c>
      <c r="L20" s="43">
        <f>VLOOKUP(F20,[1]Hárok1!$F$4:$S$124,7,0)</f>
        <v>47</v>
      </c>
      <c r="M20" s="43">
        <f>VLOOKUP(F20,[1]Hárok1!$F$4:$S$124,8,0)</f>
        <v>0</v>
      </c>
      <c r="N20" s="43">
        <f>VLOOKUP(F20,[1]Hárok1!$F$4:$S$124,9,0)</f>
        <v>0</v>
      </c>
      <c r="O20" s="43">
        <f>VLOOKUP(F20,[1]Hárok1!$F$4:$S$124,10,0)</f>
        <v>25</v>
      </c>
      <c r="P20" s="44">
        <f>VLOOKUP(F20,[1]Hárok1!$F$4:$S$124,11,0)</f>
        <v>1</v>
      </c>
      <c r="Q20" s="42">
        <f>VLOOKUP(F20,[1]Hárok1!$F$4:$S$124,12,0)</f>
        <v>0</v>
      </c>
      <c r="R20" s="43">
        <f>VLOOKUP(F20,[1]Hárok1!$F$4:$S$124,13,0)</f>
        <v>455</v>
      </c>
      <c r="S20" s="44">
        <f>VLOOKUP(F20,[1]Hárok1!$F$4:$S$124,14,0)</f>
        <v>17</v>
      </c>
      <c r="T20" s="45">
        <f t="shared" si="0"/>
        <v>1574.5</v>
      </c>
      <c r="U20" s="46">
        <f>VLOOKUP(F20,[1]Hárok1!$F$4:$U$124,16,0)</f>
        <v>0</v>
      </c>
      <c r="V20" s="47">
        <f t="shared" si="1"/>
        <v>0</v>
      </c>
      <c r="W20" s="47">
        <f t="shared" si="2"/>
        <v>1247.5</v>
      </c>
      <c r="X20" s="48">
        <f t="shared" si="3"/>
        <v>52.5</v>
      </c>
      <c r="Y20" s="49">
        <f t="shared" si="4"/>
        <v>2874.5</v>
      </c>
      <c r="Z20" s="50">
        <f t="shared" si="5"/>
        <v>2875</v>
      </c>
    </row>
    <row r="21" spans="1:26" x14ac:dyDescent="0.25">
      <c r="A21" s="29" t="s">
        <v>42</v>
      </c>
      <c r="B21" s="29" t="s">
        <v>79</v>
      </c>
      <c r="C21" s="29" t="s">
        <v>80</v>
      </c>
      <c r="D21" s="30">
        <v>36063606</v>
      </c>
      <c r="E21" s="31" t="s">
        <v>81</v>
      </c>
      <c r="F21" s="29">
        <v>17337046</v>
      </c>
      <c r="G21" s="32" t="s">
        <v>84</v>
      </c>
      <c r="H21" s="32" t="s">
        <v>82</v>
      </c>
      <c r="I21" s="33" t="s">
        <v>85</v>
      </c>
      <c r="J21" s="42">
        <f>VLOOKUP($F$21,[1]Hárok1!$F$4:$S$124,5,0)</f>
        <v>11</v>
      </c>
      <c r="K21" s="42">
        <f>VLOOKUP($F$21,[1]Hárok1!$F$4:$S$124,6,0)+VLOOKUP($F$21,'[3]NIVAM apríl 23'!$F$5:$S$5,6,0)</f>
        <v>0</v>
      </c>
      <c r="L21" s="42">
        <f>VLOOKUP($F$21,[1]Hárok1!$F$4:$S$124,7,0)</f>
        <v>30</v>
      </c>
      <c r="M21" s="42">
        <f>VLOOKUP($F$21,[1]Hárok1!$F$4:$S$124,8,0)+VLOOKUP($F$21,'[3]NIVAM apríl 23'!$F$5:$S$5,8,0)</f>
        <v>0</v>
      </c>
      <c r="N21" s="42">
        <f>VLOOKUP($F$21,[1]Hárok1!$F$4:$S$124,9,0)+VLOOKUP($F$21,'[3]NIVAM apríl 23'!$F$5:$S$5,9,0)</f>
        <v>0</v>
      </c>
      <c r="O21" s="42">
        <f>VLOOKUP($F$21,[1]Hárok1!$F$4:$S$124,10,0)+VLOOKUP($F$21,'[3]NIVAM apríl 23'!$F$5:$S$5,10,0)</f>
        <v>12</v>
      </c>
      <c r="P21" s="42">
        <f>VLOOKUP($F$21,[1]Hárok1!$F$4:$S$124,11,0)+VLOOKUP($F$21,'[3]NIVAM apríl 23'!$F$5:$S$5,11,0)</f>
        <v>1</v>
      </c>
      <c r="Q21" s="42">
        <f>VLOOKUP($F$21,[1]Hárok1!$F$4:$S$124,12,0)+VLOOKUP($F$21,'[3]NIVAM apríl 23'!$F$5:$S$5,12,0)</f>
        <v>0</v>
      </c>
      <c r="R21" s="42">
        <f>VLOOKUP($F$21,[1]Hárok1!$F$4:$S$124,13,0)</f>
        <v>259</v>
      </c>
      <c r="S21" s="42">
        <f>VLOOKUP($F$21,[1]Hárok1!$F$4:$S$124,14,0)+VLOOKUP($F$21,'[3]NIVAM apríl 23'!$F$5:$S$5,14,0)</f>
        <v>43</v>
      </c>
      <c r="T21" s="45">
        <f t="shared" si="0"/>
        <v>1005</v>
      </c>
      <c r="U21" s="46">
        <f>VLOOKUP(F21,[1]Hárok1!$F$4:$U$124,16,0)</f>
        <v>0</v>
      </c>
      <c r="V21" s="47">
        <f t="shared" si="1"/>
        <v>0</v>
      </c>
      <c r="W21" s="47">
        <f t="shared" si="2"/>
        <v>680</v>
      </c>
      <c r="X21" s="48">
        <f t="shared" si="3"/>
        <v>91.5</v>
      </c>
      <c r="Y21" s="49">
        <f t="shared" si="4"/>
        <v>1776.5</v>
      </c>
      <c r="Z21" s="50">
        <f t="shared" si="5"/>
        <v>1777</v>
      </c>
    </row>
    <row r="22" spans="1:26" x14ac:dyDescent="0.25">
      <c r="A22" s="29" t="s">
        <v>42</v>
      </c>
      <c r="B22" s="29" t="s">
        <v>79</v>
      </c>
      <c r="C22" s="29" t="s">
        <v>80</v>
      </c>
      <c r="D22" s="30">
        <v>36063606</v>
      </c>
      <c r="E22" s="31" t="s">
        <v>81</v>
      </c>
      <c r="F22" s="29">
        <v>605808</v>
      </c>
      <c r="G22" s="32" t="s">
        <v>86</v>
      </c>
      <c r="H22" s="32" t="s">
        <v>82</v>
      </c>
      <c r="I22" s="33" t="s">
        <v>87</v>
      </c>
      <c r="J22" s="42">
        <f>VLOOKUP(F22,[1]Hárok1!$F$4:$S$124,5,0)</f>
        <v>16</v>
      </c>
      <c r="K22" s="43">
        <f>VLOOKUP(F22,[1]Hárok1!$F$4:$S$124,6,0)</f>
        <v>7</v>
      </c>
      <c r="L22" s="43">
        <f>VLOOKUP(F22,[1]Hárok1!$F$4:$S$124,7,0)</f>
        <v>56</v>
      </c>
      <c r="M22" s="43">
        <f>VLOOKUP(F22,[1]Hárok1!$F$4:$S$124,8,0)</f>
        <v>22</v>
      </c>
      <c r="N22" s="43">
        <f>VLOOKUP(F22,[1]Hárok1!$F$4:$S$124,9,0)</f>
        <v>1</v>
      </c>
      <c r="O22" s="43">
        <f>VLOOKUP(F22,[1]Hárok1!$F$4:$S$124,10,0)</f>
        <v>23</v>
      </c>
      <c r="P22" s="44">
        <f>VLOOKUP(F22,[1]Hárok1!$F$4:$S$124,11,0)</f>
        <v>1</v>
      </c>
      <c r="Q22" s="42">
        <f>VLOOKUP(F22,[1]Hárok1!$F$4:$S$124,12,0)</f>
        <v>5</v>
      </c>
      <c r="R22" s="43">
        <f>VLOOKUP(F22,[1]Hárok1!$F$4:$S$124,13,0)</f>
        <v>487</v>
      </c>
      <c r="S22" s="44">
        <f>VLOOKUP(F22,[1]Hárok1!$F$4:$S$124,14,0)</f>
        <v>25</v>
      </c>
      <c r="T22" s="45">
        <f t="shared" si="0"/>
        <v>1876</v>
      </c>
      <c r="U22" s="46">
        <f>VLOOKUP(F22,[1]Hárok1!$F$4:$U$124,16,0)</f>
        <v>0</v>
      </c>
      <c r="V22" s="47">
        <f t="shared" si="1"/>
        <v>21</v>
      </c>
      <c r="W22" s="47">
        <f t="shared" si="2"/>
        <v>1284.5</v>
      </c>
      <c r="X22" s="48">
        <f t="shared" si="3"/>
        <v>64.5</v>
      </c>
      <c r="Y22" s="49">
        <f t="shared" si="4"/>
        <v>3246</v>
      </c>
      <c r="Z22" s="50">
        <f t="shared" si="5"/>
        <v>3246</v>
      </c>
    </row>
    <row r="23" spans="1:26" x14ac:dyDescent="0.25">
      <c r="A23" s="29" t="s">
        <v>42</v>
      </c>
      <c r="B23" s="29" t="s">
        <v>79</v>
      </c>
      <c r="C23" s="29" t="s">
        <v>80</v>
      </c>
      <c r="D23" s="30">
        <v>36063606</v>
      </c>
      <c r="E23" s="31" t="s">
        <v>81</v>
      </c>
      <c r="F23" s="29">
        <v>30775353</v>
      </c>
      <c r="G23" s="32" t="s">
        <v>88</v>
      </c>
      <c r="H23" s="32" t="s">
        <v>82</v>
      </c>
      <c r="I23" s="33" t="s">
        <v>89</v>
      </c>
      <c r="J23" s="42">
        <f>VLOOKUP(F23,[1]Hárok1!$F$4:$S$124,5,0)</f>
        <v>11</v>
      </c>
      <c r="K23" s="43">
        <f>VLOOKUP(F23,[1]Hárok1!$F$4:$S$124,6,0)</f>
        <v>0</v>
      </c>
      <c r="L23" s="43">
        <f>VLOOKUP(F23,[1]Hárok1!$F$4:$S$124,7,0)</f>
        <v>39</v>
      </c>
      <c r="M23" s="43">
        <f>VLOOKUP(F23,[1]Hárok1!$F$4:$S$124,8,0)</f>
        <v>0</v>
      </c>
      <c r="N23" s="43">
        <f>VLOOKUP(F23,[1]Hárok1!$F$4:$S$124,9,0)</f>
        <v>1</v>
      </c>
      <c r="O23" s="43">
        <f>VLOOKUP(F23,[1]Hárok1!$F$4:$S$124,10,0)</f>
        <v>16</v>
      </c>
      <c r="P23" s="44">
        <f>VLOOKUP(F23,[1]Hárok1!$F$4:$S$124,11,0)</f>
        <v>1</v>
      </c>
      <c r="Q23" s="42">
        <f>VLOOKUP(F23,[1]Hárok1!$F$4:$S$124,12,0)</f>
        <v>7</v>
      </c>
      <c r="R23" s="43">
        <f>VLOOKUP(F23,[1]Hárok1!$F$4:$S$124,13,0)</f>
        <v>373</v>
      </c>
      <c r="S23" s="44">
        <f>VLOOKUP(F23,[1]Hárok1!$F$4:$S$124,14,0)</f>
        <v>67</v>
      </c>
      <c r="T23" s="45">
        <f t="shared" si="0"/>
        <v>1306.5</v>
      </c>
      <c r="U23" s="46">
        <f>VLOOKUP(F23,[1]Hárok1!$F$4:$U$124,16,0)</f>
        <v>0</v>
      </c>
      <c r="V23" s="47">
        <f t="shared" si="1"/>
        <v>24</v>
      </c>
      <c r="W23" s="47">
        <f t="shared" si="2"/>
        <v>962</v>
      </c>
      <c r="X23" s="48">
        <f t="shared" si="3"/>
        <v>127.5</v>
      </c>
      <c r="Y23" s="49">
        <f t="shared" si="4"/>
        <v>2420</v>
      </c>
      <c r="Z23" s="50">
        <f t="shared" si="5"/>
        <v>2420</v>
      </c>
    </row>
    <row r="24" spans="1:26" x14ac:dyDescent="0.25">
      <c r="A24" s="29" t="s">
        <v>42</v>
      </c>
      <c r="B24" s="29" t="s">
        <v>79</v>
      </c>
      <c r="C24" s="29" t="s">
        <v>80</v>
      </c>
      <c r="D24" s="30">
        <v>36063606</v>
      </c>
      <c r="E24" s="31" t="s">
        <v>81</v>
      </c>
      <c r="F24" s="29">
        <v>30775396</v>
      </c>
      <c r="G24" s="32" t="s">
        <v>90</v>
      </c>
      <c r="H24" s="32" t="s">
        <v>82</v>
      </c>
      <c r="I24" s="33" t="s">
        <v>91</v>
      </c>
      <c r="J24" s="42">
        <f>VLOOKUP(F24,[1]Hárok1!$F$4:$S$124,5,0)</f>
        <v>10</v>
      </c>
      <c r="K24" s="43">
        <f>VLOOKUP(F24,[1]Hárok1!$F$4:$S$124,6,0)</f>
        <v>0</v>
      </c>
      <c r="L24" s="43">
        <f>VLOOKUP(F24,[1]Hárok1!$F$4:$S$124,7,0)</f>
        <v>39</v>
      </c>
      <c r="M24" s="43">
        <f>VLOOKUP(F24,[1]Hárok1!$F$4:$S$124,8,0)</f>
        <v>0</v>
      </c>
      <c r="N24" s="43">
        <f>VLOOKUP(F24,[1]Hárok1!$F$4:$S$124,9,0)</f>
        <v>0</v>
      </c>
      <c r="O24" s="43">
        <f>VLOOKUP(F24,[1]Hárok1!$F$4:$S$124,10,0)</f>
        <v>13</v>
      </c>
      <c r="P24" s="44">
        <f>VLOOKUP(F24,[1]Hárok1!$F$4:$S$124,11,0)</f>
        <v>1</v>
      </c>
      <c r="Q24" s="42">
        <f>VLOOKUP(F24,[1]Hárok1!$F$4:$S$124,12,0)</f>
        <v>0</v>
      </c>
      <c r="R24" s="43">
        <f>VLOOKUP(F24,[1]Hárok1!$F$4:$S$124,13,0)</f>
        <v>294</v>
      </c>
      <c r="S24" s="44">
        <f>VLOOKUP(F24,[1]Hárok1!$F$4:$S$124,14,0)</f>
        <v>77</v>
      </c>
      <c r="T24" s="45">
        <f t="shared" si="0"/>
        <v>1306.5</v>
      </c>
      <c r="U24" s="46">
        <f>VLOOKUP(F24,[1]Hárok1!$F$4:$U$124,16,0)</f>
        <v>0</v>
      </c>
      <c r="V24" s="47">
        <f t="shared" si="1"/>
        <v>0</v>
      </c>
      <c r="W24" s="47">
        <f t="shared" si="2"/>
        <v>763.5</v>
      </c>
      <c r="X24" s="48">
        <f t="shared" si="3"/>
        <v>142.5</v>
      </c>
      <c r="Y24" s="49">
        <f t="shared" si="4"/>
        <v>2212.5</v>
      </c>
      <c r="Z24" s="50">
        <f t="shared" si="5"/>
        <v>2213</v>
      </c>
    </row>
    <row r="25" spans="1:26" x14ac:dyDescent="0.25">
      <c r="A25" s="29" t="s">
        <v>42</v>
      </c>
      <c r="B25" s="29" t="s">
        <v>79</v>
      </c>
      <c r="C25" s="29" t="s">
        <v>80</v>
      </c>
      <c r="D25" s="30">
        <v>36063606</v>
      </c>
      <c r="E25" s="31" t="s">
        <v>81</v>
      </c>
      <c r="F25" s="29">
        <v>30775302</v>
      </c>
      <c r="G25" s="32" t="s">
        <v>92</v>
      </c>
      <c r="H25" s="32" t="s">
        <v>82</v>
      </c>
      <c r="I25" s="33" t="s">
        <v>93</v>
      </c>
      <c r="J25" s="42">
        <f>VLOOKUP(F25,[1]Hárok1!$F$4:$S$124,5,0)</f>
        <v>4</v>
      </c>
      <c r="K25" s="43">
        <f>VLOOKUP(F25,[1]Hárok1!$F$4:$S$124,6,0)</f>
        <v>0</v>
      </c>
      <c r="L25" s="43">
        <f>VLOOKUP(F25,[1]Hárok1!$F$4:$S$124,7,0)</f>
        <v>25</v>
      </c>
      <c r="M25" s="43">
        <f>VLOOKUP(F25,[1]Hárok1!$F$4:$S$124,8,0)</f>
        <v>0</v>
      </c>
      <c r="N25" s="43">
        <f>VLOOKUP(F25,[1]Hárok1!$F$4:$S$124,9,0)</f>
        <v>0</v>
      </c>
      <c r="O25" s="43">
        <f>VLOOKUP(F25,[1]Hárok1!$F$4:$S$124,10,0)</f>
        <v>3</v>
      </c>
      <c r="P25" s="44">
        <f>VLOOKUP(F25,[1]Hárok1!$F$4:$S$124,11,0)</f>
        <v>1</v>
      </c>
      <c r="Q25" s="42">
        <f>VLOOKUP(F25,[1]Hárok1!$F$4:$S$124,12,0)</f>
        <v>0</v>
      </c>
      <c r="R25" s="43">
        <f>VLOOKUP(F25,[1]Hárok1!$F$4:$S$124,13,0)</f>
        <v>189</v>
      </c>
      <c r="S25" s="44">
        <f>VLOOKUP(F25,[1]Hárok1!$F$4:$S$124,14,0)</f>
        <v>86</v>
      </c>
      <c r="T25" s="45">
        <f t="shared" si="0"/>
        <v>837.5</v>
      </c>
      <c r="U25" s="46">
        <f>VLOOKUP(F25,[1]Hárok1!$F$4:$U$124,16,0)</f>
        <v>0</v>
      </c>
      <c r="V25" s="47">
        <f t="shared" si="1"/>
        <v>0</v>
      </c>
      <c r="W25" s="47">
        <f t="shared" si="2"/>
        <v>418.5</v>
      </c>
      <c r="X25" s="48">
        <f t="shared" si="3"/>
        <v>156</v>
      </c>
      <c r="Y25" s="49">
        <f t="shared" si="4"/>
        <v>1412</v>
      </c>
      <c r="Z25" s="50">
        <f t="shared" si="5"/>
        <v>1412</v>
      </c>
    </row>
    <row r="26" spans="1:26" x14ac:dyDescent="0.25">
      <c r="A26" s="29" t="s">
        <v>42</v>
      </c>
      <c r="B26" s="29" t="s">
        <v>79</v>
      </c>
      <c r="C26" s="29" t="s">
        <v>80</v>
      </c>
      <c r="D26" s="30">
        <v>36063606</v>
      </c>
      <c r="E26" s="31" t="s">
        <v>81</v>
      </c>
      <c r="F26" s="29">
        <v>17337089</v>
      </c>
      <c r="G26" s="32" t="s">
        <v>94</v>
      </c>
      <c r="H26" s="32" t="s">
        <v>82</v>
      </c>
      <c r="I26" s="33" t="s">
        <v>95</v>
      </c>
      <c r="J26" s="42">
        <f>VLOOKUP(F26,[1]Hárok1!$F$4:$S$124,5,0)</f>
        <v>3</v>
      </c>
      <c r="K26" s="43">
        <f>VLOOKUP(F26,[1]Hárok1!$F$4:$S$124,6,0)</f>
        <v>0</v>
      </c>
      <c r="L26" s="43">
        <f>VLOOKUP(F26,[1]Hárok1!$F$4:$S$124,7,0)</f>
        <v>16</v>
      </c>
      <c r="M26" s="43">
        <f>VLOOKUP(F26,[1]Hárok1!$F$4:$S$124,8,0)</f>
        <v>0</v>
      </c>
      <c r="N26" s="43">
        <f>VLOOKUP(F26,[1]Hárok1!$F$4:$S$124,9,0)</f>
        <v>0</v>
      </c>
      <c r="O26" s="43">
        <f>VLOOKUP(F26,[1]Hárok1!$F$4:$S$124,10,0)</f>
        <v>5</v>
      </c>
      <c r="P26" s="44">
        <f>VLOOKUP(F26,[1]Hárok1!$F$4:$S$124,11,0)</f>
        <v>1</v>
      </c>
      <c r="Q26" s="42">
        <f>VLOOKUP(F26,[1]Hárok1!$F$4:$S$124,12,0)</f>
        <v>0</v>
      </c>
      <c r="R26" s="43">
        <f>VLOOKUP(F26,[1]Hárok1!$F$4:$S$124,13,0)</f>
        <v>170</v>
      </c>
      <c r="S26" s="44">
        <f>VLOOKUP(F26,[1]Hárok1!$F$4:$S$124,14,0)</f>
        <v>68</v>
      </c>
      <c r="T26" s="45">
        <f t="shared" si="0"/>
        <v>536</v>
      </c>
      <c r="U26" s="46">
        <f>VLOOKUP(F26,[1]Hárok1!$F$4:$U$124,16,0)</f>
        <v>145.6</v>
      </c>
      <c r="V26" s="47">
        <f t="shared" si="1"/>
        <v>0</v>
      </c>
      <c r="W26" s="47">
        <f t="shared" si="2"/>
        <v>407.5</v>
      </c>
      <c r="X26" s="48">
        <f t="shared" si="3"/>
        <v>129</v>
      </c>
      <c r="Y26" s="49">
        <f t="shared" si="4"/>
        <v>1218.0999999999999</v>
      </c>
      <c r="Z26" s="50">
        <f t="shared" si="5"/>
        <v>1218</v>
      </c>
    </row>
    <row r="27" spans="1:26" x14ac:dyDescent="0.25">
      <c r="A27" s="29" t="s">
        <v>42</v>
      </c>
      <c r="B27" s="29" t="s">
        <v>79</v>
      </c>
      <c r="C27" s="29" t="s">
        <v>80</v>
      </c>
      <c r="D27" s="30">
        <v>36063606</v>
      </c>
      <c r="E27" s="31" t="s">
        <v>81</v>
      </c>
      <c r="F27" s="29">
        <v>17337062</v>
      </c>
      <c r="G27" s="32" t="s">
        <v>96</v>
      </c>
      <c r="H27" s="32" t="s">
        <v>50</v>
      </c>
      <c r="I27" s="33" t="s">
        <v>97</v>
      </c>
      <c r="J27" s="42">
        <f>VLOOKUP(F27,[1]Hárok1!$F$4:$S$124,5,0)</f>
        <v>14</v>
      </c>
      <c r="K27" s="43">
        <f>VLOOKUP(F27,[1]Hárok1!$F$4:$S$124,6,0)</f>
        <v>0</v>
      </c>
      <c r="L27" s="43">
        <f>VLOOKUP(F27,[1]Hárok1!$F$4:$S$124,7,0)</f>
        <v>42</v>
      </c>
      <c r="M27" s="43">
        <f>VLOOKUP(F27,[1]Hárok1!$F$4:$S$124,8,0)</f>
        <v>0</v>
      </c>
      <c r="N27" s="43">
        <f>VLOOKUP(F27,[1]Hárok1!$F$4:$S$124,9,0)</f>
        <v>0</v>
      </c>
      <c r="O27" s="43">
        <f>VLOOKUP(F27,[1]Hárok1!$F$4:$S$124,10,0)</f>
        <v>17</v>
      </c>
      <c r="P27" s="44">
        <f>VLOOKUP(F27,[1]Hárok1!$F$4:$S$124,11,0)</f>
        <v>1</v>
      </c>
      <c r="Q27" s="42">
        <f>VLOOKUP(F27,[1]Hárok1!$F$4:$S$124,12,0)</f>
        <v>0</v>
      </c>
      <c r="R27" s="43">
        <f>VLOOKUP(F27,[1]Hárok1!$F$4:$S$124,13,0)</f>
        <v>356</v>
      </c>
      <c r="S27" s="44">
        <f>VLOOKUP(F27,[1]Hárok1!$F$4:$S$124,14,0)</f>
        <v>64</v>
      </c>
      <c r="T27" s="45">
        <f t="shared" si="0"/>
        <v>1407</v>
      </c>
      <c r="U27" s="46">
        <f>VLOOKUP(F27,[1]Hárok1!$F$4:$U$124,16,0)</f>
        <v>0</v>
      </c>
      <c r="V27" s="47">
        <f t="shared" si="1"/>
        <v>0</v>
      </c>
      <c r="W27" s="47">
        <f t="shared" si="2"/>
        <v>941.5</v>
      </c>
      <c r="X27" s="48">
        <f t="shared" si="3"/>
        <v>123</v>
      </c>
      <c r="Y27" s="49">
        <f t="shared" si="4"/>
        <v>2471.5</v>
      </c>
      <c r="Z27" s="50">
        <f t="shared" si="5"/>
        <v>2472</v>
      </c>
    </row>
    <row r="28" spans="1:26" x14ac:dyDescent="0.25">
      <c r="A28" s="29" t="s">
        <v>42</v>
      </c>
      <c r="B28" s="29" t="s">
        <v>79</v>
      </c>
      <c r="C28" s="29" t="s">
        <v>80</v>
      </c>
      <c r="D28" s="30">
        <v>36063606</v>
      </c>
      <c r="E28" s="31" t="s">
        <v>81</v>
      </c>
      <c r="F28" s="29">
        <v>605786</v>
      </c>
      <c r="G28" s="32" t="s">
        <v>98</v>
      </c>
      <c r="H28" s="32" t="s">
        <v>50</v>
      </c>
      <c r="I28" s="33" t="s">
        <v>99</v>
      </c>
      <c r="J28" s="42">
        <f>VLOOKUP(F28,[1]Hárok1!$F$4:$S$124,5,0)</f>
        <v>12</v>
      </c>
      <c r="K28" s="43">
        <f>VLOOKUP(F28,[1]Hárok1!$F$4:$S$124,6,0)</f>
        <v>0</v>
      </c>
      <c r="L28" s="43">
        <f>VLOOKUP(F28,[1]Hárok1!$F$4:$S$124,7,0)</f>
        <v>31</v>
      </c>
      <c r="M28" s="43">
        <f>VLOOKUP(F28,[1]Hárok1!$F$4:$S$124,8,0)</f>
        <v>0</v>
      </c>
      <c r="N28" s="43">
        <f>VLOOKUP(F28,[1]Hárok1!$F$4:$S$124,9,0)</f>
        <v>0</v>
      </c>
      <c r="O28" s="43">
        <f>VLOOKUP(F28,[1]Hárok1!$F$4:$S$124,10,0)</f>
        <v>14</v>
      </c>
      <c r="P28" s="44">
        <f>VLOOKUP(F28,[1]Hárok1!$F$4:$S$124,11,0)</f>
        <v>1</v>
      </c>
      <c r="Q28" s="42">
        <f>VLOOKUP(F28,[1]Hárok1!$F$4:$S$124,12,0)</f>
        <v>0</v>
      </c>
      <c r="R28" s="43">
        <f>VLOOKUP(F28,[1]Hárok1!$F$4:$S$124,13,0)</f>
        <v>376</v>
      </c>
      <c r="S28" s="44">
        <f>VLOOKUP(F28,[1]Hárok1!$F$4:$S$124,14,0)</f>
        <v>4</v>
      </c>
      <c r="T28" s="45">
        <f t="shared" si="0"/>
        <v>1038.5</v>
      </c>
      <c r="U28" s="46">
        <f>VLOOKUP(F28,[1]Hárok1!$F$4:$U$124,16,0)</f>
        <v>0</v>
      </c>
      <c r="V28" s="47">
        <f t="shared" si="1"/>
        <v>0</v>
      </c>
      <c r="W28" s="47">
        <f t="shared" si="2"/>
        <v>941</v>
      </c>
      <c r="X28" s="48">
        <f t="shared" si="3"/>
        <v>33</v>
      </c>
      <c r="Y28" s="49">
        <f t="shared" si="4"/>
        <v>2012.5</v>
      </c>
      <c r="Z28" s="50">
        <f t="shared" si="5"/>
        <v>2013</v>
      </c>
    </row>
    <row r="29" spans="1:26" x14ac:dyDescent="0.25">
      <c r="A29" s="29" t="s">
        <v>42</v>
      </c>
      <c r="B29" s="29" t="s">
        <v>79</v>
      </c>
      <c r="C29" s="29" t="s">
        <v>80</v>
      </c>
      <c r="D29" s="30">
        <v>36063606</v>
      </c>
      <c r="E29" s="31" t="s">
        <v>81</v>
      </c>
      <c r="F29" s="29">
        <v>17327652</v>
      </c>
      <c r="G29" s="32" t="s">
        <v>100</v>
      </c>
      <c r="H29" s="32" t="s">
        <v>50</v>
      </c>
      <c r="I29" s="33" t="s">
        <v>101</v>
      </c>
      <c r="J29" s="42">
        <f>VLOOKUP(F29,[1]Hárok1!$F$4:$S$124,5,0)</f>
        <v>7</v>
      </c>
      <c r="K29" s="43">
        <f>VLOOKUP(F29,[1]Hárok1!$F$4:$S$124,6,0)</f>
        <v>0</v>
      </c>
      <c r="L29" s="43">
        <f>VLOOKUP(F29,[1]Hárok1!$F$4:$S$124,7,0)</f>
        <v>31</v>
      </c>
      <c r="M29" s="43">
        <f>VLOOKUP(F29,[1]Hárok1!$F$4:$S$124,8,0)</f>
        <v>0</v>
      </c>
      <c r="N29" s="43">
        <f>VLOOKUP(F29,[1]Hárok1!$F$4:$S$124,9,0)</f>
        <v>1</v>
      </c>
      <c r="O29" s="43">
        <f>VLOOKUP(F29,[1]Hárok1!$F$4:$S$124,10,0)</f>
        <v>7</v>
      </c>
      <c r="P29" s="44">
        <f>VLOOKUP(F29,[1]Hárok1!$F$4:$S$124,11,0)</f>
        <v>1</v>
      </c>
      <c r="Q29" s="42">
        <f>VLOOKUP(F29,[1]Hárok1!$F$4:$S$124,12,0)</f>
        <v>2</v>
      </c>
      <c r="R29" s="43">
        <f>VLOOKUP(F29,[1]Hárok1!$F$4:$S$124,13,0)</f>
        <v>241</v>
      </c>
      <c r="S29" s="44">
        <f>VLOOKUP(F29,[1]Hárok1!$F$4:$S$124,14,0)</f>
        <v>17</v>
      </c>
      <c r="T29" s="45">
        <f t="shared" si="0"/>
        <v>1038.5</v>
      </c>
      <c r="U29" s="46">
        <f>VLOOKUP(F29,[1]Hárok1!$F$4:$U$124,16,0)</f>
        <v>0</v>
      </c>
      <c r="V29" s="47">
        <f t="shared" si="1"/>
        <v>16.5</v>
      </c>
      <c r="W29" s="47">
        <f t="shared" si="2"/>
        <v>576.5</v>
      </c>
      <c r="X29" s="48">
        <f t="shared" si="3"/>
        <v>52.5</v>
      </c>
      <c r="Y29" s="49">
        <f t="shared" si="4"/>
        <v>1684</v>
      </c>
      <c r="Z29" s="50">
        <f t="shared" si="5"/>
        <v>1684</v>
      </c>
    </row>
    <row r="30" spans="1:26" x14ac:dyDescent="0.25">
      <c r="A30" s="29" t="s">
        <v>42</v>
      </c>
      <c r="B30" s="29" t="s">
        <v>79</v>
      </c>
      <c r="C30" s="29" t="s">
        <v>80</v>
      </c>
      <c r="D30" s="30">
        <v>36063606</v>
      </c>
      <c r="E30" s="31" t="s">
        <v>81</v>
      </c>
      <c r="F30" s="29">
        <v>30866499</v>
      </c>
      <c r="G30" s="32" t="s">
        <v>52</v>
      </c>
      <c r="H30" s="32" t="s">
        <v>50</v>
      </c>
      <c r="I30" s="33" t="s">
        <v>102</v>
      </c>
      <c r="J30" s="42">
        <f>VLOOKUP(F30,[1]Hárok1!$F$4:$S$124,5,0)</f>
        <v>5</v>
      </c>
      <c r="K30" s="43">
        <f>VLOOKUP(F30,[1]Hárok1!$F$4:$S$124,6,0)</f>
        <v>0</v>
      </c>
      <c r="L30" s="43">
        <f>VLOOKUP(F30,[1]Hárok1!$F$4:$S$124,7,0)</f>
        <v>32</v>
      </c>
      <c r="M30" s="43">
        <f>VLOOKUP(F30,[1]Hárok1!$F$4:$S$124,8,0)</f>
        <v>0</v>
      </c>
      <c r="N30" s="43">
        <f>VLOOKUP(F30,[1]Hárok1!$F$4:$S$124,9,0)</f>
        <v>0</v>
      </c>
      <c r="O30" s="43">
        <f>VLOOKUP(F30,[1]Hárok1!$F$4:$S$124,10,0)</f>
        <v>5</v>
      </c>
      <c r="P30" s="44">
        <f>VLOOKUP(F30,[1]Hárok1!$F$4:$S$124,11,0)</f>
        <v>1</v>
      </c>
      <c r="Q30" s="42">
        <f>VLOOKUP(F30,[1]Hárok1!$F$4:$S$124,12,0)</f>
        <v>0</v>
      </c>
      <c r="R30" s="43">
        <f>VLOOKUP(F30,[1]Hárok1!$F$4:$S$124,13,0)</f>
        <v>218</v>
      </c>
      <c r="S30" s="44">
        <f>VLOOKUP(F30,[1]Hárok1!$F$4:$S$124,14,0)</f>
        <v>84</v>
      </c>
      <c r="T30" s="45">
        <f t="shared" si="0"/>
        <v>1072</v>
      </c>
      <c r="U30" s="46">
        <f>VLOOKUP(F30,[1]Hárok1!$F$4:$U$124,16,0)</f>
        <v>0</v>
      </c>
      <c r="V30" s="47">
        <f t="shared" si="1"/>
        <v>0</v>
      </c>
      <c r="W30" s="47">
        <f t="shared" si="2"/>
        <v>503.5</v>
      </c>
      <c r="X30" s="48">
        <f t="shared" si="3"/>
        <v>153</v>
      </c>
      <c r="Y30" s="49">
        <f t="shared" si="4"/>
        <v>1728.5</v>
      </c>
      <c r="Z30" s="50">
        <f t="shared" si="5"/>
        <v>1729</v>
      </c>
    </row>
    <row r="31" spans="1:26" x14ac:dyDescent="0.25">
      <c r="A31" s="51" t="s">
        <v>42</v>
      </c>
      <c r="B31" s="51" t="s">
        <v>79</v>
      </c>
      <c r="C31" s="51" t="s">
        <v>80</v>
      </c>
      <c r="D31" s="30">
        <v>36063606</v>
      </c>
      <c r="E31" s="31" t="s">
        <v>81</v>
      </c>
      <c r="F31" s="51">
        <v>53242726</v>
      </c>
      <c r="G31" s="32" t="s">
        <v>52</v>
      </c>
      <c r="H31" s="32" t="s">
        <v>50</v>
      </c>
      <c r="I31" s="33" t="s">
        <v>103</v>
      </c>
      <c r="J31" s="42">
        <f>VLOOKUP(F31,[1]Hárok1!$F$4:$S$124,5,0)</f>
        <v>8</v>
      </c>
      <c r="K31" s="43">
        <f>VLOOKUP(F31,[1]Hárok1!$F$4:$S$124,6,0)</f>
        <v>0</v>
      </c>
      <c r="L31" s="43">
        <f>VLOOKUP(F31,[1]Hárok1!$F$4:$S$124,7,0)</f>
        <v>36</v>
      </c>
      <c r="M31" s="43">
        <f>VLOOKUP(F31,[1]Hárok1!$F$4:$S$124,8,0)</f>
        <v>0</v>
      </c>
      <c r="N31" s="43">
        <f>VLOOKUP(F31,[1]Hárok1!$F$4:$S$124,9,0)</f>
        <v>0</v>
      </c>
      <c r="O31" s="43">
        <f>VLOOKUP(F31,[1]Hárok1!$F$4:$S$124,10,0)</f>
        <v>10</v>
      </c>
      <c r="P31" s="44">
        <f>VLOOKUP(F31,[1]Hárok1!$F$4:$S$124,11,0)</f>
        <v>1</v>
      </c>
      <c r="Q31" s="42">
        <f>VLOOKUP(F31,[1]Hárok1!$F$4:$S$124,12,0)</f>
        <v>0</v>
      </c>
      <c r="R31" s="43">
        <f>VLOOKUP(F31,[1]Hárok1!$F$4:$S$124,13,0)</f>
        <v>304</v>
      </c>
      <c r="S31" s="44">
        <f>VLOOKUP(F31,[1]Hárok1!$F$4:$S$124,14,0)</f>
        <v>80</v>
      </c>
      <c r="T31" s="45">
        <f t="shared" si="0"/>
        <v>1206</v>
      </c>
      <c r="U31" s="46">
        <f>VLOOKUP(F31,[1]Hárok1!$F$4:$U$124,16,0)</f>
        <v>0</v>
      </c>
      <c r="V31" s="47">
        <f t="shared" si="1"/>
        <v>0</v>
      </c>
      <c r="W31" s="47">
        <f t="shared" si="2"/>
        <v>743</v>
      </c>
      <c r="X31" s="48">
        <f t="shared" si="3"/>
        <v>147</v>
      </c>
      <c r="Y31" s="49">
        <f t="shared" si="4"/>
        <v>2096</v>
      </c>
      <c r="Z31" s="50">
        <f t="shared" si="5"/>
        <v>2096</v>
      </c>
    </row>
    <row r="32" spans="1:26" x14ac:dyDescent="0.25">
      <c r="A32" s="51" t="s">
        <v>42</v>
      </c>
      <c r="B32" s="51" t="s">
        <v>79</v>
      </c>
      <c r="C32" s="51" t="s">
        <v>80</v>
      </c>
      <c r="D32" s="30">
        <v>36063606</v>
      </c>
      <c r="E32" s="31" t="s">
        <v>81</v>
      </c>
      <c r="F32" s="51">
        <v>31797920</v>
      </c>
      <c r="G32" s="32" t="s">
        <v>104</v>
      </c>
      <c r="H32" s="32" t="s">
        <v>50</v>
      </c>
      <c r="I32" s="33" t="s">
        <v>105</v>
      </c>
      <c r="J32" s="42">
        <f>VLOOKUP(F32,[1]Hárok1!$F$4:$S$124,5,0)</f>
        <v>5</v>
      </c>
      <c r="K32" s="43">
        <f>VLOOKUP(F32,[1]Hárok1!$F$4:$S$124,6,0)</f>
        <v>0</v>
      </c>
      <c r="L32" s="43">
        <f>VLOOKUP(F32,[1]Hárok1!$F$4:$S$124,7,0)</f>
        <v>31</v>
      </c>
      <c r="M32" s="43">
        <f>VLOOKUP(F32,[1]Hárok1!$F$4:$S$124,8,0)</f>
        <v>0</v>
      </c>
      <c r="N32" s="43">
        <f>VLOOKUP(F32,[1]Hárok1!$F$4:$S$124,9,0)</f>
        <v>0</v>
      </c>
      <c r="O32" s="43">
        <f>VLOOKUP(F32,[1]Hárok1!$F$4:$S$124,10,0)</f>
        <v>7</v>
      </c>
      <c r="P32" s="44">
        <f>VLOOKUP(F32,[1]Hárok1!$F$4:$S$124,11,0)</f>
        <v>1</v>
      </c>
      <c r="Q32" s="42">
        <f>VLOOKUP(F32,[1]Hárok1!$F$4:$S$124,12,0)</f>
        <v>0</v>
      </c>
      <c r="R32" s="43">
        <f>VLOOKUP(F32,[1]Hárok1!$F$4:$S$124,13,0)</f>
        <v>236</v>
      </c>
      <c r="S32" s="44">
        <f>VLOOKUP(F32,[1]Hárok1!$F$4:$S$124,14,0)</f>
        <v>103</v>
      </c>
      <c r="T32" s="45">
        <f t="shared" si="0"/>
        <v>1038.5</v>
      </c>
      <c r="U32" s="46">
        <f>VLOOKUP(F32,[1]Hárok1!$F$4:$U$124,16,0)</f>
        <v>0</v>
      </c>
      <c r="V32" s="47">
        <f t="shared" si="1"/>
        <v>0</v>
      </c>
      <c r="W32" s="47">
        <f t="shared" si="2"/>
        <v>566.5</v>
      </c>
      <c r="X32" s="48">
        <f t="shared" si="3"/>
        <v>181.5</v>
      </c>
      <c r="Y32" s="49">
        <f t="shared" si="4"/>
        <v>1786.5</v>
      </c>
      <c r="Z32" s="50">
        <f t="shared" si="5"/>
        <v>1787</v>
      </c>
    </row>
    <row r="33" spans="1:26" x14ac:dyDescent="0.25">
      <c r="A33" s="29" t="s">
        <v>42</v>
      </c>
      <c r="B33" s="29" t="s">
        <v>79</v>
      </c>
      <c r="C33" s="29" t="s">
        <v>80</v>
      </c>
      <c r="D33" s="30">
        <v>36063606</v>
      </c>
      <c r="E33" s="31" t="s">
        <v>81</v>
      </c>
      <c r="F33" s="29">
        <v>42253900</v>
      </c>
      <c r="G33" s="32" t="s">
        <v>106</v>
      </c>
      <c r="H33" s="32" t="s">
        <v>50</v>
      </c>
      <c r="I33" s="33" t="s">
        <v>107</v>
      </c>
      <c r="J33" s="42">
        <f>VLOOKUP(F33,[1]Hárok1!$F$4:$S$124,5,0)</f>
        <v>3</v>
      </c>
      <c r="K33" s="43">
        <f>VLOOKUP(F33,[1]Hárok1!$F$4:$S$124,6,0)</f>
        <v>0</v>
      </c>
      <c r="L33" s="43">
        <f>VLOOKUP(F33,[1]Hárok1!$F$4:$S$124,7,0)</f>
        <v>16</v>
      </c>
      <c r="M33" s="43">
        <f>VLOOKUP(F33,[1]Hárok1!$F$4:$S$124,8,0)</f>
        <v>0</v>
      </c>
      <c r="N33" s="43">
        <f>VLOOKUP(F33,[1]Hárok1!$F$4:$S$124,9,0)</f>
        <v>0</v>
      </c>
      <c r="O33" s="43">
        <f>VLOOKUP(F33,[1]Hárok1!$F$4:$S$124,10,0)</f>
        <v>2</v>
      </c>
      <c r="P33" s="44">
        <f>VLOOKUP(F33,[1]Hárok1!$F$4:$S$124,11,0)</f>
        <v>1</v>
      </c>
      <c r="Q33" s="42">
        <f>VLOOKUP(F33,[1]Hárok1!$F$4:$S$124,12,0)</f>
        <v>0</v>
      </c>
      <c r="R33" s="43">
        <f>VLOOKUP(F33,[1]Hárok1!$F$4:$S$124,13,0)</f>
        <v>51</v>
      </c>
      <c r="S33" s="44">
        <f>VLOOKUP(F33,[1]Hárok1!$F$4:$S$124,14,0)</f>
        <v>56</v>
      </c>
      <c r="T33" s="45">
        <f t="shared" si="0"/>
        <v>536</v>
      </c>
      <c r="U33" s="46">
        <f>VLOOKUP(F33,[1]Hárok1!$F$4:$U$124,16,0)</f>
        <v>0</v>
      </c>
      <c r="V33" s="47">
        <f t="shared" si="1"/>
        <v>0</v>
      </c>
      <c r="W33" s="47">
        <f t="shared" si="2"/>
        <v>129</v>
      </c>
      <c r="X33" s="48">
        <f t="shared" si="3"/>
        <v>111</v>
      </c>
      <c r="Y33" s="49">
        <f t="shared" si="4"/>
        <v>776</v>
      </c>
      <c r="Z33" s="50">
        <f t="shared" si="5"/>
        <v>776</v>
      </c>
    </row>
    <row r="34" spans="1:26" x14ac:dyDescent="0.25">
      <c r="A34" s="29" t="s">
        <v>42</v>
      </c>
      <c r="B34" s="29" t="s">
        <v>79</v>
      </c>
      <c r="C34" s="29" t="s">
        <v>80</v>
      </c>
      <c r="D34" s="30">
        <v>36063606</v>
      </c>
      <c r="E34" s="31" t="s">
        <v>81</v>
      </c>
      <c r="F34" s="29">
        <v>17053871</v>
      </c>
      <c r="G34" s="32" t="s">
        <v>108</v>
      </c>
      <c r="H34" s="32" t="s">
        <v>50</v>
      </c>
      <c r="I34" s="33" t="s">
        <v>109</v>
      </c>
      <c r="J34" s="42">
        <f>VLOOKUP(F34,[1]Hárok1!$F$4:$S$124,5,0)</f>
        <v>3</v>
      </c>
      <c r="K34" s="43">
        <f>VLOOKUP(F34,[1]Hárok1!$F$4:$S$124,6,0)</f>
        <v>0</v>
      </c>
      <c r="L34" s="43">
        <f>VLOOKUP(F34,[1]Hárok1!$F$4:$S$124,7,0)</f>
        <v>10</v>
      </c>
      <c r="M34" s="43">
        <f>VLOOKUP(F34,[1]Hárok1!$F$4:$S$124,8,0)</f>
        <v>0</v>
      </c>
      <c r="N34" s="43">
        <f>VLOOKUP(F34,[1]Hárok1!$F$4:$S$124,9,0)</f>
        <v>0</v>
      </c>
      <c r="O34" s="43">
        <f>VLOOKUP(F34,[1]Hárok1!$F$4:$S$124,10,0)</f>
        <v>4</v>
      </c>
      <c r="P34" s="44">
        <f>VLOOKUP(F34,[1]Hárok1!$F$4:$S$124,11,0)</f>
        <v>1</v>
      </c>
      <c r="Q34" s="42">
        <f>VLOOKUP(F34,[1]Hárok1!$F$4:$S$124,12,0)</f>
        <v>0</v>
      </c>
      <c r="R34" s="43">
        <f>VLOOKUP(F34,[1]Hárok1!$F$4:$S$124,13,0)</f>
        <v>40</v>
      </c>
      <c r="S34" s="44">
        <f>VLOOKUP(F34,[1]Hárok1!$F$4:$S$124,14,0)</f>
        <v>20</v>
      </c>
      <c r="T34" s="45">
        <f t="shared" si="0"/>
        <v>335</v>
      </c>
      <c r="U34" s="46">
        <f>VLOOKUP(F34,[1]Hárok1!$F$4:$U$124,16,0)</f>
        <v>0</v>
      </c>
      <c r="V34" s="47">
        <f t="shared" si="1"/>
        <v>0</v>
      </c>
      <c r="W34" s="47">
        <f t="shared" si="2"/>
        <v>134</v>
      </c>
      <c r="X34" s="48">
        <f t="shared" si="3"/>
        <v>57</v>
      </c>
      <c r="Y34" s="49">
        <f t="shared" si="4"/>
        <v>526</v>
      </c>
      <c r="Z34" s="50">
        <f t="shared" si="5"/>
        <v>526</v>
      </c>
    </row>
    <row r="35" spans="1:26" x14ac:dyDescent="0.25">
      <c r="A35" s="29" t="s">
        <v>42</v>
      </c>
      <c r="B35" s="29" t="s">
        <v>79</v>
      </c>
      <c r="C35" s="29" t="s">
        <v>80</v>
      </c>
      <c r="D35" s="30">
        <v>36063606</v>
      </c>
      <c r="E35" s="31" t="s">
        <v>81</v>
      </c>
      <c r="F35" s="29">
        <v>893463</v>
      </c>
      <c r="G35" s="32" t="s">
        <v>110</v>
      </c>
      <c r="H35" s="32" t="s">
        <v>50</v>
      </c>
      <c r="I35" s="33" t="s">
        <v>111</v>
      </c>
      <c r="J35" s="42">
        <f>VLOOKUP(F35,[1]Hárok1!$F$4:$S$124,5,0)</f>
        <v>5</v>
      </c>
      <c r="K35" s="43">
        <f>VLOOKUP(F35,[1]Hárok1!$F$4:$S$124,6,0)</f>
        <v>0</v>
      </c>
      <c r="L35" s="43">
        <f>VLOOKUP(F35,[1]Hárok1!$F$4:$S$124,7,0)</f>
        <v>28</v>
      </c>
      <c r="M35" s="43">
        <f>VLOOKUP(F35,[1]Hárok1!$F$4:$S$124,8,0)</f>
        <v>0</v>
      </c>
      <c r="N35" s="43">
        <f>VLOOKUP(F35,[1]Hárok1!$F$4:$S$124,9,0)</f>
        <v>0</v>
      </c>
      <c r="O35" s="43">
        <f>VLOOKUP(F35,[1]Hárok1!$F$4:$S$124,10,0)</f>
        <v>6</v>
      </c>
      <c r="P35" s="44">
        <f>VLOOKUP(F35,[1]Hárok1!$F$4:$S$124,11,0)</f>
        <v>2</v>
      </c>
      <c r="Q35" s="42">
        <f>VLOOKUP(F35,[1]Hárok1!$F$4:$S$124,12,0)</f>
        <v>0</v>
      </c>
      <c r="R35" s="43">
        <f>VLOOKUP(F35,[1]Hárok1!$F$4:$S$124,13,0)</f>
        <v>151</v>
      </c>
      <c r="S35" s="44">
        <f>VLOOKUP(F35,[1]Hárok1!$F$4:$S$124,14,0)</f>
        <v>71</v>
      </c>
      <c r="T35" s="45">
        <f t="shared" si="0"/>
        <v>938</v>
      </c>
      <c r="U35" s="46">
        <f>VLOOKUP(F35,[1]Hárok1!$F$4:$U$124,16,0)</f>
        <v>0</v>
      </c>
      <c r="V35" s="47">
        <f t="shared" si="1"/>
        <v>0</v>
      </c>
      <c r="W35" s="47">
        <f t="shared" si="2"/>
        <v>383</v>
      </c>
      <c r="X35" s="48">
        <f t="shared" si="3"/>
        <v>160.5</v>
      </c>
      <c r="Y35" s="49">
        <f t="shared" si="4"/>
        <v>1481.5</v>
      </c>
      <c r="Z35" s="50">
        <f t="shared" si="5"/>
        <v>1482</v>
      </c>
    </row>
    <row r="36" spans="1:26" x14ac:dyDescent="0.25">
      <c r="A36" s="29" t="s">
        <v>42</v>
      </c>
      <c r="B36" s="29" t="s">
        <v>79</v>
      </c>
      <c r="C36" s="29" t="s">
        <v>80</v>
      </c>
      <c r="D36" s="30">
        <v>36063606</v>
      </c>
      <c r="E36" s="31" t="s">
        <v>81</v>
      </c>
      <c r="F36" s="29">
        <v>42128790</v>
      </c>
      <c r="G36" s="32" t="s">
        <v>112</v>
      </c>
      <c r="H36" s="32" t="s">
        <v>50</v>
      </c>
      <c r="I36" s="33" t="s">
        <v>113</v>
      </c>
      <c r="J36" s="42">
        <f>VLOOKUP(F36,[1]Hárok1!$F$4:$S$124,5,0)</f>
        <v>6</v>
      </c>
      <c r="K36" s="43">
        <f>VLOOKUP(F36,[1]Hárok1!$F$4:$S$124,6,0)</f>
        <v>0</v>
      </c>
      <c r="L36" s="43">
        <f>VLOOKUP(F36,[1]Hárok1!$F$4:$S$124,7,0)</f>
        <v>31</v>
      </c>
      <c r="M36" s="43">
        <f>VLOOKUP(F36,[1]Hárok1!$F$4:$S$124,8,0)</f>
        <v>0</v>
      </c>
      <c r="N36" s="43">
        <f>VLOOKUP(F36,[1]Hárok1!$F$4:$S$124,9,0)</f>
        <v>0</v>
      </c>
      <c r="O36" s="43">
        <f>VLOOKUP(F36,[1]Hárok1!$F$4:$S$124,10,0)</f>
        <v>8</v>
      </c>
      <c r="P36" s="44">
        <f>VLOOKUP(F36,[1]Hárok1!$F$4:$S$124,11,0)</f>
        <v>1</v>
      </c>
      <c r="Q36" s="42">
        <f>VLOOKUP(F36,[1]Hárok1!$F$4:$S$124,12,0)</f>
        <v>0</v>
      </c>
      <c r="R36" s="43">
        <f>VLOOKUP(F36,[1]Hárok1!$F$4:$S$124,13,0)</f>
        <v>231</v>
      </c>
      <c r="S36" s="44">
        <f>VLOOKUP(F36,[1]Hárok1!$F$4:$S$124,14,0)</f>
        <v>77</v>
      </c>
      <c r="T36" s="45">
        <f t="shared" si="0"/>
        <v>1038.5</v>
      </c>
      <c r="U36" s="46">
        <f>VLOOKUP(F36,[1]Hárok1!$F$4:$U$124,16,0)</f>
        <v>0</v>
      </c>
      <c r="V36" s="47">
        <f t="shared" si="1"/>
        <v>0</v>
      </c>
      <c r="W36" s="47">
        <f t="shared" si="2"/>
        <v>570</v>
      </c>
      <c r="X36" s="48">
        <f t="shared" si="3"/>
        <v>142.5</v>
      </c>
      <c r="Y36" s="49">
        <f t="shared" si="4"/>
        <v>1751</v>
      </c>
      <c r="Z36" s="50">
        <f t="shared" si="5"/>
        <v>1751</v>
      </c>
    </row>
    <row r="37" spans="1:26" x14ac:dyDescent="0.25">
      <c r="A37" s="29" t="s">
        <v>42</v>
      </c>
      <c r="B37" s="29" t="s">
        <v>79</v>
      </c>
      <c r="C37" s="29" t="s">
        <v>80</v>
      </c>
      <c r="D37" s="30">
        <v>36063606</v>
      </c>
      <c r="E37" s="31" t="s">
        <v>81</v>
      </c>
      <c r="F37" s="29">
        <v>30775311</v>
      </c>
      <c r="G37" s="32" t="s">
        <v>114</v>
      </c>
      <c r="H37" s="32" t="s">
        <v>50</v>
      </c>
      <c r="I37" s="33" t="s">
        <v>105</v>
      </c>
      <c r="J37" s="42">
        <f>VLOOKUP(F37,[1]Hárok1!$F$4:$S$124,5,0)</f>
        <v>6</v>
      </c>
      <c r="K37" s="43">
        <f>VLOOKUP(F37,[1]Hárok1!$F$4:$S$124,6,0)</f>
        <v>0</v>
      </c>
      <c r="L37" s="43">
        <f>VLOOKUP(F37,[1]Hárok1!$F$4:$S$124,7,0)</f>
        <v>26</v>
      </c>
      <c r="M37" s="43">
        <f>VLOOKUP(F37,[1]Hárok1!$F$4:$S$124,8,0)</f>
        <v>0</v>
      </c>
      <c r="N37" s="43">
        <f>VLOOKUP(F37,[1]Hárok1!$F$4:$S$124,9,0)</f>
        <v>0</v>
      </c>
      <c r="O37" s="43">
        <f>VLOOKUP(F37,[1]Hárok1!$F$4:$S$124,10,0)</f>
        <v>10</v>
      </c>
      <c r="P37" s="44">
        <f>VLOOKUP(F37,[1]Hárok1!$F$4:$S$124,11,0)</f>
        <v>1</v>
      </c>
      <c r="Q37" s="42">
        <f>VLOOKUP(F37,[1]Hárok1!$F$4:$S$124,12,0)</f>
        <v>0</v>
      </c>
      <c r="R37" s="43">
        <f>VLOOKUP(F37,[1]Hárok1!$F$4:$S$124,13,0)</f>
        <v>129</v>
      </c>
      <c r="S37" s="44">
        <f>VLOOKUP(F37,[1]Hárok1!$F$4:$S$124,14,0)</f>
        <v>97</v>
      </c>
      <c r="T37" s="45">
        <f t="shared" si="0"/>
        <v>871</v>
      </c>
      <c r="U37" s="46">
        <f>VLOOKUP(F37,[1]Hárok1!$F$4:$U$124,16,0)</f>
        <v>0</v>
      </c>
      <c r="V37" s="47">
        <f t="shared" si="1"/>
        <v>0</v>
      </c>
      <c r="W37" s="47">
        <f t="shared" si="2"/>
        <v>393</v>
      </c>
      <c r="X37" s="48">
        <f t="shared" si="3"/>
        <v>172.5</v>
      </c>
      <c r="Y37" s="49">
        <f t="shared" si="4"/>
        <v>1436.5</v>
      </c>
      <c r="Z37" s="50">
        <f t="shared" si="5"/>
        <v>1437</v>
      </c>
    </row>
    <row r="38" spans="1:26" x14ac:dyDescent="0.25">
      <c r="A38" s="29" t="s">
        <v>42</v>
      </c>
      <c r="B38" s="29" t="s">
        <v>79</v>
      </c>
      <c r="C38" s="29" t="s">
        <v>80</v>
      </c>
      <c r="D38" s="30">
        <v>36063606</v>
      </c>
      <c r="E38" s="31" t="s">
        <v>81</v>
      </c>
      <c r="F38" s="29">
        <v>42253888</v>
      </c>
      <c r="G38" s="32" t="s">
        <v>115</v>
      </c>
      <c r="H38" s="32" t="s">
        <v>50</v>
      </c>
      <c r="I38" s="33" t="s">
        <v>116</v>
      </c>
      <c r="J38" s="42">
        <f>VLOOKUP(F38,[1]Hárok1!$F$4:$S$124,5,0)</f>
        <v>6</v>
      </c>
      <c r="K38" s="43">
        <f>VLOOKUP(F38,[1]Hárok1!$F$4:$S$124,6,0)</f>
        <v>0</v>
      </c>
      <c r="L38" s="43">
        <f>VLOOKUP(F38,[1]Hárok1!$F$4:$S$124,7,0)</f>
        <v>22</v>
      </c>
      <c r="M38" s="43">
        <f>VLOOKUP(F38,[1]Hárok1!$F$4:$S$124,8,0)</f>
        <v>0</v>
      </c>
      <c r="N38" s="43">
        <f>VLOOKUP(F38,[1]Hárok1!$F$4:$S$124,9,0)</f>
        <v>0</v>
      </c>
      <c r="O38" s="43">
        <f>VLOOKUP(F38,[1]Hárok1!$F$4:$S$124,10,0)</f>
        <v>8</v>
      </c>
      <c r="P38" s="44">
        <f>VLOOKUP(F38,[1]Hárok1!$F$4:$S$124,11,0)</f>
        <v>1</v>
      </c>
      <c r="Q38" s="42">
        <f>VLOOKUP(F38,[1]Hárok1!$F$4:$S$124,12,0)</f>
        <v>0</v>
      </c>
      <c r="R38" s="43">
        <f>VLOOKUP(F38,[1]Hárok1!$F$4:$S$124,13,0)</f>
        <v>115</v>
      </c>
      <c r="S38" s="44">
        <f>VLOOKUP(F38,[1]Hárok1!$F$4:$S$124,14,0)</f>
        <v>62</v>
      </c>
      <c r="T38" s="45">
        <f t="shared" si="0"/>
        <v>737</v>
      </c>
      <c r="U38" s="46">
        <f>VLOOKUP(F38,[1]Hárok1!$F$4:$U$124,16,0)</f>
        <v>0</v>
      </c>
      <c r="V38" s="47">
        <f t="shared" si="1"/>
        <v>0</v>
      </c>
      <c r="W38" s="47">
        <f t="shared" si="2"/>
        <v>338</v>
      </c>
      <c r="X38" s="48">
        <f t="shared" si="3"/>
        <v>120</v>
      </c>
      <c r="Y38" s="49">
        <f t="shared" si="4"/>
        <v>1195</v>
      </c>
      <c r="Z38" s="50">
        <f t="shared" si="5"/>
        <v>1195</v>
      </c>
    </row>
    <row r="39" spans="1:26" x14ac:dyDescent="0.25">
      <c r="A39" s="29" t="s">
        <v>42</v>
      </c>
      <c r="B39" s="29" t="s">
        <v>79</v>
      </c>
      <c r="C39" s="29" t="s">
        <v>80</v>
      </c>
      <c r="D39" s="30">
        <v>36063606</v>
      </c>
      <c r="E39" s="31" t="s">
        <v>81</v>
      </c>
      <c r="F39" s="29">
        <v>607304</v>
      </c>
      <c r="G39" s="32" t="s">
        <v>117</v>
      </c>
      <c r="H39" s="32" t="s">
        <v>50</v>
      </c>
      <c r="I39" s="33" t="s">
        <v>118</v>
      </c>
      <c r="J39" s="42">
        <f>VLOOKUP(F39,[1]Hárok1!$F$4:$S$124,5,0)</f>
        <v>18</v>
      </c>
      <c r="K39" s="43">
        <f>VLOOKUP(F39,[1]Hárok1!$F$4:$S$124,6,0)</f>
        <v>0</v>
      </c>
      <c r="L39" s="43">
        <f>VLOOKUP(F39,[1]Hárok1!$F$4:$S$124,7,0)</f>
        <v>75</v>
      </c>
      <c r="M39" s="43">
        <f>VLOOKUP(F39,[1]Hárok1!$F$4:$S$124,8,0)</f>
        <v>0</v>
      </c>
      <c r="N39" s="43">
        <f>VLOOKUP(F39,[1]Hárok1!$F$4:$S$124,9,0)</f>
        <v>1</v>
      </c>
      <c r="O39" s="43">
        <f>VLOOKUP(F39,[1]Hárok1!$F$4:$S$124,10,0)</f>
        <v>22</v>
      </c>
      <c r="P39" s="44">
        <f>VLOOKUP(F39,[1]Hárok1!$F$4:$S$124,11,0)</f>
        <v>2</v>
      </c>
      <c r="Q39" s="42">
        <f>VLOOKUP(F39,[1]Hárok1!$F$4:$S$124,12,0)</f>
        <v>2</v>
      </c>
      <c r="R39" s="43">
        <f>VLOOKUP(F39,[1]Hárok1!$F$4:$S$124,13,0)</f>
        <v>596</v>
      </c>
      <c r="S39" s="44">
        <f>VLOOKUP(F39,[1]Hárok1!$F$4:$S$124,14,0)</f>
        <v>29</v>
      </c>
      <c r="T39" s="45">
        <f t="shared" si="0"/>
        <v>2512.5</v>
      </c>
      <c r="U39" s="46">
        <f>VLOOKUP(F39,[1]Hárok1!$F$4:$U$124,16,0)</f>
        <v>3808.28</v>
      </c>
      <c r="V39" s="47">
        <f t="shared" si="1"/>
        <v>16.5</v>
      </c>
      <c r="W39" s="47">
        <f t="shared" si="2"/>
        <v>1489</v>
      </c>
      <c r="X39" s="48">
        <f t="shared" si="3"/>
        <v>97.5</v>
      </c>
      <c r="Y39" s="49">
        <f t="shared" si="4"/>
        <v>7923.7800000000007</v>
      </c>
      <c r="Z39" s="50">
        <f t="shared" si="5"/>
        <v>7924</v>
      </c>
    </row>
    <row r="40" spans="1:26" x14ac:dyDescent="0.25">
      <c r="A40" s="29" t="s">
        <v>42</v>
      </c>
      <c r="B40" s="29" t="s">
        <v>79</v>
      </c>
      <c r="C40" s="29" t="s">
        <v>80</v>
      </c>
      <c r="D40" s="30">
        <v>36063606</v>
      </c>
      <c r="E40" s="31" t="s">
        <v>81</v>
      </c>
      <c r="F40" s="29">
        <v>17314909</v>
      </c>
      <c r="G40" s="32" t="s">
        <v>119</v>
      </c>
      <c r="H40" s="32" t="s">
        <v>50</v>
      </c>
      <c r="I40" s="33" t="s">
        <v>120</v>
      </c>
      <c r="J40" s="42">
        <f>VLOOKUP(F40,[1]Hárok1!$F$4:$S$124,5,0)</f>
        <v>5</v>
      </c>
      <c r="K40" s="43">
        <f>VLOOKUP(F40,[1]Hárok1!$F$4:$S$124,6,0)</f>
        <v>1</v>
      </c>
      <c r="L40" s="43">
        <f>VLOOKUP(F40,[1]Hárok1!$F$4:$S$124,7,0)</f>
        <v>35</v>
      </c>
      <c r="M40" s="43">
        <f>VLOOKUP(F40,[1]Hárok1!$F$4:$S$124,8,0)</f>
        <v>1</v>
      </c>
      <c r="N40" s="43">
        <f>VLOOKUP(F40,[1]Hárok1!$F$4:$S$124,9,0)</f>
        <v>0</v>
      </c>
      <c r="O40" s="43">
        <f>VLOOKUP(F40,[1]Hárok1!$F$4:$S$124,10,0)</f>
        <v>7</v>
      </c>
      <c r="P40" s="44">
        <f>VLOOKUP(F40,[1]Hárok1!$F$4:$S$124,11,0)</f>
        <v>2</v>
      </c>
      <c r="Q40" s="42">
        <f>VLOOKUP(F40,[1]Hárok1!$F$4:$S$124,12,0)</f>
        <v>0</v>
      </c>
      <c r="R40" s="43">
        <f>VLOOKUP(F40,[1]Hárok1!$F$4:$S$124,13,0)</f>
        <v>163</v>
      </c>
      <c r="S40" s="44">
        <f>VLOOKUP(F40,[1]Hárok1!$F$4:$S$124,14,0)</f>
        <v>102</v>
      </c>
      <c r="T40" s="45">
        <f t="shared" si="0"/>
        <v>1172.5</v>
      </c>
      <c r="U40" s="46">
        <f>VLOOKUP(F40,[1]Hárok1!$F$4:$U$124,16,0)</f>
        <v>0</v>
      </c>
      <c r="V40" s="47">
        <f t="shared" si="1"/>
        <v>0</v>
      </c>
      <c r="W40" s="47">
        <f t="shared" si="2"/>
        <v>420.5</v>
      </c>
      <c r="X40" s="48">
        <f t="shared" si="3"/>
        <v>207</v>
      </c>
      <c r="Y40" s="49">
        <f t="shared" si="4"/>
        <v>1800</v>
      </c>
      <c r="Z40" s="50">
        <f t="shared" si="5"/>
        <v>1800</v>
      </c>
    </row>
    <row r="41" spans="1:26" x14ac:dyDescent="0.25">
      <c r="A41" s="29" t="s">
        <v>42</v>
      </c>
      <c r="B41" s="29" t="s">
        <v>79</v>
      </c>
      <c r="C41" s="29" t="s">
        <v>80</v>
      </c>
      <c r="D41" s="30">
        <v>36063606</v>
      </c>
      <c r="E41" s="31" t="s">
        <v>81</v>
      </c>
      <c r="F41" s="29">
        <v>31780466</v>
      </c>
      <c r="G41" s="32" t="s">
        <v>121</v>
      </c>
      <c r="H41" s="32" t="s">
        <v>55</v>
      </c>
      <c r="I41" s="33" t="s">
        <v>122</v>
      </c>
      <c r="J41" s="42">
        <f>VLOOKUP(F41,[1]Hárok1!$F$4:$S$124,5,0)</f>
        <v>8</v>
      </c>
      <c r="K41" s="43">
        <f>VLOOKUP(F41,[1]Hárok1!$F$4:$S$124,6,0)</f>
        <v>2</v>
      </c>
      <c r="L41" s="43">
        <f>VLOOKUP(F41,[1]Hárok1!$F$4:$S$124,7,0)</f>
        <v>37</v>
      </c>
      <c r="M41" s="43">
        <f>VLOOKUP(F41,[1]Hárok1!$F$4:$S$124,8,0)</f>
        <v>6</v>
      </c>
      <c r="N41" s="43">
        <f>VLOOKUP(F41,[1]Hárok1!$F$4:$S$124,9,0)</f>
        <v>4</v>
      </c>
      <c r="O41" s="43">
        <f>VLOOKUP(F41,[1]Hárok1!$F$4:$S$124,10,0)</f>
        <v>10</v>
      </c>
      <c r="P41" s="44">
        <f>VLOOKUP(F41,[1]Hárok1!$F$4:$S$124,11,0)</f>
        <v>1</v>
      </c>
      <c r="Q41" s="42">
        <f>VLOOKUP(F41,[1]Hárok1!$F$4:$S$124,12,0)</f>
        <v>99</v>
      </c>
      <c r="R41" s="43">
        <f>VLOOKUP(F41,[1]Hárok1!$F$4:$S$124,13,0)</f>
        <v>235</v>
      </c>
      <c r="S41" s="44">
        <f>VLOOKUP(F41,[1]Hárok1!$F$4:$S$124,14,0)</f>
        <v>69</v>
      </c>
      <c r="T41" s="45">
        <f t="shared" si="0"/>
        <v>1239.5</v>
      </c>
      <c r="U41" s="46">
        <f>VLOOKUP(F41,[1]Hárok1!$F$4:$U$124,16,0)</f>
        <v>0</v>
      </c>
      <c r="V41" s="47">
        <f t="shared" si="1"/>
        <v>202.5</v>
      </c>
      <c r="W41" s="47">
        <f t="shared" si="2"/>
        <v>605</v>
      </c>
      <c r="X41" s="48">
        <f t="shared" si="3"/>
        <v>130.5</v>
      </c>
      <c r="Y41" s="49">
        <f t="shared" si="4"/>
        <v>2177.5</v>
      </c>
      <c r="Z41" s="50">
        <f t="shared" si="5"/>
        <v>2178</v>
      </c>
    </row>
    <row r="42" spans="1:26" x14ac:dyDescent="0.25">
      <c r="A42" s="29" t="s">
        <v>42</v>
      </c>
      <c r="B42" s="29" t="s">
        <v>79</v>
      </c>
      <c r="C42" s="29" t="s">
        <v>80</v>
      </c>
      <c r="D42" s="30">
        <v>36063606</v>
      </c>
      <c r="E42" s="31" t="s">
        <v>81</v>
      </c>
      <c r="F42" s="29">
        <v>30775418</v>
      </c>
      <c r="G42" s="32" t="s">
        <v>100</v>
      </c>
      <c r="H42" s="32" t="s">
        <v>55</v>
      </c>
      <c r="I42" s="33" t="s">
        <v>123</v>
      </c>
      <c r="J42" s="42">
        <f>VLOOKUP(F42,[1]Hárok1!$F$4:$S$124,5,0)</f>
        <v>7</v>
      </c>
      <c r="K42" s="43">
        <f>VLOOKUP(F42,[1]Hárok1!$F$4:$S$124,6,0)</f>
        <v>7</v>
      </c>
      <c r="L42" s="43">
        <f>VLOOKUP(F42,[1]Hárok1!$F$4:$S$124,7,0)</f>
        <v>29</v>
      </c>
      <c r="M42" s="43">
        <f>VLOOKUP(F42,[1]Hárok1!$F$4:$S$124,8,0)</f>
        <v>21</v>
      </c>
      <c r="N42" s="43">
        <f>VLOOKUP(F42,[1]Hárok1!$F$4:$S$124,9,0)</f>
        <v>11</v>
      </c>
      <c r="O42" s="43">
        <f>VLOOKUP(F42,[1]Hárok1!$F$4:$S$124,10,0)</f>
        <v>14</v>
      </c>
      <c r="P42" s="44">
        <f>VLOOKUP(F42,[1]Hárok1!$F$4:$S$124,11,0)</f>
        <v>0</v>
      </c>
      <c r="Q42" s="42">
        <f>VLOOKUP(F42,[1]Hárok1!$F$4:$S$124,12,0)</f>
        <v>229</v>
      </c>
      <c r="R42" s="43">
        <f>VLOOKUP(F42,[1]Hárok1!$F$4:$S$124,13,0)</f>
        <v>288</v>
      </c>
      <c r="S42" s="44">
        <f>VLOOKUP(F42,[1]Hárok1!$F$4:$S$124,14,0)</f>
        <v>0</v>
      </c>
      <c r="T42" s="45">
        <f t="shared" si="0"/>
        <v>971.5</v>
      </c>
      <c r="U42" s="46">
        <f>VLOOKUP(F42,[1]Hárok1!$F$4:$U$124,16,0)</f>
        <v>151.19999999999999</v>
      </c>
      <c r="V42" s="47">
        <f t="shared" si="1"/>
        <v>492</v>
      </c>
      <c r="W42" s="47">
        <f t="shared" si="2"/>
        <v>765</v>
      </c>
      <c r="X42" s="48">
        <f t="shared" si="3"/>
        <v>0</v>
      </c>
      <c r="Y42" s="49">
        <f t="shared" si="4"/>
        <v>2379.6999999999998</v>
      </c>
      <c r="Z42" s="50">
        <f t="shared" si="5"/>
        <v>2380</v>
      </c>
    </row>
    <row r="43" spans="1:26" x14ac:dyDescent="0.25">
      <c r="A43" s="29" t="s">
        <v>42</v>
      </c>
      <c r="B43" s="29" t="s">
        <v>79</v>
      </c>
      <c r="C43" s="29" t="s">
        <v>80</v>
      </c>
      <c r="D43" s="30">
        <v>36063606</v>
      </c>
      <c r="E43" s="31" t="s">
        <v>81</v>
      </c>
      <c r="F43" s="29">
        <v>17314895</v>
      </c>
      <c r="G43" s="32" t="s">
        <v>124</v>
      </c>
      <c r="H43" s="32" t="s">
        <v>55</v>
      </c>
      <c r="I43" s="33" t="s">
        <v>125</v>
      </c>
      <c r="J43" s="42">
        <f>VLOOKUP(F43,[1]Hárok1!$F$4:$S$124,5,0)</f>
        <v>7</v>
      </c>
      <c r="K43" s="43">
        <f>VLOOKUP(F43,[1]Hárok1!$F$4:$S$124,6,0)</f>
        <v>0</v>
      </c>
      <c r="L43" s="43">
        <f>VLOOKUP(F43,[1]Hárok1!$F$4:$S$124,7,0)</f>
        <v>37</v>
      </c>
      <c r="M43" s="43">
        <f>VLOOKUP(F43,[1]Hárok1!$F$4:$S$124,8,0)</f>
        <v>0</v>
      </c>
      <c r="N43" s="43">
        <f>VLOOKUP(F43,[1]Hárok1!$F$4:$S$124,9,0)</f>
        <v>0</v>
      </c>
      <c r="O43" s="43">
        <f>VLOOKUP(F43,[1]Hárok1!$F$4:$S$124,10,0)</f>
        <v>11</v>
      </c>
      <c r="P43" s="44">
        <f>VLOOKUP(F43,[1]Hárok1!$F$4:$S$124,11,0)</f>
        <v>2</v>
      </c>
      <c r="Q43" s="42">
        <f>VLOOKUP(F43,[1]Hárok1!$F$4:$S$124,12,0)</f>
        <v>0</v>
      </c>
      <c r="R43" s="43">
        <f>VLOOKUP(F43,[1]Hárok1!$F$4:$S$124,13,0)</f>
        <v>290</v>
      </c>
      <c r="S43" s="44">
        <f>VLOOKUP(F43,[1]Hárok1!$F$4:$S$124,14,0)</f>
        <v>48</v>
      </c>
      <c r="T43" s="45">
        <f t="shared" si="0"/>
        <v>1239.5</v>
      </c>
      <c r="U43" s="46">
        <f>VLOOKUP(F43,[1]Hárok1!$F$4:$U$124,16,0)</f>
        <v>0</v>
      </c>
      <c r="V43" s="47">
        <f t="shared" si="1"/>
        <v>0</v>
      </c>
      <c r="W43" s="47">
        <f t="shared" si="2"/>
        <v>728.5</v>
      </c>
      <c r="X43" s="48">
        <f t="shared" si="3"/>
        <v>126</v>
      </c>
      <c r="Y43" s="49">
        <f t="shared" si="4"/>
        <v>2094</v>
      </c>
      <c r="Z43" s="50">
        <f t="shared" si="5"/>
        <v>2094</v>
      </c>
    </row>
    <row r="44" spans="1:26" x14ac:dyDescent="0.25">
      <c r="A44" s="29" t="s">
        <v>42</v>
      </c>
      <c r="B44" s="29" t="s">
        <v>79</v>
      </c>
      <c r="C44" s="29" t="s">
        <v>80</v>
      </c>
      <c r="D44" s="30">
        <v>36063606</v>
      </c>
      <c r="E44" s="31" t="s">
        <v>81</v>
      </c>
      <c r="F44" s="29">
        <v>894915</v>
      </c>
      <c r="G44" s="32" t="s">
        <v>126</v>
      </c>
      <c r="H44" s="32" t="s">
        <v>55</v>
      </c>
      <c r="I44" s="33" t="s">
        <v>127</v>
      </c>
      <c r="J44" s="42">
        <f>VLOOKUP(F44,[1]Hárok1!$F$4:$S$124,5,0)</f>
        <v>5</v>
      </c>
      <c r="K44" s="43">
        <f>VLOOKUP(F44,[1]Hárok1!$F$4:$S$124,6,0)</f>
        <v>0</v>
      </c>
      <c r="L44" s="43">
        <f>VLOOKUP(F44,[1]Hárok1!$F$4:$S$124,7,0)</f>
        <v>26</v>
      </c>
      <c r="M44" s="43">
        <f>VLOOKUP(F44,[1]Hárok1!$F$4:$S$124,8,0)</f>
        <v>0</v>
      </c>
      <c r="N44" s="43">
        <f>VLOOKUP(F44,[1]Hárok1!$F$4:$S$124,9,0)</f>
        <v>0</v>
      </c>
      <c r="O44" s="43">
        <f>VLOOKUP(F44,[1]Hárok1!$F$4:$S$124,10,0)</f>
        <v>5</v>
      </c>
      <c r="P44" s="44">
        <f>VLOOKUP(F44,[1]Hárok1!$F$4:$S$124,11,0)</f>
        <v>1</v>
      </c>
      <c r="Q44" s="42">
        <f>VLOOKUP(F44,[1]Hárok1!$F$4:$S$124,12,0)</f>
        <v>0</v>
      </c>
      <c r="R44" s="43">
        <f>VLOOKUP(F44,[1]Hárok1!$F$4:$S$124,13,0)</f>
        <v>189</v>
      </c>
      <c r="S44" s="44">
        <f>VLOOKUP(F44,[1]Hárok1!$F$4:$S$124,14,0)</f>
        <v>53</v>
      </c>
      <c r="T44" s="45">
        <f t="shared" si="0"/>
        <v>871</v>
      </c>
      <c r="U44" s="46">
        <f>VLOOKUP(F44,[1]Hárok1!$F$4:$U$124,16,0)</f>
        <v>0</v>
      </c>
      <c r="V44" s="47">
        <f t="shared" si="1"/>
        <v>0</v>
      </c>
      <c r="W44" s="47">
        <f t="shared" si="2"/>
        <v>445.5</v>
      </c>
      <c r="X44" s="48">
        <f t="shared" si="3"/>
        <v>106.5</v>
      </c>
      <c r="Y44" s="49">
        <f t="shared" si="4"/>
        <v>1423</v>
      </c>
      <c r="Z44" s="50">
        <f t="shared" si="5"/>
        <v>1423</v>
      </c>
    </row>
    <row r="45" spans="1:26" x14ac:dyDescent="0.25">
      <c r="A45" s="29" t="s">
        <v>42</v>
      </c>
      <c r="B45" s="29" t="s">
        <v>79</v>
      </c>
      <c r="C45" s="29" t="s">
        <v>80</v>
      </c>
      <c r="D45" s="30">
        <v>36063606</v>
      </c>
      <c r="E45" s="31" t="s">
        <v>81</v>
      </c>
      <c r="F45" s="29">
        <v>31787088</v>
      </c>
      <c r="G45" s="32" t="s">
        <v>128</v>
      </c>
      <c r="H45" s="32" t="s">
        <v>55</v>
      </c>
      <c r="I45" s="33" t="s">
        <v>129</v>
      </c>
      <c r="J45" s="42">
        <f>VLOOKUP(F45,[1]Hárok1!$F$4:$S$124,5,0)</f>
        <v>17</v>
      </c>
      <c r="K45" s="43">
        <f>VLOOKUP(F45,[1]Hárok1!$F$4:$S$124,6,0)</f>
        <v>0</v>
      </c>
      <c r="L45" s="43">
        <f>VLOOKUP(F45,[1]Hárok1!$F$4:$S$124,7,0)</f>
        <v>49</v>
      </c>
      <c r="M45" s="43">
        <f>VLOOKUP(F45,[1]Hárok1!$F$4:$S$124,8,0)</f>
        <v>0</v>
      </c>
      <c r="N45" s="43">
        <f>VLOOKUP(F45,[1]Hárok1!$F$4:$S$124,9,0)</f>
        <v>1</v>
      </c>
      <c r="O45" s="43">
        <f>VLOOKUP(F45,[1]Hárok1!$F$4:$S$124,10,0)</f>
        <v>19</v>
      </c>
      <c r="P45" s="44">
        <f>VLOOKUP(F45,[1]Hárok1!$F$4:$S$124,11,0)</f>
        <v>1</v>
      </c>
      <c r="Q45" s="42">
        <f>VLOOKUP(F45,[1]Hárok1!$F$4:$S$124,12,0)</f>
        <v>30</v>
      </c>
      <c r="R45" s="43">
        <f>VLOOKUP(F45,[1]Hárok1!$F$4:$S$124,13,0)</f>
        <v>438</v>
      </c>
      <c r="S45" s="44">
        <f>VLOOKUP(F45,[1]Hárok1!$F$4:$S$124,14,0)</f>
        <v>53</v>
      </c>
      <c r="T45" s="45">
        <f t="shared" si="0"/>
        <v>1641.5</v>
      </c>
      <c r="U45" s="46">
        <f>VLOOKUP(F45,[1]Hárok1!$F$4:$U$124,16,0)</f>
        <v>0</v>
      </c>
      <c r="V45" s="47">
        <f t="shared" si="1"/>
        <v>58.5</v>
      </c>
      <c r="W45" s="47">
        <f t="shared" si="2"/>
        <v>1132.5</v>
      </c>
      <c r="X45" s="48">
        <f t="shared" si="3"/>
        <v>106.5</v>
      </c>
      <c r="Y45" s="49">
        <f t="shared" si="4"/>
        <v>2939</v>
      </c>
      <c r="Z45" s="50">
        <f t="shared" si="5"/>
        <v>2939</v>
      </c>
    </row>
    <row r="46" spans="1:26" x14ac:dyDescent="0.25">
      <c r="A46" s="29" t="s">
        <v>42</v>
      </c>
      <c r="B46" s="29" t="s">
        <v>79</v>
      </c>
      <c r="C46" s="29" t="s">
        <v>80</v>
      </c>
      <c r="D46" s="30">
        <v>36063606</v>
      </c>
      <c r="E46" s="31" t="s">
        <v>81</v>
      </c>
      <c r="F46" s="29">
        <v>17337071</v>
      </c>
      <c r="G46" s="32" t="s">
        <v>49</v>
      </c>
      <c r="H46" s="32" t="s">
        <v>130</v>
      </c>
      <c r="I46" s="33" t="s">
        <v>131</v>
      </c>
      <c r="J46" s="42">
        <f>VLOOKUP(F46,[1]Hárok1!$F$4:$S$124,5,0)</f>
        <v>11</v>
      </c>
      <c r="K46" s="43">
        <f>VLOOKUP(F46,[1]Hárok1!$F$4:$S$124,6,0)</f>
        <v>0</v>
      </c>
      <c r="L46" s="43">
        <f>VLOOKUP(F46,[1]Hárok1!$F$4:$S$124,7,0)</f>
        <v>30</v>
      </c>
      <c r="M46" s="43">
        <f>VLOOKUP(F46,[1]Hárok1!$F$4:$S$124,8,0)</f>
        <v>0</v>
      </c>
      <c r="N46" s="43">
        <f>VLOOKUP(F46,[1]Hárok1!$F$4:$S$124,9,0)</f>
        <v>1</v>
      </c>
      <c r="O46" s="43">
        <f>VLOOKUP(F46,[1]Hárok1!$F$4:$S$124,10,0)</f>
        <v>13</v>
      </c>
      <c r="P46" s="44">
        <f>VLOOKUP(F46,[1]Hárok1!$F$4:$S$124,11,0)</f>
        <v>1</v>
      </c>
      <c r="Q46" s="42">
        <f>VLOOKUP(F46,[1]Hárok1!$F$4:$S$124,12,0)</f>
        <v>12</v>
      </c>
      <c r="R46" s="43">
        <f>VLOOKUP(F46,[1]Hárok1!$F$4:$S$124,13,0)</f>
        <v>223</v>
      </c>
      <c r="S46" s="44">
        <f>VLOOKUP(F46,[1]Hárok1!$F$4:$S$124,14,0)</f>
        <v>99</v>
      </c>
      <c r="T46" s="45">
        <f t="shared" si="0"/>
        <v>1005</v>
      </c>
      <c r="U46" s="46">
        <f>VLOOKUP(F46,[1]Hárok1!$F$4:$U$124,16,0)</f>
        <v>0</v>
      </c>
      <c r="V46" s="47">
        <f t="shared" si="1"/>
        <v>31.5</v>
      </c>
      <c r="W46" s="47">
        <f t="shared" si="2"/>
        <v>621.5</v>
      </c>
      <c r="X46" s="48">
        <f t="shared" si="3"/>
        <v>175.5</v>
      </c>
      <c r="Y46" s="49">
        <f t="shared" si="4"/>
        <v>1833.5</v>
      </c>
      <c r="Z46" s="50">
        <f t="shared" si="5"/>
        <v>1834</v>
      </c>
    </row>
    <row r="47" spans="1:26" x14ac:dyDescent="0.25">
      <c r="A47" s="29" t="s">
        <v>42</v>
      </c>
      <c r="B47" s="29" t="s">
        <v>79</v>
      </c>
      <c r="C47" s="29" t="s">
        <v>80</v>
      </c>
      <c r="D47" s="30">
        <v>36063606</v>
      </c>
      <c r="E47" s="31" t="s">
        <v>81</v>
      </c>
      <c r="F47" s="29">
        <v>893471</v>
      </c>
      <c r="G47" s="32" t="s">
        <v>132</v>
      </c>
      <c r="H47" s="32" t="s">
        <v>130</v>
      </c>
      <c r="I47" s="33" t="s">
        <v>133</v>
      </c>
      <c r="J47" s="42">
        <f>VLOOKUP(F47,[1]Hárok1!$F$4:$S$124,5,0)</f>
        <v>7</v>
      </c>
      <c r="K47" s="43">
        <f>VLOOKUP(F47,[1]Hárok1!$F$4:$S$124,6,0)</f>
        <v>0</v>
      </c>
      <c r="L47" s="43">
        <f>VLOOKUP(F47,[1]Hárok1!$F$4:$S$124,7,0)</f>
        <v>24</v>
      </c>
      <c r="M47" s="43">
        <f>VLOOKUP(F47,[1]Hárok1!$F$4:$S$124,8,0)</f>
        <v>0</v>
      </c>
      <c r="N47" s="43">
        <f>VLOOKUP(F47,[1]Hárok1!$F$4:$S$124,9,0)</f>
        <v>0</v>
      </c>
      <c r="O47" s="43">
        <f>VLOOKUP(F47,[1]Hárok1!$F$4:$S$124,10,0)</f>
        <v>9</v>
      </c>
      <c r="P47" s="44">
        <f>VLOOKUP(F47,[1]Hárok1!$F$4:$S$124,11,0)</f>
        <v>0</v>
      </c>
      <c r="Q47" s="42">
        <f>VLOOKUP(F47,[1]Hárok1!$F$4:$S$124,12,0)</f>
        <v>0</v>
      </c>
      <c r="R47" s="43">
        <f>VLOOKUP(F47,[1]Hárok1!$F$4:$S$124,13,0)</f>
        <v>219</v>
      </c>
      <c r="S47" s="44">
        <f>VLOOKUP(F47,[1]Hárok1!$F$4:$S$124,14,0)</f>
        <v>0</v>
      </c>
      <c r="T47" s="45">
        <f t="shared" si="0"/>
        <v>804</v>
      </c>
      <c r="U47" s="46">
        <f>VLOOKUP(F47,[1]Hárok1!$F$4:$U$124,16,0)</f>
        <v>114.5</v>
      </c>
      <c r="V47" s="47">
        <f t="shared" si="1"/>
        <v>0</v>
      </c>
      <c r="W47" s="47">
        <f t="shared" si="2"/>
        <v>559.5</v>
      </c>
      <c r="X47" s="48">
        <f t="shared" si="3"/>
        <v>0</v>
      </c>
      <c r="Y47" s="49">
        <f t="shared" si="4"/>
        <v>1478</v>
      </c>
      <c r="Z47" s="50">
        <f t="shared" si="5"/>
        <v>1478</v>
      </c>
    </row>
    <row r="48" spans="1:26" x14ac:dyDescent="0.25">
      <c r="A48" s="29" t="s">
        <v>42</v>
      </c>
      <c r="B48" s="29" t="s">
        <v>79</v>
      </c>
      <c r="C48" s="29" t="s">
        <v>80</v>
      </c>
      <c r="D48" s="30">
        <v>36063606</v>
      </c>
      <c r="E48" s="31" t="s">
        <v>81</v>
      </c>
      <c r="F48" s="29">
        <v>17055415</v>
      </c>
      <c r="G48" s="32" t="s">
        <v>134</v>
      </c>
      <c r="H48" s="32" t="s">
        <v>130</v>
      </c>
      <c r="I48" s="33" t="s">
        <v>135</v>
      </c>
      <c r="J48" s="42">
        <f>VLOOKUP(F48,[1]Hárok1!$F$4:$S$124,5,0)</f>
        <v>8</v>
      </c>
      <c r="K48" s="43">
        <f>VLOOKUP(F48,[1]Hárok1!$F$4:$S$124,6,0)</f>
        <v>3</v>
      </c>
      <c r="L48" s="43">
        <f>VLOOKUP(F48,[1]Hárok1!$F$4:$S$124,7,0)</f>
        <v>39</v>
      </c>
      <c r="M48" s="43">
        <f>VLOOKUP(F48,[1]Hárok1!$F$4:$S$124,8,0)</f>
        <v>7</v>
      </c>
      <c r="N48" s="43">
        <f>VLOOKUP(F48,[1]Hárok1!$F$4:$S$124,9,0)</f>
        <v>6</v>
      </c>
      <c r="O48" s="43">
        <f>VLOOKUP(F48,[1]Hárok1!$F$4:$S$124,10,0)</f>
        <v>12</v>
      </c>
      <c r="P48" s="44">
        <f>VLOOKUP(F48,[1]Hárok1!$F$4:$S$124,11,0)</f>
        <v>1</v>
      </c>
      <c r="Q48" s="42">
        <f>VLOOKUP(F48,[1]Hárok1!$F$4:$S$124,12,0)</f>
        <v>69</v>
      </c>
      <c r="R48" s="43">
        <f>VLOOKUP(F48,[1]Hárok1!$F$4:$S$124,13,0)</f>
        <v>412</v>
      </c>
      <c r="S48" s="44">
        <f>VLOOKUP(F48,[1]Hárok1!$F$4:$S$124,14,0)</f>
        <v>33</v>
      </c>
      <c r="T48" s="45">
        <f t="shared" si="0"/>
        <v>1306.5</v>
      </c>
      <c r="U48" s="46">
        <f>VLOOKUP(F48,[1]Hárok1!$F$4:$U$124,16,0)</f>
        <v>234.6</v>
      </c>
      <c r="V48" s="47">
        <f t="shared" si="1"/>
        <v>184.5</v>
      </c>
      <c r="W48" s="47">
        <f t="shared" si="2"/>
        <v>986</v>
      </c>
      <c r="X48" s="48">
        <f t="shared" si="3"/>
        <v>76.5</v>
      </c>
      <c r="Y48" s="49">
        <f t="shared" si="4"/>
        <v>2788.1</v>
      </c>
      <c r="Z48" s="50">
        <f t="shared" si="5"/>
        <v>2788</v>
      </c>
    </row>
    <row r="49" spans="1:26" x14ac:dyDescent="0.25">
      <c r="A49" s="29" t="s">
        <v>42</v>
      </c>
      <c r="B49" s="29" t="s">
        <v>79</v>
      </c>
      <c r="C49" s="29" t="s">
        <v>80</v>
      </c>
      <c r="D49" s="30">
        <v>36063606</v>
      </c>
      <c r="E49" s="31" t="s">
        <v>81</v>
      </c>
      <c r="F49" s="29">
        <v>30775400</v>
      </c>
      <c r="G49" s="32" t="s">
        <v>136</v>
      </c>
      <c r="H49" s="32" t="s">
        <v>130</v>
      </c>
      <c r="I49" s="33" t="s">
        <v>137</v>
      </c>
      <c r="J49" s="42">
        <f>VLOOKUP(F49,[1]Hárok1!$F$4:$S$124,5,0)</f>
        <v>4</v>
      </c>
      <c r="K49" s="43">
        <f>VLOOKUP(F49,[1]Hárok1!$F$4:$S$124,6,0)</f>
        <v>0</v>
      </c>
      <c r="L49" s="43">
        <f>VLOOKUP(F49,[1]Hárok1!$F$4:$S$124,7,0)</f>
        <v>18</v>
      </c>
      <c r="M49" s="43">
        <f>VLOOKUP(F49,[1]Hárok1!$F$4:$S$124,8,0)</f>
        <v>0</v>
      </c>
      <c r="N49" s="43">
        <f>VLOOKUP(F49,[1]Hárok1!$F$4:$S$124,9,0)</f>
        <v>0</v>
      </c>
      <c r="O49" s="43">
        <f>VLOOKUP(F49,[1]Hárok1!$F$4:$S$124,10,0)</f>
        <v>4</v>
      </c>
      <c r="P49" s="44">
        <f>VLOOKUP(F49,[1]Hárok1!$F$4:$S$124,11,0)</f>
        <v>1</v>
      </c>
      <c r="Q49" s="42">
        <f>VLOOKUP(F49,[1]Hárok1!$F$4:$S$124,12,0)</f>
        <v>0</v>
      </c>
      <c r="R49" s="43">
        <f>VLOOKUP(F49,[1]Hárok1!$F$4:$S$124,13,0)</f>
        <v>88</v>
      </c>
      <c r="S49" s="44">
        <f>VLOOKUP(F49,[1]Hárok1!$F$4:$S$124,14,0)</f>
        <v>50</v>
      </c>
      <c r="T49" s="45">
        <f t="shared" si="0"/>
        <v>603</v>
      </c>
      <c r="U49" s="46">
        <f>VLOOKUP(F49,[1]Hárok1!$F$4:$U$124,16,0)</f>
        <v>0</v>
      </c>
      <c r="V49" s="47">
        <f t="shared" si="1"/>
        <v>0</v>
      </c>
      <c r="W49" s="47">
        <f t="shared" si="2"/>
        <v>230</v>
      </c>
      <c r="X49" s="48">
        <f t="shared" si="3"/>
        <v>102</v>
      </c>
      <c r="Y49" s="49">
        <f t="shared" si="4"/>
        <v>935</v>
      </c>
      <c r="Z49" s="50">
        <f t="shared" si="5"/>
        <v>935</v>
      </c>
    </row>
    <row r="50" spans="1:26" x14ac:dyDescent="0.25">
      <c r="A50" s="29" t="s">
        <v>42</v>
      </c>
      <c r="B50" s="29" t="s">
        <v>79</v>
      </c>
      <c r="C50" s="29" t="s">
        <v>80</v>
      </c>
      <c r="D50" s="30">
        <v>36063606</v>
      </c>
      <c r="E50" s="31" t="s">
        <v>81</v>
      </c>
      <c r="F50" s="29">
        <v>893161</v>
      </c>
      <c r="G50" s="32" t="s">
        <v>138</v>
      </c>
      <c r="H50" s="32" t="s">
        <v>139</v>
      </c>
      <c r="I50" s="33" t="s">
        <v>140</v>
      </c>
      <c r="J50" s="42">
        <f>VLOOKUP(F50,[1]Hárok1!$F$4:$S$124,5,0)</f>
        <v>4</v>
      </c>
      <c r="K50" s="43">
        <f>VLOOKUP(F50,[1]Hárok1!$F$4:$S$124,6,0)</f>
        <v>1</v>
      </c>
      <c r="L50" s="43">
        <f>VLOOKUP(F50,[1]Hárok1!$F$4:$S$124,7,0)</f>
        <v>24</v>
      </c>
      <c r="M50" s="43">
        <f>VLOOKUP(F50,[1]Hárok1!$F$4:$S$124,8,0)</f>
        <v>2</v>
      </c>
      <c r="N50" s="43">
        <f>VLOOKUP(F50,[1]Hárok1!$F$4:$S$124,9,0)</f>
        <v>0</v>
      </c>
      <c r="O50" s="43">
        <f>VLOOKUP(F50,[1]Hárok1!$F$4:$S$124,10,0)</f>
        <v>5</v>
      </c>
      <c r="P50" s="44">
        <f>VLOOKUP(F50,[1]Hárok1!$F$4:$S$124,11,0)</f>
        <v>1</v>
      </c>
      <c r="Q50" s="42">
        <f>VLOOKUP(F50,[1]Hárok1!$F$4:$S$124,12,0)</f>
        <v>0</v>
      </c>
      <c r="R50" s="43">
        <f>VLOOKUP(F50,[1]Hárok1!$F$4:$S$124,13,0)</f>
        <v>191</v>
      </c>
      <c r="S50" s="44">
        <f>VLOOKUP(F50,[1]Hárok1!$F$4:$S$124,14,0)</f>
        <v>0</v>
      </c>
      <c r="T50" s="45">
        <f t="shared" si="0"/>
        <v>804</v>
      </c>
      <c r="U50" s="46">
        <f>VLOOKUP(F50,[1]Hárok1!$F$4:$U$124,16,0)</f>
        <v>0</v>
      </c>
      <c r="V50" s="47">
        <f t="shared" si="1"/>
        <v>0</v>
      </c>
      <c r="W50" s="47">
        <f t="shared" si="2"/>
        <v>449.5</v>
      </c>
      <c r="X50" s="48">
        <f t="shared" si="3"/>
        <v>27</v>
      </c>
      <c r="Y50" s="49">
        <f t="shared" si="4"/>
        <v>1280.5</v>
      </c>
      <c r="Z50" s="50">
        <f t="shared" si="5"/>
        <v>1281</v>
      </c>
    </row>
    <row r="51" spans="1:26" x14ac:dyDescent="0.25">
      <c r="A51" s="29" t="s">
        <v>42</v>
      </c>
      <c r="B51" s="29" t="s">
        <v>79</v>
      </c>
      <c r="C51" s="29" t="s">
        <v>80</v>
      </c>
      <c r="D51" s="30">
        <v>36063606</v>
      </c>
      <c r="E51" s="31" t="s">
        <v>81</v>
      </c>
      <c r="F51" s="29">
        <v>30775361</v>
      </c>
      <c r="G51" s="32" t="s">
        <v>141</v>
      </c>
      <c r="H51" s="32" t="s">
        <v>57</v>
      </c>
      <c r="I51" s="33" t="s">
        <v>142</v>
      </c>
      <c r="J51" s="42">
        <f>VLOOKUP(F51,[1]Hárok1!$F$4:$S$124,5,0)</f>
        <v>9</v>
      </c>
      <c r="K51" s="43">
        <f>VLOOKUP(F51,[1]Hárok1!$F$4:$S$124,6,0)</f>
        <v>1</v>
      </c>
      <c r="L51" s="43">
        <f>VLOOKUP(F51,[1]Hárok1!$F$4:$S$124,7,0)</f>
        <v>59</v>
      </c>
      <c r="M51" s="43">
        <f>VLOOKUP(F51,[1]Hárok1!$F$4:$S$124,8,0)</f>
        <v>2</v>
      </c>
      <c r="N51" s="43">
        <f>VLOOKUP(F51,[1]Hárok1!$F$4:$S$124,9,0)</f>
        <v>1</v>
      </c>
      <c r="O51" s="43">
        <f>VLOOKUP(F51,[1]Hárok1!$F$4:$S$124,10,0)</f>
        <v>13</v>
      </c>
      <c r="P51" s="44">
        <f>VLOOKUP(F51,[1]Hárok1!$F$4:$S$124,11,0)</f>
        <v>2</v>
      </c>
      <c r="Q51" s="42">
        <f>VLOOKUP(F51,[1]Hárok1!$F$4:$S$124,12,0)</f>
        <v>25</v>
      </c>
      <c r="R51" s="43">
        <f>VLOOKUP(F51,[1]Hárok1!$F$4:$S$124,13,0)</f>
        <v>593</v>
      </c>
      <c r="S51" s="44">
        <f>VLOOKUP(F51,[1]Hárok1!$F$4:$S$124,14,0)</f>
        <v>36</v>
      </c>
      <c r="T51" s="45">
        <f t="shared" si="0"/>
        <v>1976.5</v>
      </c>
      <c r="U51" s="46">
        <f>VLOOKUP(F51,[1]Hárok1!$F$4:$U$124,16,0)</f>
        <v>113.6</v>
      </c>
      <c r="V51" s="47">
        <f t="shared" si="1"/>
        <v>51</v>
      </c>
      <c r="W51" s="47">
        <f t="shared" si="2"/>
        <v>1361.5</v>
      </c>
      <c r="X51" s="48">
        <f t="shared" si="3"/>
        <v>108</v>
      </c>
      <c r="Y51" s="49">
        <f t="shared" si="4"/>
        <v>3610.6</v>
      </c>
      <c r="Z51" s="50">
        <f t="shared" si="5"/>
        <v>3611</v>
      </c>
    </row>
    <row r="52" spans="1:26" x14ac:dyDescent="0.25">
      <c r="A52" s="29" t="s">
        <v>42</v>
      </c>
      <c r="B52" s="29" t="s">
        <v>79</v>
      </c>
      <c r="C52" s="29" t="s">
        <v>80</v>
      </c>
      <c r="D52" s="30">
        <v>36063606</v>
      </c>
      <c r="E52" s="31" t="s">
        <v>81</v>
      </c>
      <c r="F52" s="29">
        <v>17319161</v>
      </c>
      <c r="G52" s="32" t="s">
        <v>88</v>
      </c>
      <c r="H52" s="32" t="s">
        <v>57</v>
      </c>
      <c r="I52" s="33" t="s">
        <v>143</v>
      </c>
      <c r="J52" s="42">
        <f>VLOOKUP(F52,[1]Hárok1!$F$4:$S$124,5,0)</f>
        <v>10</v>
      </c>
      <c r="K52" s="43">
        <f>VLOOKUP(F52,[1]Hárok1!$F$4:$S$124,6,0)</f>
        <v>0</v>
      </c>
      <c r="L52" s="43">
        <f>VLOOKUP(F52,[1]Hárok1!$F$4:$S$124,7,0)</f>
        <v>60</v>
      </c>
      <c r="M52" s="43">
        <f>VLOOKUP(F52,[1]Hárok1!$F$4:$S$124,8,0)</f>
        <v>0</v>
      </c>
      <c r="N52" s="43">
        <f>VLOOKUP(F52,[1]Hárok1!$F$4:$S$124,9,0)</f>
        <v>0</v>
      </c>
      <c r="O52" s="43">
        <f>VLOOKUP(F52,[1]Hárok1!$F$4:$S$124,10,0)</f>
        <v>14</v>
      </c>
      <c r="P52" s="44">
        <f>VLOOKUP(F52,[1]Hárok1!$F$4:$S$124,11,0)</f>
        <v>1</v>
      </c>
      <c r="Q52" s="42">
        <f>VLOOKUP(F52,[1]Hárok1!$F$4:$S$124,12,0)</f>
        <v>0</v>
      </c>
      <c r="R52" s="43">
        <f>VLOOKUP(F52,[1]Hárok1!$F$4:$S$124,13,0)</f>
        <v>624</v>
      </c>
      <c r="S52" s="44">
        <f>VLOOKUP(F52,[1]Hárok1!$F$4:$S$124,14,0)</f>
        <v>141</v>
      </c>
      <c r="T52" s="45">
        <f t="shared" si="0"/>
        <v>2010</v>
      </c>
      <c r="U52" s="46">
        <f>VLOOKUP(F52,[1]Hárok1!$F$4:$U$124,16,0)</f>
        <v>0</v>
      </c>
      <c r="V52" s="47">
        <f t="shared" si="1"/>
        <v>0</v>
      </c>
      <c r="W52" s="47">
        <f t="shared" si="2"/>
        <v>1437</v>
      </c>
      <c r="X52" s="48">
        <f t="shared" si="3"/>
        <v>238.5</v>
      </c>
      <c r="Y52" s="49">
        <f t="shared" si="4"/>
        <v>3685.5</v>
      </c>
      <c r="Z52" s="50">
        <f t="shared" si="5"/>
        <v>3686</v>
      </c>
    </row>
    <row r="53" spans="1:26" x14ac:dyDescent="0.25">
      <c r="A53" s="29" t="s">
        <v>42</v>
      </c>
      <c r="B53" s="29" t="s">
        <v>79</v>
      </c>
      <c r="C53" s="29" t="s">
        <v>80</v>
      </c>
      <c r="D53" s="30">
        <v>36063606</v>
      </c>
      <c r="E53" s="31" t="s">
        <v>81</v>
      </c>
      <c r="F53" s="29">
        <v>30775329</v>
      </c>
      <c r="G53" s="32" t="s">
        <v>144</v>
      </c>
      <c r="H53" s="32" t="s">
        <v>60</v>
      </c>
      <c r="I53" s="33" t="s">
        <v>145</v>
      </c>
      <c r="J53" s="42">
        <f>VLOOKUP(F53,[1]Hárok1!$F$4:$S$124,5,0)</f>
        <v>9</v>
      </c>
      <c r="K53" s="43">
        <f>VLOOKUP(F53,[1]Hárok1!$F$4:$S$124,6,0)</f>
        <v>2</v>
      </c>
      <c r="L53" s="43">
        <f>VLOOKUP(F53,[1]Hárok1!$F$4:$S$124,7,0)</f>
        <v>45</v>
      </c>
      <c r="M53" s="43">
        <f>VLOOKUP(F53,[1]Hárok1!$F$4:$S$124,8,0)</f>
        <v>2</v>
      </c>
      <c r="N53" s="43">
        <f>VLOOKUP(F53,[1]Hárok1!$F$4:$S$124,9,0)</f>
        <v>0</v>
      </c>
      <c r="O53" s="43">
        <f>VLOOKUP(F53,[1]Hárok1!$F$4:$S$124,10,0)</f>
        <v>18</v>
      </c>
      <c r="P53" s="44">
        <f>VLOOKUP(F53,[1]Hárok1!$F$4:$S$124,11,0)</f>
        <v>1</v>
      </c>
      <c r="Q53" s="42">
        <f>VLOOKUP(F53,[1]Hárok1!$F$4:$S$124,12,0)</f>
        <v>0</v>
      </c>
      <c r="R53" s="43">
        <f>VLOOKUP(F53,[1]Hárok1!$F$4:$S$124,13,0)</f>
        <v>458</v>
      </c>
      <c r="S53" s="44">
        <f>VLOOKUP(F53,[1]Hárok1!$F$4:$S$124,14,0)</f>
        <v>84</v>
      </c>
      <c r="T53" s="45">
        <f t="shared" si="0"/>
        <v>1507.5</v>
      </c>
      <c r="U53" s="46">
        <f>VLOOKUP(F53,[1]Hárok1!$F$4:$U$124,16,0)</f>
        <v>0</v>
      </c>
      <c r="V53" s="47">
        <f t="shared" si="1"/>
        <v>0</v>
      </c>
      <c r="W53" s="47">
        <f t="shared" si="2"/>
        <v>1159</v>
      </c>
      <c r="X53" s="48">
        <f t="shared" si="3"/>
        <v>153</v>
      </c>
      <c r="Y53" s="49">
        <f t="shared" si="4"/>
        <v>2819.5</v>
      </c>
      <c r="Z53" s="50">
        <f t="shared" si="5"/>
        <v>2820</v>
      </c>
    </row>
    <row r="54" spans="1:26" x14ac:dyDescent="0.25">
      <c r="A54" s="51" t="s">
        <v>42</v>
      </c>
      <c r="B54" s="51" t="s">
        <v>79</v>
      </c>
      <c r="C54" s="51" t="s">
        <v>80</v>
      </c>
      <c r="D54" s="30">
        <v>36063606</v>
      </c>
      <c r="E54" s="31" t="s">
        <v>81</v>
      </c>
      <c r="F54" s="51">
        <v>605760</v>
      </c>
      <c r="G54" s="32" t="s">
        <v>146</v>
      </c>
      <c r="H54" s="32" t="s">
        <v>66</v>
      </c>
      <c r="I54" s="33" t="s">
        <v>147</v>
      </c>
      <c r="J54" s="42">
        <f>VLOOKUP(F54,[1]Hárok1!$F$4:$S$124,5,0)</f>
        <v>10</v>
      </c>
      <c r="K54" s="43">
        <f>VLOOKUP(F54,[1]Hárok1!$F$4:$S$124,6,0)</f>
        <v>0</v>
      </c>
      <c r="L54" s="43">
        <f>VLOOKUP(F54,[1]Hárok1!$F$4:$S$124,7,0)</f>
        <v>30</v>
      </c>
      <c r="M54" s="43">
        <f>VLOOKUP(F54,[1]Hárok1!$F$4:$S$124,8,0)</f>
        <v>0</v>
      </c>
      <c r="N54" s="43">
        <f>VLOOKUP(F54,[1]Hárok1!$F$4:$S$124,9,0)</f>
        <v>0</v>
      </c>
      <c r="O54" s="43">
        <f>VLOOKUP(F54,[1]Hárok1!$F$4:$S$124,10,0)</f>
        <v>18</v>
      </c>
      <c r="P54" s="44">
        <f>VLOOKUP(F54,[1]Hárok1!$F$4:$S$124,11,0)</f>
        <v>1</v>
      </c>
      <c r="Q54" s="42">
        <f>VLOOKUP(F54,[1]Hárok1!$F$4:$S$124,12,0)</f>
        <v>0</v>
      </c>
      <c r="R54" s="43">
        <f>VLOOKUP(F54,[1]Hárok1!$F$4:$S$124,13,0)</f>
        <v>193</v>
      </c>
      <c r="S54" s="44">
        <f>VLOOKUP(F54,[1]Hárok1!$F$4:$S$124,14,0)</f>
        <v>95</v>
      </c>
      <c r="T54" s="45">
        <f t="shared" si="0"/>
        <v>1005</v>
      </c>
      <c r="U54" s="46">
        <f>VLOOKUP(F54,[1]Hárok1!$F$4:$U$124,16,0)</f>
        <v>0</v>
      </c>
      <c r="V54" s="47">
        <f t="shared" si="1"/>
        <v>0</v>
      </c>
      <c r="W54" s="47">
        <f t="shared" si="2"/>
        <v>629</v>
      </c>
      <c r="X54" s="48">
        <f t="shared" si="3"/>
        <v>169.5</v>
      </c>
      <c r="Y54" s="49">
        <f t="shared" si="4"/>
        <v>1803.5</v>
      </c>
      <c r="Z54" s="50">
        <f t="shared" si="5"/>
        <v>1804</v>
      </c>
    </row>
    <row r="55" spans="1:26" x14ac:dyDescent="0.25">
      <c r="A55" s="51" t="s">
        <v>42</v>
      </c>
      <c r="B55" s="51" t="s">
        <v>79</v>
      </c>
      <c r="C55" s="51" t="s">
        <v>80</v>
      </c>
      <c r="D55" s="30">
        <v>36063606</v>
      </c>
      <c r="E55" s="31" t="s">
        <v>81</v>
      </c>
      <c r="F55" s="51">
        <v>30775434</v>
      </c>
      <c r="G55" s="32" t="s">
        <v>100</v>
      </c>
      <c r="H55" s="32" t="s">
        <v>66</v>
      </c>
      <c r="I55" s="33" t="s">
        <v>148</v>
      </c>
      <c r="J55" s="42">
        <f>VLOOKUP(F55,[1]Hárok1!$F$4:$S$124,5,0)</f>
        <v>10</v>
      </c>
      <c r="K55" s="43">
        <f>VLOOKUP(F55,[1]Hárok1!$F$4:$S$124,6,0)</f>
        <v>0</v>
      </c>
      <c r="L55" s="43">
        <f>VLOOKUP(F55,[1]Hárok1!$F$4:$S$124,7,0)</f>
        <v>53</v>
      </c>
      <c r="M55" s="43">
        <f>VLOOKUP(F55,[1]Hárok1!$F$4:$S$124,8,0)</f>
        <v>0</v>
      </c>
      <c r="N55" s="43">
        <f>VLOOKUP(F55,[1]Hárok1!$F$4:$S$124,9,0)</f>
        <v>1</v>
      </c>
      <c r="O55" s="43">
        <f>VLOOKUP(F55,[1]Hárok1!$F$4:$S$124,10,0)</f>
        <v>14</v>
      </c>
      <c r="P55" s="44">
        <f>VLOOKUP(F55,[1]Hárok1!$F$4:$S$124,11,0)</f>
        <v>1</v>
      </c>
      <c r="Q55" s="42">
        <f>VLOOKUP(F55,[1]Hárok1!$F$4:$S$124,12,0)</f>
        <v>19</v>
      </c>
      <c r="R55" s="43">
        <f>VLOOKUP(F55,[1]Hárok1!$F$4:$S$124,13,0)</f>
        <v>426</v>
      </c>
      <c r="S55" s="44">
        <f>VLOOKUP(F55,[1]Hárok1!$F$4:$S$124,14,0)</f>
        <v>132</v>
      </c>
      <c r="T55" s="45">
        <f t="shared" si="0"/>
        <v>1775.5</v>
      </c>
      <c r="U55" s="46">
        <f>VLOOKUP(F55,[1]Hárok1!$F$4:$U$124,16,0)</f>
        <v>0</v>
      </c>
      <c r="V55" s="47">
        <f t="shared" si="1"/>
        <v>42</v>
      </c>
      <c r="W55" s="47">
        <f t="shared" si="2"/>
        <v>1041</v>
      </c>
      <c r="X55" s="48">
        <f t="shared" si="3"/>
        <v>225</v>
      </c>
      <c r="Y55" s="49">
        <f t="shared" si="4"/>
        <v>3083.5</v>
      </c>
      <c r="Z55" s="50">
        <f t="shared" si="5"/>
        <v>3084</v>
      </c>
    </row>
    <row r="56" spans="1:26" x14ac:dyDescent="0.25">
      <c r="A56" s="29" t="s">
        <v>42</v>
      </c>
      <c r="B56" s="29" t="s">
        <v>79</v>
      </c>
      <c r="C56" s="29" t="s">
        <v>80</v>
      </c>
      <c r="D56" s="30">
        <v>36063606</v>
      </c>
      <c r="E56" s="31" t="s">
        <v>81</v>
      </c>
      <c r="F56" s="29">
        <v>53242742</v>
      </c>
      <c r="G56" s="32" t="s">
        <v>52</v>
      </c>
      <c r="H56" s="32" t="s">
        <v>66</v>
      </c>
      <c r="I56" s="33" t="s">
        <v>149</v>
      </c>
      <c r="J56" s="42">
        <f>VLOOKUP(F56,[1]Hárok1!$F$4:$S$124,5,0)</f>
        <v>13</v>
      </c>
      <c r="K56" s="43">
        <f>VLOOKUP(F56,[1]Hárok1!$F$4:$S$124,6,0)</f>
        <v>0</v>
      </c>
      <c r="L56" s="43">
        <f>VLOOKUP(F56,[1]Hárok1!$F$4:$S$124,7,0)</f>
        <v>36</v>
      </c>
      <c r="M56" s="43">
        <f>VLOOKUP(F56,[1]Hárok1!$F$4:$S$124,8,0)</f>
        <v>0</v>
      </c>
      <c r="N56" s="43">
        <f>VLOOKUP(F56,[1]Hárok1!$F$4:$S$124,9,0)</f>
        <v>2</v>
      </c>
      <c r="O56" s="43">
        <f>VLOOKUP(F56,[1]Hárok1!$F$4:$S$124,10,0)</f>
        <v>12</v>
      </c>
      <c r="P56" s="44">
        <f>VLOOKUP(F56,[1]Hárok1!$F$4:$S$124,11,0)</f>
        <v>1</v>
      </c>
      <c r="Q56" s="42">
        <f>VLOOKUP(F56,[1]Hárok1!$F$4:$S$124,12,0)</f>
        <v>19</v>
      </c>
      <c r="R56" s="43">
        <f>VLOOKUP(F56,[1]Hárok1!$F$4:$S$124,13,0)</f>
        <v>324</v>
      </c>
      <c r="S56" s="44">
        <f>VLOOKUP(F56,[1]Hárok1!$F$4:$S$124,14,0)</f>
        <v>89</v>
      </c>
      <c r="T56" s="45">
        <f t="shared" si="0"/>
        <v>1206</v>
      </c>
      <c r="U56" s="46">
        <f>VLOOKUP(F56,[1]Hárok1!$F$4:$U$124,16,0)</f>
        <v>0</v>
      </c>
      <c r="V56" s="47">
        <f t="shared" si="1"/>
        <v>55.5</v>
      </c>
      <c r="W56" s="47">
        <f t="shared" si="2"/>
        <v>810</v>
      </c>
      <c r="X56" s="48">
        <f t="shared" si="3"/>
        <v>160.5</v>
      </c>
      <c r="Y56" s="49">
        <f t="shared" si="4"/>
        <v>2232</v>
      </c>
      <c r="Z56" s="50">
        <f t="shared" si="5"/>
        <v>2232</v>
      </c>
    </row>
    <row r="57" spans="1:26" x14ac:dyDescent="0.25">
      <c r="A57" s="29" t="s">
        <v>42</v>
      </c>
      <c r="B57" s="29" t="s">
        <v>79</v>
      </c>
      <c r="C57" s="29" t="s">
        <v>80</v>
      </c>
      <c r="D57" s="30">
        <v>36063606</v>
      </c>
      <c r="E57" s="31" t="s">
        <v>81</v>
      </c>
      <c r="F57" s="29">
        <v>17054281</v>
      </c>
      <c r="G57" s="32" t="s">
        <v>150</v>
      </c>
      <c r="H57" s="32" t="s">
        <v>66</v>
      </c>
      <c r="I57" s="33" t="s">
        <v>151</v>
      </c>
      <c r="J57" s="42">
        <f>VLOOKUP(F57,[1]Hárok1!$F$4:$S$124,5,0)</f>
        <v>5</v>
      </c>
      <c r="K57" s="43">
        <f>VLOOKUP(F57,[1]Hárok1!$F$4:$S$124,6,0)</f>
        <v>11</v>
      </c>
      <c r="L57" s="43">
        <f>VLOOKUP(F57,[1]Hárok1!$F$4:$S$124,7,0)</f>
        <v>27</v>
      </c>
      <c r="M57" s="43">
        <f>VLOOKUP(F57,[1]Hárok1!$F$4:$S$124,8,0)</f>
        <v>25</v>
      </c>
      <c r="N57" s="43">
        <f>VLOOKUP(F57,[1]Hárok1!$F$4:$S$124,9,0)</f>
        <v>15</v>
      </c>
      <c r="O57" s="43">
        <f>VLOOKUP(F57,[1]Hárok1!$F$4:$S$124,10,0)</f>
        <v>7</v>
      </c>
      <c r="P57" s="44">
        <f>VLOOKUP(F57,[1]Hárok1!$F$4:$S$124,11,0)</f>
        <v>1</v>
      </c>
      <c r="Q57" s="42">
        <f>VLOOKUP(F57,[1]Hárok1!$F$4:$S$124,12,0)</f>
        <v>137</v>
      </c>
      <c r="R57" s="43">
        <f>VLOOKUP(F57,[1]Hárok1!$F$4:$S$124,13,0)</f>
        <v>224</v>
      </c>
      <c r="S57" s="44">
        <f>VLOOKUP(F57,[1]Hárok1!$F$4:$S$124,14,0)</f>
        <v>115</v>
      </c>
      <c r="T57" s="45">
        <f t="shared" si="0"/>
        <v>904.5</v>
      </c>
      <c r="U57" s="46">
        <f>VLOOKUP(F57,[1]Hárok1!$F$4:$U$124,16,0)</f>
        <v>0</v>
      </c>
      <c r="V57" s="47">
        <f t="shared" si="1"/>
        <v>408</v>
      </c>
      <c r="W57" s="47">
        <f t="shared" si="2"/>
        <v>542.5</v>
      </c>
      <c r="X57" s="48">
        <f t="shared" si="3"/>
        <v>199.5</v>
      </c>
      <c r="Y57" s="49">
        <f t="shared" si="4"/>
        <v>2054.5</v>
      </c>
      <c r="Z57" s="50">
        <f t="shared" si="5"/>
        <v>2055</v>
      </c>
    </row>
    <row r="58" spans="1:26" x14ac:dyDescent="0.25">
      <c r="A58" s="51" t="s">
        <v>42</v>
      </c>
      <c r="B58" s="51" t="s">
        <v>79</v>
      </c>
      <c r="C58" s="51" t="s">
        <v>80</v>
      </c>
      <c r="D58" s="30">
        <v>36063606</v>
      </c>
      <c r="E58" s="31" t="s">
        <v>81</v>
      </c>
      <c r="F58" s="51">
        <v>17327717</v>
      </c>
      <c r="G58" s="32" t="s">
        <v>152</v>
      </c>
      <c r="H58" s="32" t="s">
        <v>66</v>
      </c>
      <c r="I58" s="33" t="s">
        <v>153</v>
      </c>
      <c r="J58" s="42">
        <f>VLOOKUP(F58,[1]Hárok1!$F$4:$S$124,5,0)</f>
        <v>4</v>
      </c>
      <c r="K58" s="43">
        <f>VLOOKUP(F58,[1]Hárok1!$F$4:$S$124,6,0)</f>
        <v>0</v>
      </c>
      <c r="L58" s="43">
        <f>VLOOKUP(F58,[1]Hárok1!$F$4:$S$124,7,0)</f>
        <v>20</v>
      </c>
      <c r="M58" s="43">
        <f>VLOOKUP(F58,[1]Hárok1!$F$4:$S$124,8,0)</f>
        <v>0</v>
      </c>
      <c r="N58" s="43">
        <f>VLOOKUP(F58,[1]Hárok1!$F$4:$S$124,9,0)</f>
        <v>0</v>
      </c>
      <c r="O58" s="43">
        <f>VLOOKUP(F58,[1]Hárok1!$F$4:$S$124,10,0)</f>
        <v>6</v>
      </c>
      <c r="P58" s="44">
        <f>VLOOKUP(F58,[1]Hárok1!$F$4:$S$124,11,0)</f>
        <v>1</v>
      </c>
      <c r="Q58" s="42">
        <f>VLOOKUP(F58,[1]Hárok1!$F$4:$S$124,12,0)</f>
        <v>0</v>
      </c>
      <c r="R58" s="43">
        <f>VLOOKUP(F58,[1]Hárok1!$F$4:$S$124,13,0)</f>
        <v>153</v>
      </c>
      <c r="S58" s="44">
        <f>VLOOKUP(F58,[1]Hárok1!$F$4:$S$124,14,0)</f>
        <v>16</v>
      </c>
      <c r="T58" s="45">
        <f t="shared" si="0"/>
        <v>670</v>
      </c>
      <c r="U58" s="46">
        <f>VLOOKUP(F58,[1]Hárok1!$F$4:$U$124,16,0)</f>
        <v>0</v>
      </c>
      <c r="V58" s="47">
        <f t="shared" si="1"/>
        <v>0</v>
      </c>
      <c r="W58" s="47">
        <f t="shared" si="2"/>
        <v>387</v>
      </c>
      <c r="X58" s="48">
        <f t="shared" si="3"/>
        <v>51</v>
      </c>
      <c r="Y58" s="49">
        <f t="shared" si="4"/>
        <v>1108</v>
      </c>
      <c r="Z58" s="50">
        <f t="shared" si="5"/>
        <v>1108</v>
      </c>
    </row>
    <row r="59" spans="1:26" x14ac:dyDescent="0.25">
      <c r="A59" s="51" t="s">
        <v>42</v>
      </c>
      <c r="B59" s="51" t="s">
        <v>79</v>
      </c>
      <c r="C59" s="51" t="s">
        <v>80</v>
      </c>
      <c r="D59" s="30">
        <v>36063606</v>
      </c>
      <c r="E59" s="31" t="s">
        <v>81</v>
      </c>
      <c r="F59" s="51">
        <v>17050332</v>
      </c>
      <c r="G59" s="32" t="s">
        <v>154</v>
      </c>
      <c r="H59" s="32" t="s">
        <v>66</v>
      </c>
      <c r="I59" s="33" t="s">
        <v>155</v>
      </c>
      <c r="J59" s="42">
        <f>VLOOKUP(F59,[1]Hárok1!$F$4:$S$124,5,0)</f>
        <v>2</v>
      </c>
      <c r="K59" s="43">
        <f>VLOOKUP(F59,[1]Hárok1!$F$4:$S$124,6,0)</f>
        <v>0</v>
      </c>
      <c r="L59" s="43">
        <f>VLOOKUP(F59,[1]Hárok1!$F$4:$S$124,7,0)</f>
        <v>4</v>
      </c>
      <c r="M59" s="43">
        <f>VLOOKUP(F59,[1]Hárok1!$F$4:$S$124,8,0)</f>
        <v>0</v>
      </c>
      <c r="N59" s="43">
        <f>VLOOKUP(F59,[1]Hárok1!$F$4:$S$124,9,0)</f>
        <v>0</v>
      </c>
      <c r="O59" s="43">
        <f>VLOOKUP(F59,[1]Hárok1!$F$4:$S$124,10,0)</f>
        <v>2</v>
      </c>
      <c r="P59" s="44">
        <f>VLOOKUP(F59,[1]Hárok1!$F$4:$S$124,11,0)</f>
        <v>0</v>
      </c>
      <c r="Q59" s="42">
        <f>VLOOKUP(F59,[1]Hárok1!$F$4:$S$124,12,0)</f>
        <v>0</v>
      </c>
      <c r="R59" s="43">
        <f>VLOOKUP(F59,[1]Hárok1!$F$4:$S$124,13,0)</f>
        <v>40</v>
      </c>
      <c r="S59" s="44">
        <f>VLOOKUP(F59,[1]Hárok1!$F$4:$S$124,14,0)</f>
        <v>0</v>
      </c>
      <c r="T59" s="45">
        <f t="shared" si="0"/>
        <v>134</v>
      </c>
      <c r="U59" s="46">
        <f>VLOOKUP(F59,[1]Hárok1!$F$4:$U$124,16,0)</f>
        <v>0</v>
      </c>
      <c r="V59" s="47">
        <f t="shared" si="1"/>
        <v>0</v>
      </c>
      <c r="W59" s="47">
        <f t="shared" si="2"/>
        <v>107</v>
      </c>
      <c r="X59" s="48">
        <f t="shared" si="3"/>
        <v>0</v>
      </c>
      <c r="Y59" s="49">
        <f t="shared" si="4"/>
        <v>241</v>
      </c>
      <c r="Z59" s="50">
        <f t="shared" si="5"/>
        <v>241</v>
      </c>
    </row>
    <row r="60" spans="1:26" x14ac:dyDescent="0.25">
      <c r="A60" s="29" t="s">
        <v>42</v>
      </c>
      <c r="B60" s="29" t="s">
        <v>79</v>
      </c>
      <c r="C60" s="29" t="s">
        <v>80</v>
      </c>
      <c r="D60" s="30">
        <v>36063606</v>
      </c>
      <c r="E60" s="31" t="s">
        <v>81</v>
      </c>
      <c r="F60" s="29">
        <v>17327661</v>
      </c>
      <c r="G60" s="32" t="s">
        <v>88</v>
      </c>
      <c r="H60" s="32" t="s">
        <v>66</v>
      </c>
      <c r="I60" s="33" t="s">
        <v>156</v>
      </c>
      <c r="J60" s="42">
        <f>VLOOKUP(F60,[1]Hárok1!$F$4:$S$124,5,0)</f>
        <v>9</v>
      </c>
      <c r="K60" s="43">
        <f>VLOOKUP(F60,[1]Hárok1!$F$4:$S$124,6,0)</f>
        <v>0</v>
      </c>
      <c r="L60" s="43">
        <f>VLOOKUP(F60,[1]Hárok1!$F$4:$S$124,7,0)</f>
        <v>41</v>
      </c>
      <c r="M60" s="43">
        <f>VLOOKUP(F60,[1]Hárok1!$F$4:$S$124,8,0)</f>
        <v>0</v>
      </c>
      <c r="N60" s="43">
        <f>VLOOKUP(F60,[1]Hárok1!$F$4:$S$124,9,0)</f>
        <v>0</v>
      </c>
      <c r="O60" s="43">
        <f>VLOOKUP(F60,[1]Hárok1!$F$4:$S$124,10,0)</f>
        <v>13</v>
      </c>
      <c r="P60" s="44">
        <f>VLOOKUP(F60,[1]Hárok1!$F$4:$S$124,11,0)</f>
        <v>1</v>
      </c>
      <c r="Q60" s="42">
        <f>VLOOKUP(F60,[1]Hárok1!$F$4:$S$124,12,0)</f>
        <v>0</v>
      </c>
      <c r="R60" s="43">
        <f>VLOOKUP(F60,[1]Hárok1!$F$4:$S$124,13,0)</f>
        <v>387</v>
      </c>
      <c r="S60" s="44">
        <f>VLOOKUP(F60,[1]Hárok1!$F$4:$S$124,14,0)</f>
        <v>46</v>
      </c>
      <c r="T60" s="45">
        <f t="shared" si="0"/>
        <v>1373.5</v>
      </c>
      <c r="U60" s="46">
        <f>VLOOKUP(F60,[1]Hárok1!$F$4:$U$124,16,0)</f>
        <v>0</v>
      </c>
      <c r="V60" s="47">
        <f t="shared" si="1"/>
        <v>0</v>
      </c>
      <c r="W60" s="47">
        <f t="shared" si="2"/>
        <v>949.5</v>
      </c>
      <c r="X60" s="48">
        <f t="shared" si="3"/>
        <v>96</v>
      </c>
      <c r="Y60" s="49">
        <f t="shared" si="4"/>
        <v>2419</v>
      </c>
      <c r="Z60" s="50">
        <f t="shared" si="5"/>
        <v>2419</v>
      </c>
    </row>
    <row r="61" spans="1:26" x14ac:dyDescent="0.25">
      <c r="A61" s="29" t="s">
        <v>42</v>
      </c>
      <c r="B61" s="29" t="s">
        <v>79</v>
      </c>
      <c r="C61" s="29" t="s">
        <v>80</v>
      </c>
      <c r="D61" s="30">
        <v>36063606</v>
      </c>
      <c r="E61" s="31" t="s">
        <v>81</v>
      </c>
      <c r="F61" s="29">
        <v>31793185</v>
      </c>
      <c r="G61" s="32" t="s">
        <v>117</v>
      </c>
      <c r="H61" s="32" t="s">
        <v>66</v>
      </c>
      <c r="I61" s="33" t="s">
        <v>153</v>
      </c>
      <c r="J61" s="42">
        <f>VLOOKUP(F61,[1]Hárok1!$F$4:$S$124,5,0)</f>
        <v>12</v>
      </c>
      <c r="K61" s="43">
        <f>VLOOKUP(F61,[1]Hárok1!$F$4:$S$124,6,0)</f>
        <v>0</v>
      </c>
      <c r="L61" s="43">
        <f>VLOOKUP(F61,[1]Hárok1!$F$4:$S$124,7,0)</f>
        <v>59</v>
      </c>
      <c r="M61" s="43">
        <f>VLOOKUP(F61,[1]Hárok1!$F$4:$S$124,8,0)</f>
        <v>0</v>
      </c>
      <c r="N61" s="43">
        <f>VLOOKUP(F61,[1]Hárok1!$F$4:$S$124,9,0)</f>
        <v>0</v>
      </c>
      <c r="O61" s="43">
        <f>VLOOKUP(F61,[1]Hárok1!$F$4:$S$124,10,0)</f>
        <v>15</v>
      </c>
      <c r="P61" s="44">
        <f>VLOOKUP(F61,[1]Hárok1!$F$4:$S$124,11,0)</f>
        <v>1</v>
      </c>
      <c r="Q61" s="42">
        <f>VLOOKUP(F61,[1]Hárok1!$F$4:$S$124,12,0)</f>
        <v>0</v>
      </c>
      <c r="R61" s="43">
        <f>VLOOKUP(F61,[1]Hárok1!$F$4:$S$124,13,0)</f>
        <v>478</v>
      </c>
      <c r="S61" s="44">
        <f>VLOOKUP(F61,[1]Hárok1!$F$4:$S$124,14,0)</f>
        <v>0</v>
      </c>
      <c r="T61" s="45">
        <f t="shared" si="0"/>
        <v>1976.5</v>
      </c>
      <c r="U61" s="46">
        <f>VLOOKUP(F61,[1]Hárok1!$F$4:$U$124,16,0)</f>
        <v>1045.8</v>
      </c>
      <c r="V61" s="47">
        <f t="shared" si="1"/>
        <v>0</v>
      </c>
      <c r="W61" s="47">
        <f t="shared" si="2"/>
        <v>1158.5</v>
      </c>
      <c r="X61" s="48">
        <f t="shared" si="3"/>
        <v>27</v>
      </c>
      <c r="Y61" s="49">
        <f t="shared" si="4"/>
        <v>4207.8</v>
      </c>
      <c r="Z61" s="50">
        <f t="shared" si="5"/>
        <v>4208</v>
      </c>
    </row>
    <row r="62" spans="1:26" x14ac:dyDescent="0.25">
      <c r="A62" s="29" t="s">
        <v>42</v>
      </c>
      <c r="B62" s="29" t="s">
        <v>79</v>
      </c>
      <c r="C62" s="29" t="s">
        <v>80</v>
      </c>
      <c r="D62" s="30">
        <v>36063606</v>
      </c>
      <c r="E62" s="31" t="s">
        <v>81</v>
      </c>
      <c r="F62" s="29">
        <v>160229</v>
      </c>
      <c r="G62" s="32" t="s">
        <v>49</v>
      </c>
      <c r="H62" s="32" t="s">
        <v>68</v>
      </c>
      <c r="I62" s="33" t="s">
        <v>157</v>
      </c>
      <c r="J62" s="42">
        <f>VLOOKUP(F62,[1]Hárok1!$F$4:$S$124,5,0)</f>
        <v>5</v>
      </c>
      <c r="K62" s="43">
        <f>VLOOKUP(F62,[1]Hárok1!$F$4:$S$124,6,0)</f>
        <v>0</v>
      </c>
      <c r="L62" s="43">
        <f>VLOOKUP(F62,[1]Hárok1!$F$4:$S$124,7,0)</f>
        <v>12</v>
      </c>
      <c r="M62" s="43">
        <f>VLOOKUP(F62,[1]Hárok1!$F$4:$S$124,8,0)</f>
        <v>0</v>
      </c>
      <c r="N62" s="43">
        <f>VLOOKUP(F62,[1]Hárok1!$F$4:$S$124,9,0)</f>
        <v>0</v>
      </c>
      <c r="O62" s="43">
        <f>VLOOKUP(F62,[1]Hárok1!$F$4:$S$124,10,0)</f>
        <v>8</v>
      </c>
      <c r="P62" s="44">
        <f>VLOOKUP(F62,[1]Hárok1!$F$4:$S$124,11,0)</f>
        <v>1</v>
      </c>
      <c r="Q62" s="42">
        <f>VLOOKUP(F62,[1]Hárok1!$F$4:$S$124,12,0)</f>
        <v>0</v>
      </c>
      <c r="R62" s="43">
        <f>VLOOKUP(F62,[1]Hárok1!$F$4:$S$124,13,0)</f>
        <v>76</v>
      </c>
      <c r="S62" s="44">
        <f>VLOOKUP(F62,[1]Hárok1!$F$4:$S$124,14,0)</f>
        <v>20</v>
      </c>
      <c r="T62" s="45">
        <f t="shared" si="0"/>
        <v>402</v>
      </c>
      <c r="U62" s="46">
        <f>VLOOKUP(F62,[1]Hárok1!$F$4:$U$124,16,0)</f>
        <v>0</v>
      </c>
      <c r="V62" s="47">
        <f t="shared" si="1"/>
        <v>0</v>
      </c>
      <c r="W62" s="47">
        <f t="shared" si="2"/>
        <v>260</v>
      </c>
      <c r="X62" s="48">
        <f t="shared" si="3"/>
        <v>57</v>
      </c>
      <c r="Y62" s="49">
        <f t="shared" si="4"/>
        <v>719</v>
      </c>
      <c r="Z62" s="50">
        <f t="shared" si="5"/>
        <v>719</v>
      </c>
    </row>
    <row r="63" spans="1:26" x14ac:dyDescent="0.25">
      <c r="A63" s="29" t="s">
        <v>42</v>
      </c>
      <c r="B63" s="29" t="s">
        <v>79</v>
      </c>
      <c r="C63" s="29" t="s">
        <v>80</v>
      </c>
      <c r="D63" s="30">
        <v>36063606</v>
      </c>
      <c r="E63" s="31" t="s">
        <v>81</v>
      </c>
      <c r="F63" s="29">
        <v>17050197</v>
      </c>
      <c r="G63" s="32" t="s">
        <v>158</v>
      </c>
      <c r="H63" s="32" t="s">
        <v>159</v>
      </c>
      <c r="I63" s="33" t="s">
        <v>160</v>
      </c>
      <c r="J63" s="42">
        <f>VLOOKUP(F63,[1]Hárok1!$F$4:$S$124,5,0)</f>
        <v>10</v>
      </c>
      <c r="K63" s="43">
        <f>VLOOKUP(F63,[1]Hárok1!$F$4:$S$124,6,0)</f>
        <v>0</v>
      </c>
      <c r="L63" s="43">
        <f>VLOOKUP(F63,[1]Hárok1!$F$4:$S$124,7,0)</f>
        <v>21</v>
      </c>
      <c r="M63" s="43">
        <f>VLOOKUP(F63,[1]Hárok1!$F$4:$S$124,8,0)</f>
        <v>0</v>
      </c>
      <c r="N63" s="43">
        <f>VLOOKUP(F63,[1]Hárok1!$F$4:$S$124,9,0)</f>
        <v>1</v>
      </c>
      <c r="O63" s="43">
        <f>VLOOKUP(F63,[1]Hárok1!$F$4:$S$124,10,0)</f>
        <v>10</v>
      </c>
      <c r="P63" s="44">
        <f>VLOOKUP(F63,[1]Hárok1!$F$4:$S$124,11,0)</f>
        <v>1</v>
      </c>
      <c r="Q63" s="42">
        <f>VLOOKUP(F63,[1]Hárok1!$F$4:$S$124,12,0)</f>
        <v>3</v>
      </c>
      <c r="R63" s="43">
        <f>VLOOKUP(F63,[1]Hárok1!$F$4:$S$124,13,0)</f>
        <v>179</v>
      </c>
      <c r="S63" s="44">
        <f>VLOOKUP(F63,[1]Hárok1!$F$4:$S$124,14,0)</f>
        <v>46</v>
      </c>
      <c r="T63" s="45">
        <f t="shared" si="0"/>
        <v>703.5</v>
      </c>
      <c r="U63" s="46">
        <f>VLOOKUP(F63,[1]Hárok1!$F$4:$U$124,16,0)</f>
        <v>7.15</v>
      </c>
      <c r="V63" s="47">
        <f t="shared" si="1"/>
        <v>18</v>
      </c>
      <c r="W63" s="47">
        <f t="shared" si="2"/>
        <v>493</v>
      </c>
      <c r="X63" s="48">
        <f t="shared" si="3"/>
        <v>96</v>
      </c>
      <c r="Y63" s="49">
        <f t="shared" si="4"/>
        <v>1317.65</v>
      </c>
      <c r="Z63" s="50">
        <f t="shared" si="5"/>
        <v>1318</v>
      </c>
    </row>
    <row r="64" spans="1:26" x14ac:dyDescent="0.25">
      <c r="A64" s="29" t="s">
        <v>42</v>
      </c>
      <c r="B64" s="29" t="s">
        <v>79</v>
      </c>
      <c r="C64" s="29" t="s">
        <v>80</v>
      </c>
      <c r="D64" s="30">
        <v>36063606</v>
      </c>
      <c r="E64" s="31" t="s">
        <v>81</v>
      </c>
      <c r="F64" s="29">
        <v>162787</v>
      </c>
      <c r="G64" s="32" t="s">
        <v>141</v>
      </c>
      <c r="H64" s="32" t="s">
        <v>159</v>
      </c>
      <c r="I64" s="33" t="s">
        <v>161</v>
      </c>
      <c r="J64" s="42">
        <f>VLOOKUP(F64,[1]Hárok1!$F$4:$S$124,5,0)</f>
        <v>10</v>
      </c>
      <c r="K64" s="43">
        <f>VLOOKUP(F64,[1]Hárok1!$F$4:$S$124,6,0)</f>
        <v>0</v>
      </c>
      <c r="L64" s="43">
        <f>VLOOKUP(F64,[1]Hárok1!$F$4:$S$124,7,0)</f>
        <v>47</v>
      </c>
      <c r="M64" s="43">
        <f>VLOOKUP(F64,[1]Hárok1!$F$4:$S$124,8,0)</f>
        <v>0</v>
      </c>
      <c r="N64" s="43">
        <f>VLOOKUP(F64,[1]Hárok1!$F$4:$S$124,9,0)</f>
        <v>1</v>
      </c>
      <c r="O64" s="43">
        <f>VLOOKUP(F64,[1]Hárok1!$F$4:$S$124,10,0)</f>
        <v>12</v>
      </c>
      <c r="P64" s="44">
        <f>VLOOKUP(F64,[1]Hárok1!$F$4:$S$124,11,0)</f>
        <v>1</v>
      </c>
      <c r="Q64" s="42">
        <f>VLOOKUP(F64,[1]Hárok1!$F$4:$S$124,12,0)</f>
        <v>12</v>
      </c>
      <c r="R64" s="43">
        <f>VLOOKUP(F64,[1]Hárok1!$F$4:$S$124,13,0)</f>
        <v>485</v>
      </c>
      <c r="S64" s="44">
        <f>VLOOKUP(F64,[1]Hárok1!$F$4:$S$124,14,0)</f>
        <v>26</v>
      </c>
      <c r="T64" s="45">
        <f t="shared" si="0"/>
        <v>1574.5</v>
      </c>
      <c r="U64" s="46">
        <f>VLOOKUP(F64,[1]Hárok1!$F$4:$U$124,16,0)</f>
        <v>140.85</v>
      </c>
      <c r="V64" s="47">
        <f t="shared" si="1"/>
        <v>31.5</v>
      </c>
      <c r="W64" s="47">
        <f t="shared" si="2"/>
        <v>1132</v>
      </c>
      <c r="X64" s="48">
        <f t="shared" si="3"/>
        <v>66</v>
      </c>
      <c r="Y64" s="49">
        <f t="shared" si="4"/>
        <v>2944.85</v>
      </c>
      <c r="Z64" s="50">
        <f t="shared" si="5"/>
        <v>2945</v>
      </c>
    </row>
    <row r="65" spans="1:26" x14ac:dyDescent="0.25">
      <c r="A65" s="29" t="s">
        <v>42</v>
      </c>
      <c r="B65" s="29" t="s">
        <v>79</v>
      </c>
      <c r="C65" s="29" t="s">
        <v>80</v>
      </c>
      <c r="D65" s="30">
        <v>36063606</v>
      </c>
      <c r="E65" s="31" t="s">
        <v>81</v>
      </c>
      <c r="F65" s="29">
        <v>162311</v>
      </c>
      <c r="G65" s="32" t="s">
        <v>162</v>
      </c>
      <c r="H65" s="32" t="s">
        <v>159</v>
      </c>
      <c r="I65" s="33" t="s">
        <v>163</v>
      </c>
      <c r="J65" s="42">
        <f>VLOOKUP(F65,[1]Hárok1!$F$4:$S$124,5,0)</f>
        <v>5</v>
      </c>
      <c r="K65" s="43">
        <f>VLOOKUP(F65,[1]Hárok1!$F$4:$S$124,6,0)</f>
        <v>0</v>
      </c>
      <c r="L65" s="43">
        <f>VLOOKUP(F65,[1]Hárok1!$F$4:$S$124,7,0)</f>
        <v>28</v>
      </c>
      <c r="M65" s="43">
        <f>VLOOKUP(F65,[1]Hárok1!$F$4:$S$124,8,0)</f>
        <v>0</v>
      </c>
      <c r="N65" s="43">
        <f>VLOOKUP(F65,[1]Hárok1!$F$4:$S$124,9,0)</f>
        <v>0</v>
      </c>
      <c r="O65" s="43">
        <f>VLOOKUP(F65,[1]Hárok1!$F$4:$S$124,10,0)</f>
        <v>9</v>
      </c>
      <c r="P65" s="44">
        <f>VLOOKUP(F65,[1]Hárok1!$F$4:$S$124,11,0)</f>
        <v>1</v>
      </c>
      <c r="Q65" s="42">
        <f>VLOOKUP(F65,[1]Hárok1!$F$4:$S$124,12,0)</f>
        <v>0</v>
      </c>
      <c r="R65" s="43">
        <f>VLOOKUP(F65,[1]Hárok1!$F$4:$S$124,13,0)</f>
        <v>197</v>
      </c>
      <c r="S65" s="44">
        <f>VLOOKUP(F65,[1]Hárok1!$F$4:$S$124,14,0)</f>
        <v>61</v>
      </c>
      <c r="T65" s="45">
        <f t="shared" si="0"/>
        <v>938</v>
      </c>
      <c r="U65" s="46">
        <f>VLOOKUP(F65,[1]Hárok1!$F$4:$U$124,16,0)</f>
        <v>0</v>
      </c>
      <c r="V65" s="47">
        <f t="shared" si="1"/>
        <v>0</v>
      </c>
      <c r="W65" s="47">
        <f t="shared" si="2"/>
        <v>515.5</v>
      </c>
      <c r="X65" s="48">
        <f t="shared" si="3"/>
        <v>118.5</v>
      </c>
      <c r="Y65" s="49">
        <f t="shared" si="4"/>
        <v>1572</v>
      </c>
      <c r="Z65" s="50">
        <f t="shared" si="5"/>
        <v>1572</v>
      </c>
    </row>
    <row r="66" spans="1:26" x14ac:dyDescent="0.25">
      <c r="A66" s="29" t="s">
        <v>42</v>
      </c>
      <c r="B66" s="29" t="s">
        <v>79</v>
      </c>
      <c r="C66" s="29" t="s">
        <v>80</v>
      </c>
      <c r="D66" s="30">
        <v>36063606</v>
      </c>
      <c r="E66" s="31" t="s">
        <v>81</v>
      </c>
      <c r="F66" s="29">
        <v>17050201</v>
      </c>
      <c r="G66" s="32" t="s">
        <v>49</v>
      </c>
      <c r="H66" s="32" t="s">
        <v>75</v>
      </c>
      <c r="I66" s="33" t="s">
        <v>164</v>
      </c>
      <c r="J66" s="42">
        <f>VLOOKUP(F66,[1]Hárok1!$F$4:$S$124,5,0)</f>
        <v>7</v>
      </c>
      <c r="K66" s="43">
        <f>VLOOKUP(F66,[1]Hárok1!$F$4:$S$124,6,0)</f>
        <v>0</v>
      </c>
      <c r="L66" s="43">
        <f>VLOOKUP(F66,[1]Hárok1!$F$4:$S$124,7,0)</f>
        <v>21</v>
      </c>
      <c r="M66" s="43">
        <f>VLOOKUP(F66,[1]Hárok1!$F$4:$S$124,8,0)</f>
        <v>0</v>
      </c>
      <c r="N66" s="43">
        <f>VLOOKUP(F66,[1]Hárok1!$F$4:$S$124,9,0)</f>
        <v>0</v>
      </c>
      <c r="O66" s="43">
        <f>VLOOKUP(F66,[1]Hárok1!$F$4:$S$124,10,0)</f>
        <v>8</v>
      </c>
      <c r="P66" s="44">
        <f>VLOOKUP(F66,[1]Hárok1!$F$4:$S$124,11,0)</f>
        <v>1</v>
      </c>
      <c r="Q66" s="42">
        <f>VLOOKUP(F66,[1]Hárok1!$F$4:$S$124,12,0)</f>
        <v>0</v>
      </c>
      <c r="R66" s="43">
        <f>VLOOKUP(F66,[1]Hárok1!$F$4:$S$124,13,0)</f>
        <v>157</v>
      </c>
      <c r="S66" s="44">
        <f>VLOOKUP(F66,[1]Hárok1!$F$4:$S$124,14,0)</f>
        <v>47</v>
      </c>
      <c r="T66" s="45">
        <f t="shared" si="0"/>
        <v>703.5</v>
      </c>
      <c r="U66" s="46">
        <f>VLOOKUP(F66,[1]Hárok1!$F$4:$U$124,16,0)</f>
        <v>0</v>
      </c>
      <c r="V66" s="47">
        <f t="shared" si="1"/>
        <v>0</v>
      </c>
      <c r="W66" s="47">
        <f t="shared" si="2"/>
        <v>422</v>
      </c>
      <c r="X66" s="48">
        <f t="shared" si="3"/>
        <v>97.5</v>
      </c>
      <c r="Y66" s="49">
        <f t="shared" si="4"/>
        <v>1223</v>
      </c>
      <c r="Z66" s="50">
        <f t="shared" si="5"/>
        <v>1223</v>
      </c>
    </row>
    <row r="67" spans="1:26" x14ac:dyDescent="0.25">
      <c r="A67" s="29" t="s">
        <v>42</v>
      </c>
      <c r="B67" s="29" t="s">
        <v>79</v>
      </c>
      <c r="C67" s="29" t="s">
        <v>80</v>
      </c>
      <c r="D67" s="30">
        <v>36063606</v>
      </c>
      <c r="E67" s="31" t="s">
        <v>81</v>
      </c>
      <c r="F67" s="29">
        <v>31874452</v>
      </c>
      <c r="G67" s="32" t="s">
        <v>100</v>
      </c>
      <c r="H67" s="32" t="s">
        <v>75</v>
      </c>
      <c r="I67" s="33" t="s">
        <v>165</v>
      </c>
      <c r="J67" s="42">
        <f>VLOOKUP(F67,[1]Hárok1!$F$4:$S$124,5,0)</f>
        <v>4</v>
      </c>
      <c r="K67" s="43">
        <f>VLOOKUP(F67,[1]Hárok1!$F$4:$S$124,6,0)</f>
        <v>0</v>
      </c>
      <c r="L67" s="43">
        <f>VLOOKUP(F67,[1]Hárok1!$F$4:$S$124,7,0)</f>
        <v>16</v>
      </c>
      <c r="M67" s="43">
        <f>VLOOKUP(F67,[1]Hárok1!$F$4:$S$124,8,0)</f>
        <v>0</v>
      </c>
      <c r="N67" s="43">
        <f>VLOOKUP(F67,[1]Hárok1!$F$4:$S$124,9,0)</f>
        <v>1</v>
      </c>
      <c r="O67" s="43">
        <f>VLOOKUP(F67,[1]Hárok1!$F$4:$S$124,10,0)</f>
        <v>2</v>
      </c>
      <c r="P67" s="44">
        <f>VLOOKUP(F67,[1]Hárok1!$F$4:$S$124,11,0)</f>
        <v>1</v>
      </c>
      <c r="Q67" s="42">
        <f>VLOOKUP(F67,[1]Hárok1!$F$4:$S$124,12,0)</f>
        <v>10</v>
      </c>
      <c r="R67" s="43">
        <f>VLOOKUP(F67,[1]Hárok1!$F$4:$S$124,13,0)</f>
        <v>23</v>
      </c>
      <c r="S67" s="44">
        <f>VLOOKUP(F67,[1]Hárok1!$F$4:$S$124,14,0)</f>
        <v>123</v>
      </c>
      <c r="T67" s="45">
        <f t="shared" si="0"/>
        <v>536</v>
      </c>
      <c r="U67" s="46">
        <f>VLOOKUP(F67,[1]Hárok1!$F$4:$U$124,16,0)</f>
        <v>12.2</v>
      </c>
      <c r="V67" s="47">
        <f t="shared" si="1"/>
        <v>28.5</v>
      </c>
      <c r="W67" s="47">
        <f t="shared" si="2"/>
        <v>73</v>
      </c>
      <c r="X67" s="48">
        <f t="shared" si="3"/>
        <v>211.5</v>
      </c>
      <c r="Y67" s="49">
        <f t="shared" si="4"/>
        <v>861.2</v>
      </c>
      <c r="Z67" s="50">
        <f t="shared" si="5"/>
        <v>861</v>
      </c>
    </row>
    <row r="68" spans="1:26" x14ac:dyDescent="0.25">
      <c r="A68" s="29" t="s">
        <v>42</v>
      </c>
      <c r="B68" s="29" t="s">
        <v>79</v>
      </c>
      <c r="C68" s="29" t="s">
        <v>80</v>
      </c>
      <c r="D68" s="30">
        <v>36063606</v>
      </c>
      <c r="E68" s="31" t="s">
        <v>81</v>
      </c>
      <c r="F68" s="29">
        <v>351822</v>
      </c>
      <c r="G68" s="32" t="s">
        <v>166</v>
      </c>
      <c r="H68" s="32" t="s">
        <v>75</v>
      </c>
      <c r="I68" s="33" t="s">
        <v>165</v>
      </c>
      <c r="J68" s="42">
        <f>VLOOKUP(F68,[1]Hárok1!$F$4:$S$124,5,0)</f>
        <v>1</v>
      </c>
      <c r="K68" s="43">
        <f>VLOOKUP(F68,[1]Hárok1!$F$4:$S$124,6,0)</f>
        <v>0</v>
      </c>
      <c r="L68" s="43">
        <f>VLOOKUP(F68,[1]Hárok1!$F$4:$S$124,7,0)</f>
        <v>4</v>
      </c>
      <c r="M68" s="43">
        <f>VLOOKUP(F68,[1]Hárok1!$F$4:$S$124,8,0)</f>
        <v>0</v>
      </c>
      <c r="N68" s="43">
        <f>VLOOKUP(F68,[1]Hárok1!$F$4:$S$124,9,0)</f>
        <v>0</v>
      </c>
      <c r="O68" s="43">
        <f>VLOOKUP(F68,[1]Hárok1!$F$4:$S$124,10,0)</f>
        <v>1</v>
      </c>
      <c r="P68" s="44">
        <f>VLOOKUP(F68,[1]Hárok1!$F$4:$S$124,11,0)</f>
        <v>0</v>
      </c>
      <c r="Q68" s="42">
        <f>VLOOKUP(F68,[1]Hárok1!$F$4:$S$124,12,0)</f>
        <v>0</v>
      </c>
      <c r="R68" s="43">
        <f>VLOOKUP(F68,[1]Hárok1!$F$4:$S$124,13,0)</f>
        <v>29</v>
      </c>
      <c r="S68" s="44">
        <f>VLOOKUP(F68,[1]Hárok1!$F$4:$S$124,14,0)</f>
        <v>0</v>
      </c>
      <c r="T68" s="45">
        <f t="shared" si="0"/>
        <v>134</v>
      </c>
      <c r="U68" s="46">
        <f>VLOOKUP(F68,[1]Hárok1!$F$4:$U$124,16,0)</f>
        <v>0</v>
      </c>
      <c r="V68" s="47">
        <f t="shared" si="1"/>
        <v>0</v>
      </c>
      <c r="W68" s="47">
        <f t="shared" si="2"/>
        <v>71.5</v>
      </c>
      <c r="X68" s="48">
        <f t="shared" si="3"/>
        <v>0</v>
      </c>
      <c r="Y68" s="49">
        <f t="shared" si="4"/>
        <v>205.5</v>
      </c>
      <c r="Z68" s="50">
        <f t="shared" si="5"/>
        <v>206</v>
      </c>
    </row>
    <row r="69" spans="1:26" x14ac:dyDescent="0.25">
      <c r="A69" s="29" t="s">
        <v>42</v>
      </c>
      <c r="B69" s="29" t="s">
        <v>79</v>
      </c>
      <c r="C69" s="29" t="s">
        <v>80</v>
      </c>
      <c r="D69" s="30">
        <v>36063606</v>
      </c>
      <c r="E69" s="31" t="s">
        <v>81</v>
      </c>
      <c r="F69" s="29">
        <v>42128919</v>
      </c>
      <c r="G69" s="32" t="s">
        <v>52</v>
      </c>
      <c r="H69" s="32" t="s">
        <v>167</v>
      </c>
      <c r="I69" s="33" t="s">
        <v>168</v>
      </c>
      <c r="J69" s="42">
        <f>VLOOKUP(F69,[1]Hárok1!$F$4:$S$124,5,0)</f>
        <v>13</v>
      </c>
      <c r="K69" s="43">
        <f>VLOOKUP(F69,[1]Hárok1!$F$4:$S$124,6,0)</f>
        <v>0</v>
      </c>
      <c r="L69" s="43">
        <f>VLOOKUP(F69,[1]Hárok1!$F$4:$S$124,7,0)</f>
        <v>54</v>
      </c>
      <c r="M69" s="43">
        <f>VLOOKUP(F69,[1]Hárok1!$F$4:$S$124,8,0)</f>
        <v>0</v>
      </c>
      <c r="N69" s="43">
        <f>VLOOKUP(F69,[1]Hárok1!$F$4:$S$124,9,0)</f>
        <v>2</v>
      </c>
      <c r="O69" s="43">
        <f>VLOOKUP(F69,[1]Hárok1!$F$4:$S$124,10,0)</f>
        <v>12</v>
      </c>
      <c r="P69" s="44">
        <f>VLOOKUP(F69,[1]Hárok1!$F$4:$S$124,11,0)</f>
        <v>2</v>
      </c>
      <c r="Q69" s="42">
        <f>VLOOKUP(F69,[1]Hárok1!$F$4:$S$124,12,0)</f>
        <v>31</v>
      </c>
      <c r="R69" s="43">
        <f>VLOOKUP(F69,[1]Hárok1!$F$4:$S$124,13,0)</f>
        <v>287</v>
      </c>
      <c r="S69" s="44">
        <f>VLOOKUP(F69,[1]Hárok1!$F$4:$S$124,14,0)</f>
        <v>93</v>
      </c>
      <c r="T69" s="45">
        <f t="shared" ref="T69:T132" si="6">$T$1*L69</f>
        <v>1809</v>
      </c>
      <c r="U69" s="46">
        <f>VLOOKUP(F69,[1]Hárok1!$F$4:$U$124,16,0)</f>
        <v>0</v>
      </c>
      <c r="V69" s="47">
        <f t="shared" si="1"/>
        <v>73.5</v>
      </c>
      <c r="W69" s="47">
        <f t="shared" si="2"/>
        <v>736</v>
      </c>
      <c r="X69" s="48">
        <f t="shared" si="3"/>
        <v>193.5</v>
      </c>
      <c r="Y69" s="49">
        <f t="shared" si="4"/>
        <v>2812</v>
      </c>
      <c r="Z69" s="50">
        <f t="shared" si="5"/>
        <v>2812</v>
      </c>
    </row>
    <row r="70" spans="1:26" x14ac:dyDescent="0.25">
      <c r="A70" s="29" t="s">
        <v>42</v>
      </c>
      <c r="B70" s="29" t="s">
        <v>79</v>
      </c>
      <c r="C70" s="29" t="s">
        <v>80</v>
      </c>
      <c r="D70" s="30">
        <v>36063606</v>
      </c>
      <c r="E70" s="31" t="s">
        <v>81</v>
      </c>
      <c r="F70" s="29">
        <v>52585212</v>
      </c>
      <c r="G70" s="32" t="s">
        <v>52</v>
      </c>
      <c r="H70" s="32" t="s">
        <v>169</v>
      </c>
      <c r="I70" s="33" t="s">
        <v>170</v>
      </c>
      <c r="J70" s="42">
        <f>VLOOKUP(F70,[1]Hárok1!$F$4:$S$124,5,0)</f>
        <v>5</v>
      </c>
      <c r="K70" s="43">
        <f>VLOOKUP(F70,[1]Hárok1!$F$4:$S$124,6,0)</f>
        <v>0</v>
      </c>
      <c r="L70" s="43">
        <f>VLOOKUP(F70,[1]Hárok1!$F$4:$S$124,7,0)</f>
        <v>27</v>
      </c>
      <c r="M70" s="43">
        <f>VLOOKUP(F70,[1]Hárok1!$F$4:$S$124,8,0)</f>
        <v>0</v>
      </c>
      <c r="N70" s="43">
        <f>VLOOKUP(F70,[1]Hárok1!$F$4:$S$124,9,0)</f>
        <v>0</v>
      </c>
      <c r="O70" s="43">
        <f>VLOOKUP(F70,[1]Hárok1!$F$4:$S$124,10,0)</f>
        <v>5</v>
      </c>
      <c r="P70" s="44">
        <f>VLOOKUP(F70,[1]Hárok1!$F$4:$S$124,11,0)</f>
        <v>1</v>
      </c>
      <c r="Q70" s="42">
        <f>VLOOKUP(F70,[1]Hárok1!$F$4:$S$124,12,0)</f>
        <v>0</v>
      </c>
      <c r="R70" s="43">
        <f>VLOOKUP(F70,[1]Hárok1!$F$4:$S$124,13,0)</f>
        <v>163</v>
      </c>
      <c r="S70" s="44">
        <f>VLOOKUP(F70,[1]Hárok1!$F$4:$S$124,14,0)</f>
        <v>104</v>
      </c>
      <c r="T70" s="45">
        <f t="shared" si="6"/>
        <v>904.5</v>
      </c>
      <c r="U70" s="46">
        <f>VLOOKUP(F70,[1]Hárok1!$F$4:$U$124,16,0)</f>
        <v>0</v>
      </c>
      <c r="V70" s="47">
        <f t="shared" ref="V70:V133" si="7">$U$1*N70+$V$1*Q70</f>
        <v>0</v>
      </c>
      <c r="W70" s="47">
        <f t="shared" ref="W70:W133" si="8">$U$1*O70+$W$1*R70</f>
        <v>393.5</v>
      </c>
      <c r="X70" s="48">
        <f t="shared" ref="X70:X133" si="9">$X$1*P70+$V$1*S70</f>
        <v>183</v>
      </c>
      <c r="Y70" s="49">
        <f t="shared" ref="Y70:Y133" si="10">T70+U70+V70+W70+X70</f>
        <v>1481</v>
      </c>
      <c r="Z70" s="50">
        <f t="shared" ref="Z70:Z133" si="11">ROUND(Y70,0)</f>
        <v>1481</v>
      </c>
    </row>
    <row r="71" spans="1:26" x14ac:dyDescent="0.25">
      <c r="A71" s="29" t="s">
        <v>42</v>
      </c>
      <c r="B71" s="29" t="s">
        <v>79</v>
      </c>
      <c r="C71" s="29" t="s">
        <v>80</v>
      </c>
      <c r="D71" s="30">
        <v>36063606</v>
      </c>
      <c r="E71" s="31" t="s">
        <v>81</v>
      </c>
      <c r="F71" s="51">
        <v>160326</v>
      </c>
      <c r="G71" s="32" t="s">
        <v>171</v>
      </c>
      <c r="H71" s="32" t="s">
        <v>77</v>
      </c>
      <c r="I71" s="33" t="s">
        <v>172</v>
      </c>
      <c r="J71" s="42">
        <f>VLOOKUP(F71,[1]Hárok1!$F$4:$S$124,5,0)</f>
        <v>10</v>
      </c>
      <c r="K71" s="43">
        <f>VLOOKUP(F71,[1]Hárok1!$F$4:$S$124,6,0)</f>
        <v>2</v>
      </c>
      <c r="L71" s="43">
        <f>VLOOKUP(F71,[1]Hárok1!$F$4:$S$124,7,0)</f>
        <v>24</v>
      </c>
      <c r="M71" s="43">
        <f>VLOOKUP(F71,[1]Hárok1!$F$4:$S$124,8,0)</f>
        <v>2</v>
      </c>
      <c r="N71" s="43">
        <f>VLOOKUP(F71,[1]Hárok1!$F$4:$S$124,9,0)</f>
        <v>3</v>
      </c>
      <c r="O71" s="43">
        <f>VLOOKUP(F71,[1]Hárok1!$F$4:$S$124,10,0)</f>
        <v>13</v>
      </c>
      <c r="P71" s="44">
        <f>VLOOKUP(F71,[1]Hárok1!$F$4:$S$124,11,0)</f>
        <v>1</v>
      </c>
      <c r="Q71" s="42">
        <f>VLOOKUP(F71,[1]Hárok1!$F$4:$S$124,12,0)</f>
        <v>40</v>
      </c>
      <c r="R71" s="43">
        <f>VLOOKUP(F71,[1]Hárok1!$F$4:$S$124,13,0)</f>
        <v>183</v>
      </c>
      <c r="S71" s="44">
        <f>VLOOKUP(F71,[1]Hárok1!$F$4:$S$124,14,0)</f>
        <v>19</v>
      </c>
      <c r="T71" s="45">
        <f t="shared" si="6"/>
        <v>804</v>
      </c>
      <c r="U71" s="46">
        <f>VLOOKUP(F71,[1]Hárok1!$F$4:$U$124,16,0)</f>
        <v>143.62</v>
      </c>
      <c r="V71" s="47">
        <f t="shared" si="7"/>
        <v>100.5</v>
      </c>
      <c r="W71" s="47">
        <f t="shared" si="8"/>
        <v>541.5</v>
      </c>
      <c r="X71" s="48">
        <f t="shared" si="9"/>
        <v>55.5</v>
      </c>
      <c r="Y71" s="49">
        <f t="shared" si="10"/>
        <v>1645.12</v>
      </c>
      <c r="Z71" s="50">
        <f t="shared" si="11"/>
        <v>1645</v>
      </c>
    </row>
    <row r="72" spans="1:26" x14ac:dyDescent="0.25">
      <c r="A72" s="29" t="s">
        <v>42</v>
      </c>
      <c r="B72" s="29" t="s">
        <v>79</v>
      </c>
      <c r="C72" s="29" t="s">
        <v>80</v>
      </c>
      <c r="D72" s="30">
        <v>36063606</v>
      </c>
      <c r="E72" s="31" t="s">
        <v>81</v>
      </c>
      <c r="F72" s="29">
        <v>30797799</v>
      </c>
      <c r="G72" s="32" t="s">
        <v>173</v>
      </c>
      <c r="H72" s="32" t="s">
        <v>77</v>
      </c>
      <c r="I72" s="33" t="s">
        <v>174</v>
      </c>
      <c r="J72" s="42">
        <f>VLOOKUP(F72,[1]Hárok1!$F$4:$S$124,5,0)</f>
        <v>5</v>
      </c>
      <c r="K72" s="43">
        <f>VLOOKUP(F72,[1]Hárok1!$F$4:$S$124,6,0)</f>
        <v>0</v>
      </c>
      <c r="L72" s="43">
        <f>VLOOKUP(F72,[1]Hárok1!$F$4:$S$124,7,0)</f>
        <v>15</v>
      </c>
      <c r="M72" s="43">
        <f>VLOOKUP(F72,[1]Hárok1!$F$4:$S$124,8,0)</f>
        <v>0</v>
      </c>
      <c r="N72" s="43">
        <f>VLOOKUP(F72,[1]Hárok1!$F$4:$S$124,9,0)</f>
        <v>1</v>
      </c>
      <c r="O72" s="43">
        <f>VLOOKUP(F72,[1]Hárok1!$F$4:$S$124,10,0)</f>
        <v>6</v>
      </c>
      <c r="P72" s="44">
        <f>VLOOKUP(F72,[1]Hárok1!$F$4:$S$124,11,0)</f>
        <v>1</v>
      </c>
      <c r="Q72" s="42">
        <f>VLOOKUP(F72,[1]Hárok1!$F$4:$S$124,12,0)</f>
        <v>7</v>
      </c>
      <c r="R72" s="43">
        <f>VLOOKUP(F72,[1]Hárok1!$F$4:$S$124,13,0)</f>
        <v>115</v>
      </c>
      <c r="S72" s="44">
        <f>VLOOKUP(F72,[1]Hárok1!$F$4:$S$124,14,0)</f>
        <v>30</v>
      </c>
      <c r="T72" s="45">
        <f t="shared" si="6"/>
        <v>502.5</v>
      </c>
      <c r="U72" s="46">
        <f>VLOOKUP(F72,[1]Hárok1!$F$4:$U$124,16,0)</f>
        <v>81.900000000000006</v>
      </c>
      <c r="V72" s="47">
        <f t="shared" si="7"/>
        <v>24</v>
      </c>
      <c r="W72" s="47">
        <f t="shared" si="8"/>
        <v>311</v>
      </c>
      <c r="X72" s="48">
        <f t="shared" si="9"/>
        <v>72</v>
      </c>
      <c r="Y72" s="49">
        <f t="shared" si="10"/>
        <v>991.4</v>
      </c>
      <c r="Z72" s="50">
        <f t="shared" si="11"/>
        <v>991</v>
      </c>
    </row>
    <row r="73" spans="1:26" x14ac:dyDescent="0.25">
      <c r="A73" s="29" t="s">
        <v>42</v>
      </c>
      <c r="B73" s="29" t="s">
        <v>79</v>
      </c>
      <c r="C73" s="29" t="s">
        <v>80</v>
      </c>
      <c r="D73" s="30">
        <v>36063606</v>
      </c>
      <c r="E73" s="31" t="s">
        <v>81</v>
      </c>
      <c r="F73" s="29">
        <v>36064386</v>
      </c>
      <c r="G73" s="32" t="s">
        <v>175</v>
      </c>
      <c r="H73" s="32" t="s">
        <v>77</v>
      </c>
      <c r="I73" s="33" t="s">
        <v>176</v>
      </c>
      <c r="J73" s="42">
        <f>VLOOKUP(F73,[1]Hárok1!$F$4:$S$124,5,0)</f>
        <v>7</v>
      </c>
      <c r="K73" s="43">
        <f>VLOOKUP(F73,[1]Hárok1!$F$4:$S$124,6,0)</f>
        <v>0</v>
      </c>
      <c r="L73" s="43">
        <f>VLOOKUP(F73,[1]Hárok1!$F$4:$S$124,7,0)</f>
        <v>28</v>
      </c>
      <c r="M73" s="43">
        <f>VLOOKUP(F73,[1]Hárok1!$F$4:$S$124,8,0)</f>
        <v>0</v>
      </c>
      <c r="N73" s="43">
        <f>VLOOKUP(F73,[1]Hárok1!$F$4:$S$124,9,0)</f>
        <v>0</v>
      </c>
      <c r="O73" s="43">
        <f>VLOOKUP(F73,[1]Hárok1!$F$4:$S$124,10,0)</f>
        <v>10</v>
      </c>
      <c r="P73" s="44">
        <f>VLOOKUP(F73,[1]Hárok1!$F$4:$S$124,11,0)</f>
        <v>1</v>
      </c>
      <c r="Q73" s="42">
        <f>VLOOKUP(F73,[1]Hárok1!$F$4:$S$124,12,0)</f>
        <v>0</v>
      </c>
      <c r="R73" s="43">
        <f>VLOOKUP(F73,[1]Hárok1!$F$4:$S$124,13,0)</f>
        <v>178</v>
      </c>
      <c r="S73" s="44">
        <f>VLOOKUP(F73,[1]Hárok1!$F$4:$S$124,14,0)</f>
        <v>46</v>
      </c>
      <c r="T73" s="45">
        <f t="shared" si="6"/>
        <v>938</v>
      </c>
      <c r="U73" s="46">
        <f>VLOOKUP(F73,[1]Hárok1!$F$4:$U$124,16,0)</f>
        <v>107.9</v>
      </c>
      <c r="V73" s="47">
        <f t="shared" si="7"/>
        <v>0</v>
      </c>
      <c r="W73" s="47">
        <f t="shared" si="8"/>
        <v>491</v>
      </c>
      <c r="X73" s="48">
        <f t="shared" si="9"/>
        <v>96</v>
      </c>
      <c r="Y73" s="49">
        <f t="shared" si="10"/>
        <v>1632.9</v>
      </c>
      <c r="Z73" s="50">
        <f t="shared" si="11"/>
        <v>1633</v>
      </c>
    </row>
    <row r="74" spans="1:26" x14ac:dyDescent="0.25">
      <c r="A74" s="29" t="s">
        <v>42</v>
      </c>
      <c r="B74" s="29" t="s">
        <v>177</v>
      </c>
      <c r="C74" s="29" t="s">
        <v>178</v>
      </c>
      <c r="D74" s="29">
        <v>603520</v>
      </c>
      <c r="E74" s="32" t="s">
        <v>179</v>
      </c>
      <c r="F74" s="29">
        <v>31750214</v>
      </c>
      <c r="G74" s="32" t="s">
        <v>52</v>
      </c>
      <c r="H74" s="32" t="s">
        <v>60</v>
      </c>
      <c r="I74" s="33" t="s">
        <v>180</v>
      </c>
      <c r="J74" s="42">
        <f>VLOOKUP(F74,[1]Hárok1!$F$4:$S$124,5,0)</f>
        <v>21</v>
      </c>
      <c r="K74" s="43">
        <f>VLOOKUP(F74,[1]Hárok1!$F$4:$S$124,6,0)</f>
        <v>0</v>
      </c>
      <c r="L74" s="43">
        <f>VLOOKUP(F74,[1]Hárok1!$F$4:$S$124,7,0)</f>
        <v>39</v>
      </c>
      <c r="M74" s="43">
        <f>VLOOKUP(F74,[1]Hárok1!$F$4:$S$124,8,0)</f>
        <v>0</v>
      </c>
      <c r="N74" s="43">
        <f>VLOOKUP(F74,[1]Hárok1!$F$4:$S$124,9,0)</f>
        <v>0</v>
      </c>
      <c r="O74" s="43">
        <f>VLOOKUP(F74,[1]Hárok1!$F$4:$S$124,10,0)</f>
        <v>22</v>
      </c>
      <c r="P74" s="44">
        <f>VLOOKUP(F74,[1]Hárok1!$F$4:$S$124,11,0)</f>
        <v>1</v>
      </c>
      <c r="Q74" s="42">
        <f>VLOOKUP(F74,[1]Hárok1!$F$4:$S$124,12,0)</f>
        <v>0</v>
      </c>
      <c r="R74" s="43">
        <f>VLOOKUP(F74,[1]Hárok1!$F$4:$S$124,13,0)</f>
        <v>436</v>
      </c>
      <c r="S74" s="44">
        <f>VLOOKUP(F74,[1]Hárok1!$F$4:$S$124,14,0)</f>
        <v>23</v>
      </c>
      <c r="T74" s="45">
        <f t="shared" si="6"/>
        <v>1306.5</v>
      </c>
      <c r="U74" s="46">
        <f>VLOOKUP(F74,[1]Hárok1!$F$4:$U$124,16,0)</f>
        <v>0</v>
      </c>
      <c r="V74" s="47">
        <f t="shared" si="7"/>
        <v>0</v>
      </c>
      <c r="W74" s="47">
        <f t="shared" si="8"/>
        <v>1169</v>
      </c>
      <c r="X74" s="48">
        <f t="shared" si="9"/>
        <v>61.5</v>
      </c>
      <c r="Y74" s="49">
        <f t="shared" si="10"/>
        <v>2537</v>
      </c>
      <c r="Z74" s="50">
        <f t="shared" si="11"/>
        <v>2537</v>
      </c>
    </row>
    <row r="75" spans="1:26" x14ac:dyDescent="0.25">
      <c r="A75" s="29" t="s">
        <v>42</v>
      </c>
      <c r="B75" s="29" t="s">
        <v>181</v>
      </c>
      <c r="C75" s="29" t="s">
        <v>182</v>
      </c>
      <c r="D75" s="29">
        <v>42131685</v>
      </c>
      <c r="E75" s="32" t="s">
        <v>183</v>
      </c>
      <c r="F75" s="29">
        <v>30815339</v>
      </c>
      <c r="G75" s="32" t="s">
        <v>184</v>
      </c>
      <c r="H75" s="32" t="s">
        <v>82</v>
      </c>
      <c r="I75" s="33" t="s">
        <v>185</v>
      </c>
      <c r="J75" s="42">
        <f>VLOOKUP(F75,[1]Hárok1!$F$4:$S$124,5,0)</f>
        <v>4</v>
      </c>
      <c r="K75" s="43">
        <f>VLOOKUP(F75,[1]Hárok1!$F$4:$S$124,6,0)</f>
        <v>0</v>
      </c>
      <c r="L75" s="43">
        <f>VLOOKUP(F75,[1]Hárok1!$F$4:$S$124,7,0)</f>
        <v>26</v>
      </c>
      <c r="M75" s="43">
        <f>VLOOKUP(F75,[1]Hárok1!$F$4:$S$124,8,0)</f>
        <v>0</v>
      </c>
      <c r="N75" s="43">
        <f>VLOOKUP(F75,[1]Hárok1!$F$4:$S$124,9,0)</f>
        <v>0</v>
      </c>
      <c r="O75" s="43">
        <f>VLOOKUP(F75,[1]Hárok1!$F$4:$S$124,10,0)</f>
        <v>4</v>
      </c>
      <c r="P75" s="44">
        <f>VLOOKUP(F75,[1]Hárok1!$F$4:$S$124,11,0)</f>
        <v>1</v>
      </c>
      <c r="Q75" s="42">
        <f>VLOOKUP(F75,[1]Hárok1!$F$4:$S$124,12,0)</f>
        <v>0</v>
      </c>
      <c r="R75" s="43">
        <f>VLOOKUP(F75,[1]Hárok1!$F$4:$S$124,13,0)</f>
        <v>204</v>
      </c>
      <c r="S75" s="44">
        <f>VLOOKUP(F75,[1]Hárok1!$F$4:$S$124,14,0)</f>
        <v>76</v>
      </c>
      <c r="T75" s="45">
        <f t="shared" si="6"/>
        <v>871</v>
      </c>
      <c r="U75" s="46">
        <f>VLOOKUP(F75,[1]Hárok1!$F$4:$U$124,16,0)</f>
        <v>0</v>
      </c>
      <c r="V75" s="47">
        <f t="shared" si="7"/>
        <v>0</v>
      </c>
      <c r="W75" s="47">
        <f t="shared" si="8"/>
        <v>462</v>
      </c>
      <c r="X75" s="48">
        <f t="shared" si="9"/>
        <v>141</v>
      </c>
      <c r="Y75" s="49">
        <f t="shared" si="10"/>
        <v>1474</v>
      </c>
      <c r="Z75" s="50">
        <f t="shared" si="11"/>
        <v>1474</v>
      </c>
    </row>
    <row r="76" spans="1:26" x14ac:dyDescent="0.25">
      <c r="A76" s="29" t="s">
        <v>42</v>
      </c>
      <c r="B76" s="29" t="s">
        <v>181</v>
      </c>
      <c r="C76" s="29" t="s">
        <v>186</v>
      </c>
      <c r="D76" s="29">
        <v>586358</v>
      </c>
      <c r="E76" s="32" t="s">
        <v>187</v>
      </c>
      <c r="F76" s="29">
        <v>17318840</v>
      </c>
      <c r="G76" s="32" t="s">
        <v>188</v>
      </c>
      <c r="H76" s="32" t="s">
        <v>82</v>
      </c>
      <c r="I76" s="33" t="s">
        <v>189</v>
      </c>
      <c r="J76" s="42">
        <f>VLOOKUP(F76,[1]Hárok1!$F$4:$S$124,5,0)</f>
        <v>11</v>
      </c>
      <c r="K76" s="43">
        <f>VLOOKUP(F76,[1]Hárok1!$F$4:$S$124,6,0)</f>
        <v>0</v>
      </c>
      <c r="L76" s="43">
        <f>VLOOKUP(F76,[1]Hárok1!$F$4:$S$124,7,0)</f>
        <v>34</v>
      </c>
      <c r="M76" s="43">
        <f>VLOOKUP(F76,[1]Hárok1!$F$4:$S$124,8,0)</f>
        <v>0</v>
      </c>
      <c r="N76" s="43">
        <f>VLOOKUP(F76,[1]Hárok1!$F$4:$S$124,9,0)</f>
        <v>0</v>
      </c>
      <c r="O76" s="43">
        <f>VLOOKUP(F76,[1]Hárok1!$F$4:$S$124,10,0)</f>
        <v>15</v>
      </c>
      <c r="P76" s="44">
        <f>VLOOKUP(F76,[1]Hárok1!$F$4:$S$124,11,0)</f>
        <v>1</v>
      </c>
      <c r="Q76" s="42">
        <f>VLOOKUP(F76,[1]Hárok1!$F$4:$S$124,12,0)</f>
        <v>0</v>
      </c>
      <c r="R76" s="43">
        <f>VLOOKUP(F76,[1]Hárok1!$F$4:$S$124,13,0)</f>
        <v>296</v>
      </c>
      <c r="S76" s="44">
        <f>VLOOKUP(F76,[1]Hárok1!$F$4:$S$124,14,0)</f>
        <v>109</v>
      </c>
      <c r="T76" s="45">
        <f t="shared" si="6"/>
        <v>1139</v>
      </c>
      <c r="U76" s="46">
        <f>VLOOKUP(F76,[1]Hárok1!$F$4:$U$124,16,0)</f>
        <v>0</v>
      </c>
      <c r="V76" s="47">
        <f t="shared" si="7"/>
        <v>0</v>
      </c>
      <c r="W76" s="47">
        <f t="shared" si="8"/>
        <v>794.5</v>
      </c>
      <c r="X76" s="48">
        <f t="shared" si="9"/>
        <v>190.5</v>
      </c>
      <c r="Y76" s="49">
        <f t="shared" si="10"/>
        <v>2124</v>
      </c>
      <c r="Z76" s="50">
        <f t="shared" si="11"/>
        <v>2124</v>
      </c>
    </row>
    <row r="77" spans="1:26" x14ac:dyDescent="0.25">
      <c r="A77" s="29" t="s">
        <v>42</v>
      </c>
      <c r="B77" s="29" t="s">
        <v>181</v>
      </c>
      <c r="C77" s="29" t="s">
        <v>190</v>
      </c>
      <c r="D77" s="29">
        <v>586722</v>
      </c>
      <c r="E77" s="32" t="s">
        <v>191</v>
      </c>
      <c r="F77" s="29">
        <v>52547477</v>
      </c>
      <c r="G77" s="32" t="s">
        <v>192</v>
      </c>
      <c r="H77" s="32" t="s">
        <v>82</v>
      </c>
      <c r="I77" s="33" t="s">
        <v>193</v>
      </c>
      <c r="J77" s="42">
        <f>VLOOKUP(F77,[1]Hárok1!$F$4:$S$124,5,0)</f>
        <v>10</v>
      </c>
      <c r="K77" s="43">
        <f>VLOOKUP(F77,[1]Hárok1!$F$4:$S$124,6,0)</f>
        <v>2</v>
      </c>
      <c r="L77" s="43">
        <f>VLOOKUP(F77,[1]Hárok1!$F$4:$S$124,7,0)</f>
        <v>33</v>
      </c>
      <c r="M77" s="43">
        <f>VLOOKUP(F77,[1]Hárok1!$F$4:$S$124,8,0)</f>
        <v>2</v>
      </c>
      <c r="N77" s="43">
        <f>VLOOKUP(F77,[1]Hárok1!$F$4:$S$124,9,0)</f>
        <v>2</v>
      </c>
      <c r="O77" s="43">
        <f>VLOOKUP(F77,[1]Hárok1!$F$4:$S$124,10,0)</f>
        <v>13</v>
      </c>
      <c r="P77" s="44">
        <f>VLOOKUP(F77,[1]Hárok1!$F$4:$S$124,11,0)</f>
        <v>1</v>
      </c>
      <c r="Q77" s="42">
        <f>VLOOKUP(F77,[1]Hárok1!$F$4:$S$124,12,0)</f>
        <v>19</v>
      </c>
      <c r="R77" s="43">
        <f>VLOOKUP(F77,[1]Hárok1!$F$4:$S$124,13,0)</f>
        <v>290</v>
      </c>
      <c r="S77" s="44">
        <f>VLOOKUP(F77,[1]Hárok1!$F$4:$S$124,14,0)</f>
        <v>125</v>
      </c>
      <c r="T77" s="45">
        <f t="shared" si="6"/>
        <v>1105.5</v>
      </c>
      <c r="U77" s="46">
        <f>VLOOKUP(F77,[1]Hárok1!$F$4:$U$124,16,0)</f>
        <v>0</v>
      </c>
      <c r="V77" s="47">
        <f t="shared" si="7"/>
        <v>55.5</v>
      </c>
      <c r="W77" s="47">
        <f t="shared" si="8"/>
        <v>755.5</v>
      </c>
      <c r="X77" s="48">
        <f t="shared" si="9"/>
        <v>214.5</v>
      </c>
      <c r="Y77" s="49">
        <f t="shared" si="10"/>
        <v>2131</v>
      </c>
      <c r="Z77" s="50">
        <f t="shared" si="11"/>
        <v>2131</v>
      </c>
    </row>
    <row r="78" spans="1:26" x14ac:dyDescent="0.25">
      <c r="A78" s="29" t="s">
        <v>42</v>
      </c>
      <c r="B78" s="29" t="s">
        <v>181</v>
      </c>
      <c r="C78" s="29" t="s">
        <v>182</v>
      </c>
      <c r="D78" s="29">
        <v>42131685</v>
      </c>
      <c r="E78" s="32" t="s">
        <v>183</v>
      </c>
      <c r="F78" s="29">
        <v>30852056</v>
      </c>
      <c r="G78" s="32" t="s">
        <v>194</v>
      </c>
      <c r="H78" s="32" t="s">
        <v>50</v>
      </c>
      <c r="I78" s="33" t="s">
        <v>195</v>
      </c>
      <c r="J78" s="42">
        <f>VLOOKUP(F78,[1]Hárok1!$F$4:$S$124,5,0)</f>
        <v>10</v>
      </c>
      <c r="K78" s="43">
        <f>VLOOKUP(F78,[1]Hárok1!$F$4:$S$124,6,0)</f>
        <v>0</v>
      </c>
      <c r="L78" s="43">
        <f>VLOOKUP(F78,[1]Hárok1!$F$4:$S$124,7,0)</f>
        <v>23</v>
      </c>
      <c r="M78" s="43">
        <f>VLOOKUP(F78,[1]Hárok1!$F$4:$S$124,8,0)</f>
        <v>0</v>
      </c>
      <c r="N78" s="43">
        <f>VLOOKUP(F78,[1]Hárok1!$F$4:$S$124,9,0)</f>
        <v>0</v>
      </c>
      <c r="O78" s="43">
        <f>VLOOKUP(F78,[1]Hárok1!$F$4:$S$124,10,0)</f>
        <v>13</v>
      </c>
      <c r="P78" s="44">
        <f>VLOOKUP(F78,[1]Hárok1!$F$4:$S$124,11,0)</f>
        <v>1</v>
      </c>
      <c r="Q78" s="42">
        <f>VLOOKUP(F78,[1]Hárok1!$F$4:$S$124,12,0)</f>
        <v>0</v>
      </c>
      <c r="R78" s="43">
        <f>VLOOKUP(F78,[1]Hárok1!$F$4:$S$124,13,0)</f>
        <v>242</v>
      </c>
      <c r="S78" s="44">
        <f>VLOOKUP(F78,[1]Hárok1!$F$4:$S$124,14,0)</f>
        <v>11</v>
      </c>
      <c r="T78" s="45">
        <f t="shared" si="6"/>
        <v>770.5</v>
      </c>
      <c r="U78" s="46">
        <f>VLOOKUP(F78,[1]Hárok1!$F$4:$U$124,16,0)</f>
        <v>154.69999999999999</v>
      </c>
      <c r="V78" s="47">
        <f t="shared" si="7"/>
        <v>0</v>
      </c>
      <c r="W78" s="47">
        <f t="shared" si="8"/>
        <v>659.5</v>
      </c>
      <c r="X78" s="48">
        <f t="shared" si="9"/>
        <v>43.5</v>
      </c>
      <c r="Y78" s="49">
        <f t="shared" si="10"/>
        <v>1628.2</v>
      </c>
      <c r="Z78" s="50">
        <f t="shared" si="11"/>
        <v>1628</v>
      </c>
    </row>
    <row r="79" spans="1:26" x14ac:dyDescent="0.25">
      <c r="A79" s="51" t="s">
        <v>42</v>
      </c>
      <c r="B79" s="51" t="s">
        <v>181</v>
      </c>
      <c r="C79" s="51" t="s">
        <v>196</v>
      </c>
      <c r="D79" s="51">
        <v>585661</v>
      </c>
      <c r="E79" s="32" t="s">
        <v>197</v>
      </c>
      <c r="F79" s="51">
        <v>42258120</v>
      </c>
      <c r="G79" s="32" t="s">
        <v>198</v>
      </c>
      <c r="H79" s="32" t="s">
        <v>130</v>
      </c>
      <c r="I79" s="33" t="s">
        <v>199</v>
      </c>
      <c r="J79" s="42">
        <f>VLOOKUP(F79,[1]Hárok1!$F$4:$S$124,5,0)</f>
        <v>4</v>
      </c>
      <c r="K79" s="43">
        <f>VLOOKUP(F79,[1]Hárok1!$F$4:$S$124,6,0)</f>
        <v>0</v>
      </c>
      <c r="L79" s="43">
        <f>VLOOKUP(F79,[1]Hárok1!$F$4:$S$124,7,0)</f>
        <v>12</v>
      </c>
      <c r="M79" s="43">
        <f>VLOOKUP(F79,[1]Hárok1!$F$4:$S$124,8,0)</f>
        <v>0</v>
      </c>
      <c r="N79" s="43">
        <f>VLOOKUP(F79,[1]Hárok1!$F$4:$S$124,9,0)</f>
        <v>0</v>
      </c>
      <c r="O79" s="43">
        <f>VLOOKUP(F79,[1]Hárok1!$F$4:$S$124,10,0)</f>
        <v>5</v>
      </c>
      <c r="P79" s="44">
        <f>VLOOKUP(F79,[1]Hárok1!$F$4:$S$124,11,0)</f>
        <v>1</v>
      </c>
      <c r="Q79" s="42">
        <f>VLOOKUP(F79,[1]Hárok1!$F$4:$S$124,12,0)</f>
        <v>0</v>
      </c>
      <c r="R79" s="43">
        <f>VLOOKUP(F79,[1]Hárok1!$F$4:$S$124,13,0)</f>
        <v>44</v>
      </c>
      <c r="S79" s="44">
        <f>VLOOKUP(F79,[1]Hárok1!$F$4:$S$124,14,0)</f>
        <v>37</v>
      </c>
      <c r="T79" s="45">
        <f t="shared" si="6"/>
        <v>402</v>
      </c>
      <c r="U79" s="46">
        <f>VLOOKUP(F79,[1]Hárok1!$F$4:$U$124,16,0)</f>
        <v>0</v>
      </c>
      <c r="V79" s="47">
        <f t="shared" si="7"/>
        <v>0</v>
      </c>
      <c r="W79" s="47">
        <f t="shared" si="8"/>
        <v>155.5</v>
      </c>
      <c r="X79" s="48">
        <f t="shared" si="9"/>
        <v>82.5</v>
      </c>
      <c r="Y79" s="49">
        <f t="shared" si="10"/>
        <v>640</v>
      </c>
      <c r="Z79" s="50">
        <f t="shared" si="11"/>
        <v>640</v>
      </c>
    </row>
    <row r="80" spans="1:26" x14ac:dyDescent="0.25">
      <c r="A80" s="29" t="s">
        <v>42</v>
      </c>
      <c r="B80" s="29" t="s">
        <v>181</v>
      </c>
      <c r="C80" s="29" t="s">
        <v>182</v>
      </c>
      <c r="D80" s="29">
        <v>42131685</v>
      </c>
      <c r="E80" s="32" t="s">
        <v>183</v>
      </c>
      <c r="F80" s="29">
        <v>42176182</v>
      </c>
      <c r="G80" s="32" t="s">
        <v>200</v>
      </c>
      <c r="H80" s="32" t="s">
        <v>60</v>
      </c>
      <c r="I80" s="33" t="s">
        <v>201</v>
      </c>
      <c r="J80" s="42">
        <f>VLOOKUP(F80,[1]Hárok1!$F$4:$S$124,5,0)</f>
        <v>5</v>
      </c>
      <c r="K80" s="43">
        <f>VLOOKUP(F80,[1]Hárok1!$F$4:$S$124,6,0)</f>
        <v>0</v>
      </c>
      <c r="L80" s="43">
        <f>VLOOKUP(F80,[1]Hárok1!$F$4:$S$124,7,0)</f>
        <v>14</v>
      </c>
      <c r="M80" s="43">
        <f>VLOOKUP(F80,[1]Hárok1!$F$4:$S$124,8,0)</f>
        <v>0</v>
      </c>
      <c r="N80" s="43">
        <f>VLOOKUP(F80,[1]Hárok1!$F$4:$S$124,9,0)</f>
        <v>0</v>
      </c>
      <c r="O80" s="43">
        <f>VLOOKUP(F80,[1]Hárok1!$F$4:$S$124,10,0)</f>
        <v>8</v>
      </c>
      <c r="P80" s="44">
        <f>VLOOKUP(F80,[1]Hárok1!$F$4:$S$124,11,0)</f>
        <v>1</v>
      </c>
      <c r="Q80" s="42">
        <f>VLOOKUP(F80,[1]Hárok1!$F$4:$S$124,12,0)</f>
        <v>0</v>
      </c>
      <c r="R80" s="43">
        <f>VLOOKUP(F80,[1]Hárok1!$F$4:$S$124,13,0)</f>
        <v>139</v>
      </c>
      <c r="S80" s="44">
        <f>VLOOKUP(F80,[1]Hárok1!$F$4:$S$124,14,0)</f>
        <v>2</v>
      </c>
      <c r="T80" s="45">
        <f t="shared" si="6"/>
        <v>469</v>
      </c>
      <c r="U80" s="46">
        <f>VLOOKUP(F80,[1]Hárok1!$F$4:$U$124,16,0)</f>
        <v>0</v>
      </c>
      <c r="V80" s="47">
        <f t="shared" si="7"/>
        <v>0</v>
      </c>
      <c r="W80" s="47">
        <f t="shared" si="8"/>
        <v>386</v>
      </c>
      <c r="X80" s="48">
        <f t="shared" si="9"/>
        <v>30</v>
      </c>
      <c r="Y80" s="49">
        <f t="shared" si="10"/>
        <v>885</v>
      </c>
      <c r="Z80" s="50">
        <f t="shared" si="11"/>
        <v>885</v>
      </c>
    </row>
    <row r="81" spans="1:26" x14ac:dyDescent="0.25">
      <c r="A81" s="29" t="s">
        <v>42</v>
      </c>
      <c r="B81" s="29" t="s">
        <v>181</v>
      </c>
      <c r="C81" s="29" t="s">
        <v>202</v>
      </c>
      <c r="D81" s="29">
        <v>42365023</v>
      </c>
      <c r="E81" s="32" t="s">
        <v>203</v>
      </c>
      <c r="F81" s="29">
        <v>30848008</v>
      </c>
      <c r="G81" s="32" t="s">
        <v>204</v>
      </c>
      <c r="H81" s="32" t="s">
        <v>66</v>
      </c>
      <c r="I81" s="33" t="s">
        <v>205</v>
      </c>
      <c r="J81" s="42">
        <f>VLOOKUP(F81,[1]Hárok1!$F$4:$S$124,5,0)</f>
        <v>11</v>
      </c>
      <c r="K81" s="43">
        <f>VLOOKUP(F81,[1]Hárok1!$F$4:$S$124,6,0)</f>
        <v>0</v>
      </c>
      <c r="L81" s="43">
        <f>VLOOKUP(F81,[1]Hárok1!$F$4:$S$124,7,0)</f>
        <v>27</v>
      </c>
      <c r="M81" s="43">
        <f>VLOOKUP(F81,[1]Hárok1!$F$4:$S$124,8,0)</f>
        <v>0</v>
      </c>
      <c r="N81" s="43">
        <f>VLOOKUP(F81,[1]Hárok1!$F$4:$S$124,9,0)</f>
        <v>0</v>
      </c>
      <c r="O81" s="43">
        <f>VLOOKUP(F81,[1]Hárok1!$F$4:$S$124,10,0)</f>
        <v>13</v>
      </c>
      <c r="P81" s="44">
        <f>VLOOKUP(F81,[1]Hárok1!$F$4:$S$124,11,0)</f>
        <v>1</v>
      </c>
      <c r="Q81" s="42">
        <f>VLOOKUP(F81,[1]Hárok1!$F$4:$S$124,12,0)</f>
        <v>0</v>
      </c>
      <c r="R81" s="43">
        <f>VLOOKUP(F81,[1]Hárok1!$F$4:$S$124,13,0)</f>
        <v>187</v>
      </c>
      <c r="S81" s="44">
        <f>VLOOKUP(F81,[1]Hárok1!$F$4:$S$124,14,0)</f>
        <v>77</v>
      </c>
      <c r="T81" s="45">
        <f t="shared" si="6"/>
        <v>904.5</v>
      </c>
      <c r="U81" s="46">
        <f>VLOOKUP(F81,[1]Hárok1!$F$4:$U$124,16,0)</f>
        <v>0</v>
      </c>
      <c r="V81" s="47">
        <f t="shared" si="7"/>
        <v>0</v>
      </c>
      <c r="W81" s="47">
        <f t="shared" si="8"/>
        <v>549.5</v>
      </c>
      <c r="X81" s="48">
        <f t="shared" si="9"/>
        <v>142.5</v>
      </c>
      <c r="Y81" s="49">
        <f t="shared" si="10"/>
        <v>1596.5</v>
      </c>
      <c r="Z81" s="50">
        <f t="shared" si="11"/>
        <v>1597</v>
      </c>
    </row>
    <row r="82" spans="1:26" x14ac:dyDescent="0.25">
      <c r="A82" s="51" t="s">
        <v>42</v>
      </c>
      <c r="B82" s="29" t="s">
        <v>181</v>
      </c>
      <c r="C82" s="29" t="s">
        <v>182</v>
      </c>
      <c r="D82" s="29">
        <v>42131685</v>
      </c>
      <c r="E82" s="32" t="s">
        <v>183</v>
      </c>
      <c r="F82" s="29">
        <v>30843006</v>
      </c>
      <c r="G82" s="32" t="s">
        <v>206</v>
      </c>
      <c r="H82" s="32" t="s">
        <v>66</v>
      </c>
      <c r="I82" s="33" t="s">
        <v>207</v>
      </c>
      <c r="J82" s="42">
        <f>VLOOKUP(F82,[1]Hárok1!$F$4:$S$124,5,0)</f>
        <v>7</v>
      </c>
      <c r="K82" s="43">
        <f>VLOOKUP(F82,[1]Hárok1!$F$4:$S$124,6,0)</f>
        <v>1</v>
      </c>
      <c r="L82" s="43">
        <f>VLOOKUP(F82,[1]Hárok1!$F$4:$S$124,7,0)</f>
        <v>23</v>
      </c>
      <c r="M82" s="43">
        <f>VLOOKUP(F82,[1]Hárok1!$F$4:$S$124,8,0)</f>
        <v>2</v>
      </c>
      <c r="N82" s="43">
        <f>VLOOKUP(F82,[1]Hárok1!$F$4:$S$124,9,0)</f>
        <v>1</v>
      </c>
      <c r="O82" s="43">
        <f>VLOOKUP(F82,[1]Hárok1!$F$4:$S$124,10,0)</f>
        <v>7</v>
      </c>
      <c r="P82" s="44">
        <f>VLOOKUP(F82,[1]Hárok1!$F$4:$S$124,11,0)</f>
        <v>1</v>
      </c>
      <c r="Q82" s="42">
        <f>VLOOKUP(F82,[1]Hárok1!$F$4:$S$124,12,0)</f>
        <v>19</v>
      </c>
      <c r="R82" s="43">
        <f>VLOOKUP(F82,[1]Hárok1!$F$4:$S$124,13,0)</f>
        <v>144</v>
      </c>
      <c r="S82" s="44">
        <f>VLOOKUP(F82,[1]Hárok1!$F$4:$S$124,14,0)</f>
        <v>45</v>
      </c>
      <c r="T82" s="45">
        <f t="shared" si="6"/>
        <v>770.5</v>
      </c>
      <c r="U82" s="46">
        <f>VLOOKUP(F82,[1]Hárok1!$F$4:$U$124,16,0)</f>
        <v>0</v>
      </c>
      <c r="V82" s="47">
        <f t="shared" si="7"/>
        <v>42</v>
      </c>
      <c r="W82" s="47">
        <f t="shared" si="8"/>
        <v>382.5</v>
      </c>
      <c r="X82" s="48">
        <f t="shared" si="9"/>
        <v>94.5</v>
      </c>
      <c r="Y82" s="49">
        <f t="shared" si="10"/>
        <v>1289.5</v>
      </c>
      <c r="Z82" s="50">
        <f t="shared" si="11"/>
        <v>1290</v>
      </c>
    </row>
    <row r="83" spans="1:26" x14ac:dyDescent="0.25">
      <c r="A83" s="29" t="s">
        <v>42</v>
      </c>
      <c r="B83" s="29" t="s">
        <v>181</v>
      </c>
      <c r="C83" s="29" t="s">
        <v>182</v>
      </c>
      <c r="D83" s="29">
        <v>42131685</v>
      </c>
      <c r="E83" s="32" t="s">
        <v>183</v>
      </c>
      <c r="F83" s="29">
        <v>42178941</v>
      </c>
      <c r="G83" s="32" t="s">
        <v>208</v>
      </c>
      <c r="H83" s="32" t="s">
        <v>66</v>
      </c>
      <c r="I83" s="33" t="s">
        <v>209</v>
      </c>
      <c r="J83" s="42">
        <f>VLOOKUP(F83,[1]Hárok1!$F$4:$S$124,5,0)</f>
        <v>9</v>
      </c>
      <c r="K83" s="43">
        <f>VLOOKUP(F83,[1]Hárok1!$F$4:$S$124,6,0)</f>
        <v>0</v>
      </c>
      <c r="L83" s="43">
        <f>VLOOKUP(F83,[1]Hárok1!$F$4:$S$124,7,0)</f>
        <v>30</v>
      </c>
      <c r="M83" s="43">
        <f>VLOOKUP(F83,[1]Hárok1!$F$4:$S$124,8,0)</f>
        <v>0</v>
      </c>
      <c r="N83" s="43">
        <f>VLOOKUP(F83,[1]Hárok1!$F$4:$S$124,9,0)</f>
        <v>2</v>
      </c>
      <c r="O83" s="43">
        <f>VLOOKUP(F83,[1]Hárok1!$F$4:$S$124,10,0)</f>
        <v>8</v>
      </c>
      <c r="P83" s="44">
        <f>VLOOKUP(F83,[1]Hárok1!$F$4:$S$124,11,0)</f>
        <v>1</v>
      </c>
      <c r="Q83" s="42">
        <f>VLOOKUP(F83,[1]Hárok1!$F$4:$S$124,12,0)</f>
        <v>39</v>
      </c>
      <c r="R83" s="43">
        <f>VLOOKUP(F83,[1]Hárok1!$F$4:$S$124,13,0)</f>
        <v>165</v>
      </c>
      <c r="S83" s="44">
        <f>VLOOKUP(F83,[1]Hárok1!$F$4:$S$124,14,0)</f>
        <v>83</v>
      </c>
      <c r="T83" s="45">
        <f t="shared" si="6"/>
        <v>1005</v>
      </c>
      <c r="U83" s="46">
        <f>VLOOKUP(F83,[1]Hárok1!$F$4:$U$124,16,0)</f>
        <v>5.4</v>
      </c>
      <c r="V83" s="47">
        <f t="shared" si="7"/>
        <v>85.5</v>
      </c>
      <c r="W83" s="47">
        <f t="shared" si="8"/>
        <v>438</v>
      </c>
      <c r="X83" s="48">
        <f t="shared" si="9"/>
        <v>151.5</v>
      </c>
      <c r="Y83" s="49">
        <f t="shared" si="10"/>
        <v>1685.4</v>
      </c>
      <c r="Z83" s="50">
        <f t="shared" si="11"/>
        <v>1685</v>
      </c>
    </row>
    <row r="84" spans="1:26" x14ac:dyDescent="0.25">
      <c r="A84" s="29" t="s">
        <v>42</v>
      </c>
      <c r="B84" s="29" t="s">
        <v>181</v>
      </c>
      <c r="C84" s="29" t="s">
        <v>202</v>
      </c>
      <c r="D84" s="29">
        <v>42365023</v>
      </c>
      <c r="E84" s="32" t="s">
        <v>203</v>
      </c>
      <c r="F84" s="29">
        <v>54622093</v>
      </c>
      <c r="G84" s="32" t="s">
        <v>210</v>
      </c>
      <c r="H84" s="32" t="s">
        <v>66</v>
      </c>
      <c r="I84" s="33" t="s">
        <v>205</v>
      </c>
      <c r="J84" s="42">
        <f>VLOOKUP(F84,[1]Hárok1!$F$4:$S$124,5,0)</f>
        <v>0</v>
      </c>
      <c r="K84" s="43">
        <f>VLOOKUP(F84,[1]Hárok1!$F$4:$S$124,6,0)</f>
        <v>0</v>
      </c>
      <c r="L84" s="43">
        <f>VLOOKUP(F84,[1]Hárok1!$F$4:$S$124,7,0)</f>
        <v>0</v>
      </c>
      <c r="M84" s="43">
        <f>VLOOKUP(F84,[1]Hárok1!$F$4:$S$124,8,0)</f>
        <v>0</v>
      </c>
      <c r="N84" s="43">
        <f>VLOOKUP(F84,[1]Hárok1!$F$4:$S$124,9,0)</f>
        <v>0</v>
      </c>
      <c r="O84" s="43">
        <f>VLOOKUP(F84,[1]Hárok1!$F$4:$S$124,10,0)</f>
        <v>0</v>
      </c>
      <c r="P84" s="44">
        <f>VLOOKUP(F84,[1]Hárok1!$F$4:$S$124,11,0)</f>
        <v>0</v>
      </c>
      <c r="Q84" s="42">
        <f>VLOOKUP(F84,[1]Hárok1!$F$4:$S$124,12,0)</f>
        <v>0</v>
      </c>
      <c r="R84" s="43">
        <f>VLOOKUP(F84,[1]Hárok1!$F$4:$S$124,13,0)</f>
        <v>0</v>
      </c>
      <c r="S84" s="44">
        <f>VLOOKUP(F84,[1]Hárok1!$F$4:$S$124,14,0)</f>
        <v>0</v>
      </c>
      <c r="T84" s="45">
        <f t="shared" si="6"/>
        <v>0</v>
      </c>
      <c r="U84" s="46">
        <f>VLOOKUP(F84,[1]Hárok1!$F$4:$U$124,16,0)</f>
        <v>0</v>
      </c>
      <c r="V84" s="47">
        <f t="shared" si="7"/>
        <v>0</v>
      </c>
      <c r="W84" s="47">
        <f t="shared" si="8"/>
        <v>0</v>
      </c>
      <c r="X84" s="48">
        <f t="shared" si="9"/>
        <v>0</v>
      </c>
      <c r="Y84" s="49">
        <f t="shared" si="10"/>
        <v>0</v>
      </c>
      <c r="Z84" s="50">
        <f t="shared" si="11"/>
        <v>0</v>
      </c>
    </row>
    <row r="85" spans="1:26" x14ac:dyDescent="0.25">
      <c r="A85" s="29" t="s">
        <v>42</v>
      </c>
      <c r="B85" s="29" t="s">
        <v>181</v>
      </c>
      <c r="C85" s="29" t="s">
        <v>211</v>
      </c>
      <c r="D85" s="29">
        <v>587141</v>
      </c>
      <c r="E85" s="32" t="s">
        <v>212</v>
      </c>
      <c r="F85" s="29">
        <v>17078334</v>
      </c>
      <c r="G85" s="32" t="s">
        <v>213</v>
      </c>
      <c r="H85" s="32" t="s">
        <v>214</v>
      </c>
      <c r="I85" s="33" t="s">
        <v>215</v>
      </c>
      <c r="J85" s="42">
        <f>VLOOKUP(F85,[1]Hárok1!$F$4:$S$124,5,0)</f>
        <v>9</v>
      </c>
      <c r="K85" s="43">
        <f>VLOOKUP(F85,[1]Hárok1!$F$4:$S$124,6,0)</f>
        <v>0</v>
      </c>
      <c r="L85" s="43">
        <f>VLOOKUP(F85,[1]Hárok1!$F$4:$S$124,7,0)</f>
        <v>25</v>
      </c>
      <c r="M85" s="43">
        <f>VLOOKUP(F85,[1]Hárok1!$F$4:$S$124,8,0)</f>
        <v>0</v>
      </c>
      <c r="N85" s="43">
        <f>VLOOKUP(F85,[1]Hárok1!$F$4:$S$124,9,0)</f>
        <v>1</v>
      </c>
      <c r="O85" s="43">
        <f>VLOOKUP(F85,[1]Hárok1!$F$4:$S$124,10,0)</f>
        <v>9</v>
      </c>
      <c r="P85" s="44">
        <f>VLOOKUP(F85,[1]Hárok1!$F$4:$S$124,11,0)</f>
        <v>1</v>
      </c>
      <c r="Q85" s="42">
        <f>VLOOKUP(F85,[1]Hárok1!$F$4:$S$124,12,0)</f>
        <v>1</v>
      </c>
      <c r="R85" s="43">
        <f>VLOOKUP(F85,[1]Hárok1!$F$4:$S$124,13,0)</f>
        <v>174</v>
      </c>
      <c r="S85" s="44">
        <f>VLOOKUP(F85,[1]Hárok1!$F$4:$S$124,14,0)</f>
        <v>167</v>
      </c>
      <c r="T85" s="45">
        <f t="shared" si="6"/>
        <v>837.5</v>
      </c>
      <c r="U85" s="46">
        <f>VLOOKUP(F85,[1]Hárok1!$F$4:$U$124,16,0)</f>
        <v>0</v>
      </c>
      <c r="V85" s="47">
        <f t="shared" si="7"/>
        <v>15</v>
      </c>
      <c r="W85" s="47">
        <f t="shared" si="8"/>
        <v>469.5</v>
      </c>
      <c r="X85" s="48">
        <f t="shared" si="9"/>
        <v>277.5</v>
      </c>
      <c r="Y85" s="49">
        <f t="shared" si="10"/>
        <v>1599.5</v>
      </c>
      <c r="Z85" s="50">
        <f t="shared" si="11"/>
        <v>1600</v>
      </c>
    </row>
    <row r="86" spans="1:26" x14ac:dyDescent="0.25">
      <c r="A86" s="29" t="s">
        <v>42</v>
      </c>
      <c r="B86" s="29" t="s">
        <v>181</v>
      </c>
      <c r="C86" s="29" t="s">
        <v>182</v>
      </c>
      <c r="D86" s="29">
        <v>42131685</v>
      </c>
      <c r="E86" s="32" t="s">
        <v>183</v>
      </c>
      <c r="F86" s="29">
        <v>42256887</v>
      </c>
      <c r="G86" s="32" t="s">
        <v>216</v>
      </c>
      <c r="H86" s="32" t="s">
        <v>68</v>
      </c>
      <c r="I86" s="33" t="s">
        <v>217</v>
      </c>
      <c r="J86" s="42">
        <f>VLOOKUP(F86,[1]Hárok1!$F$4:$S$124,5,0)</f>
        <v>9</v>
      </c>
      <c r="K86" s="43">
        <f>VLOOKUP(F86,[1]Hárok1!$F$4:$S$124,6,0)</f>
        <v>0</v>
      </c>
      <c r="L86" s="43">
        <f>VLOOKUP(F86,[1]Hárok1!$F$4:$S$124,7,0)</f>
        <v>28</v>
      </c>
      <c r="M86" s="43">
        <f>VLOOKUP(F86,[1]Hárok1!$F$4:$S$124,8,0)</f>
        <v>0</v>
      </c>
      <c r="N86" s="43">
        <f>VLOOKUP(F86,[1]Hárok1!$F$4:$S$124,9,0)</f>
        <v>0</v>
      </c>
      <c r="O86" s="43">
        <f>VLOOKUP(F86,[1]Hárok1!$F$4:$S$124,10,0)</f>
        <v>9</v>
      </c>
      <c r="P86" s="44">
        <f>VLOOKUP(F86,[1]Hárok1!$F$4:$S$124,11,0)</f>
        <v>1</v>
      </c>
      <c r="Q86" s="42">
        <f>VLOOKUP(F86,[1]Hárok1!$F$4:$S$124,12,0)</f>
        <v>0</v>
      </c>
      <c r="R86" s="43">
        <f>VLOOKUP(F86,[1]Hárok1!$F$4:$S$124,13,0)</f>
        <v>262</v>
      </c>
      <c r="S86" s="44">
        <f>VLOOKUP(F86,[1]Hárok1!$F$4:$S$124,14,0)</f>
        <v>104</v>
      </c>
      <c r="T86" s="45">
        <f t="shared" si="6"/>
        <v>938</v>
      </c>
      <c r="U86" s="46">
        <f>VLOOKUP(F86,[1]Hárok1!$F$4:$U$124,16,0)</f>
        <v>0</v>
      </c>
      <c r="V86" s="47">
        <f t="shared" si="7"/>
        <v>0</v>
      </c>
      <c r="W86" s="47">
        <f t="shared" si="8"/>
        <v>645.5</v>
      </c>
      <c r="X86" s="48">
        <f t="shared" si="9"/>
        <v>183</v>
      </c>
      <c r="Y86" s="49">
        <f t="shared" si="10"/>
        <v>1766.5</v>
      </c>
      <c r="Z86" s="50">
        <f t="shared" si="11"/>
        <v>1767</v>
      </c>
    </row>
    <row r="87" spans="1:26" x14ac:dyDescent="0.25">
      <c r="A87" s="29" t="s">
        <v>42</v>
      </c>
      <c r="B87" s="29" t="s">
        <v>181</v>
      </c>
      <c r="C87" s="29" t="s">
        <v>190</v>
      </c>
      <c r="D87" s="29">
        <v>586722</v>
      </c>
      <c r="E87" s="32" t="s">
        <v>191</v>
      </c>
      <c r="F87" s="29">
        <v>588032</v>
      </c>
      <c r="G87" s="32" t="s">
        <v>218</v>
      </c>
      <c r="H87" s="32" t="s">
        <v>219</v>
      </c>
      <c r="I87" s="33" t="s">
        <v>220</v>
      </c>
      <c r="J87" s="42">
        <f>VLOOKUP(F87,[1]Hárok1!$F$4:$S$124,5,0)</f>
        <v>29</v>
      </c>
      <c r="K87" s="43">
        <f>VLOOKUP(F87,[1]Hárok1!$F$4:$S$124,6,0)</f>
        <v>0</v>
      </c>
      <c r="L87" s="43">
        <f>VLOOKUP(F87,[1]Hárok1!$F$4:$S$124,7,0)</f>
        <v>61</v>
      </c>
      <c r="M87" s="43">
        <f>VLOOKUP(F87,[1]Hárok1!$F$4:$S$124,8,0)</f>
        <v>0</v>
      </c>
      <c r="N87" s="43">
        <f>VLOOKUP(F87,[1]Hárok1!$F$4:$S$124,9,0)</f>
        <v>2</v>
      </c>
      <c r="O87" s="43">
        <f>VLOOKUP(F87,[1]Hárok1!$F$4:$S$124,10,0)</f>
        <v>36</v>
      </c>
      <c r="P87" s="44">
        <f>VLOOKUP(F87,[1]Hárok1!$F$4:$S$124,11,0)</f>
        <v>3</v>
      </c>
      <c r="Q87" s="42">
        <f>VLOOKUP(F87,[1]Hárok1!$F$4:$S$124,12,0)</f>
        <v>6</v>
      </c>
      <c r="R87" s="43">
        <f>VLOOKUP(F87,[1]Hárok1!$F$4:$S$124,13,0)</f>
        <v>549</v>
      </c>
      <c r="S87" s="44">
        <f>VLOOKUP(F87,[1]Hárok1!$F$4:$S$124,14,0)</f>
        <v>124</v>
      </c>
      <c r="T87" s="45">
        <f t="shared" si="6"/>
        <v>2043.5</v>
      </c>
      <c r="U87" s="46">
        <f>VLOOKUP(F87,[1]Hárok1!$F$4:$U$124,16,0)</f>
        <v>0</v>
      </c>
      <c r="V87" s="47">
        <f t="shared" si="7"/>
        <v>36</v>
      </c>
      <c r="W87" s="47">
        <f t="shared" si="8"/>
        <v>1584</v>
      </c>
      <c r="X87" s="48">
        <f t="shared" si="9"/>
        <v>267</v>
      </c>
      <c r="Y87" s="49">
        <f t="shared" si="10"/>
        <v>3930.5</v>
      </c>
      <c r="Z87" s="50">
        <f t="shared" si="11"/>
        <v>3931</v>
      </c>
    </row>
    <row r="88" spans="1:26" x14ac:dyDescent="0.25">
      <c r="A88" s="29" t="s">
        <v>42</v>
      </c>
      <c r="B88" s="29" t="s">
        <v>181</v>
      </c>
      <c r="C88" s="29" t="s">
        <v>221</v>
      </c>
      <c r="D88" s="29">
        <v>586421</v>
      </c>
      <c r="E88" s="32" t="s">
        <v>222</v>
      </c>
      <c r="F88" s="29">
        <v>652512</v>
      </c>
      <c r="G88" s="32" t="s">
        <v>223</v>
      </c>
      <c r="H88" s="32" t="s">
        <v>224</v>
      </c>
      <c r="I88" s="33" t="s">
        <v>225</v>
      </c>
      <c r="J88" s="42">
        <f>VLOOKUP(F88,[1]Hárok1!$F$4:$S$124,5,0)</f>
        <v>7</v>
      </c>
      <c r="K88" s="43">
        <f>VLOOKUP(F88,[1]Hárok1!$F$4:$S$124,6,0)</f>
        <v>5</v>
      </c>
      <c r="L88" s="43">
        <f>VLOOKUP(F88,[1]Hárok1!$F$4:$S$124,7,0)</f>
        <v>27</v>
      </c>
      <c r="M88" s="43">
        <f>VLOOKUP(F88,[1]Hárok1!$F$4:$S$124,8,0)</f>
        <v>5</v>
      </c>
      <c r="N88" s="43">
        <f>VLOOKUP(F88,[1]Hárok1!$F$4:$S$124,9,0)</f>
        <v>10</v>
      </c>
      <c r="O88" s="43">
        <f>VLOOKUP(F88,[1]Hárok1!$F$4:$S$124,10,0)</f>
        <v>3</v>
      </c>
      <c r="P88" s="44">
        <f>VLOOKUP(F88,[1]Hárok1!$F$4:$S$124,11,0)</f>
        <v>1</v>
      </c>
      <c r="Q88" s="42">
        <f>VLOOKUP(F88,[1]Hárok1!$F$4:$S$124,12,0)</f>
        <v>74</v>
      </c>
      <c r="R88" s="43">
        <f>VLOOKUP(F88,[1]Hárok1!$F$4:$S$124,13,0)</f>
        <v>126</v>
      </c>
      <c r="S88" s="44">
        <f>VLOOKUP(F88,[1]Hárok1!$F$4:$S$124,14,0)</f>
        <v>0</v>
      </c>
      <c r="T88" s="45">
        <f t="shared" si="6"/>
        <v>904.5</v>
      </c>
      <c r="U88" s="46">
        <f>VLOOKUP(F88,[1]Hárok1!$F$4:$U$124,16,0)</f>
        <v>0</v>
      </c>
      <c r="V88" s="47">
        <f t="shared" si="7"/>
        <v>246</v>
      </c>
      <c r="W88" s="47">
        <f t="shared" si="8"/>
        <v>292.5</v>
      </c>
      <c r="X88" s="48">
        <f t="shared" si="9"/>
        <v>27</v>
      </c>
      <c r="Y88" s="49">
        <f t="shared" si="10"/>
        <v>1470</v>
      </c>
      <c r="Z88" s="50">
        <f t="shared" si="11"/>
        <v>1470</v>
      </c>
    </row>
    <row r="89" spans="1:26" x14ac:dyDescent="0.25">
      <c r="A89" s="29" t="s">
        <v>42</v>
      </c>
      <c r="B89" s="29" t="s">
        <v>226</v>
      </c>
      <c r="C89" s="29" t="s">
        <v>227</v>
      </c>
      <c r="D89" s="29">
        <v>168637</v>
      </c>
      <c r="E89" s="32" t="s">
        <v>228</v>
      </c>
      <c r="F89" s="29">
        <v>686981</v>
      </c>
      <c r="G89" s="32" t="s">
        <v>229</v>
      </c>
      <c r="H89" s="32" t="s">
        <v>230</v>
      </c>
      <c r="I89" s="33" t="s">
        <v>231</v>
      </c>
      <c r="J89" s="42">
        <f>VLOOKUP(F89,[1]Hárok1!$F$4:$S$124,5,0)</f>
        <v>8</v>
      </c>
      <c r="K89" s="43">
        <f>VLOOKUP(F89,[1]Hárok1!$F$4:$S$124,6,0)</f>
        <v>0</v>
      </c>
      <c r="L89" s="43">
        <f>VLOOKUP(F89,[1]Hárok1!$F$4:$S$124,7,0)</f>
        <v>24</v>
      </c>
      <c r="M89" s="43">
        <f>VLOOKUP(F89,[1]Hárok1!$F$4:$S$124,8,0)</f>
        <v>0</v>
      </c>
      <c r="N89" s="43">
        <f>VLOOKUP(F89,[1]Hárok1!$F$4:$S$124,9,0)</f>
        <v>3</v>
      </c>
      <c r="O89" s="43">
        <f>VLOOKUP(F89,[1]Hárok1!$F$4:$S$124,10,0)</f>
        <v>7</v>
      </c>
      <c r="P89" s="44">
        <f>VLOOKUP(F89,[1]Hárok1!$F$4:$S$124,11,0)</f>
        <v>1</v>
      </c>
      <c r="Q89" s="42">
        <f>VLOOKUP(F89,[1]Hárok1!$F$4:$S$124,12,0)</f>
        <v>27</v>
      </c>
      <c r="R89" s="43">
        <f>VLOOKUP(F89,[1]Hárok1!$F$4:$S$124,13,0)</f>
        <v>128</v>
      </c>
      <c r="S89" s="44">
        <f>VLOOKUP(F89,[1]Hárok1!$F$4:$S$124,14,0)</f>
        <v>31</v>
      </c>
      <c r="T89" s="45">
        <f t="shared" si="6"/>
        <v>804</v>
      </c>
      <c r="U89" s="46">
        <f>VLOOKUP(F89,[1]Hárok1!$F$4:$U$124,16,0)</f>
        <v>0</v>
      </c>
      <c r="V89" s="47">
        <f t="shared" si="7"/>
        <v>81</v>
      </c>
      <c r="W89" s="47">
        <f t="shared" si="8"/>
        <v>350.5</v>
      </c>
      <c r="X89" s="48">
        <f t="shared" si="9"/>
        <v>73.5</v>
      </c>
      <c r="Y89" s="49">
        <f t="shared" si="10"/>
        <v>1309</v>
      </c>
      <c r="Z89" s="50">
        <f t="shared" si="11"/>
        <v>1309</v>
      </c>
    </row>
    <row r="90" spans="1:26" x14ac:dyDescent="0.25">
      <c r="A90" s="29" t="s">
        <v>42</v>
      </c>
      <c r="B90" s="29" t="s">
        <v>226</v>
      </c>
      <c r="C90" s="29" t="s">
        <v>232</v>
      </c>
      <c r="D90" s="29">
        <v>35807181</v>
      </c>
      <c r="E90" s="32" t="s">
        <v>233</v>
      </c>
      <c r="F90" s="29">
        <v>42261121</v>
      </c>
      <c r="G90" s="32" t="s">
        <v>234</v>
      </c>
      <c r="H90" s="32" t="s">
        <v>82</v>
      </c>
      <c r="I90" s="33" t="s">
        <v>235</v>
      </c>
      <c r="J90" s="42">
        <f>VLOOKUP(F90,[1]Hárok1!$F$4:$S$124,5,0)</f>
        <v>3</v>
      </c>
      <c r="K90" s="43">
        <f>VLOOKUP(F90,[1]Hárok1!$F$4:$S$124,6,0)</f>
        <v>0</v>
      </c>
      <c r="L90" s="43">
        <f>VLOOKUP(F90,[1]Hárok1!$F$4:$S$124,7,0)</f>
        <v>19</v>
      </c>
      <c r="M90" s="43">
        <f>VLOOKUP(F90,[1]Hárok1!$F$4:$S$124,8,0)</f>
        <v>0</v>
      </c>
      <c r="N90" s="43">
        <f>VLOOKUP(F90,[1]Hárok1!$F$4:$S$124,9,0)</f>
        <v>0</v>
      </c>
      <c r="O90" s="43">
        <f>VLOOKUP(F90,[1]Hárok1!$F$4:$S$124,10,0)</f>
        <v>3</v>
      </c>
      <c r="P90" s="44">
        <f>VLOOKUP(F90,[1]Hárok1!$F$4:$S$124,11,0)</f>
        <v>1</v>
      </c>
      <c r="Q90" s="42">
        <f>VLOOKUP(F90,[1]Hárok1!$F$4:$S$124,12,0)</f>
        <v>0</v>
      </c>
      <c r="R90" s="43">
        <f>VLOOKUP(F90,[1]Hárok1!$F$4:$S$124,13,0)</f>
        <v>122</v>
      </c>
      <c r="S90" s="44">
        <f>VLOOKUP(F90,[1]Hárok1!$F$4:$S$124,14,0)</f>
        <v>88</v>
      </c>
      <c r="T90" s="45">
        <f t="shared" si="6"/>
        <v>636.5</v>
      </c>
      <c r="U90" s="46">
        <f>VLOOKUP(F90,[1]Hárok1!$F$4:$U$124,16,0)</f>
        <v>0</v>
      </c>
      <c r="V90" s="47">
        <f t="shared" si="7"/>
        <v>0</v>
      </c>
      <c r="W90" s="47">
        <f t="shared" si="8"/>
        <v>284.5</v>
      </c>
      <c r="X90" s="48">
        <f t="shared" si="9"/>
        <v>159</v>
      </c>
      <c r="Y90" s="49">
        <f t="shared" si="10"/>
        <v>1080</v>
      </c>
      <c r="Z90" s="50">
        <f t="shared" si="11"/>
        <v>1080</v>
      </c>
    </row>
    <row r="91" spans="1:26" x14ac:dyDescent="0.25">
      <c r="A91" s="29" t="s">
        <v>42</v>
      </c>
      <c r="B91" s="29" t="s">
        <v>226</v>
      </c>
      <c r="C91" s="29" t="s">
        <v>236</v>
      </c>
      <c r="D91" s="29">
        <v>36076082</v>
      </c>
      <c r="E91" s="32" t="s">
        <v>237</v>
      </c>
      <c r="F91" s="29">
        <v>710229631</v>
      </c>
      <c r="G91" s="32" t="s">
        <v>238</v>
      </c>
      <c r="H91" s="32" t="s">
        <v>82</v>
      </c>
      <c r="I91" s="33" t="s">
        <v>239</v>
      </c>
      <c r="J91" s="42">
        <f>VLOOKUP(F91,[1]Hárok1!$F$4:$S$124,5,0)</f>
        <v>1</v>
      </c>
      <c r="K91" s="43">
        <f>VLOOKUP(F91,[1]Hárok1!$F$4:$S$124,6,0)</f>
        <v>0</v>
      </c>
      <c r="L91" s="43">
        <f>VLOOKUP(F91,[1]Hárok1!$F$4:$S$124,7,0)</f>
        <v>2</v>
      </c>
      <c r="M91" s="43">
        <f>VLOOKUP(F91,[1]Hárok1!$F$4:$S$124,8,0)</f>
        <v>0</v>
      </c>
      <c r="N91" s="43">
        <f>VLOOKUP(F91,[1]Hárok1!$F$4:$S$124,9,0)</f>
        <v>0</v>
      </c>
      <c r="O91" s="43">
        <f>VLOOKUP(F91,[1]Hárok1!$F$4:$S$124,10,0)</f>
        <v>1</v>
      </c>
      <c r="P91" s="44">
        <f>VLOOKUP(F91,[1]Hárok1!$F$4:$S$124,11,0)</f>
        <v>0</v>
      </c>
      <c r="Q91" s="42">
        <f>VLOOKUP(F91,[1]Hárok1!$F$4:$S$124,12,0)</f>
        <v>0</v>
      </c>
      <c r="R91" s="43">
        <f>VLOOKUP(F91,[1]Hárok1!$F$4:$S$124,13,0)</f>
        <v>22</v>
      </c>
      <c r="S91" s="44">
        <f>VLOOKUP(F91,[1]Hárok1!$F$4:$S$124,14,0)</f>
        <v>0</v>
      </c>
      <c r="T91" s="45">
        <f t="shared" si="6"/>
        <v>67</v>
      </c>
      <c r="U91" s="46">
        <f>VLOOKUP(F91,[1]Hárok1!$F$4:$U$124,16,0)</f>
        <v>0</v>
      </c>
      <c r="V91" s="47">
        <f t="shared" si="7"/>
        <v>0</v>
      </c>
      <c r="W91" s="47">
        <f t="shared" si="8"/>
        <v>57.5</v>
      </c>
      <c r="X91" s="48">
        <f t="shared" si="9"/>
        <v>0</v>
      </c>
      <c r="Y91" s="49">
        <f t="shared" si="10"/>
        <v>124.5</v>
      </c>
      <c r="Z91" s="50">
        <f t="shared" si="11"/>
        <v>125</v>
      </c>
    </row>
    <row r="92" spans="1:26" x14ac:dyDescent="0.25">
      <c r="A92" s="29" t="s">
        <v>42</v>
      </c>
      <c r="B92" s="29" t="s">
        <v>226</v>
      </c>
      <c r="C92" s="29" t="s">
        <v>240</v>
      </c>
      <c r="D92" s="29">
        <v>31335225</v>
      </c>
      <c r="E92" s="32" t="s">
        <v>241</v>
      </c>
      <c r="F92" s="29">
        <v>710213530</v>
      </c>
      <c r="G92" s="32" t="s">
        <v>242</v>
      </c>
      <c r="H92" s="32" t="s">
        <v>47</v>
      </c>
      <c r="I92" s="33" t="s">
        <v>243</v>
      </c>
      <c r="J92" s="42">
        <f>VLOOKUP(F92,[1]Hárok1!$F$4:$S$124,5,0)</f>
        <v>0</v>
      </c>
      <c r="K92" s="43">
        <f>VLOOKUP(F92,[1]Hárok1!$F$4:$S$124,6,0)</f>
        <v>0</v>
      </c>
      <c r="L92" s="43">
        <f>VLOOKUP(F92,[1]Hárok1!$F$4:$S$124,7,0)</f>
        <v>0</v>
      </c>
      <c r="M92" s="43">
        <f>VLOOKUP(F92,[1]Hárok1!$F$4:$S$124,8,0)</f>
        <v>0</v>
      </c>
      <c r="N92" s="43">
        <f>VLOOKUP(F92,[1]Hárok1!$F$4:$S$124,9,0)</f>
        <v>0</v>
      </c>
      <c r="O92" s="43">
        <f>VLOOKUP(F92,[1]Hárok1!$F$4:$S$124,10,0)</f>
        <v>0</v>
      </c>
      <c r="P92" s="44">
        <f>VLOOKUP(F92,[1]Hárok1!$F$4:$S$124,11,0)</f>
        <v>0</v>
      </c>
      <c r="Q92" s="42">
        <f>VLOOKUP(F92,[1]Hárok1!$F$4:$S$124,12,0)</f>
        <v>0</v>
      </c>
      <c r="R92" s="43">
        <f>VLOOKUP(F92,[1]Hárok1!$F$4:$S$124,13,0)</f>
        <v>0</v>
      </c>
      <c r="S92" s="44">
        <f>VLOOKUP(F92,[1]Hárok1!$F$4:$S$124,14,0)</f>
        <v>0</v>
      </c>
      <c r="T92" s="45">
        <f t="shared" si="6"/>
        <v>0</v>
      </c>
      <c r="U92" s="46">
        <f>VLOOKUP(F92,[1]Hárok1!$F$4:$U$124,16,0)</f>
        <v>0</v>
      </c>
      <c r="V92" s="47">
        <f t="shared" si="7"/>
        <v>0</v>
      </c>
      <c r="W92" s="47">
        <f t="shared" si="8"/>
        <v>0</v>
      </c>
      <c r="X92" s="48">
        <f t="shared" si="9"/>
        <v>0</v>
      </c>
      <c r="Y92" s="49">
        <f t="shared" si="10"/>
        <v>0</v>
      </c>
      <c r="Z92" s="50">
        <f t="shared" si="11"/>
        <v>0</v>
      </c>
    </row>
    <row r="93" spans="1:26" x14ac:dyDescent="0.25">
      <c r="A93" s="29" t="s">
        <v>42</v>
      </c>
      <c r="B93" s="29" t="s">
        <v>226</v>
      </c>
      <c r="C93" s="29" t="s">
        <v>244</v>
      </c>
      <c r="D93" s="29">
        <v>46482601</v>
      </c>
      <c r="E93" s="32" t="s">
        <v>245</v>
      </c>
      <c r="F93" s="29">
        <v>30795290</v>
      </c>
      <c r="G93" s="32" t="s">
        <v>246</v>
      </c>
      <c r="H93" s="32" t="s">
        <v>47</v>
      </c>
      <c r="I93" s="33" t="s">
        <v>247</v>
      </c>
      <c r="J93" s="42">
        <f>VLOOKUP(F93,[1]Hárok1!$F$4:$S$124,5,0)</f>
        <v>3</v>
      </c>
      <c r="K93" s="43">
        <f>VLOOKUP(F93,[1]Hárok1!$F$4:$S$124,6,0)</f>
        <v>8</v>
      </c>
      <c r="L93" s="43">
        <f>VLOOKUP(F93,[1]Hárok1!$F$4:$S$124,7,0)</f>
        <v>20</v>
      </c>
      <c r="M93" s="43">
        <f>VLOOKUP(F93,[1]Hárok1!$F$4:$S$124,8,0)</f>
        <v>17</v>
      </c>
      <c r="N93" s="43">
        <f>VLOOKUP(F93,[1]Hárok1!$F$4:$S$124,9,0)</f>
        <v>10</v>
      </c>
      <c r="O93" s="43">
        <f>VLOOKUP(F93,[1]Hárok1!$F$4:$S$124,10,0)</f>
        <v>3</v>
      </c>
      <c r="P93" s="44">
        <f>VLOOKUP(F93,[1]Hárok1!$F$4:$S$124,11,0)</f>
        <v>1</v>
      </c>
      <c r="Q93" s="42">
        <f>VLOOKUP(F93,[1]Hárok1!$F$4:$S$124,12,0)</f>
        <v>166</v>
      </c>
      <c r="R93" s="43">
        <f>VLOOKUP(F93,[1]Hárok1!$F$4:$S$124,13,0)</f>
        <v>116</v>
      </c>
      <c r="S93" s="44">
        <f>VLOOKUP(F93,[1]Hárok1!$F$4:$S$124,14,0)</f>
        <v>218</v>
      </c>
      <c r="T93" s="45">
        <f t="shared" si="6"/>
        <v>670</v>
      </c>
      <c r="U93" s="46">
        <f>VLOOKUP(F93,[1]Hárok1!$F$4:$U$124,16,0)</f>
        <v>0</v>
      </c>
      <c r="V93" s="47">
        <f t="shared" si="7"/>
        <v>384</v>
      </c>
      <c r="W93" s="47">
        <f t="shared" si="8"/>
        <v>272.5</v>
      </c>
      <c r="X93" s="48">
        <f t="shared" si="9"/>
        <v>354</v>
      </c>
      <c r="Y93" s="49">
        <f t="shared" si="10"/>
        <v>1680.5</v>
      </c>
      <c r="Z93" s="50">
        <f t="shared" si="11"/>
        <v>1681</v>
      </c>
    </row>
    <row r="94" spans="1:26" x14ac:dyDescent="0.25">
      <c r="A94" s="29" t="s">
        <v>42</v>
      </c>
      <c r="B94" s="29" t="s">
        <v>226</v>
      </c>
      <c r="C94" s="29" t="s">
        <v>248</v>
      </c>
      <c r="D94" s="29">
        <v>37333755</v>
      </c>
      <c r="E94" s="32" t="s">
        <v>249</v>
      </c>
      <c r="F94" s="29">
        <v>36060674</v>
      </c>
      <c r="G94" s="32" t="s">
        <v>250</v>
      </c>
      <c r="H94" s="32" t="s">
        <v>47</v>
      </c>
      <c r="I94" s="33" t="s">
        <v>247</v>
      </c>
      <c r="J94" s="42">
        <f>VLOOKUP(F94,[1]Hárok1!$F$4:$S$124,5,0)</f>
        <v>0</v>
      </c>
      <c r="K94" s="43">
        <f>VLOOKUP(F94,[1]Hárok1!$F$4:$S$124,6,0)</f>
        <v>0</v>
      </c>
      <c r="L94" s="43">
        <f>VLOOKUP(F94,[1]Hárok1!$F$4:$S$124,7,0)</f>
        <v>0</v>
      </c>
      <c r="M94" s="43">
        <f>VLOOKUP(F94,[1]Hárok1!$F$4:$S$124,8,0)</f>
        <v>0</v>
      </c>
      <c r="N94" s="43">
        <f>VLOOKUP(F94,[1]Hárok1!$F$4:$S$124,9,0)</f>
        <v>0</v>
      </c>
      <c r="O94" s="43">
        <f>VLOOKUP(F94,[1]Hárok1!$F$4:$S$124,10,0)</f>
        <v>0</v>
      </c>
      <c r="P94" s="44">
        <f>VLOOKUP(F94,[1]Hárok1!$F$4:$S$124,11,0)</f>
        <v>0</v>
      </c>
      <c r="Q94" s="42">
        <f>VLOOKUP(F94,[1]Hárok1!$F$4:$S$124,12,0)</f>
        <v>0</v>
      </c>
      <c r="R94" s="43">
        <f>VLOOKUP(F94,[1]Hárok1!$F$4:$S$124,13,0)</f>
        <v>0</v>
      </c>
      <c r="S94" s="44">
        <f>VLOOKUP(F94,[1]Hárok1!$F$4:$S$124,14,0)</f>
        <v>0</v>
      </c>
      <c r="T94" s="45">
        <f t="shared" si="6"/>
        <v>0</v>
      </c>
      <c r="U94" s="46">
        <f>VLOOKUP(F94,[1]Hárok1!$F$4:$U$124,16,0)</f>
        <v>0</v>
      </c>
      <c r="V94" s="47">
        <f t="shared" si="7"/>
        <v>0</v>
      </c>
      <c r="W94" s="47">
        <f t="shared" si="8"/>
        <v>0</v>
      </c>
      <c r="X94" s="48">
        <f t="shared" si="9"/>
        <v>0</v>
      </c>
      <c r="Y94" s="49">
        <f t="shared" si="10"/>
        <v>0</v>
      </c>
      <c r="Z94" s="50">
        <f t="shared" si="11"/>
        <v>0</v>
      </c>
    </row>
    <row r="95" spans="1:26" x14ac:dyDescent="0.25">
      <c r="A95" s="29" t="s">
        <v>42</v>
      </c>
      <c r="B95" s="29" t="s">
        <v>226</v>
      </c>
      <c r="C95" s="29" t="s">
        <v>251</v>
      </c>
      <c r="D95" s="29">
        <v>31377491</v>
      </c>
      <c r="E95" s="32" t="s">
        <v>252</v>
      </c>
      <c r="F95" s="29">
        <v>52413250</v>
      </c>
      <c r="G95" s="32" t="s">
        <v>253</v>
      </c>
      <c r="H95" s="32" t="s">
        <v>47</v>
      </c>
      <c r="I95" s="33" t="s">
        <v>243</v>
      </c>
      <c r="J95" s="42">
        <f>VLOOKUP(F95,[1]Hárok1!$F$4:$S$124,5,0)</f>
        <v>2</v>
      </c>
      <c r="K95" s="43">
        <f>VLOOKUP(F95,[1]Hárok1!$F$4:$S$124,6,0)</f>
        <v>0</v>
      </c>
      <c r="L95" s="43">
        <f>VLOOKUP(F95,[1]Hárok1!$F$4:$S$124,7,0)</f>
        <v>11</v>
      </c>
      <c r="M95" s="43">
        <f>VLOOKUP(F95,[1]Hárok1!$F$4:$S$124,8,0)</f>
        <v>0</v>
      </c>
      <c r="N95" s="43">
        <f>VLOOKUP(F95,[1]Hárok1!$F$4:$S$124,9,0)</f>
        <v>0</v>
      </c>
      <c r="O95" s="43">
        <f>VLOOKUP(F95,[1]Hárok1!$F$4:$S$124,10,0)</f>
        <v>2</v>
      </c>
      <c r="P95" s="44">
        <f>VLOOKUP(F95,[1]Hárok1!$F$4:$S$124,11,0)</f>
        <v>1</v>
      </c>
      <c r="Q95" s="42">
        <f>VLOOKUP(F95,[1]Hárok1!$F$4:$S$124,12,0)</f>
        <v>0</v>
      </c>
      <c r="R95" s="43">
        <f>VLOOKUP(F95,[1]Hárok1!$F$4:$S$124,13,0)</f>
        <v>57</v>
      </c>
      <c r="S95" s="44">
        <f>VLOOKUP(F95,[1]Hárok1!$F$4:$S$124,14,0)</f>
        <v>68</v>
      </c>
      <c r="T95" s="45">
        <f t="shared" si="6"/>
        <v>368.5</v>
      </c>
      <c r="U95" s="46">
        <f>VLOOKUP(F95,[1]Hárok1!$F$4:$U$124,16,0)</f>
        <v>0</v>
      </c>
      <c r="V95" s="47">
        <f t="shared" si="7"/>
        <v>0</v>
      </c>
      <c r="W95" s="47">
        <f t="shared" si="8"/>
        <v>141</v>
      </c>
      <c r="X95" s="48">
        <f t="shared" si="9"/>
        <v>129</v>
      </c>
      <c r="Y95" s="49">
        <f t="shared" si="10"/>
        <v>638.5</v>
      </c>
      <c r="Z95" s="50">
        <f t="shared" si="11"/>
        <v>639</v>
      </c>
    </row>
    <row r="96" spans="1:26" x14ac:dyDescent="0.25">
      <c r="A96" s="29" t="s">
        <v>42</v>
      </c>
      <c r="B96" s="29" t="s">
        <v>226</v>
      </c>
      <c r="C96" s="29" t="s">
        <v>254</v>
      </c>
      <c r="D96" s="29">
        <v>35893991</v>
      </c>
      <c r="E96" s="32" t="s">
        <v>255</v>
      </c>
      <c r="F96" s="29">
        <v>710212674</v>
      </c>
      <c r="G96" s="32" t="s">
        <v>256</v>
      </c>
      <c r="H96" s="32" t="s">
        <v>47</v>
      </c>
      <c r="I96" s="33" t="s">
        <v>243</v>
      </c>
      <c r="J96" s="42">
        <f>VLOOKUP(F96,[1]Hárok1!$F$4:$S$124,5,0)</f>
        <v>6</v>
      </c>
      <c r="K96" s="43">
        <f>VLOOKUP(F96,[1]Hárok1!$F$4:$S$124,6,0)</f>
        <v>0</v>
      </c>
      <c r="L96" s="43">
        <f>VLOOKUP(F96,[1]Hárok1!$F$4:$S$124,7,0)</f>
        <v>22</v>
      </c>
      <c r="M96" s="43">
        <f>VLOOKUP(F96,[1]Hárok1!$F$4:$S$124,8,0)</f>
        <v>0</v>
      </c>
      <c r="N96" s="43">
        <f>VLOOKUP(F96,[1]Hárok1!$F$4:$S$124,9,0)</f>
        <v>0</v>
      </c>
      <c r="O96" s="43">
        <f>VLOOKUP(F96,[1]Hárok1!$F$4:$S$124,10,0)</f>
        <v>7</v>
      </c>
      <c r="P96" s="44">
        <f>VLOOKUP(F96,[1]Hárok1!$F$4:$S$124,11,0)</f>
        <v>1</v>
      </c>
      <c r="Q96" s="42">
        <f>VLOOKUP(F96,[1]Hárok1!$F$4:$S$124,12,0)</f>
        <v>0</v>
      </c>
      <c r="R96" s="43">
        <f>VLOOKUP(F96,[1]Hárok1!$F$4:$S$124,13,0)</f>
        <v>181</v>
      </c>
      <c r="S96" s="44">
        <f>VLOOKUP(F96,[1]Hárok1!$F$4:$S$124,14,0)</f>
        <v>62</v>
      </c>
      <c r="T96" s="45">
        <f t="shared" si="6"/>
        <v>737</v>
      </c>
      <c r="U96" s="46">
        <f>VLOOKUP(F96,[1]Hárok1!$F$4:$U$124,16,0)</f>
        <v>0</v>
      </c>
      <c r="V96" s="47">
        <f t="shared" si="7"/>
        <v>0</v>
      </c>
      <c r="W96" s="47">
        <f t="shared" si="8"/>
        <v>456.5</v>
      </c>
      <c r="X96" s="48">
        <f t="shared" si="9"/>
        <v>120</v>
      </c>
      <c r="Y96" s="49">
        <f t="shared" si="10"/>
        <v>1313.5</v>
      </c>
      <c r="Z96" s="50">
        <f t="shared" si="11"/>
        <v>1314</v>
      </c>
    </row>
    <row r="97" spans="1:26" x14ac:dyDescent="0.25">
      <c r="A97" s="29" t="s">
        <v>42</v>
      </c>
      <c r="B97" s="29" t="s">
        <v>226</v>
      </c>
      <c r="C97" s="29" t="s">
        <v>257</v>
      </c>
      <c r="D97" s="29">
        <v>17326192</v>
      </c>
      <c r="E97" s="32" t="s">
        <v>258</v>
      </c>
      <c r="F97" s="29">
        <v>50343971</v>
      </c>
      <c r="G97" s="32" t="s">
        <v>259</v>
      </c>
      <c r="H97" s="32" t="s">
        <v>50</v>
      </c>
      <c r="I97" s="33" t="s">
        <v>260</v>
      </c>
      <c r="J97" s="42">
        <f>VLOOKUP(F97,[1]Hárok1!$F$4:$S$124,5,0)</f>
        <v>12</v>
      </c>
      <c r="K97" s="43">
        <f>VLOOKUP(F97,[1]Hárok1!$F$4:$S$124,6,0)</f>
        <v>0</v>
      </c>
      <c r="L97" s="43">
        <f>VLOOKUP(F97,[1]Hárok1!$F$4:$S$124,7,0)</f>
        <v>29</v>
      </c>
      <c r="M97" s="43">
        <f>VLOOKUP(F97,[1]Hárok1!$F$4:$S$124,8,0)</f>
        <v>0</v>
      </c>
      <c r="N97" s="43">
        <f>VLOOKUP(F97,[1]Hárok1!$F$4:$S$124,9,0)</f>
        <v>0</v>
      </c>
      <c r="O97" s="43">
        <f>VLOOKUP(F97,[1]Hárok1!$F$4:$S$124,10,0)</f>
        <v>15</v>
      </c>
      <c r="P97" s="44">
        <f>VLOOKUP(F97,[1]Hárok1!$F$4:$S$124,11,0)</f>
        <v>1</v>
      </c>
      <c r="Q97" s="42">
        <f>VLOOKUP(F97,[1]Hárok1!$F$4:$S$124,12,0)</f>
        <v>0</v>
      </c>
      <c r="R97" s="43">
        <f>VLOOKUP(F97,[1]Hárok1!$F$4:$S$124,13,0)</f>
        <v>229</v>
      </c>
      <c r="S97" s="44">
        <f>VLOOKUP(F97,[1]Hárok1!$F$4:$S$124,14,0)</f>
        <v>48</v>
      </c>
      <c r="T97" s="45">
        <f t="shared" si="6"/>
        <v>971.5</v>
      </c>
      <c r="U97" s="46">
        <f>VLOOKUP(F97,[1]Hárok1!$F$4:$U$124,16,0)</f>
        <v>0</v>
      </c>
      <c r="V97" s="47">
        <f t="shared" si="7"/>
        <v>0</v>
      </c>
      <c r="W97" s="47">
        <f t="shared" si="8"/>
        <v>660.5</v>
      </c>
      <c r="X97" s="48">
        <f t="shared" si="9"/>
        <v>99</v>
      </c>
      <c r="Y97" s="49">
        <f t="shared" si="10"/>
        <v>1731</v>
      </c>
      <c r="Z97" s="50">
        <f t="shared" si="11"/>
        <v>1731</v>
      </c>
    </row>
    <row r="98" spans="1:26" x14ac:dyDescent="0.25">
      <c r="A98" s="29" t="s">
        <v>42</v>
      </c>
      <c r="B98" s="29" t="s">
        <v>226</v>
      </c>
      <c r="C98" s="29" t="s">
        <v>261</v>
      </c>
      <c r="D98" s="29">
        <v>35972181</v>
      </c>
      <c r="E98" s="32" t="s">
        <v>262</v>
      </c>
      <c r="F98" s="29">
        <v>681881</v>
      </c>
      <c r="G98" s="32" t="s">
        <v>229</v>
      </c>
      <c r="H98" s="32" t="s">
        <v>50</v>
      </c>
      <c r="I98" s="33" t="s">
        <v>263</v>
      </c>
      <c r="J98" s="42">
        <f>VLOOKUP(F98,[1]Hárok1!$F$4:$S$124,5,0)</f>
        <v>8</v>
      </c>
      <c r="K98" s="43">
        <f>VLOOKUP(F98,[1]Hárok1!$F$4:$S$124,6,0)</f>
        <v>0</v>
      </c>
      <c r="L98" s="43">
        <f>VLOOKUP(F98,[1]Hárok1!$F$4:$S$124,7,0)</f>
        <v>47</v>
      </c>
      <c r="M98" s="43">
        <f>VLOOKUP(F98,[1]Hárok1!$F$4:$S$124,8,0)</f>
        <v>0</v>
      </c>
      <c r="N98" s="43">
        <f>VLOOKUP(F98,[1]Hárok1!$F$4:$S$124,9,0)</f>
        <v>0</v>
      </c>
      <c r="O98" s="43">
        <f>VLOOKUP(F98,[1]Hárok1!$F$4:$S$124,10,0)</f>
        <v>11</v>
      </c>
      <c r="P98" s="44">
        <f>VLOOKUP(F98,[1]Hárok1!$F$4:$S$124,11,0)</f>
        <v>1</v>
      </c>
      <c r="Q98" s="42">
        <f>VLOOKUP(F98,[1]Hárok1!$F$4:$S$124,12,0)</f>
        <v>0</v>
      </c>
      <c r="R98" s="43">
        <f>VLOOKUP(F98,[1]Hárok1!$F$4:$S$124,13,0)</f>
        <v>413</v>
      </c>
      <c r="S98" s="44">
        <f>VLOOKUP(F98,[1]Hárok1!$F$4:$S$124,14,0)</f>
        <v>171</v>
      </c>
      <c r="T98" s="45">
        <f t="shared" si="6"/>
        <v>1574.5</v>
      </c>
      <c r="U98" s="46">
        <f>VLOOKUP(F98,[1]Hárok1!$F$4:$U$124,16,0)</f>
        <v>0</v>
      </c>
      <c r="V98" s="47">
        <f t="shared" si="7"/>
        <v>0</v>
      </c>
      <c r="W98" s="47">
        <f t="shared" si="8"/>
        <v>974.5</v>
      </c>
      <c r="X98" s="48">
        <f t="shared" si="9"/>
        <v>283.5</v>
      </c>
      <c r="Y98" s="49">
        <f t="shared" si="10"/>
        <v>2832.5</v>
      </c>
      <c r="Z98" s="50">
        <f t="shared" si="11"/>
        <v>2833</v>
      </c>
    </row>
    <row r="99" spans="1:26" x14ac:dyDescent="0.25">
      <c r="A99" s="29" t="s">
        <v>42</v>
      </c>
      <c r="B99" s="29" t="s">
        <v>226</v>
      </c>
      <c r="C99" s="29" t="s">
        <v>264</v>
      </c>
      <c r="D99" s="29">
        <v>90000303</v>
      </c>
      <c r="E99" s="32" t="s">
        <v>265</v>
      </c>
      <c r="F99" s="29">
        <v>30868645</v>
      </c>
      <c r="G99" s="32" t="s">
        <v>266</v>
      </c>
      <c r="H99" s="32" t="s">
        <v>50</v>
      </c>
      <c r="I99" s="33" t="s">
        <v>111</v>
      </c>
      <c r="J99" s="42">
        <f>VLOOKUP(F99,[1]Hárok1!$F$4:$S$124,5,0)</f>
        <v>2</v>
      </c>
      <c r="K99" s="43">
        <f>VLOOKUP(F99,[1]Hárok1!$F$4:$S$124,6,0)</f>
        <v>0</v>
      </c>
      <c r="L99" s="43">
        <f>VLOOKUP(F99,[1]Hárok1!$F$4:$S$124,7,0)</f>
        <v>11</v>
      </c>
      <c r="M99" s="43">
        <f>VLOOKUP(F99,[1]Hárok1!$F$4:$S$124,8,0)</f>
        <v>0</v>
      </c>
      <c r="N99" s="43">
        <f>VLOOKUP(F99,[1]Hárok1!$F$4:$S$124,9,0)</f>
        <v>0</v>
      </c>
      <c r="O99" s="43">
        <f>VLOOKUP(F99,[1]Hárok1!$F$4:$S$124,10,0)</f>
        <v>2</v>
      </c>
      <c r="P99" s="44">
        <f>VLOOKUP(F99,[1]Hárok1!$F$4:$S$124,11,0)</f>
        <v>0</v>
      </c>
      <c r="Q99" s="42">
        <f>VLOOKUP(F99,[1]Hárok1!$F$4:$S$124,12,0)</f>
        <v>0</v>
      </c>
      <c r="R99" s="43">
        <f>VLOOKUP(F99,[1]Hárok1!$F$4:$S$124,13,0)</f>
        <v>129</v>
      </c>
      <c r="S99" s="44">
        <f>VLOOKUP(F99,[1]Hárok1!$F$4:$S$124,14,0)</f>
        <v>0</v>
      </c>
      <c r="T99" s="45">
        <f t="shared" si="6"/>
        <v>368.5</v>
      </c>
      <c r="U99" s="46">
        <f>VLOOKUP(F99,[1]Hárok1!$F$4:$U$124,16,0)</f>
        <v>0</v>
      </c>
      <c r="V99" s="47">
        <f t="shared" si="7"/>
        <v>0</v>
      </c>
      <c r="W99" s="47">
        <f t="shared" si="8"/>
        <v>285</v>
      </c>
      <c r="X99" s="48">
        <f t="shared" si="9"/>
        <v>0</v>
      </c>
      <c r="Y99" s="49">
        <f t="shared" si="10"/>
        <v>653.5</v>
      </c>
      <c r="Z99" s="50">
        <f t="shared" si="11"/>
        <v>654</v>
      </c>
    </row>
    <row r="100" spans="1:26" x14ac:dyDescent="0.25">
      <c r="A100" s="29" t="s">
        <v>42</v>
      </c>
      <c r="B100" s="29" t="s">
        <v>226</v>
      </c>
      <c r="C100" s="29" t="s">
        <v>267</v>
      </c>
      <c r="D100" s="29">
        <v>46519335</v>
      </c>
      <c r="E100" s="32" t="s">
        <v>268</v>
      </c>
      <c r="F100" s="29">
        <v>42268877</v>
      </c>
      <c r="G100" s="32" t="s">
        <v>269</v>
      </c>
      <c r="H100" s="32" t="s">
        <v>50</v>
      </c>
      <c r="I100" s="33" t="s">
        <v>270</v>
      </c>
      <c r="J100" s="42">
        <f>VLOOKUP(F100,[1]Hárok1!$F$4:$S$124,5,0)</f>
        <v>0</v>
      </c>
      <c r="K100" s="43">
        <f>VLOOKUP(F100,[1]Hárok1!$F$4:$S$124,6,0)</f>
        <v>0</v>
      </c>
      <c r="L100" s="43">
        <f>VLOOKUP(F100,[1]Hárok1!$F$4:$S$124,7,0)</f>
        <v>0</v>
      </c>
      <c r="M100" s="43">
        <f>VLOOKUP(F100,[1]Hárok1!$F$4:$S$124,8,0)</f>
        <v>0</v>
      </c>
      <c r="N100" s="43">
        <f>VLOOKUP(F100,[1]Hárok1!$F$4:$S$124,9,0)</f>
        <v>0</v>
      </c>
      <c r="O100" s="43">
        <f>VLOOKUP(F100,[1]Hárok1!$F$4:$S$124,10,0)</f>
        <v>0</v>
      </c>
      <c r="P100" s="44">
        <f>VLOOKUP(F100,[1]Hárok1!$F$4:$S$124,11,0)</f>
        <v>0</v>
      </c>
      <c r="Q100" s="42">
        <f>VLOOKUP(F100,[1]Hárok1!$F$4:$S$124,12,0)</f>
        <v>0</v>
      </c>
      <c r="R100" s="43">
        <f>VLOOKUP(F100,[1]Hárok1!$F$4:$S$124,13,0)</f>
        <v>0</v>
      </c>
      <c r="S100" s="44">
        <f>VLOOKUP(F100,[1]Hárok1!$F$4:$S$124,14,0)</f>
        <v>0</v>
      </c>
      <c r="T100" s="45">
        <f t="shared" si="6"/>
        <v>0</v>
      </c>
      <c r="U100" s="46">
        <f>VLOOKUP(F100,[1]Hárok1!$F$4:$U$124,16,0)</f>
        <v>0</v>
      </c>
      <c r="V100" s="47">
        <f t="shared" si="7"/>
        <v>0</v>
      </c>
      <c r="W100" s="47">
        <f t="shared" si="8"/>
        <v>0</v>
      </c>
      <c r="X100" s="48">
        <f t="shared" si="9"/>
        <v>0</v>
      </c>
      <c r="Y100" s="49">
        <f t="shared" si="10"/>
        <v>0</v>
      </c>
      <c r="Z100" s="50">
        <f t="shared" si="11"/>
        <v>0</v>
      </c>
    </row>
    <row r="101" spans="1:26" x14ac:dyDescent="0.25">
      <c r="A101" s="29" t="s">
        <v>42</v>
      </c>
      <c r="B101" s="29" t="s">
        <v>226</v>
      </c>
      <c r="C101" s="29" t="s">
        <v>271</v>
      </c>
      <c r="D101" s="29">
        <v>90000330</v>
      </c>
      <c r="E101" s="32" t="s">
        <v>272</v>
      </c>
      <c r="F101" s="29">
        <v>31792952</v>
      </c>
      <c r="G101" s="32" t="s">
        <v>273</v>
      </c>
      <c r="H101" s="32" t="s">
        <v>50</v>
      </c>
      <c r="I101" s="33" t="s">
        <v>113</v>
      </c>
      <c r="J101" s="42">
        <f>VLOOKUP(F101,[1]Hárok1!$F$4:$S$124,5,0)</f>
        <v>7</v>
      </c>
      <c r="K101" s="43">
        <f>VLOOKUP(F101,[1]Hárok1!$F$4:$S$124,6,0)</f>
        <v>1</v>
      </c>
      <c r="L101" s="43">
        <f>VLOOKUP(F101,[1]Hárok1!$F$4:$S$124,7,0)</f>
        <v>33</v>
      </c>
      <c r="M101" s="43">
        <f>VLOOKUP(F101,[1]Hárok1!$F$4:$S$124,8,0)</f>
        <v>2</v>
      </c>
      <c r="N101" s="43">
        <f>VLOOKUP(F101,[1]Hárok1!$F$4:$S$124,9,0)</f>
        <v>0</v>
      </c>
      <c r="O101" s="43">
        <f>VLOOKUP(F101,[1]Hárok1!$F$4:$S$124,10,0)</f>
        <v>11</v>
      </c>
      <c r="P101" s="44">
        <f>VLOOKUP(F101,[1]Hárok1!$F$4:$S$124,11,0)</f>
        <v>1</v>
      </c>
      <c r="Q101" s="42">
        <f>VLOOKUP(F101,[1]Hárok1!$F$4:$S$124,12,0)</f>
        <v>0</v>
      </c>
      <c r="R101" s="43">
        <f>VLOOKUP(F101,[1]Hárok1!$F$4:$S$124,13,0)</f>
        <v>230</v>
      </c>
      <c r="S101" s="44">
        <f>VLOOKUP(F101,[1]Hárok1!$F$4:$S$124,14,0)</f>
        <v>75</v>
      </c>
      <c r="T101" s="45">
        <f t="shared" si="6"/>
        <v>1105.5</v>
      </c>
      <c r="U101" s="46">
        <f>VLOOKUP(F101,[1]Hárok1!$F$4:$U$124,16,0)</f>
        <v>0</v>
      </c>
      <c r="V101" s="47">
        <f t="shared" si="7"/>
        <v>0</v>
      </c>
      <c r="W101" s="47">
        <f t="shared" si="8"/>
        <v>608.5</v>
      </c>
      <c r="X101" s="48">
        <f t="shared" si="9"/>
        <v>139.5</v>
      </c>
      <c r="Y101" s="49">
        <f t="shared" si="10"/>
        <v>1853.5</v>
      </c>
      <c r="Z101" s="50">
        <f t="shared" si="11"/>
        <v>1854</v>
      </c>
    </row>
    <row r="102" spans="1:26" x14ac:dyDescent="0.25">
      <c r="A102" s="29" t="s">
        <v>42</v>
      </c>
      <c r="B102" s="29" t="s">
        <v>226</v>
      </c>
      <c r="C102" s="29" t="s">
        <v>274</v>
      </c>
      <c r="D102" s="29">
        <v>90000324</v>
      </c>
      <c r="E102" s="32" t="s">
        <v>275</v>
      </c>
      <c r="F102" s="29">
        <v>30805473</v>
      </c>
      <c r="G102" s="32" t="s">
        <v>276</v>
      </c>
      <c r="H102" s="32" t="s">
        <v>277</v>
      </c>
      <c r="I102" s="33" t="s">
        <v>278</v>
      </c>
      <c r="J102" s="42">
        <f>VLOOKUP(F102,[1]Hárok1!$F$4:$S$124,5,0)</f>
        <v>8</v>
      </c>
      <c r="K102" s="43">
        <f>VLOOKUP(F102,[1]Hárok1!$F$4:$S$124,6,0)</f>
        <v>0</v>
      </c>
      <c r="L102" s="43">
        <f>VLOOKUP(F102,[1]Hárok1!$F$4:$S$124,7,0)</f>
        <v>26</v>
      </c>
      <c r="M102" s="43">
        <f>VLOOKUP(F102,[1]Hárok1!$F$4:$S$124,8,0)</f>
        <v>0</v>
      </c>
      <c r="N102" s="43">
        <f>VLOOKUP(F102,[1]Hárok1!$F$4:$S$124,9,0)</f>
        <v>0</v>
      </c>
      <c r="O102" s="43">
        <f>VLOOKUP(F102,[1]Hárok1!$F$4:$S$124,10,0)</f>
        <v>10</v>
      </c>
      <c r="P102" s="44">
        <f>VLOOKUP(F102,[1]Hárok1!$F$4:$S$124,11,0)</f>
        <v>1</v>
      </c>
      <c r="Q102" s="42">
        <f>VLOOKUP(F102,[1]Hárok1!$F$4:$S$124,12,0)</f>
        <v>0</v>
      </c>
      <c r="R102" s="43">
        <f>VLOOKUP(F102,[1]Hárok1!$F$4:$S$124,13,0)</f>
        <v>221</v>
      </c>
      <c r="S102" s="44">
        <f>VLOOKUP(F102,[1]Hárok1!$F$4:$S$124,14,0)</f>
        <v>27</v>
      </c>
      <c r="T102" s="45">
        <f t="shared" si="6"/>
        <v>871</v>
      </c>
      <c r="U102" s="46">
        <f>VLOOKUP(F102,[1]Hárok1!$F$4:$U$124,16,0)</f>
        <v>0</v>
      </c>
      <c r="V102" s="47">
        <f t="shared" si="7"/>
        <v>0</v>
      </c>
      <c r="W102" s="47">
        <f t="shared" si="8"/>
        <v>577</v>
      </c>
      <c r="X102" s="48">
        <f t="shared" si="9"/>
        <v>67.5</v>
      </c>
      <c r="Y102" s="49">
        <f t="shared" si="10"/>
        <v>1515.5</v>
      </c>
      <c r="Z102" s="50">
        <f t="shared" si="11"/>
        <v>1516</v>
      </c>
    </row>
    <row r="103" spans="1:26" x14ac:dyDescent="0.25">
      <c r="A103" s="29" t="s">
        <v>42</v>
      </c>
      <c r="B103" s="29" t="s">
        <v>226</v>
      </c>
      <c r="C103" s="29" t="s">
        <v>279</v>
      </c>
      <c r="D103" s="29">
        <v>35839236</v>
      </c>
      <c r="E103" s="32" t="s">
        <v>280</v>
      </c>
      <c r="F103" s="29">
        <v>30792975</v>
      </c>
      <c r="G103" s="32" t="s">
        <v>281</v>
      </c>
      <c r="H103" s="32" t="s">
        <v>55</v>
      </c>
      <c r="I103" s="33" t="s">
        <v>282</v>
      </c>
      <c r="J103" s="42">
        <f>VLOOKUP(F103,[1]Hárok1!$F$4:$S$124,5,0)</f>
        <v>3</v>
      </c>
      <c r="K103" s="43">
        <f>VLOOKUP(F103,[1]Hárok1!$F$4:$S$124,6,0)</f>
        <v>0</v>
      </c>
      <c r="L103" s="43">
        <f>VLOOKUP(F103,[1]Hárok1!$F$4:$S$124,7,0)</f>
        <v>20</v>
      </c>
      <c r="M103" s="43">
        <f>VLOOKUP(F103,[1]Hárok1!$F$4:$S$124,8,0)</f>
        <v>0</v>
      </c>
      <c r="N103" s="43">
        <f>VLOOKUP(F103,[1]Hárok1!$F$4:$S$124,9,0)</f>
        <v>0</v>
      </c>
      <c r="O103" s="43">
        <f>VLOOKUP(F103,[1]Hárok1!$F$4:$S$124,10,0)</f>
        <v>3</v>
      </c>
      <c r="P103" s="44">
        <f>VLOOKUP(F103,[1]Hárok1!$F$4:$S$124,11,0)</f>
        <v>1</v>
      </c>
      <c r="Q103" s="42">
        <f>VLOOKUP(F103,[1]Hárok1!$F$4:$S$124,12,0)</f>
        <v>0</v>
      </c>
      <c r="R103" s="43">
        <f>VLOOKUP(F103,[1]Hárok1!$F$4:$S$124,13,0)</f>
        <v>166</v>
      </c>
      <c r="S103" s="44">
        <f>VLOOKUP(F103,[1]Hárok1!$F$4:$S$124,14,0)</f>
        <v>59</v>
      </c>
      <c r="T103" s="45">
        <f t="shared" si="6"/>
        <v>670</v>
      </c>
      <c r="U103" s="46">
        <f>VLOOKUP(F103,[1]Hárok1!$F$4:$U$124,16,0)</f>
        <v>0</v>
      </c>
      <c r="V103" s="47">
        <f t="shared" si="7"/>
        <v>0</v>
      </c>
      <c r="W103" s="47">
        <f t="shared" si="8"/>
        <v>372.5</v>
      </c>
      <c r="X103" s="48">
        <f t="shared" si="9"/>
        <v>115.5</v>
      </c>
      <c r="Y103" s="49">
        <f t="shared" si="10"/>
        <v>1158</v>
      </c>
      <c r="Z103" s="50">
        <f t="shared" si="11"/>
        <v>1158</v>
      </c>
    </row>
    <row r="104" spans="1:26" x14ac:dyDescent="0.25">
      <c r="A104" s="51" t="s">
        <v>42</v>
      </c>
      <c r="B104" s="51" t="s">
        <v>226</v>
      </c>
      <c r="C104" s="51" t="s">
        <v>283</v>
      </c>
      <c r="D104" s="51">
        <v>52146073</v>
      </c>
      <c r="E104" s="32" t="s">
        <v>284</v>
      </c>
      <c r="F104" s="51">
        <v>55125450</v>
      </c>
      <c r="G104" s="32" t="s">
        <v>285</v>
      </c>
      <c r="H104" s="32" t="s">
        <v>55</v>
      </c>
      <c r="I104" s="33" t="s">
        <v>286</v>
      </c>
      <c r="J104" s="42">
        <f>VLOOKUP(F104,[1]Hárok1!$F$4:$S$124,5,0)</f>
        <v>3</v>
      </c>
      <c r="K104" s="43">
        <f>VLOOKUP(F104,[1]Hárok1!$F$4:$S$124,6,0)</f>
        <v>0</v>
      </c>
      <c r="L104" s="43">
        <f>VLOOKUP(F104,[1]Hárok1!$F$4:$S$124,7,0)</f>
        <v>6</v>
      </c>
      <c r="M104" s="43">
        <f>VLOOKUP(F104,[1]Hárok1!$F$4:$S$124,8,0)</f>
        <v>0</v>
      </c>
      <c r="N104" s="43">
        <f>VLOOKUP(F104,[1]Hárok1!$F$4:$S$124,9,0)</f>
        <v>0</v>
      </c>
      <c r="O104" s="43">
        <f>VLOOKUP(F104,[1]Hárok1!$F$4:$S$124,10,0)</f>
        <v>3</v>
      </c>
      <c r="P104" s="44">
        <f>VLOOKUP(F104,[1]Hárok1!$F$4:$S$124,11,0)</f>
        <v>0</v>
      </c>
      <c r="Q104" s="42">
        <f>VLOOKUP(F104,[1]Hárok1!$F$4:$S$124,12,0)</f>
        <v>0</v>
      </c>
      <c r="R104" s="43">
        <f>VLOOKUP(F104,[1]Hárok1!$F$4:$S$124,13,0)</f>
        <v>43</v>
      </c>
      <c r="S104" s="44">
        <f>VLOOKUP(F104,[1]Hárok1!$F$4:$S$124,14,0)</f>
        <v>0</v>
      </c>
      <c r="T104" s="45">
        <f t="shared" si="6"/>
        <v>201</v>
      </c>
      <c r="U104" s="46">
        <f>VLOOKUP(F104,[1]Hárok1!$F$4:$U$124,16,0)</f>
        <v>0</v>
      </c>
      <c r="V104" s="47">
        <f t="shared" si="7"/>
        <v>0</v>
      </c>
      <c r="W104" s="47">
        <f t="shared" si="8"/>
        <v>126.5</v>
      </c>
      <c r="X104" s="48">
        <f t="shared" si="9"/>
        <v>0</v>
      </c>
      <c r="Y104" s="49">
        <f t="shared" si="10"/>
        <v>327.5</v>
      </c>
      <c r="Z104" s="50">
        <f t="shared" si="11"/>
        <v>328</v>
      </c>
    </row>
    <row r="105" spans="1:26" x14ac:dyDescent="0.25">
      <c r="A105" s="29" t="s">
        <v>42</v>
      </c>
      <c r="B105" s="29" t="s">
        <v>226</v>
      </c>
      <c r="C105" s="29" t="s">
        <v>287</v>
      </c>
      <c r="D105" s="29">
        <v>35923890</v>
      </c>
      <c r="E105" s="32" t="s">
        <v>288</v>
      </c>
      <c r="F105" s="29">
        <v>30858321</v>
      </c>
      <c r="G105" s="32" t="s">
        <v>276</v>
      </c>
      <c r="H105" s="32" t="s">
        <v>55</v>
      </c>
      <c r="I105" s="33" t="s">
        <v>289</v>
      </c>
      <c r="J105" s="42">
        <f>VLOOKUP(F105,[1]Hárok1!$F$4:$S$124,5,0)</f>
        <v>14</v>
      </c>
      <c r="K105" s="43">
        <f>VLOOKUP(F105,[1]Hárok1!$F$4:$S$124,6,0)</f>
        <v>0</v>
      </c>
      <c r="L105" s="43">
        <f>VLOOKUP(F105,[1]Hárok1!$F$4:$S$124,7,0)</f>
        <v>41</v>
      </c>
      <c r="M105" s="43">
        <f>VLOOKUP(F105,[1]Hárok1!$F$4:$S$124,8,0)</f>
        <v>0</v>
      </c>
      <c r="N105" s="43">
        <f>VLOOKUP(F105,[1]Hárok1!$F$4:$S$124,9,0)</f>
        <v>1</v>
      </c>
      <c r="O105" s="43">
        <f>VLOOKUP(F105,[1]Hárok1!$F$4:$S$124,10,0)</f>
        <v>20</v>
      </c>
      <c r="P105" s="44">
        <f>VLOOKUP(F105,[1]Hárok1!$F$4:$S$124,11,0)</f>
        <v>1</v>
      </c>
      <c r="Q105" s="42">
        <f>VLOOKUP(F105,[1]Hárok1!$F$4:$S$124,12,0)</f>
        <v>13</v>
      </c>
      <c r="R105" s="43">
        <f>VLOOKUP(F105,[1]Hárok1!$F$4:$S$124,13,0)</f>
        <v>340</v>
      </c>
      <c r="S105" s="44">
        <f>VLOOKUP(F105,[1]Hárok1!$F$4:$S$124,14,0)</f>
        <v>63</v>
      </c>
      <c r="T105" s="45">
        <f t="shared" si="6"/>
        <v>1373.5</v>
      </c>
      <c r="U105" s="46">
        <f>VLOOKUP(F105,[1]Hárok1!$F$4:$U$124,16,0)</f>
        <v>0</v>
      </c>
      <c r="V105" s="47">
        <f t="shared" si="7"/>
        <v>33</v>
      </c>
      <c r="W105" s="47">
        <f t="shared" si="8"/>
        <v>950</v>
      </c>
      <c r="X105" s="48">
        <f t="shared" si="9"/>
        <v>121.5</v>
      </c>
      <c r="Y105" s="49">
        <f t="shared" si="10"/>
        <v>2478</v>
      </c>
      <c r="Z105" s="50">
        <f t="shared" si="11"/>
        <v>2478</v>
      </c>
    </row>
    <row r="106" spans="1:26" x14ac:dyDescent="0.25">
      <c r="A106" s="29" t="s">
        <v>42</v>
      </c>
      <c r="B106" s="29" t="s">
        <v>226</v>
      </c>
      <c r="C106" s="29" t="s">
        <v>290</v>
      </c>
      <c r="D106" s="29">
        <v>50073893</v>
      </c>
      <c r="E106" s="32" t="s">
        <v>291</v>
      </c>
      <c r="F106" s="29">
        <v>891657</v>
      </c>
      <c r="G106" s="32" t="s">
        <v>292</v>
      </c>
      <c r="H106" s="32" t="s">
        <v>293</v>
      </c>
      <c r="I106" s="33" t="s">
        <v>294</v>
      </c>
      <c r="J106" s="42">
        <f>VLOOKUP(F106,[1]Hárok1!$F$4:$S$124,5,0)</f>
        <v>6</v>
      </c>
      <c r="K106" s="43">
        <f>VLOOKUP(F106,[1]Hárok1!$F$4:$S$124,6,0)</f>
        <v>2</v>
      </c>
      <c r="L106" s="43">
        <f>VLOOKUP(F106,[1]Hárok1!$F$4:$S$124,7,0)</f>
        <v>27</v>
      </c>
      <c r="M106" s="43">
        <f>VLOOKUP(F106,[1]Hárok1!$F$4:$S$124,8,0)</f>
        <v>5</v>
      </c>
      <c r="N106" s="43">
        <f>VLOOKUP(F106,[1]Hárok1!$F$4:$S$124,9,0)</f>
        <v>2</v>
      </c>
      <c r="O106" s="43">
        <f>VLOOKUP(F106,[1]Hárok1!$F$4:$S$124,10,0)</f>
        <v>7</v>
      </c>
      <c r="P106" s="44">
        <f>VLOOKUP(F106,[1]Hárok1!$F$4:$S$124,11,0)</f>
        <v>1</v>
      </c>
      <c r="Q106" s="42">
        <f>VLOOKUP(F106,[1]Hárok1!$F$4:$S$124,12,0)</f>
        <v>33</v>
      </c>
      <c r="R106" s="43">
        <f>VLOOKUP(F106,[1]Hárok1!$F$4:$S$124,13,0)</f>
        <v>149</v>
      </c>
      <c r="S106" s="44">
        <f>VLOOKUP(F106,[1]Hárok1!$F$4:$S$124,14,0)</f>
        <v>109</v>
      </c>
      <c r="T106" s="45">
        <f t="shared" si="6"/>
        <v>904.5</v>
      </c>
      <c r="U106" s="46">
        <f>VLOOKUP(F106,[1]Hárok1!$F$4:$U$124,16,0)</f>
        <v>0</v>
      </c>
      <c r="V106" s="47">
        <f t="shared" si="7"/>
        <v>76.5</v>
      </c>
      <c r="W106" s="47">
        <f t="shared" si="8"/>
        <v>392.5</v>
      </c>
      <c r="X106" s="48">
        <f t="shared" si="9"/>
        <v>190.5</v>
      </c>
      <c r="Y106" s="49">
        <f t="shared" si="10"/>
        <v>1564</v>
      </c>
      <c r="Z106" s="50">
        <f t="shared" si="11"/>
        <v>1564</v>
      </c>
    </row>
    <row r="107" spans="1:26" x14ac:dyDescent="0.25">
      <c r="A107" s="29" t="s">
        <v>42</v>
      </c>
      <c r="B107" s="29" t="s">
        <v>226</v>
      </c>
      <c r="C107" s="29" t="s">
        <v>295</v>
      </c>
      <c r="D107" s="29">
        <v>13999745</v>
      </c>
      <c r="E107" s="32" t="s">
        <v>296</v>
      </c>
      <c r="F107" s="29">
        <v>30804825</v>
      </c>
      <c r="G107" s="32" t="s">
        <v>297</v>
      </c>
      <c r="H107" s="32" t="s">
        <v>57</v>
      </c>
      <c r="I107" s="33" t="s">
        <v>298</v>
      </c>
      <c r="J107" s="42">
        <f>VLOOKUP(F107,[1]Hárok1!$F$4:$S$124,5,0)</f>
        <v>3</v>
      </c>
      <c r="K107" s="43">
        <f>VLOOKUP(F107,[1]Hárok1!$F$4:$S$124,6,0)</f>
        <v>4</v>
      </c>
      <c r="L107" s="43">
        <f>VLOOKUP(F107,[1]Hárok1!$F$4:$S$124,7,0)</f>
        <v>22</v>
      </c>
      <c r="M107" s="43">
        <f>VLOOKUP(F107,[1]Hárok1!$F$4:$S$124,8,0)</f>
        <v>11</v>
      </c>
      <c r="N107" s="43">
        <f>VLOOKUP(F107,[1]Hárok1!$F$4:$S$124,9,0)</f>
        <v>7</v>
      </c>
      <c r="O107" s="43">
        <f>VLOOKUP(F107,[1]Hárok1!$F$4:$S$124,10,0)</f>
        <v>3</v>
      </c>
      <c r="P107" s="44">
        <f>VLOOKUP(F107,[1]Hárok1!$F$4:$S$124,11,0)</f>
        <v>1</v>
      </c>
      <c r="Q107" s="42">
        <f>VLOOKUP(F107,[1]Hárok1!$F$4:$S$124,12,0)</f>
        <v>84</v>
      </c>
      <c r="R107" s="43">
        <f>VLOOKUP(F107,[1]Hárok1!$F$4:$S$124,13,0)</f>
        <v>136</v>
      </c>
      <c r="S107" s="44">
        <f>VLOOKUP(F107,[1]Hárok1!$F$4:$S$124,14,0)</f>
        <v>29</v>
      </c>
      <c r="T107" s="45">
        <f t="shared" si="6"/>
        <v>737</v>
      </c>
      <c r="U107" s="46">
        <f>VLOOKUP(F107,[1]Hárok1!$F$4:$U$124,16,0)</f>
        <v>0</v>
      </c>
      <c r="V107" s="47">
        <f t="shared" si="7"/>
        <v>220.5</v>
      </c>
      <c r="W107" s="47">
        <f t="shared" si="8"/>
        <v>312.5</v>
      </c>
      <c r="X107" s="48">
        <f t="shared" si="9"/>
        <v>70.5</v>
      </c>
      <c r="Y107" s="49">
        <f t="shared" si="10"/>
        <v>1340.5</v>
      </c>
      <c r="Z107" s="50">
        <f t="shared" si="11"/>
        <v>1341</v>
      </c>
    </row>
    <row r="108" spans="1:26" x14ac:dyDescent="0.25">
      <c r="A108" s="29" t="s">
        <v>42</v>
      </c>
      <c r="B108" s="29" t="s">
        <v>226</v>
      </c>
      <c r="C108" s="29" t="s">
        <v>299</v>
      </c>
      <c r="D108" s="29">
        <v>90000112</v>
      </c>
      <c r="E108" s="32" t="s">
        <v>300</v>
      </c>
      <c r="F108" s="29">
        <v>30865425</v>
      </c>
      <c r="G108" s="32" t="s">
        <v>301</v>
      </c>
      <c r="H108" s="32" t="s">
        <v>57</v>
      </c>
      <c r="I108" s="33" t="s">
        <v>302</v>
      </c>
      <c r="J108" s="42">
        <f>VLOOKUP(F108,[1]Hárok1!$F$4:$S$124,5,0)</f>
        <v>0</v>
      </c>
      <c r="K108" s="43">
        <f>VLOOKUP(F108,[1]Hárok1!$F$4:$S$124,6,0)</f>
        <v>1</v>
      </c>
      <c r="L108" s="43">
        <f>VLOOKUP(F108,[1]Hárok1!$F$4:$S$124,7,0)</f>
        <v>0</v>
      </c>
      <c r="M108" s="43">
        <f>VLOOKUP(F108,[1]Hárok1!$F$4:$S$124,8,0)</f>
        <v>3</v>
      </c>
      <c r="N108" s="43">
        <f>VLOOKUP(F108,[1]Hárok1!$F$4:$S$124,9,0)</f>
        <v>0</v>
      </c>
      <c r="O108" s="43">
        <f>VLOOKUP(F108,[1]Hárok1!$F$4:$S$124,10,0)</f>
        <v>1</v>
      </c>
      <c r="P108" s="44">
        <f>VLOOKUP(F108,[1]Hárok1!$F$4:$S$124,11,0)</f>
        <v>0</v>
      </c>
      <c r="Q108" s="42">
        <f>VLOOKUP(F108,[1]Hárok1!$F$4:$S$124,12,0)</f>
        <v>0</v>
      </c>
      <c r="R108" s="43">
        <f>VLOOKUP(F108,[1]Hárok1!$F$4:$S$124,13,0)</f>
        <v>1</v>
      </c>
      <c r="S108" s="44">
        <f>VLOOKUP(F108,[1]Hárok1!$F$4:$S$124,14,0)</f>
        <v>0</v>
      </c>
      <c r="T108" s="45">
        <f t="shared" si="6"/>
        <v>0</v>
      </c>
      <c r="U108" s="46">
        <f>VLOOKUP(F108,[1]Hárok1!$F$4:$U$124,16,0)</f>
        <v>29.7</v>
      </c>
      <c r="V108" s="47">
        <f t="shared" si="7"/>
        <v>0</v>
      </c>
      <c r="W108" s="47">
        <f t="shared" si="8"/>
        <v>15.5</v>
      </c>
      <c r="X108" s="48">
        <f t="shared" si="9"/>
        <v>0</v>
      </c>
      <c r="Y108" s="49">
        <f t="shared" si="10"/>
        <v>45.2</v>
      </c>
      <c r="Z108" s="50">
        <f t="shared" si="11"/>
        <v>45</v>
      </c>
    </row>
    <row r="109" spans="1:26" x14ac:dyDescent="0.25">
      <c r="A109" s="29" t="s">
        <v>42</v>
      </c>
      <c r="B109" s="29" t="s">
        <v>226</v>
      </c>
      <c r="C109" s="29" t="s">
        <v>303</v>
      </c>
      <c r="D109" s="29">
        <v>30851581</v>
      </c>
      <c r="E109" s="32" t="s">
        <v>304</v>
      </c>
      <c r="F109" s="29">
        <v>30797969</v>
      </c>
      <c r="G109" s="32" t="s">
        <v>305</v>
      </c>
      <c r="H109" s="32" t="s">
        <v>60</v>
      </c>
      <c r="I109" s="33" t="s">
        <v>306</v>
      </c>
      <c r="J109" s="42">
        <f>VLOOKUP(F109,[1]Hárok1!$F$4:$S$124,5,0)</f>
        <v>5</v>
      </c>
      <c r="K109" s="43">
        <f>VLOOKUP(F109,[1]Hárok1!$F$4:$S$124,6,0)</f>
        <v>0</v>
      </c>
      <c r="L109" s="43">
        <f>VLOOKUP(F109,[1]Hárok1!$F$4:$S$124,7,0)</f>
        <v>17</v>
      </c>
      <c r="M109" s="43">
        <f>VLOOKUP(F109,[1]Hárok1!$F$4:$S$124,8,0)</f>
        <v>0</v>
      </c>
      <c r="N109" s="43">
        <f>VLOOKUP(F109,[1]Hárok1!$F$4:$S$124,9,0)</f>
        <v>0</v>
      </c>
      <c r="O109" s="43">
        <f>VLOOKUP(F109,[1]Hárok1!$F$4:$S$124,10,0)</f>
        <v>7</v>
      </c>
      <c r="P109" s="44">
        <f>VLOOKUP(F109,[1]Hárok1!$F$4:$S$124,11,0)</f>
        <v>1</v>
      </c>
      <c r="Q109" s="42">
        <f>VLOOKUP(F109,[1]Hárok1!$F$4:$S$124,12,0)</f>
        <v>0</v>
      </c>
      <c r="R109" s="43">
        <f>VLOOKUP(F109,[1]Hárok1!$F$4:$S$124,13,0)</f>
        <v>146</v>
      </c>
      <c r="S109" s="44">
        <f>VLOOKUP(F109,[1]Hárok1!$F$4:$S$124,14,0)</f>
        <v>152</v>
      </c>
      <c r="T109" s="45">
        <f t="shared" si="6"/>
        <v>569.5</v>
      </c>
      <c r="U109" s="46">
        <f>VLOOKUP(F109,[1]Hárok1!$F$4:$U$124,16,0)</f>
        <v>0</v>
      </c>
      <c r="V109" s="47">
        <f t="shared" si="7"/>
        <v>0</v>
      </c>
      <c r="W109" s="47">
        <f t="shared" si="8"/>
        <v>386.5</v>
      </c>
      <c r="X109" s="48">
        <f t="shared" si="9"/>
        <v>255</v>
      </c>
      <c r="Y109" s="49">
        <f t="shared" si="10"/>
        <v>1211</v>
      </c>
      <c r="Z109" s="50">
        <f t="shared" si="11"/>
        <v>1211</v>
      </c>
    </row>
    <row r="110" spans="1:26" x14ac:dyDescent="0.25">
      <c r="A110" s="29" t="s">
        <v>42</v>
      </c>
      <c r="B110" s="29" t="s">
        <v>226</v>
      </c>
      <c r="C110" s="29" t="s">
        <v>307</v>
      </c>
      <c r="D110" s="29">
        <v>37924745</v>
      </c>
      <c r="E110" s="32" t="s">
        <v>308</v>
      </c>
      <c r="F110" s="29">
        <v>42363501</v>
      </c>
      <c r="G110" s="32" t="s">
        <v>309</v>
      </c>
      <c r="H110" s="32" t="s">
        <v>60</v>
      </c>
      <c r="I110" s="33" t="s">
        <v>310</v>
      </c>
      <c r="J110" s="42">
        <f>VLOOKUP(F110,[1]Hárok1!$F$4:$S$124,5,0)</f>
        <v>10</v>
      </c>
      <c r="K110" s="43">
        <f>VLOOKUP(F110,[1]Hárok1!$F$4:$S$124,6,0)</f>
        <v>0</v>
      </c>
      <c r="L110" s="43">
        <f>VLOOKUP(F110,[1]Hárok1!$F$4:$S$124,7,0)</f>
        <v>28</v>
      </c>
      <c r="M110" s="43">
        <f>VLOOKUP(F110,[1]Hárok1!$F$4:$S$124,8,0)</f>
        <v>0</v>
      </c>
      <c r="N110" s="43">
        <f>VLOOKUP(F110,[1]Hárok1!$F$4:$S$124,9,0)</f>
        <v>1</v>
      </c>
      <c r="O110" s="43">
        <f>VLOOKUP(F110,[1]Hárok1!$F$4:$S$124,10,0)</f>
        <v>10</v>
      </c>
      <c r="P110" s="44">
        <f>VLOOKUP(F110,[1]Hárok1!$F$4:$S$124,11,0)</f>
        <v>1</v>
      </c>
      <c r="Q110" s="42">
        <f>VLOOKUP(F110,[1]Hárok1!$F$4:$S$124,12,0)</f>
        <v>3</v>
      </c>
      <c r="R110" s="43">
        <f>VLOOKUP(F110,[1]Hárok1!$F$4:$S$124,13,0)</f>
        <v>254</v>
      </c>
      <c r="S110" s="44">
        <f>VLOOKUP(F110,[1]Hárok1!$F$4:$S$124,14,0)</f>
        <v>39</v>
      </c>
      <c r="T110" s="45">
        <f t="shared" si="6"/>
        <v>938</v>
      </c>
      <c r="U110" s="46">
        <f>VLOOKUP(F110,[1]Hárok1!$F$4:$U$124,16,0)</f>
        <v>0</v>
      </c>
      <c r="V110" s="47">
        <f t="shared" si="7"/>
        <v>18</v>
      </c>
      <c r="W110" s="47">
        <f t="shared" si="8"/>
        <v>643</v>
      </c>
      <c r="X110" s="48">
        <f t="shared" si="9"/>
        <v>85.5</v>
      </c>
      <c r="Y110" s="49">
        <f t="shared" si="10"/>
        <v>1684.5</v>
      </c>
      <c r="Z110" s="50">
        <f t="shared" si="11"/>
        <v>1685</v>
      </c>
    </row>
    <row r="111" spans="1:26" x14ac:dyDescent="0.25">
      <c r="A111" s="29" t="s">
        <v>42</v>
      </c>
      <c r="B111" s="29" t="s">
        <v>226</v>
      </c>
      <c r="C111" s="29" t="s">
        <v>311</v>
      </c>
      <c r="D111" s="29">
        <v>50638050</v>
      </c>
      <c r="E111" s="32" t="s">
        <v>312</v>
      </c>
      <c r="F111" s="29">
        <v>36070793</v>
      </c>
      <c r="G111" s="32" t="s">
        <v>313</v>
      </c>
      <c r="H111" s="32" t="s">
        <v>66</v>
      </c>
      <c r="I111" s="33" t="s">
        <v>314</v>
      </c>
      <c r="J111" s="42">
        <f>VLOOKUP(F111,[1]Hárok1!$F$4:$S$124,5,0)</f>
        <v>0</v>
      </c>
      <c r="K111" s="43">
        <f>VLOOKUP(F111,[1]Hárok1!$F$4:$S$124,6,0)</f>
        <v>0</v>
      </c>
      <c r="L111" s="43">
        <f>VLOOKUP(F111,[1]Hárok1!$F$4:$S$124,7,0)</f>
        <v>0</v>
      </c>
      <c r="M111" s="43">
        <f>VLOOKUP(F111,[1]Hárok1!$F$4:$S$124,8,0)</f>
        <v>0</v>
      </c>
      <c r="N111" s="43">
        <f>VLOOKUP(F111,[1]Hárok1!$F$4:$S$124,9,0)</f>
        <v>0</v>
      </c>
      <c r="O111" s="43">
        <f>VLOOKUP(F111,[1]Hárok1!$F$4:$S$124,10,0)</f>
        <v>0</v>
      </c>
      <c r="P111" s="44">
        <f>VLOOKUP(F111,[1]Hárok1!$F$4:$S$124,11,0)</f>
        <v>0</v>
      </c>
      <c r="Q111" s="42">
        <f>VLOOKUP(F111,[1]Hárok1!$F$4:$S$124,12,0)</f>
        <v>0</v>
      </c>
      <c r="R111" s="43">
        <f>VLOOKUP(F111,[1]Hárok1!$F$4:$S$124,13,0)</f>
        <v>0</v>
      </c>
      <c r="S111" s="44">
        <f>VLOOKUP(F111,[1]Hárok1!$F$4:$S$124,14,0)</f>
        <v>0</v>
      </c>
      <c r="T111" s="45">
        <f t="shared" si="6"/>
        <v>0</v>
      </c>
      <c r="U111" s="46">
        <f>VLOOKUP(F111,[1]Hárok1!$F$4:$U$124,16,0)</f>
        <v>0</v>
      </c>
      <c r="V111" s="47">
        <f t="shared" si="7"/>
        <v>0</v>
      </c>
      <c r="W111" s="47">
        <f t="shared" si="8"/>
        <v>0</v>
      </c>
      <c r="X111" s="48">
        <f t="shared" si="9"/>
        <v>0</v>
      </c>
      <c r="Y111" s="49">
        <f t="shared" si="10"/>
        <v>0</v>
      </c>
      <c r="Z111" s="50">
        <f t="shared" si="11"/>
        <v>0</v>
      </c>
    </row>
    <row r="112" spans="1:26" x14ac:dyDescent="0.25">
      <c r="A112" s="29" t="s">
        <v>42</v>
      </c>
      <c r="B112" s="29" t="s">
        <v>226</v>
      </c>
      <c r="C112" s="29" t="s">
        <v>315</v>
      </c>
      <c r="D112" s="29">
        <v>30846510</v>
      </c>
      <c r="E112" s="32" t="s">
        <v>316</v>
      </c>
      <c r="F112" s="29">
        <v>53200268</v>
      </c>
      <c r="G112" s="32" t="s">
        <v>317</v>
      </c>
      <c r="H112" s="32" t="s">
        <v>66</v>
      </c>
      <c r="I112" s="33" t="s">
        <v>318</v>
      </c>
      <c r="J112" s="42">
        <f>VLOOKUP(F112,[1]Hárok1!$F$4:$S$124,5,0)</f>
        <v>0</v>
      </c>
      <c r="K112" s="43">
        <f>VLOOKUP(F112,[1]Hárok1!$F$4:$S$124,6,0)</f>
        <v>0</v>
      </c>
      <c r="L112" s="43">
        <f>VLOOKUP(F112,[1]Hárok1!$F$4:$S$124,7,0)</f>
        <v>0</v>
      </c>
      <c r="M112" s="43">
        <f>VLOOKUP(F112,[1]Hárok1!$F$4:$S$124,8,0)</f>
        <v>0</v>
      </c>
      <c r="N112" s="43">
        <f>VLOOKUP(F112,[1]Hárok1!$F$4:$S$124,9,0)</f>
        <v>0</v>
      </c>
      <c r="O112" s="43">
        <f>VLOOKUP(F112,[1]Hárok1!$F$4:$S$124,10,0)</f>
        <v>0</v>
      </c>
      <c r="P112" s="44">
        <f>VLOOKUP(F112,[1]Hárok1!$F$4:$S$124,11,0)</f>
        <v>0</v>
      </c>
      <c r="Q112" s="42">
        <f>VLOOKUP(F112,[1]Hárok1!$F$4:$S$124,12,0)</f>
        <v>0</v>
      </c>
      <c r="R112" s="43">
        <f>VLOOKUP(F112,[1]Hárok1!$F$4:$S$124,13,0)</f>
        <v>0</v>
      </c>
      <c r="S112" s="44">
        <f>VLOOKUP(F112,[1]Hárok1!$F$4:$S$124,14,0)</f>
        <v>0</v>
      </c>
      <c r="T112" s="45">
        <f t="shared" si="6"/>
        <v>0</v>
      </c>
      <c r="U112" s="46">
        <f>VLOOKUP(F112,[1]Hárok1!$F$4:$U$124,16,0)</f>
        <v>0</v>
      </c>
      <c r="V112" s="47">
        <f t="shared" si="7"/>
        <v>0</v>
      </c>
      <c r="W112" s="47">
        <f t="shared" si="8"/>
        <v>0</v>
      </c>
      <c r="X112" s="48">
        <f t="shared" si="9"/>
        <v>0</v>
      </c>
      <c r="Y112" s="49">
        <f t="shared" si="10"/>
        <v>0</v>
      </c>
      <c r="Z112" s="50">
        <f t="shared" si="11"/>
        <v>0</v>
      </c>
    </row>
    <row r="113" spans="1:26" x14ac:dyDescent="0.25">
      <c r="A113" s="29" t="s">
        <v>42</v>
      </c>
      <c r="B113" s="29" t="s">
        <v>226</v>
      </c>
      <c r="C113" s="29" t="s">
        <v>319</v>
      </c>
      <c r="D113" s="29">
        <v>35870494</v>
      </c>
      <c r="E113" s="32" t="s">
        <v>320</v>
      </c>
      <c r="F113" s="29">
        <v>42254647</v>
      </c>
      <c r="G113" s="32" t="s">
        <v>321</v>
      </c>
      <c r="H113" s="32" t="s">
        <v>66</v>
      </c>
      <c r="I113" s="33" t="s">
        <v>155</v>
      </c>
      <c r="J113" s="42">
        <f>VLOOKUP(F113,[1]Hárok1!$F$4:$S$124,5,0)</f>
        <v>7</v>
      </c>
      <c r="K113" s="43">
        <f>VLOOKUP(F113,[1]Hárok1!$F$4:$S$124,6,0)</f>
        <v>1</v>
      </c>
      <c r="L113" s="43">
        <f>VLOOKUP(F113,[1]Hárok1!$F$4:$S$124,7,0)</f>
        <v>34</v>
      </c>
      <c r="M113" s="43">
        <f>VLOOKUP(F113,[1]Hárok1!$F$4:$S$124,8,0)</f>
        <v>8</v>
      </c>
      <c r="N113" s="43">
        <f>VLOOKUP(F113,[1]Hárok1!$F$4:$S$124,9,0)</f>
        <v>1</v>
      </c>
      <c r="O113" s="43">
        <f>VLOOKUP(F113,[1]Hárok1!$F$4:$S$124,10,0)</f>
        <v>8</v>
      </c>
      <c r="P113" s="44">
        <f>VLOOKUP(F113,[1]Hárok1!$F$4:$S$124,11,0)</f>
        <v>2</v>
      </c>
      <c r="Q113" s="42">
        <f>VLOOKUP(F113,[1]Hárok1!$F$4:$S$124,12,0)</f>
        <v>31</v>
      </c>
      <c r="R113" s="43">
        <f>VLOOKUP(F113,[1]Hárok1!$F$4:$S$124,13,0)</f>
        <v>372</v>
      </c>
      <c r="S113" s="44">
        <f>VLOOKUP(F113,[1]Hárok1!$F$4:$S$124,14,0)</f>
        <v>190</v>
      </c>
      <c r="T113" s="45">
        <f t="shared" si="6"/>
        <v>1139</v>
      </c>
      <c r="U113" s="46">
        <f>VLOOKUP(F113,[1]Hárok1!$F$4:$U$124,16,0)</f>
        <v>0</v>
      </c>
      <c r="V113" s="47">
        <f t="shared" si="7"/>
        <v>60</v>
      </c>
      <c r="W113" s="47">
        <f t="shared" si="8"/>
        <v>852</v>
      </c>
      <c r="X113" s="48">
        <f t="shared" si="9"/>
        <v>339</v>
      </c>
      <c r="Y113" s="49">
        <f t="shared" si="10"/>
        <v>2390</v>
      </c>
      <c r="Z113" s="50">
        <f t="shared" si="11"/>
        <v>2390</v>
      </c>
    </row>
    <row r="114" spans="1:26" x14ac:dyDescent="0.25">
      <c r="A114" s="29" t="s">
        <v>42</v>
      </c>
      <c r="B114" s="29" t="s">
        <v>226</v>
      </c>
      <c r="C114" s="29" t="s">
        <v>322</v>
      </c>
      <c r="D114" s="29">
        <v>35872144</v>
      </c>
      <c r="E114" s="32" t="s">
        <v>323</v>
      </c>
      <c r="F114" s="29">
        <v>30849934</v>
      </c>
      <c r="G114" s="32" t="s">
        <v>324</v>
      </c>
      <c r="H114" s="32" t="s">
        <v>66</v>
      </c>
      <c r="I114" s="33" t="s">
        <v>325</v>
      </c>
      <c r="J114" s="42">
        <f>VLOOKUP(F114,[1]Hárok1!$F$4:$S$124,5,0)</f>
        <v>1</v>
      </c>
      <c r="K114" s="43">
        <f>VLOOKUP(F114,[1]Hárok1!$F$4:$S$124,6,0)</f>
        <v>0</v>
      </c>
      <c r="L114" s="43">
        <f>VLOOKUP(F114,[1]Hárok1!$F$4:$S$124,7,0)</f>
        <v>6</v>
      </c>
      <c r="M114" s="43">
        <f>VLOOKUP(F114,[1]Hárok1!$F$4:$S$124,8,0)</f>
        <v>0</v>
      </c>
      <c r="N114" s="43">
        <f>VLOOKUP(F114,[1]Hárok1!$F$4:$S$124,9,0)</f>
        <v>0</v>
      </c>
      <c r="O114" s="43">
        <f>VLOOKUP(F114,[1]Hárok1!$F$4:$S$124,10,0)</f>
        <v>2</v>
      </c>
      <c r="P114" s="44">
        <f>VLOOKUP(F114,[1]Hárok1!$F$4:$S$124,11,0)</f>
        <v>0</v>
      </c>
      <c r="Q114" s="42">
        <f>VLOOKUP(F114,[1]Hárok1!$F$4:$S$124,12,0)</f>
        <v>0</v>
      </c>
      <c r="R114" s="43">
        <f>VLOOKUP(F114,[1]Hárok1!$F$4:$S$124,13,0)</f>
        <v>58</v>
      </c>
      <c r="S114" s="44">
        <f>VLOOKUP(F114,[1]Hárok1!$F$4:$S$124,14,0)</f>
        <v>0</v>
      </c>
      <c r="T114" s="45">
        <f t="shared" si="6"/>
        <v>201</v>
      </c>
      <c r="U114" s="46">
        <f>VLOOKUP(F114,[1]Hárok1!$F$4:$U$124,16,0)</f>
        <v>0</v>
      </c>
      <c r="V114" s="47">
        <f t="shared" si="7"/>
        <v>0</v>
      </c>
      <c r="W114" s="47">
        <f t="shared" si="8"/>
        <v>143</v>
      </c>
      <c r="X114" s="48">
        <f t="shared" si="9"/>
        <v>0</v>
      </c>
      <c r="Y114" s="49">
        <f t="shared" si="10"/>
        <v>344</v>
      </c>
      <c r="Z114" s="50">
        <f t="shared" si="11"/>
        <v>344</v>
      </c>
    </row>
    <row r="115" spans="1:26" x14ac:dyDescent="0.25">
      <c r="A115" s="29" t="s">
        <v>42</v>
      </c>
      <c r="B115" s="29" t="s">
        <v>226</v>
      </c>
      <c r="C115" s="29" t="s">
        <v>326</v>
      </c>
      <c r="D115" s="29">
        <v>50922718</v>
      </c>
      <c r="E115" s="32" t="s">
        <v>327</v>
      </c>
      <c r="F115" s="29">
        <v>42182760</v>
      </c>
      <c r="G115" s="32" t="s">
        <v>328</v>
      </c>
      <c r="H115" s="32" t="s">
        <v>66</v>
      </c>
      <c r="I115" s="33" t="s">
        <v>318</v>
      </c>
      <c r="J115" s="42">
        <f>VLOOKUP(F115,[1]Hárok1!$F$4:$S$124,5,0)</f>
        <v>2</v>
      </c>
      <c r="K115" s="43">
        <f>VLOOKUP(F115,[1]Hárok1!$F$4:$S$124,6,0)</f>
        <v>0</v>
      </c>
      <c r="L115" s="43">
        <f>VLOOKUP(F115,[1]Hárok1!$F$4:$S$124,7,0)</f>
        <v>8</v>
      </c>
      <c r="M115" s="43">
        <f>VLOOKUP(F115,[1]Hárok1!$F$4:$S$124,8,0)</f>
        <v>0</v>
      </c>
      <c r="N115" s="43">
        <f>VLOOKUP(F115,[1]Hárok1!$F$4:$S$124,9,0)</f>
        <v>0</v>
      </c>
      <c r="O115" s="43">
        <f>VLOOKUP(F115,[1]Hárok1!$F$4:$S$124,10,0)</f>
        <v>3</v>
      </c>
      <c r="P115" s="44">
        <f>VLOOKUP(F115,[1]Hárok1!$F$4:$S$124,11,0)</f>
        <v>0</v>
      </c>
      <c r="Q115" s="42">
        <f>VLOOKUP(F115,[1]Hárok1!$F$4:$S$124,12,0)</f>
        <v>0</v>
      </c>
      <c r="R115" s="43">
        <f>VLOOKUP(F115,[1]Hárok1!$F$4:$S$124,13,0)</f>
        <v>67</v>
      </c>
      <c r="S115" s="44">
        <f>VLOOKUP(F115,[1]Hárok1!$F$4:$S$124,14,0)</f>
        <v>0</v>
      </c>
      <c r="T115" s="45">
        <f t="shared" si="6"/>
        <v>268</v>
      </c>
      <c r="U115" s="46">
        <f>VLOOKUP(F115,[1]Hárok1!$F$4:$U$124,16,0)</f>
        <v>0</v>
      </c>
      <c r="V115" s="47">
        <f t="shared" si="7"/>
        <v>0</v>
      </c>
      <c r="W115" s="47">
        <f t="shared" si="8"/>
        <v>174.5</v>
      </c>
      <c r="X115" s="48">
        <f t="shared" si="9"/>
        <v>0</v>
      </c>
      <c r="Y115" s="49">
        <f t="shared" si="10"/>
        <v>442.5</v>
      </c>
      <c r="Z115" s="50">
        <f t="shared" si="11"/>
        <v>443</v>
      </c>
    </row>
    <row r="116" spans="1:26" x14ac:dyDescent="0.25">
      <c r="A116" s="29" t="s">
        <v>42</v>
      </c>
      <c r="B116" s="29" t="s">
        <v>226</v>
      </c>
      <c r="C116" s="29" t="s">
        <v>329</v>
      </c>
      <c r="D116" s="29">
        <v>90000036</v>
      </c>
      <c r="E116" s="32" t="s">
        <v>330</v>
      </c>
      <c r="F116" s="29">
        <v>36068284</v>
      </c>
      <c r="G116" s="32" t="s">
        <v>331</v>
      </c>
      <c r="H116" s="32" t="s">
        <v>66</v>
      </c>
      <c r="I116" s="33" t="s">
        <v>332</v>
      </c>
      <c r="J116" s="42">
        <f>VLOOKUP(F116,[1]Hárok1!$F$4:$S$124,5,0)</f>
        <v>6</v>
      </c>
      <c r="K116" s="43">
        <f>VLOOKUP(F116,[1]Hárok1!$F$4:$S$124,6,0)</f>
        <v>0</v>
      </c>
      <c r="L116" s="43">
        <f>VLOOKUP(F116,[1]Hárok1!$F$4:$S$124,7,0)</f>
        <v>39</v>
      </c>
      <c r="M116" s="43">
        <f>VLOOKUP(F116,[1]Hárok1!$F$4:$S$124,8,0)</f>
        <v>0</v>
      </c>
      <c r="N116" s="43">
        <f>VLOOKUP(F116,[1]Hárok1!$F$4:$S$124,9,0)</f>
        <v>0</v>
      </c>
      <c r="O116" s="43">
        <f>VLOOKUP(F116,[1]Hárok1!$F$4:$S$124,10,0)</f>
        <v>5</v>
      </c>
      <c r="P116" s="44">
        <f>VLOOKUP(F116,[1]Hárok1!$F$4:$S$124,11,0)</f>
        <v>2</v>
      </c>
      <c r="Q116" s="42">
        <f>VLOOKUP(F116,[1]Hárok1!$F$4:$S$124,12,0)</f>
        <v>0</v>
      </c>
      <c r="R116" s="43">
        <f>VLOOKUP(F116,[1]Hárok1!$F$4:$S$124,13,0)</f>
        <v>208</v>
      </c>
      <c r="S116" s="44">
        <f>VLOOKUP(F116,[1]Hárok1!$F$4:$S$124,14,0)</f>
        <v>115</v>
      </c>
      <c r="T116" s="45">
        <f t="shared" si="6"/>
        <v>1306.5</v>
      </c>
      <c r="U116" s="46">
        <f>VLOOKUP(F116,[1]Hárok1!$F$4:$U$124,16,0)</f>
        <v>0</v>
      </c>
      <c r="V116" s="47">
        <f t="shared" si="7"/>
        <v>0</v>
      </c>
      <c r="W116" s="47">
        <f t="shared" si="8"/>
        <v>483.5</v>
      </c>
      <c r="X116" s="48">
        <f t="shared" si="9"/>
        <v>226.5</v>
      </c>
      <c r="Y116" s="49">
        <f t="shared" si="10"/>
        <v>2016.5</v>
      </c>
      <c r="Z116" s="50">
        <f t="shared" si="11"/>
        <v>2017</v>
      </c>
    </row>
    <row r="117" spans="1:26" x14ac:dyDescent="0.25">
      <c r="A117" s="29" t="s">
        <v>42</v>
      </c>
      <c r="B117" s="29" t="s">
        <v>226</v>
      </c>
      <c r="C117" s="29" t="s">
        <v>333</v>
      </c>
      <c r="D117" s="29">
        <v>90000010</v>
      </c>
      <c r="E117" s="32" t="s">
        <v>334</v>
      </c>
      <c r="F117" s="29">
        <v>31801722</v>
      </c>
      <c r="G117" s="32" t="s">
        <v>335</v>
      </c>
      <c r="H117" s="32" t="s">
        <v>66</v>
      </c>
      <c r="I117" s="33" t="s">
        <v>336</v>
      </c>
      <c r="J117" s="42">
        <f>VLOOKUP(F117,[1]Hárok1!$F$4:$S$124,5,0)</f>
        <v>1</v>
      </c>
      <c r="K117" s="43">
        <f>VLOOKUP(F117,[1]Hárok1!$F$4:$S$124,6,0)</f>
        <v>0</v>
      </c>
      <c r="L117" s="43">
        <f>VLOOKUP(F117,[1]Hárok1!$F$4:$S$124,7,0)</f>
        <v>3</v>
      </c>
      <c r="M117" s="43">
        <f>VLOOKUP(F117,[1]Hárok1!$F$4:$S$124,8,0)</f>
        <v>0</v>
      </c>
      <c r="N117" s="43">
        <f>VLOOKUP(F117,[1]Hárok1!$F$4:$S$124,9,0)</f>
        <v>0</v>
      </c>
      <c r="O117" s="43">
        <f>VLOOKUP(F117,[1]Hárok1!$F$4:$S$124,10,0)</f>
        <v>1</v>
      </c>
      <c r="P117" s="44">
        <f>VLOOKUP(F117,[1]Hárok1!$F$4:$S$124,11,0)</f>
        <v>0</v>
      </c>
      <c r="Q117" s="42">
        <f>VLOOKUP(F117,[1]Hárok1!$F$4:$S$124,12,0)</f>
        <v>0</v>
      </c>
      <c r="R117" s="43">
        <f>VLOOKUP(F117,[1]Hárok1!$F$4:$S$124,13,0)</f>
        <v>60</v>
      </c>
      <c r="S117" s="44">
        <f>VLOOKUP(F117,[1]Hárok1!$F$4:$S$124,14,0)</f>
        <v>0</v>
      </c>
      <c r="T117" s="45">
        <f t="shared" si="6"/>
        <v>100.5</v>
      </c>
      <c r="U117" s="46">
        <f>VLOOKUP(F117,[1]Hárok1!$F$4:$U$124,16,0)</f>
        <v>0</v>
      </c>
      <c r="V117" s="47">
        <f t="shared" si="7"/>
        <v>0</v>
      </c>
      <c r="W117" s="47">
        <f t="shared" si="8"/>
        <v>133.5</v>
      </c>
      <c r="X117" s="48">
        <f t="shared" si="9"/>
        <v>0</v>
      </c>
      <c r="Y117" s="49">
        <f t="shared" si="10"/>
        <v>234</v>
      </c>
      <c r="Z117" s="50">
        <f t="shared" si="11"/>
        <v>234</v>
      </c>
    </row>
    <row r="118" spans="1:26" x14ac:dyDescent="0.25">
      <c r="A118" s="29" t="s">
        <v>42</v>
      </c>
      <c r="B118" s="29" t="s">
        <v>226</v>
      </c>
      <c r="C118" s="29" t="s">
        <v>311</v>
      </c>
      <c r="D118" s="29">
        <v>50638050</v>
      </c>
      <c r="E118" s="32" t="s">
        <v>312</v>
      </c>
      <c r="F118" s="29">
        <v>31744265</v>
      </c>
      <c r="G118" s="32" t="s">
        <v>276</v>
      </c>
      <c r="H118" s="32" t="s">
        <v>66</v>
      </c>
      <c r="I118" s="33" t="s">
        <v>314</v>
      </c>
      <c r="J118" s="42">
        <f>VLOOKUP(F118,[1]Hárok1!$F$4:$S$124,5,0)</f>
        <v>0</v>
      </c>
      <c r="K118" s="43">
        <f>VLOOKUP(F118,[1]Hárok1!$F$4:$S$124,6,0)</f>
        <v>0</v>
      </c>
      <c r="L118" s="43">
        <f>VLOOKUP(F118,[1]Hárok1!$F$4:$S$124,7,0)</f>
        <v>0</v>
      </c>
      <c r="M118" s="43">
        <f>VLOOKUP(F118,[1]Hárok1!$F$4:$S$124,8,0)</f>
        <v>0</v>
      </c>
      <c r="N118" s="43">
        <f>VLOOKUP(F118,[1]Hárok1!$F$4:$S$124,9,0)</f>
        <v>0</v>
      </c>
      <c r="O118" s="43">
        <f>VLOOKUP(F118,[1]Hárok1!$F$4:$S$124,10,0)</f>
        <v>0</v>
      </c>
      <c r="P118" s="44">
        <f>VLOOKUP(F118,[1]Hárok1!$F$4:$S$124,11,0)</f>
        <v>0</v>
      </c>
      <c r="Q118" s="42">
        <f>VLOOKUP(F118,[1]Hárok1!$F$4:$S$124,12,0)</f>
        <v>0</v>
      </c>
      <c r="R118" s="43">
        <f>VLOOKUP(F118,[1]Hárok1!$F$4:$S$124,13,0)</f>
        <v>0</v>
      </c>
      <c r="S118" s="44">
        <f>VLOOKUP(F118,[1]Hárok1!$F$4:$S$124,14,0)</f>
        <v>0</v>
      </c>
      <c r="T118" s="45">
        <f t="shared" si="6"/>
        <v>0</v>
      </c>
      <c r="U118" s="46">
        <f>VLOOKUP(F118,[1]Hárok1!$F$4:$U$124,16,0)</f>
        <v>0</v>
      </c>
      <c r="V118" s="47">
        <f t="shared" si="7"/>
        <v>0</v>
      </c>
      <c r="W118" s="47">
        <f t="shared" si="8"/>
        <v>0</v>
      </c>
      <c r="X118" s="48">
        <f t="shared" si="9"/>
        <v>0</v>
      </c>
      <c r="Y118" s="49">
        <f t="shared" si="10"/>
        <v>0</v>
      </c>
      <c r="Z118" s="50">
        <f t="shared" si="11"/>
        <v>0</v>
      </c>
    </row>
    <row r="119" spans="1:26" x14ac:dyDescent="0.25">
      <c r="A119" s="29" t="s">
        <v>42</v>
      </c>
      <c r="B119" s="29" t="s">
        <v>226</v>
      </c>
      <c r="C119" s="29" t="s">
        <v>337</v>
      </c>
      <c r="D119" s="29">
        <v>42266513</v>
      </c>
      <c r="E119" s="32" t="s">
        <v>338</v>
      </c>
      <c r="F119" s="29">
        <v>53507339</v>
      </c>
      <c r="G119" s="32" t="s">
        <v>339</v>
      </c>
      <c r="H119" s="32" t="s">
        <v>66</v>
      </c>
      <c r="I119" s="33" t="s">
        <v>340</v>
      </c>
      <c r="J119" s="42">
        <f>VLOOKUP(F119,[1]Hárok1!$F$4:$S$124,5,0)</f>
        <v>0</v>
      </c>
      <c r="K119" s="43">
        <f>VLOOKUP(F119,[1]Hárok1!$F$4:$S$124,6,0)</f>
        <v>0</v>
      </c>
      <c r="L119" s="43">
        <f>VLOOKUP(F119,[1]Hárok1!$F$4:$S$124,7,0)</f>
        <v>0</v>
      </c>
      <c r="M119" s="43">
        <f>VLOOKUP(F119,[1]Hárok1!$F$4:$S$124,8,0)</f>
        <v>0</v>
      </c>
      <c r="N119" s="43">
        <f>VLOOKUP(F119,[1]Hárok1!$F$4:$S$124,9,0)</f>
        <v>0</v>
      </c>
      <c r="O119" s="43">
        <f>VLOOKUP(F119,[1]Hárok1!$F$4:$S$124,10,0)</f>
        <v>0</v>
      </c>
      <c r="P119" s="44">
        <f>VLOOKUP(F119,[1]Hárok1!$F$4:$S$124,11,0)</f>
        <v>0</v>
      </c>
      <c r="Q119" s="42">
        <f>VLOOKUP(F119,[1]Hárok1!$F$4:$S$124,12,0)</f>
        <v>0</v>
      </c>
      <c r="R119" s="43">
        <f>VLOOKUP(F119,[1]Hárok1!$F$4:$S$124,13,0)</f>
        <v>0</v>
      </c>
      <c r="S119" s="44">
        <f>VLOOKUP(F119,[1]Hárok1!$F$4:$S$124,14,0)</f>
        <v>0</v>
      </c>
      <c r="T119" s="45">
        <f t="shared" si="6"/>
        <v>0</v>
      </c>
      <c r="U119" s="46">
        <f>VLOOKUP(F119,[1]Hárok1!$F$4:$U$124,16,0)</f>
        <v>0</v>
      </c>
      <c r="V119" s="47">
        <f t="shared" si="7"/>
        <v>0</v>
      </c>
      <c r="W119" s="47">
        <f t="shared" si="8"/>
        <v>0</v>
      </c>
      <c r="X119" s="48">
        <f t="shared" si="9"/>
        <v>0</v>
      </c>
      <c r="Y119" s="49">
        <f t="shared" si="10"/>
        <v>0</v>
      </c>
      <c r="Z119" s="50">
        <f t="shared" si="11"/>
        <v>0</v>
      </c>
    </row>
    <row r="120" spans="1:26" x14ac:dyDescent="0.25">
      <c r="A120" s="29" t="s">
        <v>42</v>
      </c>
      <c r="B120" s="29" t="s">
        <v>226</v>
      </c>
      <c r="C120" s="29" t="s">
        <v>341</v>
      </c>
      <c r="D120" s="29">
        <v>90000241</v>
      </c>
      <c r="E120" s="32" t="s">
        <v>342</v>
      </c>
      <c r="F120" s="29">
        <v>30843201</v>
      </c>
      <c r="G120" s="32" t="s">
        <v>343</v>
      </c>
      <c r="H120" s="32" t="s">
        <v>66</v>
      </c>
      <c r="I120" s="33" t="s">
        <v>344</v>
      </c>
      <c r="J120" s="42">
        <f>VLOOKUP(F120,[1]Hárok1!$F$4:$S$124,5,0)</f>
        <v>6</v>
      </c>
      <c r="K120" s="43">
        <f>VLOOKUP(F120,[1]Hárok1!$F$4:$S$124,6,0)</f>
        <v>0</v>
      </c>
      <c r="L120" s="43">
        <f>VLOOKUP(F120,[1]Hárok1!$F$4:$S$124,7,0)</f>
        <v>28</v>
      </c>
      <c r="M120" s="43">
        <f>VLOOKUP(F120,[1]Hárok1!$F$4:$S$124,8,0)</f>
        <v>0</v>
      </c>
      <c r="N120" s="43">
        <f>VLOOKUP(F120,[1]Hárok1!$F$4:$S$124,9,0)</f>
        <v>0</v>
      </c>
      <c r="O120" s="43">
        <f>VLOOKUP(F120,[1]Hárok1!$F$4:$S$124,10,0)</f>
        <v>5</v>
      </c>
      <c r="P120" s="44">
        <f>VLOOKUP(F120,[1]Hárok1!$F$4:$S$124,11,0)</f>
        <v>1</v>
      </c>
      <c r="Q120" s="42">
        <f>VLOOKUP(F120,[1]Hárok1!$F$4:$S$124,12,0)</f>
        <v>0</v>
      </c>
      <c r="R120" s="43">
        <f>VLOOKUP(F120,[1]Hárok1!$F$4:$S$124,13,0)</f>
        <v>233</v>
      </c>
      <c r="S120" s="44">
        <f>VLOOKUP(F120,[1]Hárok1!$F$4:$S$124,14,0)</f>
        <v>288</v>
      </c>
      <c r="T120" s="45">
        <f t="shared" si="6"/>
        <v>938</v>
      </c>
      <c r="U120" s="46">
        <f>VLOOKUP(F120,[1]Hárok1!$F$4:$U$124,16,0)</f>
        <v>0</v>
      </c>
      <c r="V120" s="47">
        <f t="shared" si="7"/>
        <v>0</v>
      </c>
      <c r="W120" s="47">
        <f t="shared" si="8"/>
        <v>533.5</v>
      </c>
      <c r="X120" s="48">
        <f t="shared" si="9"/>
        <v>459</v>
      </c>
      <c r="Y120" s="49">
        <f t="shared" si="10"/>
        <v>1930.5</v>
      </c>
      <c r="Z120" s="50">
        <f t="shared" si="11"/>
        <v>1931</v>
      </c>
    </row>
    <row r="121" spans="1:26" x14ac:dyDescent="0.25">
      <c r="A121" s="29" t="s">
        <v>42</v>
      </c>
      <c r="B121" s="29" t="s">
        <v>226</v>
      </c>
      <c r="C121" s="29" t="s">
        <v>345</v>
      </c>
      <c r="D121" s="29">
        <v>35697547</v>
      </c>
      <c r="E121" s="32" t="s">
        <v>346</v>
      </c>
      <c r="F121" s="29">
        <v>36082040</v>
      </c>
      <c r="G121" s="32" t="s">
        <v>347</v>
      </c>
      <c r="H121" s="32" t="s">
        <v>348</v>
      </c>
      <c r="I121" s="33" t="s">
        <v>349</v>
      </c>
      <c r="J121" s="42">
        <f>VLOOKUP(F121,[1]Hárok1!$F$4:$S$124,5,0)</f>
        <v>4</v>
      </c>
      <c r="K121" s="43">
        <f>VLOOKUP(F121,[1]Hárok1!$F$4:$S$124,6,0)</f>
        <v>0</v>
      </c>
      <c r="L121" s="43">
        <f>VLOOKUP(F121,[1]Hárok1!$F$4:$S$124,7,0)</f>
        <v>15</v>
      </c>
      <c r="M121" s="43">
        <f>VLOOKUP(F121,[1]Hárok1!$F$4:$S$124,8,0)</f>
        <v>0</v>
      </c>
      <c r="N121" s="43">
        <f>VLOOKUP(F121,[1]Hárok1!$F$4:$S$124,9,0)</f>
        <v>0</v>
      </c>
      <c r="O121" s="43">
        <f>VLOOKUP(F121,[1]Hárok1!$F$4:$S$124,10,0)</f>
        <v>10</v>
      </c>
      <c r="P121" s="44">
        <f>VLOOKUP(F121,[1]Hárok1!$F$4:$S$124,11,0)</f>
        <v>0</v>
      </c>
      <c r="Q121" s="42">
        <f>VLOOKUP(F121,[1]Hárok1!$F$4:$S$124,12,0)</f>
        <v>0</v>
      </c>
      <c r="R121" s="43">
        <f>VLOOKUP(F121,[1]Hárok1!$F$4:$S$124,13,0)</f>
        <v>233</v>
      </c>
      <c r="S121" s="44">
        <f>VLOOKUP(F121,[1]Hárok1!$F$4:$S$124,14,0)</f>
        <v>0</v>
      </c>
      <c r="T121" s="45">
        <f t="shared" si="6"/>
        <v>502.5</v>
      </c>
      <c r="U121" s="46">
        <f>VLOOKUP(F121,[1]Hárok1!$F$4:$U$124,16,0)</f>
        <v>41.3</v>
      </c>
      <c r="V121" s="47">
        <f t="shared" si="7"/>
        <v>0</v>
      </c>
      <c r="W121" s="47">
        <f t="shared" si="8"/>
        <v>601</v>
      </c>
      <c r="X121" s="48">
        <f t="shared" si="9"/>
        <v>0</v>
      </c>
      <c r="Y121" s="49">
        <f t="shared" si="10"/>
        <v>1144.8</v>
      </c>
      <c r="Z121" s="50">
        <f t="shared" si="11"/>
        <v>1145</v>
      </c>
    </row>
    <row r="122" spans="1:26" x14ac:dyDescent="0.25">
      <c r="A122" s="29" t="s">
        <v>42</v>
      </c>
      <c r="B122" s="29" t="s">
        <v>226</v>
      </c>
      <c r="C122" s="29" t="s">
        <v>345</v>
      </c>
      <c r="D122" s="29">
        <v>35697547</v>
      </c>
      <c r="E122" s="32" t="s">
        <v>346</v>
      </c>
      <c r="F122" s="29">
        <v>686476</v>
      </c>
      <c r="G122" s="32" t="s">
        <v>350</v>
      </c>
      <c r="H122" s="32" t="s">
        <v>348</v>
      </c>
      <c r="I122" s="33" t="s">
        <v>349</v>
      </c>
      <c r="J122" s="42">
        <f>VLOOKUP(F122,[1]Hárok1!$F$4:$S$124,5,0)</f>
        <v>4</v>
      </c>
      <c r="K122" s="43">
        <f>VLOOKUP(F122,[1]Hárok1!$F$4:$S$124,6,0)</f>
        <v>0</v>
      </c>
      <c r="L122" s="43">
        <f>VLOOKUP(F122,[1]Hárok1!$F$4:$S$124,7,0)</f>
        <v>8</v>
      </c>
      <c r="M122" s="43">
        <f>VLOOKUP(F122,[1]Hárok1!$F$4:$S$124,8,0)</f>
        <v>0</v>
      </c>
      <c r="N122" s="43">
        <f>VLOOKUP(F122,[1]Hárok1!$F$4:$S$124,9,0)</f>
        <v>2</v>
      </c>
      <c r="O122" s="43">
        <f>VLOOKUP(F122,[1]Hárok1!$F$4:$S$124,10,0)</f>
        <v>3</v>
      </c>
      <c r="P122" s="44">
        <f>VLOOKUP(F122,[1]Hárok1!$F$4:$S$124,11,0)</f>
        <v>0</v>
      </c>
      <c r="Q122" s="42">
        <f>VLOOKUP(F122,[1]Hárok1!$F$4:$S$124,12,0)</f>
        <v>7</v>
      </c>
      <c r="R122" s="43">
        <f>VLOOKUP(F122,[1]Hárok1!$F$4:$S$124,13,0)</f>
        <v>53</v>
      </c>
      <c r="S122" s="44">
        <f>VLOOKUP(F122,[1]Hárok1!$F$4:$S$124,14,0)</f>
        <v>0</v>
      </c>
      <c r="T122" s="45">
        <f t="shared" si="6"/>
        <v>268</v>
      </c>
      <c r="U122" s="46">
        <f>VLOOKUP(F122,[1]Hárok1!$F$4:$U$124,16,0)</f>
        <v>0</v>
      </c>
      <c r="V122" s="47">
        <f t="shared" si="7"/>
        <v>37.5</v>
      </c>
      <c r="W122" s="47">
        <f t="shared" si="8"/>
        <v>146.5</v>
      </c>
      <c r="X122" s="48">
        <f t="shared" si="9"/>
        <v>0</v>
      </c>
      <c r="Y122" s="49">
        <f t="shared" si="10"/>
        <v>452</v>
      </c>
      <c r="Z122" s="50">
        <f t="shared" si="11"/>
        <v>452</v>
      </c>
    </row>
    <row r="123" spans="1:26" x14ac:dyDescent="0.25">
      <c r="A123" s="29" t="s">
        <v>42</v>
      </c>
      <c r="B123" s="29" t="s">
        <v>226</v>
      </c>
      <c r="C123" s="29" t="s">
        <v>227</v>
      </c>
      <c r="D123" s="29">
        <v>168637</v>
      </c>
      <c r="E123" s="32" t="s">
        <v>228</v>
      </c>
      <c r="F123" s="29">
        <v>686964</v>
      </c>
      <c r="G123" s="32" t="s">
        <v>229</v>
      </c>
      <c r="H123" s="32" t="s">
        <v>351</v>
      </c>
      <c r="I123" s="33" t="s">
        <v>352</v>
      </c>
      <c r="J123" s="42">
        <f>VLOOKUP(F123,[1]Hárok1!$F$4:$S$124,5,0)</f>
        <v>11</v>
      </c>
      <c r="K123" s="43">
        <f>VLOOKUP(F123,[1]Hárok1!$F$4:$S$124,6,0)</f>
        <v>3</v>
      </c>
      <c r="L123" s="43">
        <f>VLOOKUP(F123,[1]Hárok1!$F$4:$S$124,7,0)</f>
        <v>43</v>
      </c>
      <c r="M123" s="43">
        <f>VLOOKUP(F123,[1]Hárok1!$F$4:$S$124,8,0)</f>
        <v>9</v>
      </c>
      <c r="N123" s="43">
        <f>VLOOKUP(F123,[1]Hárok1!$F$4:$S$124,9,0)</f>
        <v>6</v>
      </c>
      <c r="O123" s="43">
        <f>VLOOKUP(F123,[1]Hárok1!$F$4:$S$124,10,0)</f>
        <v>20</v>
      </c>
      <c r="P123" s="44">
        <f>VLOOKUP(F123,[1]Hárok1!$F$4:$S$124,11,0)</f>
        <v>0</v>
      </c>
      <c r="Q123" s="42">
        <f>VLOOKUP(F123,[1]Hárok1!$F$4:$S$124,12,0)</f>
        <v>56</v>
      </c>
      <c r="R123" s="43">
        <f>VLOOKUP(F123,[1]Hárok1!$F$4:$S$124,13,0)</f>
        <v>378</v>
      </c>
      <c r="S123" s="44">
        <f>VLOOKUP(F123,[1]Hárok1!$F$4:$S$124,14,0)</f>
        <v>0</v>
      </c>
      <c r="T123" s="45">
        <f t="shared" si="6"/>
        <v>1440.5</v>
      </c>
      <c r="U123" s="46">
        <f>VLOOKUP(F123,[1]Hárok1!$F$4:$U$124,16,0)</f>
        <v>516.6</v>
      </c>
      <c r="V123" s="47">
        <f t="shared" si="7"/>
        <v>165</v>
      </c>
      <c r="W123" s="47">
        <f t="shared" si="8"/>
        <v>1026</v>
      </c>
      <c r="X123" s="48">
        <f t="shared" si="9"/>
        <v>0</v>
      </c>
      <c r="Y123" s="49">
        <f t="shared" si="10"/>
        <v>3148.1</v>
      </c>
      <c r="Z123" s="50">
        <f t="shared" si="11"/>
        <v>3148</v>
      </c>
    </row>
    <row r="124" spans="1:26" x14ac:dyDescent="0.25">
      <c r="A124" s="29" t="s">
        <v>42</v>
      </c>
      <c r="B124" s="29" t="s">
        <v>226</v>
      </c>
      <c r="C124" s="29" t="s">
        <v>353</v>
      </c>
      <c r="D124" s="29">
        <v>31807429</v>
      </c>
      <c r="E124" s="32" t="s">
        <v>354</v>
      </c>
      <c r="F124" s="29">
        <v>42395933</v>
      </c>
      <c r="G124" s="32" t="s">
        <v>229</v>
      </c>
      <c r="H124" s="32" t="s">
        <v>355</v>
      </c>
      <c r="I124" s="33" t="s">
        <v>356</v>
      </c>
      <c r="J124" s="42">
        <f>VLOOKUP(F124,[1]Hárok1!$F$4:$S$124,5,0)</f>
        <v>0</v>
      </c>
      <c r="K124" s="43">
        <f>VLOOKUP(F124,[1]Hárok1!$F$4:$S$124,6,0)</f>
        <v>0</v>
      </c>
      <c r="L124" s="43">
        <f>VLOOKUP(F124,[1]Hárok1!$F$4:$S$124,7,0)</f>
        <v>0</v>
      </c>
      <c r="M124" s="43">
        <f>VLOOKUP(F124,[1]Hárok1!$F$4:$S$124,8,0)</f>
        <v>0</v>
      </c>
      <c r="N124" s="43">
        <f>VLOOKUP(F124,[1]Hárok1!$F$4:$S$124,9,0)</f>
        <v>0</v>
      </c>
      <c r="O124" s="43">
        <f>VLOOKUP(F124,[1]Hárok1!$F$4:$S$124,10,0)</f>
        <v>0</v>
      </c>
      <c r="P124" s="44">
        <f>VLOOKUP(F124,[1]Hárok1!$F$4:$S$124,11,0)</f>
        <v>0</v>
      </c>
      <c r="Q124" s="42">
        <f>VLOOKUP(F124,[1]Hárok1!$F$4:$S$124,12,0)</f>
        <v>0</v>
      </c>
      <c r="R124" s="43">
        <f>VLOOKUP(F124,[1]Hárok1!$F$4:$S$124,13,0)</f>
        <v>0</v>
      </c>
      <c r="S124" s="44">
        <f>VLOOKUP(F124,[1]Hárok1!$F$4:$S$124,14,0)</f>
        <v>0</v>
      </c>
      <c r="T124" s="45">
        <f t="shared" si="6"/>
        <v>0</v>
      </c>
      <c r="U124" s="46">
        <f>VLOOKUP(F124,[1]Hárok1!$F$4:$U$124,16,0)</f>
        <v>0</v>
      </c>
      <c r="V124" s="47">
        <f t="shared" si="7"/>
        <v>0</v>
      </c>
      <c r="W124" s="47">
        <f t="shared" si="8"/>
        <v>0</v>
      </c>
      <c r="X124" s="48">
        <f t="shared" si="9"/>
        <v>0</v>
      </c>
      <c r="Y124" s="49">
        <f t="shared" si="10"/>
        <v>0</v>
      </c>
      <c r="Z124" s="50">
        <f t="shared" si="11"/>
        <v>0</v>
      </c>
    </row>
    <row r="125" spans="1:26" x14ac:dyDescent="0.25">
      <c r="A125" s="51" t="s">
        <v>357</v>
      </c>
      <c r="B125" s="51" t="s">
        <v>43</v>
      </c>
      <c r="C125" s="51" t="s">
        <v>358</v>
      </c>
      <c r="D125" s="51">
        <v>54130531</v>
      </c>
      <c r="E125" s="31" t="s">
        <v>359</v>
      </c>
      <c r="F125" s="51">
        <v>17050171</v>
      </c>
      <c r="G125" s="32" t="s">
        <v>52</v>
      </c>
      <c r="H125" s="32" t="s">
        <v>360</v>
      </c>
      <c r="I125" s="33" t="s">
        <v>361</v>
      </c>
      <c r="J125" s="42">
        <v>0</v>
      </c>
      <c r="K125" s="43">
        <v>0</v>
      </c>
      <c r="L125" s="43">
        <v>0</v>
      </c>
      <c r="M125" s="43">
        <v>0</v>
      </c>
      <c r="N125" s="43">
        <v>0</v>
      </c>
      <c r="O125" s="43">
        <v>0</v>
      </c>
      <c r="P125" s="52">
        <v>0</v>
      </c>
      <c r="Q125" s="42">
        <v>0</v>
      </c>
      <c r="R125" s="43">
        <v>0</v>
      </c>
      <c r="S125" s="44">
        <v>0</v>
      </c>
      <c r="T125" s="45">
        <f t="shared" si="6"/>
        <v>0</v>
      </c>
      <c r="U125" s="46">
        <v>0</v>
      </c>
      <c r="V125" s="47">
        <f t="shared" si="7"/>
        <v>0</v>
      </c>
      <c r="W125" s="47">
        <f t="shared" si="8"/>
        <v>0</v>
      </c>
      <c r="X125" s="48">
        <f t="shared" si="9"/>
        <v>0</v>
      </c>
      <c r="Y125" s="49">
        <f t="shared" si="10"/>
        <v>0</v>
      </c>
      <c r="Z125" s="50">
        <f t="shared" si="11"/>
        <v>0</v>
      </c>
    </row>
    <row r="126" spans="1:26" x14ac:dyDescent="0.25">
      <c r="A126" s="29" t="s">
        <v>357</v>
      </c>
      <c r="B126" s="29" t="s">
        <v>43</v>
      </c>
      <c r="C126" s="29" t="s">
        <v>358</v>
      </c>
      <c r="D126" s="30">
        <v>54130531</v>
      </c>
      <c r="E126" s="31" t="s">
        <v>359</v>
      </c>
      <c r="F126" s="29">
        <v>350206</v>
      </c>
      <c r="G126" s="32" t="s">
        <v>52</v>
      </c>
      <c r="H126" s="32" t="s">
        <v>362</v>
      </c>
      <c r="I126" s="33" t="s">
        <v>363</v>
      </c>
      <c r="J126" s="42">
        <v>0</v>
      </c>
      <c r="K126" s="43">
        <v>0</v>
      </c>
      <c r="L126" s="43">
        <v>0</v>
      </c>
      <c r="M126" s="43">
        <v>0</v>
      </c>
      <c r="N126" s="43">
        <v>0</v>
      </c>
      <c r="O126" s="43">
        <v>0</v>
      </c>
      <c r="P126" s="52">
        <v>0</v>
      </c>
      <c r="Q126" s="42">
        <v>0</v>
      </c>
      <c r="R126" s="43">
        <v>0</v>
      </c>
      <c r="S126" s="44">
        <v>0</v>
      </c>
      <c r="T126" s="45">
        <f t="shared" si="6"/>
        <v>0</v>
      </c>
      <c r="U126" s="46">
        <v>0</v>
      </c>
      <c r="V126" s="47">
        <f t="shared" si="7"/>
        <v>0</v>
      </c>
      <c r="W126" s="47">
        <f t="shared" si="8"/>
        <v>0</v>
      </c>
      <c r="X126" s="48">
        <f t="shared" si="9"/>
        <v>0</v>
      </c>
      <c r="Y126" s="49">
        <f t="shared" si="10"/>
        <v>0</v>
      </c>
      <c r="Z126" s="50">
        <f t="shared" si="11"/>
        <v>0</v>
      </c>
    </row>
    <row r="127" spans="1:26" x14ac:dyDescent="0.25">
      <c r="A127" s="29" t="s">
        <v>357</v>
      </c>
      <c r="B127" s="29" t="s">
        <v>43</v>
      </c>
      <c r="C127" s="29" t="s">
        <v>358</v>
      </c>
      <c r="D127" s="30">
        <v>54130531</v>
      </c>
      <c r="E127" s="31" t="s">
        <v>359</v>
      </c>
      <c r="F127" s="29">
        <v>35630027</v>
      </c>
      <c r="G127" s="32" t="s">
        <v>52</v>
      </c>
      <c r="H127" s="32" t="s">
        <v>364</v>
      </c>
      <c r="I127" s="33" t="s">
        <v>365</v>
      </c>
      <c r="J127" s="42">
        <v>0</v>
      </c>
      <c r="K127" s="43">
        <v>0</v>
      </c>
      <c r="L127" s="43">
        <v>0</v>
      </c>
      <c r="M127" s="43">
        <v>0</v>
      </c>
      <c r="N127" s="43">
        <v>0</v>
      </c>
      <c r="O127" s="43">
        <v>0</v>
      </c>
      <c r="P127" s="52">
        <v>0</v>
      </c>
      <c r="Q127" s="42">
        <v>0</v>
      </c>
      <c r="R127" s="43">
        <v>0</v>
      </c>
      <c r="S127" s="44">
        <v>0</v>
      </c>
      <c r="T127" s="45">
        <f t="shared" si="6"/>
        <v>0</v>
      </c>
      <c r="U127" s="46">
        <v>0</v>
      </c>
      <c r="V127" s="47">
        <f t="shared" si="7"/>
        <v>0</v>
      </c>
      <c r="W127" s="47">
        <f t="shared" si="8"/>
        <v>0</v>
      </c>
      <c r="X127" s="48">
        <f t="shared" si="9"/>
        <v>0</v>
      </c>
      <c r="Y127" s="49">
        <f t="shared" si="10"/>
        <v>0</v>
      </c>
      <c r="Z127" s="50">
        <f t="shared" si="11"/>
        <v>0</v>
      </c>
    </row>
    <row r="128" spans="1:26" x14ac:dyDescent="0.25">
      <c r="A128" s="29" t="s">
        <v>357</v>
      </c>
      <c r="B128" s="29" t="s">
        <v>43</v>
      </c>
      <c r="C128" s="29" t="s">
        <v>358</v>
      </c>
      <c r="D128" s="30">
        <v>54130531</v>
      </c>
      <c r="E128" s="31" t="s">
        <v>359</v>
      </c>
      <c r="F128" s="29">
        <v>163309</v>
      </c>
      <c r="G128" s="32" t="s">
        <v>70</v>
      </c>
      <c r="H128" s="32" t="s">
        <v>366</v>
      </c>
      <c r="I128" s="33" t="s">
        <v>367</v>
      </c>
      <c r="J128" s="42">
        <v>1</v>
      </c>
      <c r="K128" s="43">
        <v>0</v>
      </c>
      <c r="L128" s="43">
        <v>2</v>
      </c>
      <c r="M128" s="43">
        <v>0</v>
      </c>
      <c r="N128" s="43">
        <v>0</v>
      </c>
      <c r="O128" s="43">
        <v>1</v>
      </c>
      <c r="P128" s="52">
        <v>0</v>
      </c>
      <c r="Q128" s="42">
        <v>0</v>
      </c>
      <c r="R128" s="43">
        <v>2</v>
      </c>
      <c r="S128" s="44">
        <v>0</v>
      </c>
      <c r="T128" s="45">
        <f t="shared" si="6"/>
        <v>67</v>
      </c>
      <c r="U128" s="46">
        <v>7.3</v>
      </c>
      <c r="V128" s="47">
        <f t="shared" si="7"/>
        <v>0</v>
      </c>
      <c r="W128" s="47">
        <f t="shared" si="8"/>
        <v>17.5</v>
      </c>
      <c r="X128" s="48">
        <f t="shared" si="9"/>
        <v>0</v>
      </c>
      <c r="Y128" s="49">
        <f t="shared" si="10"/>
        <v>91.8</v>
      </c>
      <c r="Z128" s="50">
        <f t="shared" si="11"/>
        <v>92</v>
      </c>
    </row>
    <row r="129" spans="1:26" x14ac:dyDescent="0.25">
      <c r="A129" s="29" t="s">
        <v>357</v>
      </c>
      <c r="B129" s="29" t="s">
        <v>43</v>
      </c>
      <c r="C129" s="29" t="s">
        <v>358</v>
      </c>
      <c r="D129" s="30">
        <v>54130531</v>
      </c>
      <c r="E129" s="31" t="s">
        <v>359</v>
      </c>
      <c r="F129" s="29">
        <v>158461</v>
      </c>
      <c r="G129" s="32" t="s">
        <v>52</v>
      </c>
      <c r="H129" s="32" t="s">
        <v>366</v>
      </c>
      <c r="I129" s="33" t="s">
        <v>368</v>
      </c>
      <c r="J129" s="42">
        <v>1</v>
      </c>
      <c r="K129" s="43">
        <v>0</v>
      </c>
      <c r="L129" s="43">
        <v>3</v>
      </c>
      <c r="M129" s="43">
        <v>0</v>
      </c>
      <c r="N129" s="43">
        <v>0</v>
      </c>
      <c r="O129" s="43">
        <v>1</v>
      </c>
      <c r="P129" s="52">
        <v>0</v>
      </c>
      <c r="Q129" s="42">
        <v>0</v>
      </c>
      <c r="R129" s="43">
        <v>24</v>
      </c>
      <c r="S129" s="44">
        <v>0</v>
      </c>
      <c r="T129" s="45">
        <f t="shared" si="6"/>
        <v>100.5</v>
      </c>
      <c r="U129" s="46">
        <v>31.5</v>
      </c>
      <c r="V129" s="47">
        <f t="shared" si="7"/>
        <v>0</v>
      </c>
      <c r="W129" s="47">
        <f t="shared" si="8"/>
        <v>61.5</v>
      </c>
      <c r="X129" s="48">
        <f t="shared" si="9"/>
        <v>0</v>
      </c>
      <c r="Y129" s="49">
        <f t="shared" si="10"/>
        <v>193.5</v>
      </c>
      <c r="Z129" s="50">
        <f t="shared" si="11"/>
        <v>194</v>
      </c>
    </row>
    <row r="130" spans="1:26" x14ac:dyDescent="0.25">
      <c r="A130" s="29" t="s">
        <v>357</v>
      </c>
      <c r="B130" s="29" t="s">
        <v>43</v>
      </c>
      <c r="C130" s="29" t="s">
        <v>358</v>
      </c>
      <c r="D130" s="30">
        <v>54130531</v>
      </c>
      <c r="E130" s="31" t="s">
        <v>359</v>
      </c>
      <c r="F130" s="29">
        <v>35629959</v>
      </c>
      <c r="G130" s="32" t="s">
        <v>52</v>
      </c>
      <c r="H130" s="32" t="s">
        <v>369</v>
      </c>
      <c r="I130" s="33" t="s">
        <v>370</v>
      </c>
      <c r="J130" s="42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52">
        <v>0</v>
      </c>
      <c r="Q130" s="42">
        <v>0</v>
      </c>
      <c r="R130" s="43">
        <v>0</v>
      </c>
      <c r="S130" s="44">
        <v>0</v>
      </c>
      <c r="T130" s="45">
        <f t="shared" si="6"/>
        <v>0</v>
      </c>
      <c r="U130" s="46">
        <v>0</v>
      </c>
      <c r="V130" s="47">
        <f t="shared" si="7"/>
        <v>0</v>
      </c>
      <c r="W130" s="47">
        <f t="shared" si="8"/>
        <v>0</v>
      </c>
      <c r="X130" s="48">
        <f t="shared" si="9"/>
        <v>0</v>
      </c>
      <c r="Y130" s="49">
        <f t="shared" si="10"/>
        <v>0</v>
      </c>
      <c r="Z130" s="50">
        <f t="shared" si="11"/>
        <v>0</v>
      </c>
    </row>
    <row r="131" spans="1:26" x14ac:dyDescent="0.25">
      <c r="A131" s="29" t="s">
        <v>357</v>
      </c>
      <c r="B131" s="29" t="s">
        <v>43</v>
      </c>
      <c r="C131" s="29" t="s">
        <v>358</v>
      </c>
      <c r="D131" s="30">
        <v>54130531</v>
      </c>
      <c r="E131" s="31" t="s">
        <v>359</v>
      </c>
      <c r="F131" s="29">
        <v>42399653</v>
      </c>
      <c r="G131" s="32" t="s">
        <v>52</v>
      </c>
      <c r="H131" s="32" t="s">
        <v>371</v>
      </c>
      <c r="I131" s="33" t="s">
        <v>372</v>
      </c>
      <c r="J131" s="42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52">
        <v>0</v>
      </c>
      <c r="Q131" s="42">
        <v>0</v>
      </c>
      <c r="R131" s="43">
        <v>0</v>
      </c>
      <c r="S131" s="44">
        <v>0</v>
      </c>
      <c r="T131" s="45">
        <f t="shared" si="6"/>
        <v>0</v>
      </c>
      <c r="U131" s="46">
        <v>0</v>
      </c>
      <c r="V131" s="47">
        <f t="shared" si="7"/>
        <v>0</v>
      </c>
      <c r="W131" s="47">
        <f t="shared" si="8"/>
        <v>0</v>
      </c>
      <c r="X131" s="48">
        <f t="shared" si="9"/>
        <v>0</v>
      </c>
      <c r="Y131" s="49">
        <f t="shared" si="10"/>
        <v>0</v>
      </c>
      <c r="Z131" s="50">
        <f t="shared" si="11"/>
        <v>0</v>
      </c>
    </row>
    <row r="132" spans="1:26" x14ac:dyDescent="0.25">
      <c r="A132" s="29" t="s">
        <v>357</v>
      </c>
      <c r="B132" s="29" t="s">
        <v>43</v>
      </c>
      <c r="C132" s="29" t="s">
        <v>358</v>
      </c>
      <c r="D132" s="30">
        <v>54130531</v>
      </c>
      <c r="E132" s="31" t="s">
        <v>359</v>
      </c>
      <c r="F132" s="29">
        <v>181935</v>
      </c>
      <c r="G132" s="32" t="s">
        <v>52</v>
      </c>
      <c r="H132" s="32" t="s">
        <v>373</v>
      </c>
      <c r="I132" s="33" t="s">
        <v>374</v>
      </c>
      <c r="J132" s="42">
        <v>0</v>
      </c>
      <c r="K132" s="43">
        <v>0</v>
      </c>
      <c r="L132" s="43">
        <v>0</v>
      </c>
      <c r="M132" s="43">
        <v>0</v>
      </c>
      <c r="N132" s="43">
        <v>0</v>
      </c>
      <c r="O132" s="43">
        <v>0</v>
      </c>
      <c r="P132" s="52">
        <v>0</v>
      </c>
      <c r="Q132" s="42">
        <v>0</v>
      </c>
      <c r="R132" s="43">
        <v>0</v>
      </c>
      <c r="S132" s="44">
        <v>0</v>
      </c>
      <c r="T132" s="45">
        <f t="shared" si="6"/>
        <v>0</v>
      </c>
      <c r="U132" s="46">
        <v>0</v>
      </c>
      <c r="V132" s="47">
        <f t="shared" si="7"/>
        <v>0</v>
      </c>
      <c r="W132" s="47">
        <f t="shared" si="8"/>
        <v>0</v>
      </c>
      <c r="X132" s="48">
        <f t="shared" si="9"/>
        <v>0</v>
      </c>
      <c r="Y132" s="49">
        <f t="shared" si="10"/>
        <v>0</v>
      </c>
      <c r="Z132" s="50">
        <f t="shared" si="11"/>
        <v>0</v>
      </c>
    </row>
    <row r="133" spans="1:26" x14ac:dyDescent="0.25">
      <c r="A133" s="29" t="s">
        <v>357</v>
      </c>
      <c r="B133" s="29" t="s">
        <v>43</v>
      </c>
      <c r="C133" s="29" t="s">
        <v>358</v>
      </c>
      <c r="D133" s="30">
        <v>54130531</v>
      </c>
      <c r="E133" s="31" t="s">
        <v>359</v>
      </c>
      <c r="F133" s="29">
        <v>35629860</v>
      </c>
      <c r="G133" s="32" t="s">
        <v>52</v>
      </c>
      <c r="H133" s="32" t="s">
        <v>219</v>
      </c>
      <c r="I133" s="33" t="s">
        <v>375</v>
      </c>
      <c r="J133" s="42">
        <v>1</v>
      </c>
      <c r="K133" s="43">
        <v>0</v>
      </c>
      <c r="L133" s="43">
        <v>5</v>
      </c>
      <c r="M133" s="43">
        <v>0</v>
      </c>
      <c r="N133" s="43">
        <v>0</v>
      </c>
      <c r="O133" s="43">
        <v>2</v>
      </c>
      <c r="P133" s="52">
        <v>1</v>
      </c>
      <c r="Q133" s="42">
        <v>0</v>
      </c>
      <c r="R133" s="43">
        <v>34</v>
      </c>
      <c r="S133" s="44">
        <v>19</v>
      </c>
      <c r="T133" s="45">
        <f t="shared" ref="T133:T196" si="12">$T$1*L133</f>
        <v>167.5</v>
      </c>
      <c r="U133" s="46">
        <v>35</v>
      </c>
      <c r="V133" s="47">
        <f t="shared" si="7"/>
        <v>0</v>
      </c>
      <c r="W133" s="47">
        <f t="shared" si="8"/>
        <v>95</v>
      </c>
      <c r="X133" s="48">
        <f t="shared" si="9"/>
        <v>55.5</v>
      </c>
      <c r="Y133" s="49">
        <f t="shared" si="10"/>
        <v>353</v>
      </c>
      <c r="Z133" s="50">
        <f t="shared" si="11"/>
        <v>353</v>
      </c>
    </row>
    <row r="134" spans="1:26" x14ac:dyDescent="0.25">
      <c r="A134" s="29" t="s">
        <v>357</v>
      </c>
      <c r="B134" s="29" t="s">
        <v>43</v>
      </c>
      <c r="C134" s="29" t="s">
        <v>358</v>
      </c>
      <c r="D134" s="30">
        <v>54130531</v>
      </c>
      <c r="E134" s="31" t="s">
        <v>359</v>
      </c>
      <c r="F134" s="29">
        <v>35630060</v>
      </c>
      <c r="G134" s="32" t="s">
        <v>52</v>
      </c>
      <c r="H134" s="32" t="s">
        <v>219</v>
      </c>
      <c r="I134" s="33" t="s">
        <v>376</v>
      </c>
      <c r="J134" s="42">
        <v>0</v>
      </c>
      <c r="K134" s="43">
        <v>0</v>
      </c>
      <c r="L134" s="43">
        <v>0</v>
      </c>
      <c r="M134" s="43">
        <v>0</v>
      </c>
      <c r="N134" s="43">
        <v>0</v>
      </c>
      <c r="O134" s="43">
        <v>0</v>
      </c>
      <c r="P134" s="52">
        <v>0</v>
      </c>
      <c r="Q134" s="42">
        <v>0</v>
      </c>
      <c r="R134" s="43">
        <v>0</v>
      </c>
      <c r="S134" s="44">
        <v>0</v>
      </c>
      <c r="T134" s="45">
        <f t="shared" si="12"/>
        <v>0</v>
      </c>
      <c r="U134" s="46">
        <v>0</v>
      </c>
      <c r="V134" s="47">
        <f t="shared" ref="V134:V197" si="13">$U$1*N134+$V$1*Q134</f>
        <v>0</v>
      </c>
      <c r="W134" s="47">
        <f t="shared" ref="W134:W197" si="14">$U$1*O134+$W$1*R134</f>
        <v>0</v>
      </c>
      <c r="X134" s="48">
        <f t="shared" ref="X134:X197" si="15">$X$1*P134+$V$1*S134</f>
        <v>0</v>
      </c>
      <c r="Y134" s="49">
        <f t="shared" ref="Y134:Y197" si="16">T134+U134+V134+W134+X134</f>
        <v>0</v>
      </c>
      <c r="Z134" s="50">
        <f t="shared" ref="Z134:Z197" si="17">ROUND(Y134,0)</f>
        <v>0</v>
      </c>
    </row>
    <row r="135" spans="1:26" x14ac:dyDescent="0.25">
      <c r="A135" s="29" t="s">
        <v>357</v>
      </c>
      <c r="B135" s="29" t="s">
        <v>43</v>
      </c>
      <c r="C135" s="29" t="s">
        <v>358</v>
      </c>
      <c r="D135" s="30">
        <v>54130531</v>
      </c>
      <c r="E135" s="31" t="s">
        <v>359</v>
      </c>
      <c r="F135" s="29">
        <v>51279177</v>
      </c>
      <c r="G135" s="32" t="s">
        <v>52</v>
      </c>
      <c r="H135" s="32" t="s">
        <v>219</v>
      </c>
      <c r="I135" s="53" t="s">
        <v>377</v>
      </c>
      <c r="J135" s="42">
        <v>1</v>
      </c>
      <c r="K135" s="43">
        <v>1</v>
      </c>
      <c r="L135" s="43">
        <v>3</v>
      </c>
      <c r="M135" s="43">
        <v>1</v>
      </c>
      <c r="N135" s="43">
        <v>1</v>
      </c>
      <c r="O135" s="43">
        <v>1</v>
      </c>
      <c r="P135" s="52">
        <v>0</v>
      </c>
      <c r="Q135" s="42">
        <v>2</v>
      </c>
      <c r="R135" s="43">
        <v>13</v>
      </c>
      <c r="S135" s="44">
        <v>0</v>
      </c>
      <c r="T135" s="45">
        <f t="shared" si="12"/>
        <v>100.5</v>
      </c>
      <c r="U135" s="46">
        <v>0</v>
      </c>
      <c r="V135" s="47">
        <f t="shared" si="13"/>
        <v>16.5</v>
      </c>
      <c r="W135" s="47">
        <f t="shared" si="14"/>
        <v>39.5</v>
      </c>
      <c r="X135" s="48">
        <f t="shared" si="15"/>
        <v>0</v>
      </c>
      <c r="Y135" s="49">
        <f t="shared" si="16"/>
        <v>156.5</v>
      </c>
      <c r="Z135" s="50">
        <f t="shared" si="17"/>
        <v>157</v>
      </c>
    </row>
    <row r="136" spans="1:26" x14ac:dyDescent="0.25">
      <c r="A136" s="29" t="s">
        <v>357</v>
      </c>
      <c r="B136" s="29" t="s">
        <v>43</v>
      </c>
      <c r="C136" s="29" t="s">
        <v>358</v>
      </c>
      <c r="D136" s="30">
        <v>54130531</v>
      </c>
      <c r="E136" s="31" t="s">
        <v>359</v>
      </c>
      <c r="F136" s="29">
        <v>163317</v>
      </c>
      <c r="G136" s="32" t="s">
        <v>70</v>
      </c>
      <c r="H136" s="32" t="s">
        <v>378</v>
      </c>
      <c r="I136" s="53" t="s">
        <v>379</v>
      </c>
      <c r="J136" s="42">
        <v>2</v>
      </c>
      <c r="K136" s="43">
        <v>0</v>
      </c>
      <c r="L136" s="43">
        <v>9</v>
      </c>
      <c r="M136" s="43">
        <v>0</v>
      </c>
      <c r="N136" s="43">
        <v>0</v>
      </c>
      <c r="O136" s="43">
        <v>3</v>
      </c>
      <c r="P136" s="52">
        <v>0</v>
      </c>
      <c r="Q136" s="42">
        <v>0</v>
      </c>
      <c r="R136" s="43">
        <v>85</v>
      </c>
      <c r="S136" s="44">
        <v>0</v>
      </c>
      <c r="T136" s="45">
        <f t="shared" si="12"/>
        <v>301.5</v>
      </c>
      <c r="U136" s="46">
        <v>0</v>
      </c>
      <c r="V136" s="47">
        <f t="shared" si="13"/>
        <v>0</v>
      </c>
      <c r="W136" s="47">
        <f t="shared" si="14"/>
        <v>210.5</v>
      </c>
      <c r="X136" s="48">
        <f t="shared" si="15"/>
        <v>0</v>
      </c>
      <c r="Y136" s="49">
        <f t="shared" si="16"/>
        <v>512</v>
      </c>
      <c r="Z136" s="50">
        <f t="shared" si="17"/>
        <v>512</v>
      </c>
    </row>
    <row r="137" spans="1:26" x14ac:dyDescent="0.25">
      <c r="A137" s="29" t="s">
        <v>357</v>
      </c>
      <c r="B137" s="29" t="s">
        <v>79</v>
      </c>
      <c r="C137" s="29" t="s">
        <v>380</v>
      </c>
      <c r="D137" s="30">
        <v>37836901</v>
      </c>
      <c r="E137" s="31" t="s">
        <v>381</v>
      </c>
      <c r="F137" s="29">
        <v>160130</v>
      </c>
      <c r="G137" s="32" t="s">
        <v>382</v>
      </c>
      <c r="H137" s="32" t="s">
        <v>360</v>
      </c>
      <c r="I137" s="33" t="s">
        <v>383</v>
      </c>
      <c r="J137" s="42">
        <v>10</v>
      </c>
      <c r="K137" s="43">
        <v>0</v>
      </c>
      <c r="L137" s="43">
        <v>43</v>
      </c>
      <c r="M137" s="43">
        <v>0</v>
      </c>
      <c r="N137" s="43">
        <v>1</v>
      </c>
      <c r="O137" s="43">
        <v>21</v>
      </c>
      <c r="P137" s="52">
        <v>2</v>
      </c>
      <c r="Q137" s="42">
        <v>1</v>
      </c>
      <c r="R137" s="43">
        <v>367</v>
      </c>
      <c r="S137" s="44">
        <v>120</v>
      </c>
      <c r="T137" s="45">
        <f t="shared" si="12"/>
        <v>1440.5</v>
      </c>
      <c r="U137" s="46">
        <v>38.9</v>
      </c>
      <c r="V137" s="47">
        <f t="shared" si="13"/>
        <v>15</v>
      </c>
      <c r="W137" s="47">
        <f t="shared" si="14"/>
        <v>1017.5</v>
      </c>
      <c r="X137" s="48">
        <f t="shared" si="15"/>
        <v>234</v>
      </c>
      <c r="Y137" s="49">
        <f t="shared" si="16"/>
        <v>2745.9</v>
      </c>
      <c r="Z137" s="50">
        <f t="shared" si="17"/>
        <v>2746</v>
      </c>
    </row>
    <row r="138" spans="1:26" x14ac:dyDescent="0.25">
      <c r="A138" s="29" t="s">
        <v>357</v>
      </c>
      <c r="B138" s="29" t="s">
        <v>79</v>
      </c>
      <c r="C138" s="29" t="s">
        <v>380</v>
      </c>
      <c r="D138" s="30">
        <v>37836901</v>
      </c>
      <c r="E138" s="31" t="s">
        <v>381</v>
      </c>
      <c r="F138" s="29">
        <v>17050090</v>
      </c>
      <c r="G138" s="32" t="s">
        <v>384</v>
      </c>
      <c r="H138" s="32" t="s">
        <v>360</v>
      </c>
      <c r="I138" s="33" t="s">
        <v>385</v>
      </c>
      <c r="J138" s="42">
        <v>7</v>
      </c>
      <c r="K138" s="43">
        <v>0</v>
      </c>
      <c r="L138" s="43">
        <v>13</v>
      </c>
      <c r="M138" s="43">
        <v>0</v>
      </c>
      <c r="N138" s="43">
        <v>2</v>
      </c>
      <c r="O138" s="43">
        <v>8</v>
      </c>
      <c r="P138" s="52">
        <v>1</v>
      </c>
      <c r="Q138" s="42">
        <v>9</v>
      </c>
      <c r="R138" s="43">
        <v>84</v>
      </c>
      <c r="S138" s="44">
        <v>24</v>
      </c>
      <c r="T138" s="45">
        <f t="shared" si="12"/>
        <v>435.5</v>
      </c>
      <c r="U138" s="46">
        <v>0</v>
      </c>
      <c r="V138" s="47">
        <f t="shared" si="13"/>
        <v>40.5</v>
      </c>
      <c r="W138" s="47">
        <f t="shared" si="14"/>
        <v>276</v>
      </c>
      <c r="X138" s="48">
        <f t="shared" si="15"/>
        <v>63</v>
      </c>
      <c r="Y138" s="49">
        <f t="shared" si="16"/>
        <v>815</v>
      </c>
      <c r="Z138" s="50">
        <f t="shared" si="17"/>
        <v>815</v>
      </c>
    </row>
    <row r="139" spans="1:26" x14ac:dyDescent="0.25">
      <c r="A139" s="29" t="s">
        <v>357</v>
      </c>
      <c r="B139" s="29" t="s">
        <v>79</v>
      </c>
      <c r="C139" s="29" t="s">
        <v>380</v>
      </c>
      <c r="D139" s="30">
        <v>37836901</v>
      </c>
      <c r="E139" s="31" t="s">
        <v>381</v>
      </c>
      <c r="F139" s="29">
        <v>53638549</v>
      </c>
      <c r="G139" s="32" t="s">
        <v>386</v>
      </c>
      <c r="H139" s="32" t="s">
        <v>360</v>
      </c>
      <c r="I139" s="33" t="s">
        <v>387</v>
      </c>
      <c r="J139" s="54">
        <v>20</v>
      </c>
      <c r="K139" s="55">
        <v>1</v>
      </c>
      <c r="L139" s="55">
        <v>73</v>
      </c>
      <c r="M139" s="55">
        <v>1</v>
      </c>
      <c r="N139" s="55">
        <v>2</v>
      </c>
      <c r="O139" s="55">
        <v>45</v>
      </c>
      <c r="P139" s="56">
        <v>3</v>
      </c>
      <c r="Q139" s="54">
        <v>18</v>
      </c>
      <c r="R139" s="55">
        <v>508</v>
      </c>
      <c r="S139" s="57">
        <v>127</v>
      </c>
      <c r="T139" s="45">
        <f t="shared" si="12"/>
        <v>2445.5</v>
      </c>
      <c r="U139" s="58">
        <v>314.2</v>
      </c>
      <c r="V139" s="47">
        <f t="shared" si="13"/>
        <v>54</v>
      </c>
      <c r="W139" s="47">
        <f t="shared" si="14"/>
        <v>1623.5</v>
      </c>
      <c r="X139" s="48">
        <f t="shared" si="15"/>
        <v>271.5</v>
      </c>
      <c r="Y139" s="49">
        <f t="shared" si="16"/>
        <v>4708.7</v>
      </c>
      <c r="Z139" s="50">
        <f t="shared" si="17"/>
        <v>4709</v>
      </c>
    </row>
    <row r="140" spans="1:26" x14ac:dyDescent="0.25">
      <c r="A140" s="29" t="s">
        <v>357</v>
      </c>
      <c r="B140" s="29" t="s">
        <v>79</v>
      </c>
      <c r="C140" s="29" t="s">
        <v>380</v>
      </c>
      <c r="D140" s="30">
        <v>37836901</v>
      </c>
      <c r="E140" s="31" t="s">
        <v>381</v>
      </c>
      <c r="F140" s="29">
        <v>53638522</v>
      </c>
      <c r="G140" s="32" t="s">
        <v>52</v>
      </c>
      <c r="H140" s="32" t="s">
        <v>360</v>
      </c>
      <c r="I140" s="33" t="s">
        <v>361</v>
      </c>
      <c r="J140" s="42">
        <v>14</v>
      </c>
      <c r="K140" s="43">
        <v>0</v>
      </c>
      <c r="L140" s="43">
        <v>43</v>
      </c>
      <c r="M140" s="43">
        <v>0</v>
      </c>
      <c r="N140" s="43">
        <v>4</v>
      </c>
      <c r="O140" s="43">
        <v>18</v>
      </c>
      <c r="P140" s="52">
        <v>1</v>
      </c>
      <c r="Q140" s="42">
        <v>61</v>
      </c>
      <c r="R140" s="43">
        <v>332</v>
      </c>
      <c r="S140" s="44">
        <v>86</v>
      </c>
      <c r="T140" s="45">
        <f t="shared" si="12"/>
        <v>1440.5</v>
      </c>
      <c r="U140" s="46">
        <v>0</v>
      </c>
      <c r="V140" s="47">
        <f t="shared" si="13"/>
        <v>145.5</v>
      </c>
      <c r="W140" s="47">
        <f t="shared" si="14"/>
        <v>907</v>
      </c>
      <c r="X140" s="48">
        <f t="shared" si="15"/>
        <v>156</v>
      </c>
      <c r="Y140" s="49">
        <f t="shared" si="16"/>
        <v>2649</v>
      </c>
      <c r="Z140" s="50">
        <f t="shared" si="17"/>
        <v>2649</v>
      </c>
    </row>
    <row r="141" spans="1:26" x14ac:dyDescent="0.25">
      <c r="A141" s="29" t="s">
        <v>357</v>
      </c>
      <c r="B141" s="29" t="s">
        <v>79</v>
      </c>
      <c r="C141" s="29" t="s">
        <v>380</v>
      </c>
      <c r="D141" s="30">
        <v>37836901</v>
      </c>
      <c r="E141" s="31" t="s">
        <v>381</v>
      </c>
      <c r="F141" s="29">
        <v>891649</v>
      </c>
      <c r="G141" s="32" t="s">
        <v>388</v>
      </c>
      <c r="H141" s="32" t="s">
        <v>360</v>
      </c>
      <c r="I141" s="33" t="s">
        <v>389</v>
      </c>
      <c r="J141" s="42">
        <v>7</v>
      </c>
      <c r="K141" s="43">
        <v>0</v>
      </c>
      <c r="L141" s="43">
        <v>35</v>
      </c>
      <c r="M141" s="43">
        <v>0</v>
      </c>
      <c r="N141" s="43">
        <v>1</v>
      </c>
      <c r="O141" s="43">
        <v>18</v>
      </c>
      <c r="P141" s="52">
        <v>1</v>
      </c>
      <c r="Q141" s="42">
        <v>20</v>
      </c>
      <c r="R141" s="43">
        <v>237</v>
      </c>
      <c r="S141" s="44">
        <v>16</v>
      </c>
      <c r="T141" s="45">
        <f t="shared" si="12"/>
        <v>1172.5</v>
      </c>
      <c r="U141" s="46">
        <v>0</v>
      </c>
      <c r="V141" s="47">
        <f t="shared" si="13"/>
        <v>43.5</v>
      </c>
      <c r="W141" s="47">
        <f t="shared" si="14"/>
        <v>717</v>
      </c>
      <c r="X141" s="48">
        <f t="shared" si="15"/>
        <v>51</v>
      </c>
      <c r="Y141" s="49">
        <f t="shared" si="16"/>
        <v>1984</v>
      </c>
      <c r="Z141" s="50">
        <f t="shared" si="17"/>
        <v>1984</v>
      </c>
    </row>
    <row r="142" spans="1:26" x14ac:dyDescent="0.25">
      <c r="A142" s="29" t="s">
        <v>357</v>
      </c>
      <c r="B142" s="29" t="s">
        <v>79</v>
      </c>
      <c r="C142" s="29" t="s">
        <v>380</v>
      </c>
      <c r="D142" s="30">
        <v>37836901</v>
      </c>
      <c r="E142" s="31" t="s">
        <v>381</v>
      </c>
      <c r="F142" s="29">
        <v>607312</v>
      </c>
      <c r="G142" s="32" t="s">
        <v>390</v>
      </c>
      <c r="H142" s="32" t="s">
        <v>360</v>
      </c>
      <c r="I142" s="33" t="s">
        <v>391</v>
      </c>
      <c r="J142" s="54">
        <v>8</v>
      </c>
      <c r="K142" s="55">
        <v>2</v>
      </c>
      <c r="L142" s="55">
        <v>29</v>
      </c>
      <c r="M142" s="55">
        <v>4</v>
      </c>
      <c r="N142" s="55">
        <v>2</v>
      </c>
      <c r="O142" s="55">
        <v>12</v>
      </c>
      <c r="P142" s="56">
        <v>0</v>
      </c>
      <c r="Q142" s="54">
        <v>38</v>
      </c>
      <c r="R142" s="55">
        <v>265</v>
      </c>
      <c r="S142" s="57">
        <v>0</v>
      </c>
      <c r="T142" s="45">
        <f t="shared" si="12"/>
        <v>971.5</v>
      </c>
      <c r="U142" s="58">
        <v>645.29999999999995</v>
      </c>
      <c r="V142" s="47">
        <f t="shared" si="13"/>
        <v>84</v>
      </c>
      <c r="W142" s="47">
        <f t="shared" si="14"/>
        <v>692</v>
      </c>
      <c r="X142" s="48">
        <f t="shared" si="15"/>
        <v>0</v>
      </c>
      <c r="Y142" s="49">
        <f t="shared" si="16"/>
        <v>2392.8000000000002</v>
      </c>
      <c r="Z142" s="50">
        <f t="shared" si="17"/>
        <v>2393</v>
      </c>
    </row>
    <row r="143" spans="1:26" x14ac:dyDescent="0.25">
      <c r="A143" s="29" t="s">
        <v>357</v>
      </c>
      <c r="B143" s="29" t="s">
        <v>79</v>
      </c>
      <c r="C143" s="29" t="s">
        <v>380</v>
      </c>
      <c r="D143" s="30">
        <v>37836901</v>
      </c>
      <c r="E143" s="31" t="s">
        <v>381</v>
      </c>
      <c r="F143" s="29">
        <v>17050103</v>
      </c>
      <c r="G143" s="32" t="s">
        <v>392</v>
      </c>
      <c r="H143" s="32" t="s">
        <v>348</v>
      </c>
      <c r="I143" s="33" t="s">
        <v>393</v>
      </c>
      <c r="J143" s="42">
        <v>12</v>
      </c>
      <c r="K143" s="43">
        <v>0</v>
      </c>
      <c r="L143" s="43">
        <v>43</v>
      </c>
      <c r="M143" s="43">
        <v>0</v>
      </c>
      <c r="N143" s="43">
        <v>2</v>
      </c>
      <c r="O143" s="43">
        <v>17</v>
      </c>
      <c r="P143" s="52">
        <v>2</v>
      </c>
      <c r="Q143" s="42">
        <v>22</v>
      </c>
      <c r="R143" s="43">
        <v>277</v>
      </c>
      <c r="S143" s="44">
        <v>97</v>
      </c>
      <c r="T143" s="45">
        <f t="shared" si="12"/>
        <v>1440.5</v>
      </c>
      <c r="U143" s="46">
        <v>150.1</v>
      </c>
      <c r="V143" s="47">
        <f t="shared" si="13"/>
        <v>60</v>
      </c>
      <c r="W143" s="47">
        <f t="shared" si="14"/>
        <v>783.5</v>
      </c>
      <c r="X143" s="48">
        <f t="shared" si="15"/>
        <v>199.5</v>
      </c>
      <c r="Y143" s="49">
        <f t="shared" si="16"/>
        <v>2633.6</v>
      </c>
      <c r="Z143" s="50">
        <f t="shared" si="17"/>
        <v>2634</v>
      </c>
    </row>
    <row r="144" spans="1:26" x14ac:dyDescent="0.25">
      <c r="A144" s="51" t="s">
        <v>357</v>
      </c>
      <c r="B144" s="51" t="s">
        <v>79</v>
      </c>
      <c r="C144" s="51" t="s">
        <v>380</v>
      </c>
      <c r="D144" s="30">
        <v>37836901</v>
      </c>
      <c r="E144" s="31" t="s">
        <v>381</v>
      </c>
      <c r="F144" s="51">
        <v>160407</v>
      </c>
      <c r="G144" s="32" t="s">
        <v>394</v>
      </c>
      <c r="H144" s="32" t="s">
        <v>348</v>
      </c>
      <c r="I144" s="33" t="s">
        <v>393</v>
      </c>
      <c r="J144" s="42">
        <v>6</v>
      </c>
      <c r="K144" s="43">
        <v>0</v>
      </c>
      <c r="L144" s="43">
        <v>22</v>
      </c>
      <c r="M144" s="43">
        <v>0</v>
      </c>
      <c r="N144" s="43">
        <v>1</v>
      </c>
      <c r="O144" s="43">
        <v>7</v>
      </c>
      <c r="P144" s="52">
        <v>2</v>
      </c>
      <c r="Q144" s="42">
        <v>1</v>
      </c>
      <c r="R144" s="43">
        <v>92</v>
      </c>
      <c r="S144" s="44">
        <v>57</v>
      </c>
      <c r="T144" s="45">
        <f t="shared" si="12"/>
        <v>737</v>
      </c>
      <c r="U144" s="46">
        <v>73.099999999999994</v>
      </c>
      <c r="V144" s="47">
        <f t="shared" si="13"/>
        <v>15</v>
      </c>
      <c r="W144" s="47">
        <f t="shared" si="14"/>
        <v>278.5</v>
      </c>
      <c r="X144" s="48">
        <f t="shared" si="15"/>
        <v>139.5</v>
      </c>
      <c r="Y144" s="49">
        <f t="shared" si="16"/>
        <v>1243.0999999999999</v>
      </c>
      <c r="Z144" s="50">
        <f t="shared" si="17"/>
        <v>1243</v>
      </c>
    </row>
    <row r="145" spans="1:26" x14ac:dyDescent="0.25">
      <c r="A145" s="29" t="s">
        <v>357</v>
      </c>
      <c r="B145" s="29" t="s">
        <v>79</v>
      </c>
      <c r="C145" s="29" t="s">
        <v>380</v>
      </c>
      <c r="D145" s="30">
        <v>37836901</v>
      </c>
      <c r="E145" s="31" t="s">
        <v>381</v>
      </c>
      <c r="F145" s="29">
        <v>44351</v>
      </c>
      <c r="G145" s="32" t="s">
        <v>395</v>
      </c>
      <c r="H145" s="32" t="s">
        <v>396</v>
      </c>
      <c r="I145" s="33" t="s">
        <v>397</v>
      </c>
      <c r="J145" s="42">
        <v>12</v>
      </c>
      <c r="K145" s="43">
        <v>1</v>
      </c>
      <c r="L145" s="43">
        <v>55</v>
      </c>
      <c r="M145" s="43">
        <v>5</v>
      </c>
      <c r="N145" s="43">
        <v>5</v>
      </c>
      <c r="O145" s="43">
        <v>22</v>
      </c>
      <c r="P145" s="52">
        <v>2</v>
      </c>
      <c r="Q145" s="42">
        <v>92</v>
      </c>
      <c r="R145" s="43">
        <v>408</v>
      </c>
      <c r="S145" s="44">
        <v>80</v>
      </c>
      <c r="T145" s="45">
        <f t="shared" si="12"/>
        <v>1842.5</v>
      </c>
      <c r="U145" s="46">
        <v>669</v>
      </c>
      <c r="V145" s="47">
        <f t="shared" si="13"/>
        <v>205.5</v>
      </c>
      <c r="W145" s="47">
        <f t="shared" si="14"/>
        <v>1113</v>
      </c>
      <c r="X145" s="48">
        <f t="shared" si="15"/>
        <v>174</v>
      </c>
      <c r="Y145" s="49">
        <f t="shared" si="16"/>
        <v>4004</v>
      </c>
      <c r="Z145" s="50">
        <f t="shared" si="17"/>
        <v>4004</v>
      </c>
    </row>
    <row r="146" spans="1:26" x14ac:dyDescent="0.25">
      <c r="A146" s="29" t="s">
        <v>357</v>
      </c>
      <c r="B146" s="29" t="s">
        <v>79</v>
      </c>
      <c r="C146" s="29" t="s">
        <v>380</v>
      </c>
      <c r="D146" s="30">
        <v>37836901</v>
      </c>
      <c r="E146" s="31" t="s">
        <v>381</v>
      </c>
      <c r="F146" s="29">
        <v>17050146</v>
      </c>
      <c r="G146" s="32" t="s">
        <v>398</v>
      </c>
      <c r="H146" s="32" t="s">
        <v>399</v>
      </c>
      <c r="I146" s="33" t="s">
        <v>400</v>
      </c>
      <c r="J146" s="54">
        <v>11</v>
      </c>
      <c r="K146" s="55">
        <v>0</v>
      </c>
      <c r="L146" s="55">
        <v>21</v>
      </c>
      <c r="M146" s="55">
        <v>0</v>
      </c>
      <c r="N146" s="55">
        <v>3</v>
      </c>
      <c r="O146" s="55">
        <v>10</v>
      </c>
      <c r="P146" s="56">
        <v>1</v>
      </c>
      <c r="Q146" s="54">
        <v>32</v>
      </c>
      <c r="R146" s="55">
        <v>149</v>
      </c>
      <c r="S146" s="57">
        <v>31</v>
      </c>
      <c r="T146" s="45">
        <f t="shared" si="12"/>
        <v>703.5</v>
      </c>
      <c r="U146" s="58">
        <v>220</v>
      </c>
      <c r="V146" s="47">
        <f t="shared" si="13"/>
        <v>88.5</v>
      </c>
      <c r="W146" s="47">
        <f t="shared" si="14"/>
        <v>433</v>
      </c>
      <c r="X146" s="48">
        <f t="shared" si="15"/>
        <v>73.5</v>
      </c>
      <c r="Y146" s="49">
        <f t="shared" si="16"/>
        <v>1518.5</v>
      </c>
      <c r="Z146" s="50">
        <f t="shared" si="17"/>
        <v>1519</v>
      </c>
    </row>
    <row r="147" spans="1:26" x14ac:dyDescent="0.25">
      <c r="A147" s="29" t="s">
        <v>357</v>
      </c>
      <c r="B147" s="29" t="s">
        <v>79</v>
      </c>
      <c r="C147" s="29" t="s">
        <v>380</v>
      </c>
      <c r="D147" s="30">
        <v>37836901</v>
      </c>
      <c r="E147" s="31" t="s">
        <v>381</v>
      </c>
      <c r="F147" s="29">
        <v>160156</v>
      </c>
      <c r="G147" s="32" t="s">
        <v>401</v>
      </c>
      <c r="H147" s="32" t="s">
        <v>399</v>
      </c>
      <c r="I147" s="33" t="s">
        <v>400</v>
      </c>
      <c r="J147" s="42">
        <v>8</v>
      </c>
      <c r="K147" s="43">
        <v>0</v>
      </c>
      <c r="L147" s="43">
        <v>22</v>
      </c>
      <c r="M147" s="43">
        <v>0</v>
      </c>
      <c r="N147" s="43">
        <v>0</v>
      </c>
      <c r="O147" s="43">
        <v>8</v>
      </c>
      <c r="P147" s="52">
        <v>1</v>
      </c>
      <c r="Q147" s="42">
        <v>0</v>
      </c>
      <c r="R147" s="43">
        <v>192</v>
      </c>
      <c r="S147" s="44">
        <v>45</v>
      </c>
      <c r="T147" s="45">
        <f t="shared" si="12"/>
        <v>737</v>
      </c>
      <c r="U147" s="46">
        <v>250.8</v>
      </c>
      <c r="V147" s="47">
        <f t="shared" si="13"/>
        <v>0</v>
      </c>
      <c r="W147" s="47">
        <f t="shared" si="14"/>
        <v>492</v>
      </c>
      <c r="X147" s="48">
        <f t="shared" si="15"/>
        <v>94.5</v>
      </c>
      <c r="Y147" s="49">
        <f t="shared" si="16"/>
        <v>1574.3</v>
      </c>
      <c r="Z147" s="50">
        <f t="shared" si="17"/>
        <v>1574</v>
      </c>
    </row>
    <row r="148" spans="1:26" x14ac:dyDescent="0.25">
      <c r="A148" s="29" t="s">
        <v>357</v>
      </c>
      <c r="B148" s="29" t="s">
        <v>79</v>
      </c>
      <c r="C148" s="29" t="s">
        <v>380</v>
      </c>
      <c r="D148" s="30">
        <v>37836901</v>
      </c>
      <c r="E148" s="31" t="s">
        <v>381</v>
      </c>
      <c r="F148" s="29">
        <v>351873</v>
      </c>
      <c r="G148" s="32" t="s">
        <v>402</v>
      </c>
      <c r="H148" s="32" t="s">
        <v>399</v>
      </c>
      <c r="I148" s="33" t="s">
        <v>403</v>
      </c>
      <c r="J148" s="54">
        <v>13</v>
      </c>
      <c r="K148" s="55">
        <v>1</v>
      </c>
      <c r="L148" s="55">
        <v>55</v>
      </c>
      <c r="M148" s="55">
        <v>4</v>
      </c>
      <c r="N148" s="55">
        <v>2</v>
      </c>
      <c r="O148" s="55">
        <v>19</v>
      </c>
      <c r="P148" s="56">
        <v>3</v>
      </c>
      <c r="Q148" s="54">
        <v>25</v>
      </c>
      <c r="R148" s="55">
        <v>368</v>
      </c>
      <c r="S148" s="57">
        <v>56</v>
      </c>
      <c r="T148" s="45">
        <f t="shared" si="12"/>
        <v>1842.5</v>
      </c>
      <c r="U148" s="58">
        <v>300.77999999999997</v>
      </c>
      <c r="V148" s="47">
        <f t="shared" si="13"/>
        <v>64.5</v>
      </c>
      <c r="W148" s="47">
        <f t="shared" si="14"/>
        <v>992.5</v>
      </c>
      <c r="X148" s="48">
        <f t="shared" si="15"/>
        <v>165</v>
      </c>
      <c r="Y148" s="49">
        <f t="shared" si="16"/>
        <v>3365.2799999999997</v>
      </c>
      <c r="Z148" s="50">
        <f t="shared" si="17"/>
        <v>3365</v>
      </c>
    </row>
    <row r="149" spans="1:26" x14ac:dyDescent="0.25">
      <c r="A149" s="29" t="s">
        <v>357</v>
      </c>
      <c r="B149" s="29" t="s">
        <v>79</v>
      </c>
      <c r="C149" s="29" t="s">
        <v>380</v>
      </c>
      <c r="D149" s="30">
        <v>37836901</v>
      </c>
      <c r="E149" s="31" t="s">
        <v>381</v>
      </c>
      <c r="F149" s="29">
        <v>158984</v>
      </c>
      <c r="G149" s="32" t="s">
        <v>388</v>
      </c>
      <c r="H149" s="32" t="s">
        <v>399</v>
      </c>
      <c r="I149" s="33" t="s">
        <v>404</v>
      </c>
      <c r="J149" s="42">
        <v>5</v>
      </c>
      <c r="K149" s="43">
        <v>0</v>
      </c>
      <c r="L149" s="43">
        <v>21</v>
      </c>
      <c r="M149" s="43">
        <v>0</v>
      </c>
      <c r="N149" s="43">
        <v>2</v>
      </c>
      <c r="O149" s="43">
        <v>10</v>
      </c>
      <c r="P149" s="52">
        <v>1</v>
      </c>
      <c r="Q149" s="42">
        <v>5</v>
      </c>
      <c r="R149" s="43">
        <v>142</v>
      </c>
      <c r="S149" s="44">
        <v>19</v>
      </c>
      <c r="T149" s="45">
        <f t="shared" si="12"/>
        <v>703.5</v>
      </c>
      <c r="U149" s="46">
        <v>46.6</v>
      </c>
      <c r="V149" s="47">
        <f t="shared" si="13"/>
        <v>34.5</v>
      </c>
      <c r="W149" s="47">
        <f t="shared" si="14"/>
        <v>419</v>
      </c>
      <c r="X149" s="48">
        <f t="shared" si="15"/>
        <v>55.5</v>
      </c>
      <c r="Y149" s="49">
        <f t="shared" si="16"/>
        <v>1259.0999999999999</v>
      </c>
      <c r="Z149" s="50">
        <f t="shared" si="17"/>
        <v>1259</v>
      </c>
    </row>
    <row r="150" spans="1:26" x14ac:dyDescent="0.25">
      <c r="A150" s="29" t="s">
        <v>357</v>
      </c>
      <c r="B150" s="29" t="s">
        <v>79</v>
      </c>
      <c r="C150" s="29" t="s">
        <v>380</v>
      </c>
      <c r="D150" s="30">
        <v>37836901</v>
      </c>
      <c r="E150" s="31" t="s">
        <v>381</v>
      </c>
      <c r="F150" s="29">
        <v>160351</v>
      </c>
      <c r="G150" s="32" t="s">
        <v>405</v>
      </c>
      <c r="H150" s="32" t="s">
        <v>406</v>
      </c>
      <c r="I150" s="33" t="s">
        <v>407</v>
      </c>
      <c r="J150" s="42">
        <v>6</v>
      </c>
      <c r="K150" s="43">
        <v>0</v>
      </c>
      <c r="L150" s="43">
        <v>21</v>
      </c>
      <c r="M150" s="43">
        <v>0</v>
      </c>
      <c r="N150" s="43">
        <v>1</v>
      </c>
      <c r="O150" s="43">
        <v>5</v>
      </c>
      <c r="P150" s="52">
        <v>1</v>
      </c>
      <c r="Q150" s="42">
        <v>2</v>
      </c>
      <c r="R150" s="43">
        <v>175</v>
      </c>
      <c r="S150" s="44">
        <v>77</v>
      </c>
      <c r="T150" s="45">
        <f t="shared" si="12"/>
        <v>703.5</v>
      </c>
      <c r="U150" s="46">
        <v>29.25</v>
      </c>
      <c r="V150" s="47">
        <f t="shared" si="13"/>
        <v>16.5</v>
      </c>
      <c r="W150" s="47">
        <f t="shared" si="14"/>
        <v>417.5</v>
      </c>
      <c r="X150" s="48">
        <f t="shared" si="15"/>
        <v>142.5</v>
      </c>
      <c r="Y150" s="49">
        <f t="shared" si="16"/>
        <v>1309.25</v>
      </c>
      <c r="Z150" s="50">
        <f t="shared" si="17"/>
        <v>1309</v>
      </c>
    </row>
    <row r="151" spans="1:26" x14ac:dyDescent="0.25">
      <c r="A151" s="51" t="s">
        <v>357</v>
      </c>
      <c r="B151" s="51" t="s">
        <v>79</v>
      </c>
      <c r="C151" s="51" t="s">
        <v>380</v>
      </c>
      <c r="D151" s="30">
        <v>37836901</v>
      </c>
      <c r="E151" s="31" t="s">
        <v>381</v>
      </c>
      <c r="F151" s="51">
        <v>400238</v>
      </c>
      <c r="G151" s="32" t="s">
        <v>100</v>
      </c>
      <c r="H151" s="32" t="s">
        <v>406</v>
      </c>
      <c r="I151" s="33" t="s">
        <v>408</v>
      </c>
      <c r="J151" s="42">
        <v>10</v>
      </c>
      <c r="K151" s="43">
        <v>0</v>
      </c>
      <c r="L151" s="43">
        <v>37</v>
      </c>
      <c r="M151" s="43">
        <v>0</v>
      </c>
      <c r="N151" s="43">
        <v>2</v>
      </c>
      <c r="O151" s="43">
        <v>12</v>
      </c>
      <c r="P151" s="52">
        <v>1</v>
      </c>
      <c r="Q151" s="42">
        <v>63</v>
      </c>
      <c r="R151" s="43">
        <v>354</v>
      </c>
      <c r="S151" s="44">
        <v>82</v>
      </c>
      <c r="T151" s="45">
        <f t="shared" si="12"/>
        <v>1239.5</v>
      </c>
      <c r="U151" s="46">
        <v>51</v>
      </c>
      <c r="V151" s="47">
        <f t="shared" si="13"/>
        <v>121.5</v>
      </c>
      <c r="W151" s="47">
        <f t="shared" si="14"/>
        <v>870</v>
      </c>
      <c r="X151" s="48">
        <f t="shared" si="15"/>
        <v>150</v>
      </c>
      <c r="Y151" s="49">
        <f t="shared" si="16"/>
        <v>2432</v>
      </c>
      <c r="Z151" s="50">
        <f t="shared" si="17"/>
        <v>2432</v>
      </c>
    </row>
    <row r="152" spans="1:26" x14ac:dyDescent="0.25">
      <c r="A152" s="29" t="s">
        <v>357</v>
      </c>
      <c r="B152" s="29" t="s">
        <v>79</v>
      </c>
      <c r="C152" s="29" t="s">
        <v>380</v>
      </c>
      <c r="D152" s="30">
        <v>37836901</v>
      </c>
      <c r="E152" s="31" t="s">
        <v>381</v>
      </c>
      <c r="F152" s="29">
        <v>160164</v>
      </c>
      <c r="G152" s="32" t="s">
        <v>409</v>
      </c>
      <c r="H152" s="32" t="s">
        <v>366</v>
      </c>
      <c r="I152" s="33" t="s">
        <v>410</v>
      </c>
      <c r="J152" s="42">
        <v>20</v>
      </c>
      <c r="K152" s="43">
        <v>0</v>
      </c>
      <c r="L152" s="43">
        <v>60</v>
      </c>
      <c r="M152" s="43">
        <v>0</v>
      </c>
      <c r="N152" s="43">
        <v>1</v>
      </c>
      <c r="O152" s="43">
        <v>27</v>
      </c>
      <c r="P152" s="52">
        <v>3</v>
      </c>
      <c r="Q152" s="42">
        <v>4</v>
      </c>
      <c r="R152" s="43">
        <v>432</v>
      </c>
      <c r="S152" s="44">
        <v>109</v>
      </c>
      <c r="T152" s="45">
        <f t="shared" si="12"/>
        <v>2010</v>
      </c>
      <c r="U152" s="46">
        <v>350.35</v>
      </c>
      <c r="V152" s="47">
        <f t="shared" si="13"/>
        <v>19.5</v>
      </c>
      <c r="W152" s="47">
        <f t="shared" si="14"/>
        <v>1228.5</v>
      </c>
      <c r="X152" s="48">
        <f t="shared" si="15"/>
        <v>244.5</v>
      </c>
      <c r="Y152" s="49">
        <f t="shared" si="16"/>
        <v>3852.85</v>
      </c>
      <c r="Z152" s="50">
        <f t="shared" si="17"/>
        <v>3853</v>
      </c>
    </row>
    <row r="153" spans="1:26" x14ac:dyDescent="0.25">
      <c r="A153" s="29" t="s">
        <v>357</v>
      </c>
      <c r="B153" s="29" t="s">
        <v>79</v>
      </c>
      <c r="C153" s="29" t="s">
        <v>380</v>
      </c>
      <c r="D153" s="30">
        <v>37836901</v>
      </c>
      <c r="E153" s="31" t="s">
        <v>381</v>
      </c>
      <c r="F153" s="29">
        <v>17053811</v>
      </c>
      <c r="G153" s="32" t="s">
        <v>106</v>
      </c>
      <c r="H153" s="32" t="s">
        <v>366</v>
      </c>
      <c r="I153" s="33" t="s">
        <v>411</v>
      </c>
      <c r="J153" s="54">
        <v>5</v>
      </c>
      <c r="K153" s="55">
        <v>4</v>
      </c>
      <c r="L153" s="55">
        <v>10</v>
      </c>
      <c r="M153" s="55">
        <v>14</v>
      </c>
      <c r="N153" s="55">
        <v>10</v>
      </c>
      <c r="O153" s="55">
        <v>4</v>
      </c>
      <c r="P153" s="56">
        <v>0</v>
      </c>
      <c r="Q153" s="54">
        <v>146</v>
      </c>
      <c r="R153" s="55">
        <v>29</v>
      </c>
      <c r="S153" s="57">
        <v>0</v>
      </c>
      <c r="T153" s="45">
        <f t="shared" si="12"/>
        <v>335</v>
      </c>
      <c r="U153" s="58">
        <v>0</v>
      </c>
      <c r="V153" s="47">
        <f t="shared" si="13"/>
        <v>354</v>
      </c>
      <c r="W153" s="47">
        <f t="shared" si="14"/>
        <v>112</v>
      </c>
      <c r="X153" s="48">
        <f t="shared" si="15"/>
        <v>0</v>
      </c>
      <c r="Y153" s="49">
        <f t="shared" si="16"/>
        <v>801</v>
      </c>
      <c r="Z153" s="50">
        <f t="shared" si="17"/>
        <v>801</v>
      </c>
    </row>
    <row r="154" spans="1:26" x14ac:dyDescent="0.25">
      <c r="A154" s="29" t="s">
        <v>357</v>
      </c>
      <c r="B154" s="29" t="s">
        <v>79</v>
      </c>
      <c r="C154" s="29" t="s">
        <v>380</v>
      </c>
      <c r="D154" s="30">
        <v>37836901</v>
      </c>
      <c r="E154" s="31" t="s">
        <v>381</v>
      </c>
      <c r="F154" s="29">
        <v>17050324</v>
      </c>
      <c r="G154" s="32" t="s">
        <v>154</v>
      </c>
      <c r="H154" s="32" t="s">
        <v>366</v>
      </c>
      <c r="I154" s="33" t="s">
        <v>412</v>
      </c>
      <c r="J154" s="42">
        <v>6</v>
      </c>
      <c r="K154" s="43">
        <v>0</v>
      </c>
      <c r="L154" s="43">
        <v>28</v>
      </c>
      <c r="M154" s="43">
        <v>0</v>
      </c>
      <c r="N154" s="43">
        <v>0</v>
      </c>
      <c r="O154" s="43">
        <v>14</v>
      </c>
      <c r="P154" s="52">
        <v>2</v>
      </c>
      <c r="Q154" s="42">
        <v>0</v>
      </c>
      <c r="R154" s="43">
        <v>270</v>
      </c>
      <c r="S154" s="44">
        <v>142</v>
      </c>
      <c r="T154" s="45">
        <f t="shared" si="12"/>
        <v>938</v>
      </c>
      <c r="U154" s="46">
        <v>289.95</v>
      </c>
      <c r="V154" s="47">
        <f t="shared" si="13"/>
        <v>0</v>
      </c>
      <c r="W154" s="47">
        <f t="shared" si="14"/>
        <v>729</v>
      </c>
      <c r="X154" s="48">
        <f t="shared" si="15"/>
        <v>267</v>
      </c>
      <c r="Y154" s="49">
        <f t="shared" si="16"/>
        <v>2223.9499999999998</v>
      </c>
      <c r="Z154" s="50">
        <f t="shared" si="17"/>
        <v>2224</v>
      </c>
    </row>
    <row r="155" spans="1:26" x14ac:dyDescent="0.25">
      <c r="A155" s="29" t="s">
        <v>357</v>
      </c>
      <c r="B155" s="29" t="s">
        <v>79</v>
      </c>
      <c r="C155" s="29" t="s">
        <v>380</v>
      </c>
      <c r="D155" s="30">
        <v>37836901</v>
      </c>
      <c r="E155" s="31" t="s">
        <v>381</v>
      </c>
      <c r="F155" s="29">
        <v>52617726</v>
      </c>
      <c r="G155" s="32" t="s">
        <v>119</v>
      </c>
      <c r="H155" s="32" t="s">
        <v>366</v>
      </c>
      <c r="I155" s="33" t="s">
        <v>411</v>
      </c>
      <c r="J155" s="42">
        <v>0</v>
      </c>
      <c r="K155" s="43">
        <v>0</v>
      </c>
      <c r="L155" s="43">
        <v>0</v>
      </c>
      <c r="M155" s="43">
        <v>0</v>
      </c>
      <c r="N155" s="43">
        <v>0</v>
      </c>
      <c r="O155" s="43">
        <v>0</v>
      </c>
      <c r="P155" s="52">
        <v>0</v>
      </c>
      <c r="Q155" s="42">
        <v>0</v>
      </c>
      <c r="R155" s="43">
        <v>0</v>
      </c>
      <c r="S155" s="44">
        <v>0</v>
      </c>
      <c r="T155" s="45">
        <f t="shared" si="12"/>
        <v>0</v>
      </c>
      <c r="U155" s="46">
        <v>0</v>
      </c>
      <c r="V155" s="47">
        <f t="shared" si="13"/>
        <v>0</v>
      </c>
      <c r="W155" s="47">
        <f t="shared" si="14"/>
        <v>0</v>
      </c>
      <c r="X155" s="48">
        <f t="shared" si="15"/>
        <v>0</v>
      </c>
      <c r="Y155" s="49">
        <f t="shared" si="16"/>
        <v>0</v>
      </c>
      <c r="Z155" s="50">
        <f t="shared" si="17"/>
        <v>0</v>
      </c>
    </row>
    <row r="156" spans="1:26" x14ac:dyDescent="0.25">
      <c r="A156" s="29" t="s">
        <v>357</v>
      </c>
      <c r="B156" s="29" t="s">
        <v>79</v>
      </c>
      <c r="C156" s="29" t="s">
        <v>380</v>
      </c>
      <c r="D156" s="30">
        <v>37836901</v>
      </c>
      <c r="E156" s="31" t="s">
        <v>381</v>
      </c>
      <c r="F156" s="29">
        <v>160318</v>
      </c>
      <c r="G156" s="32" t="s">
        <v>413</v>
      </c>
      <c r="H156" s="32" t="s">
        <v>369</v>
      </c>
      <c r="I156" s="33" t="s">
        <v>414</v>
      </c>
      <c r="J156" s="42">
        <v>10</v>
      </c>
      <c r="K156" s="43">
        <v>0</v>
      </c>
      <c r="L156" s="43">
        <v>37</v>
      </c>
      <c r="M156" s="43">
        <v>0</v>
      </c>
      <c r="N156" s="43">
        <v>3</v>
      </c>
      <c r="O156" s="43">
        <v>16</v>
      </c>
      <c r="P156" s="52">
        <v>1</v>
      </c>
      <c r="Q156" s="42">
        <v>6</v>
      </c>
      <c r="R156" s="43">
        <v>290</v>
      </c>
      <c r="S156" s="44">
        <v>64</v>
      </c>
      <c r="T156" s="45">
        <f t="shared" si="12"/>
        <v>1239.5</v>
      </c>
      <c r="U156" s="46">
        <v>68.099999999999994</v>
      </c>
      <c r="V156" s="47">
        <f t="shared" si="13"/>
        <v>49.5</v>
      </c>
      <c r="W156" s="47">
        <f t="shared" si="14"/>
        <v>796</v>
      </c>
      <c r="X156" s="48">
        <f t="shared" si="15"/>
        <v>123</v>
      </c>
      <c r="Y156" s="49">
        <f t="shared" si="16"/>
        <v>2276.1</v>
      </c>
      <c r="Z156" s="50">
        <f t="shared" si="17"/>
        <v>2276</v>
      </c>
    </row>
    <row r="157" spans="1:26" x14ac:dyDescent="0.25">
      <c r="A157" s="29" t="s">
        <v>357</v>
      </c>
      <c r="B157" s="29" t="s">
        <v>79</v>
      </c>
      <c r="C157" s="29" t="s">
        <v>380</v>
      </c>
      <c r="D157" s="30">
        <v>37836901</v>
      </c>
      <c r="E157" s="31" t="s">
        <v>381</v>
      </c>
      <c r="F157" s="29">
        <v>162019</v>
      </c>
      <c r="G157" s="32" t="s">
        <v>415</v>
      </c>
      <c r="H157" s="32" t="s">
        <v>369</v>
      </c>
      <c r="I157" s="33" t="s">
        <v>416</v>
      </c>
      <c r="J157" s="42">
        <v>7</v>
      </c>
      <c r="K157" s="43">
        <v>0</v>
      </c>
      <c r="L157" s="43">
        <v>19</v>
      </c>
      <c r="M157" s="43">
        <v>0</v>
      </c>
      <c r="N157" s="43">
        <v>1</v>
      </c>
      <c r="O157" s="43">
        <v>11</v>
      </c>
      <c r="P157" s="52">
        <v>0</v>
      </c>
      <c r="Q157" s="42">
        <v>2</v>
      </c>
      <c r="R157" s="43">
        <v>167</v>
      </c>
      <c r="S157" s="44">
        <v>0</v>
      </c>
      <c r="T157" s="45">
        <f t="shared" si="12"/>
        <v>636.5</v>
      </c>
      <c r="U157" s="46">
        <v>126.4</v>
      </c>
      <c r="V157" s="47">
        <f t="shared" si="13"/>
        <v>16.5</v>
      </c>
      <c r="W157" s="47">
        <f t="shared" si="14"/>
        <v>482.5</v>
      </c>
      <c r="X157" s="48">
        <f t="shared" si="15"/>
        <v>0</v>
      </c>
      <c r="Y157" s="49">
        <f t="shared" si="16"/>
        <v>1261.9000000000001</v>
      </c>
      <c r="Z157" s="50">
        <f t="shared" si="17"/>
        <v>1262</v>
      </c>
    </row>
    <row r="158" spans="1:26" x14ac:dyDescent="0.25">
      <c r="A158" s="29" t="s">
        <v>357</v>
      </c>
      <c r="B158" s="29" t="s">
        <v>79</v>
      </c>
      <c r="C158" s="29" t="s">
        <v>380</v>
      </c>
      <c r="D158" s="30">
        <v>37836901</v>
      </c>
      <c r="E158" s="31" t="s">
        <v>381</v>
      </c>
      <c r="F158" s="29">
        <v>654302</v>
      </c>
      <c r="G158" s="32" t="s">
        <v>402</v>
      </c>
      <c r="H158" s="32" t="s">
        <v>369</v>
      </c>
      <c r="I158" s="33" t="s">
        <v>417</v>
      </c>
      <c r="J158" s="42">
        <v>5</v>
      </c>
      <c r="K158" s="43">
        <v>2</v>
      </c>
      <c r="L158" s="43">
        <v>23</v>
      </c>
      <c r="M158" s="43">
        <v>4</v>
      </c>
      <c r="N158" s="43">
        <v>3</v>
      </c>
      <c r="O158" s="43">
        <v>7</v>
      </c>
      <c r="P158" s="52">
        <v>1</v>
      </c>
      <c r="Q158" s="42">
        <v>35</v>
      </c>
      <c r="R158" s="43">
        <v>65</v>
      </c>
      <c r="S158" s="44">
        <v>105</v>
      </c>
      <c r="T158" s="45">
        <f t="shared" si="12"/>
        <v>770.5</v>
      </c>
      <c r="U158" s="46">
        <v>144.25</v>
      </c>
      <c r="V158" s="47">
        <f t="shared" si="13"/>
        <v>93</v>
      </c>
      <c r="W158" s="47">
        <f t="shared" si="14"/>
        <v>224.5</v>
      </c>
      <c r="X158" s="48">
        <f t="shared" si="15"/>
        <v>184.5</v>
      </c>
      <c r="Y158" s="49">
        <f t="shared" si="16"/>
        <v>1416.75</v>
      </c>
      <c r="Z158" s="50">
        <f t="shared" si="17"/>
        <v>1417</v>
      </c>
    </row>
    <row r="159" spans="1:26" x14ac:dyDescent="0.25">
      <c r="A159" s="29" t="s">
        <v>357</v>
      </c>
      <c r="B159" s="29" t="s">
        <v>79</v>
      </c>
      <c r="C159" s="29" t="s">
        <v>380</v>
      </c>
      <c r="D159" s="30">
        <v>37836901</v>
      </c>
      <c r="E159" s="31" t="s">
        <v>381</v>
      </c>
      <c r="F159" s="29">
        <v>891568</v>
      </c>
      <c r="G159" s="32" t="s">
        <v>154</v>
      </c>
      <c r="H159" s="32" t="s">
        <v>369</v>
      </c>
      <c r="I159" s="33" t="s">
        <v>418</v>
      </c>
      <c r="J159" s="42">
        <v>2</v>
      </c>
      <c r="K159" s="43">
        <v>0</v>
      </c>
      <c r="L159" s="43">
        <v>12</v>
      </c>
      <c r="M159" s="43">
        <v>0</v>
      </c>
      <c r="N159" s="43">
        <v>0</v>
      </c>
      <c r="O159" s="43">
        <v>7</v>
      </c>
      <c r="P159" s="52">
        <v>1</v>
      </c>
      <c r="Q159" s="42">
        <v>0</v>
      </c>
      <c r="R159" s="43">
        <v>103</v>
      </c>
      <c r="S159" s="44">
        <v>44</v>
      </c>
      <c r="T159" s="45">
        <f t="shared" si="12"/>
        <v>402</v>
      </c>
      <c r="U159" s="46">
        <v>40.6</v>
      </c>
      <c r="V159" s="47">
        <f t="shared" si="13"/>
        <v>0</v>
      </c>
      <c r="W159" s="47">
        <f t="shared" si="14"/>
        <v>300.5</v>
      </c>
      <c r="X159" s="48">
        <f t="shared" si="15"/>
        <v>93</v>
      </c>
      <c r="Y159" s="49">
        <f t="shared" si="16"/>
        <v>836.1</v>
      </c>
      <c r="Z159" s="50">
        <f t="shared" si="17"/>
        <v>836</v>
      </c>
    </row>
    <row r="160" spans="1:26" x14ac:dyDescent="0.25">
      <c r="A160" s="29" t="s">
        <v>357</v>
      </c>
      <c r="B160" s="29" t="s">
        <v>79</v>
      </c>
      <c r="C160" s="29" t="s">
        <v>380</v>
      </c>
      <c r="D160" s="30">
        <v>37836901</v>
      </c>
      <c r="E160" s="31" t="s">
        <v>381</v>
      </c>
      <c r="F160" s="29">
        <v>161454</v>
      </c>
      <c r="G160" s="32" t="s">
        <v>88</v>
      </c>
      <c r="H160" s="32" t="s">
        <v>369</v>
      </c>
      <c r="I160" s="33" t="s">
        <v>419</v>
      </c>
      <c r="J160" s="42">
        <v>4</v>
      </c>
      <c r="K160" s="43">
        <v>0</v>
      </c>
      <c r="L160" s="43">
        <v>13</v>
      </c>
      <c r="M160" s="43">
        <v>0</v>
      </c>
      <c r="N160" s="43">
        <v>0</v>
      </c>
      <c r="O160" s="43">
        <v>5</v>
      </c>
      <c r="P160" s="52">
        <v>1</v>
      </c>
      <c r="Q160" s="42">
        <v>0</v>
      </c>
      <c r="R160" s="43">
        <v>52</v>
      </c>
      <c r="S160" s="44">
        <v>17</v>
      </c>
      <c r="T160" s="45">
        <f t="shared" si="12"/>
        <v>435.5</v>
      </c>
      <c r="U160" s="46">
        <v>0</v>
      </c>
      <c r="V160" s="47">
        <f t="shared" si="13"/>
        <v>0</v>
      </c>
      <c r="W160" s="47">
        <f t="shared" si="14"/>
        <v>171.5</v>
      </c>
      <c r="X160" s="48">
        <f t="shared" si="15"/>
        <v>52.5</v>
      </c>
      <c r="Y160" s="49">
        <f t="shared" si="16"/>
        <v>659.5</v>
      </c>
      <c r="Z160" s="50">
        <f t="shared" si="17"/>
        <v>660</v>
      </c>
    </row>
    <row r="161" spans="1:26" x14ac:dyDescent="0.25">
      <c r="A161" s="29" t="s">
        <v>357</v>
      </c>
      <c r="B161" s="29" t="s">
        <v>79</v>
      </c>
      <c r="C161" s="29" t="s">
        <v>380</v>
      </c>
      <c r="D161" s="30">
        <v>37836901</v>
      </c>
      <c r="E161" s="31" t="s">
        <v>381</v>
      </c>
      <c r="F161" s="29">
        <v>53638581</v>
      </c>
      <c r="G161" s="32" t="s">
        <v>52</v>
      </c>
      <c r="H161" s="32" t="s">
        <v>420</v>
      </c>
      <c r="I161" s="33" t="s">
        <v>421</v>
      </c>
      <c r="J161" s="42">
        <v>8</v>
      </c>
      <c r="K161" s="43">
        <v>0</v>
      </c>
      <c r="L161" s="43">
        <v>9</v>
      </c>
      <c r="M161" s="43">
        <v>0</v>
      </c>
      <c r="N161" s="43">
        <v>0</v>
      </c>
      <c r="O161" s="43">
        <v>5</v>
      </c>
      <c r="P161" s="52">
        <v>0</v>
      </c>
      <c r="Q161" s="42">
        <v>0</v>
      </c>
      <c r="R161" s="43">
        <v>80</v>
      </c>
      <c r="S161" s="44">
        <v>0</v>
      </c>
      <c r="T161" s="45">
        <f t="shared" si="12"/>
        <v>301.5</v>
      </c>
      <c r="U161" s="46">
        <v>50.8</v>
      </c>
      <c r="V161" s="47">
        <f t="shared" si="13"/>
        <v>0</v>
      </c>
      <c r="W161" s="47">
        <f t="shared" si="14"/>
        <v>227.5</v>
      </c>
      <c r="X161" s="48">
        <f t="shared" si="15"/>
        <v>0</v>
      </c>
      <c r="Y161" s="49">
        <f t="shared" si="16"/>
        <v>579.79999999999995</v>
      </c>
      <c r="Z161" s="50">
        <f t="shared" si="17"/>
        <v>580</v>
      </c>
    </row>
    <row r="162" spans="1:26" x14ac:dyDescent="0.25">
      <c r="A162" s="29" t="s">
        <v>357</v>
      </c>
      <c r="B162" s="29" t="s">
        <v>79</v>
      </c>
      <c r="C162" s="29" t="s">
        <v>380</v>
      </c>
      <c r="D162" s="30">
        <v>37836901</v>
      </c>
      <c r="E162" s="31" t="s">
        <v>381</v>
      </c>
      <c r="F162" s="29">
        <v>36092479</v>
      </c>
      <c r="G162" s="32" t="s">
        <v>422</v>
      </c>
      <c r="H162" s="32" t="s">
        <v>371</v>
      </c>
      <c r="I162" s="33" t="s">
        <v>423</v>
      </c>
      <c r="J162" s="42">
        <v>9</v>
      </c>
      <c r="K162" s="43">
        <v>0</v>
      </c>
      <c r="L162" s="43">
        <v>30</v>
      </c>
      <c r="M162" s="43">
        <v>0</v>
      </c>
      <c r="N162" s="43">
        <v>1</v>
      </c>
      <c r="O162" s="43">
        <v>9</v>
      </c>
      <c r="P162" s="52">
        <v>1</v>
      </c>
      <c r="Q162" s="42">
        <v>11</v>
      </c>
      <c r="R162" s="43">
        <v>287</v>
      </c>
      <c r="S162" s="44">
        <v>13</v>
      </c>
      <c r="T162" s="45">
        <f t="shared" si="12"/>
        <v>1005</v>
      </c>
      <c r="U162" s="46">
        <v>106.05</v>
      </c>
      <c r="V162" s="47">
        <f t="shared" si="13"/>
        <v>30</v>
      </c>
      <c r="W162" s="47">
        <f t="shared" si="14"/>
        <v>695.5</v>
      </c>
      <c r="X162" s="48">
        <f t="shared" si="15"/>
        <v>46.5</v>
      </c>
      <c r="Y162" s="49">
        <f t="shared" si="16"/>
        <v>1883.05</v>
      </c>
      <c r="Z162" s="50">
        <f t="shared" si="17"/>
        <v>1883</v>
      </c>
    </row>
    <row r="163" spans="1:26" x14ac:dyDescent="0.25">
      <c r="A163" s="29" t="s">
        <v>357</v>
      </c>
      <c r="B163" s="29" t="s">
        <v>79</v>
      </c>
      <c r="C163" s="29" t="s">
        <v>380</v>
      </c>
      <c r="D163" s="30">
        <v>37836901</v>
      </c>
      <c r="E163" s="31" t="s">
        <v>381</v>
      </c>
      <c r="F163" s="29">
        <v>160342</v>
      </c>
      <c r="G163" s="32" t="s">
        <v>98</v>
      </c>
      <c r="H163" s="32" t="s">
        <v>373</v>
      </c>
      <c r="I163" s="33" t="s">
        <v>424</v>
      </c>
      <c r="J163" s="42">
        <v>10</v>
      </c>
      <c r="K163" s="43">
        <v>0</v>
      </c>
      <c r="L163" s="43">
        <v>22</v>
      </c>
      <c r="M163" s="43">
        <v>0</v>
      </c>
      <c r="N163" s="43">
        <v>0</v>
      </c>
      <c r="O163" s="43">
        <v>15</v>
      </c>
      <c r="P163" s="52">
        <v>0</v>
      </c>
      <c r="Q163" s="42">
        <v>0</v>
      </c>
      <c r="R163" s="43">
        <v>235</v>
      </c>
      <c r="S163" s="44">
        <v>0</v>
      </c>
      <c r="T163" s="45">
        <f t="shared" si="12"/>
        <v>737</v>
      </c>
      <c r="U163" s="46">
        <v>288.5</v>
      </c>
      <c r="V163" s="47">
        <f t="shared" si="13"/>
        <v>0</v>
      </c>
      <c r="W163" s="47">
        <f t="shared" si="14"/>
        <v>672.5</v>
      </c>
      <c r="X163" s="48">
        <f t="shared" si="15"/>
        <v>0</v>
      </c>
      <c r="Y163" s="49">
        <f t="shared" si="16"/>
        <v>1698</v>
      </c>
      <c r="Z163" s="50">
        <f t="shared" si="17"/>
        <v>1698</v>
      </c>
    </row>
    <row r="164" spans="1:26" x14ac:dyDescent="0.25">
      <c r="A164" s="51" t="s">
        <v>357</v>
      </c>
      <c r="B164" s="51" t="s">
        <v>79</v>
      </c>
      <c r="C164" s="51" t="s">
        <v>380</v>
      </c>
      <c r="D164" s="30">
        <v>37836901</v>
      </c>
      <c r="E164" s="31" t="s">
        <v>381</v>
      </c>
      <c r="F164" s="51">
        <v>400220</v>
      </c>
      <c r="G164" s="32" t="s">
        <v>100</v>
      </c>
      <c r="H164" s="32" t="s">
        <v>373</v>
      </c>
      <c r="I164" s="33" t="s">
        <v>425</v>
      </c>
      <c r="J164" s="42">
        <v>7</v>
      </c>
      <c r="K164" s="43">
        <v>0</v>
      </c>
      <c r="L164" s="43">
        <v>32</v>
      </c>
      <c r="M164" s="43">
        <v>0</v>
      </c>
      <c r="N164" s="43">
        <v>1</v>
      </c>
      <c r="O164" s="43">
        <v>9</v>
      </c>
      <c r="P164" s="52">
        <v>1</v>
      </c>
      <c r="Q164" s="42">
        <v>35</v>
      </c>
      <c r="R164" s="43">
        <v>311</v>
      </c>
      <c r="S164" s="44">
        <v>74</v>
      </c>
      <c r="T164" s="45">
        <f t="shared" si="12"/>
        <v>1072</v>
      </c>
      <c r="U164" s="46">
        <v>0</v>
      </c>
      <c r="V164" s="47">
        <f t="shared" si="13"/>
        <v>66</v>
      </c>
      <c r="W164" s="47">
        <f t="shared" si="14"/>
        <v>743.5</v>
      </c>
      <c r="X164" s="48">
        <f t="shared" si="15"/>
        <v>138</v>
      </c>
      <c r="Y164" s="49">
        <f t="shared" si="16"/>
        <v>2019.5</v>
      </c>
      <c r="Z164" s="50">
        <f t="shared" si="17"/>
        <v>2020</v>
      </c>
    </row>
    <row r="165" spans="1:26" x14ac:dyDescent="0.25">
      <c r="A165" s="29" t="s">
        <v>357</v>
      </c>
      <c r="B165" s="29" t="s">
        <v>79</v>
      </c>
      <c r="C165" s="29" t="s">
        <v>380</v>
      </c>
      <c r="D165" s="30">
        <v>37836901</v>
      </c>
      <c r="E165" s="31" t="s">
        <v>381</v>
      </c>
      <c r="F165" s="29">
        <v>351997</v>
      </c>
      <c r="G165" s="32" t="s">
        <v>426</v>
      </c>
      <c r="H165" s="32" t="s">
        <v>373</v>
      </c>
      <c r="I165" s="33" t="s">
        <v>427</v>
      </c>
      <c r="J165" s="42">
        <v>7</v>
      </c>
      <c r="K165" s="43">
        <v>0</v>
      </c>
      <c r="L165" s="43">
        <v>44</v>
      </c>
      <c r="M165" s="43">
        <v>0</v>
      </c>
      <c r="N165" s="43">
        <v>6</v>
      </c>
      <c r="O165" s="43">
        <v>10</v>
      </c>
      <c r="P165" s="52">
        <v>2</v>
      </c>
      <c r="Q165" s="42">
        <v>0</v>
      </c>
      <c r="R165" s="43">
        <v>289</v>
      </c>
      <c r="S165" s="44">
        <v>71</v>
      </c>
      <c r="T165" s="45">
        <f t="shared" si="12"/>
        <v>1474</v>
      </c>
      <c r="U165" s="46">
        <v>0</v>
      </c>
      <c r="V165" s="47">
        <f t="shared" si="13"/>
        <v>81</v>
      </c>
      <c r="W165" s="47">
        <f t="shared" si="14"/>
        <v>713</v>
      </c>
      <c r="X165" s="48">
        <f t="shared" si="15"/>
        <v>160.5</v>
      </c>
      <c r="Y165" s="49">
        <f t="shared" si="16"/>
        <v>2428.5</v>
      </c>
      <c r="Z165" s="50">
        <f t="shared" si="17"/>
        <v>2429</v>
      </c>
    </row>
    <row r="166" spans="1:26" x14ac:dyDescent="0.25">
      <c r="A166" s="29" t="s">
        <v>357</v>
      </c>
      <c r="B166" s="29" t="s">
        <v>79</v>
      </c>
      <c r="C166" s="29" t="s">
        <v>380</v>
      </c>
      <c r="D166" s="30">
        <v>37836901</v>
      </c>
      <c r="E166" s="31" t="s">
        <v>381</v>
      </c>
      <c r="F166" s="29">
        <v>17050456</v>
      </c>
      <c r="G166" s="32" t="s">
        <v>138</v>
      </c>
      <c r="H166" s="32" t="s">
        <v>428</v>
      </c>
      <c r="I166" s="33" t="s">
        <v>429</v>
      </c>
      <c r="J166" s="42">
        <v>6</v>
      </c>
      <c r="K166" s="43">
        <v>0</v>
      </c>
      <c r="L166" s="43">
        <v>30</v>
      </c>
      <c r="M166" s="43">
        <v>0</v>
      </c>
      <c r="N166" s="43">
        <v>1</v>
      </c>
      <c r="O166" s="43">
        <v>14</v>
      </c>
      <c r="P166" s="52">
        <v>1</v>
      </c>
      <c r="Q166" s="42">
        <v>39</v>
      </c>
      <c r="R166" s="43">
        <v>229</v>
      </c>
      <c r="S166" s="44">
        <v>43</v>
      </c>
      <c r="T166" s="45">
        <f t="shared" si="12"/>
        <v>1005</v>
      </c>
      <c r="U166" s="46">
        <v>60.5</v>
      </c>
      <c r="V166" s="47">
        <f t="shared" si="13"/>
        <v>72</v>
      </c>
      <c r="W166" s="47">
        <f t="shared" si="14"/>
        <v>647</v>
      </c>
      <c r="X166" s="48">
        <f t="shared" si="15"/>
        <v>91.5</v>
      </c>
      <c r="Y166" s="49">
        <f t="shared" si="16"/>
        <v>1876</v>
      </c>
      <c r="Z166" s="50">
        <f t="shared" si="17"/>
        <v>1876</v>
      </c>
    </row>
    <row r="167" spans="1:26" x14ac:dyDescent="0.25">
      <c r="A167" s="29" t="s">
        <v>357</v>
      </c>
      <c r="B167" s="29" t="s">
        <v>79</v>
      </c>
      <c r="C167" s="29" t="s">
        <v>380</v>
      </c>
      <c r="D167" s="30">
        <v>37836901</v>
      </c>
      <c r="E167" s="31" t="s">
        <v>381</v>
      </c>
      <c r="F167" s="29">
        <v>53638611</v>
      </c>
      <c r="G167" s="32" t="s">
        <v>52</v>
      </c>
      <c r="H167" s="32" t="s">
        <v>430</v>
      </c>
      <c r="I167" s="33" t="s">
        <v>431</v>
      </c>
      <c r="J167" s="42">
        <v>17</v>
      </c>
      <c r="K167" s="43">
        <v>0</v>
      </c>
      <c r="L167" s="43">
        <v>70</v>
      </c>
      <c r="M167" s="43">
        <v>0</v>
      </c>
      <c r="N167" s="43">
        <v>1</v>
      </c>
      <c r="O167" s="43">
        <v>22</v>
      </c>
      <c r="P167" s="52">
        <v>2</v>
      </c>
      <c r="Q167" s="42">
        <v>6</v>
      </c>
      <c r="R167" s="43">
        <v>515</v>
      </c>
      <c r="S167" s="44">
        <v>107</v>
      </c>
      <c r="T167" s="45">
        <f t="shared" si="12"/>
        <v>2345</v>
      </c>
      <c r="U167" s="46">
        <v>383.9</v>
      </c>
      <c r="V167" s="47">
        <f t="shared" si="13"/>
        <v>22.5</v>
      </c>
      <c r="W167" s="47">
        <f t="shared" si="14"/>
        <v>1327</v>
      </c>
      <c r="X167" s="48">
        <f t="shared" si="15"/>
        <v>214.5</v>
      </c>
      <c r="Y167" s="49">
        <f t="shared" si="16"/>
        <v>4292.8999999999996</v>
      </c>
      <c r="Z167" s="50">
        <f t="shared" si="17"/>
        <v>4293</v>
      </c>
    </row>
    <row r="168" spans="1:26" x14ac:dyDescent="0.25">
      <c r="A168" s="29" t="s">
        <v>357</v>
      </c>
      <c r="B168" s="29" t="s">
        <v>79</v>
      </c>
      <c r="C168" s="29" t="s">
        <v>380</v>
      </c>
      <c r="D168" s="30">
        <v>37836901</v>
      </c>
      <c r="E168" s="31" t="s">
        <v>381</v>
      </c>
      <c r="F168" s="29">
        <v>160369</v>
      </c>
      <c r="G168" s="32" t="s">
        <v>432</v>
      </c>
      <c r="H168" s="32" t="s">
        <v>433</v>
      </c>
      <c r="I168" s="33" t="s">
        <v>434</v>
      </c>
      <c r="J168" s="42"/>
      <c r="K168" s="43">
        <v>0</v>
      </c>
      <c r="L168" s="43">
        <v>33</v>
      </c>
      <c r="M168" s="43">
        <v>0</v>
      </c>
      <c r="N168" s="43">
        <v>0</v>
      </c>
      <c r="O168" s="43">
        <v>12</v>
      </c>
      <c r="P168" s="52">
        <v>1</v>
      </c>
      <c r="Q168" s="42">
        <v>0</v>
      </c>
      <c r="R168" s="43">
        <v>302</v>
      </c>
      <c r="S168" s="44">
        <v>74</v>
      </c>
      <c r="T168" s="45">
        <f t="shared" si="12"/>
        <v>1105.5</v>
      </c>
      <c r="U168" s="46">
        <v>311.06</v>
      </c>
      <c r="V168" s="47">
        <f t="shared" si="13"/>
        <v>0</v>
      </c>
      <c r="W168" s="47">
        <f t="shared" si="14"/>
        <v>766</v>
      </c>
      <c r="X168" s="48">
        <f t="shared" si="15"/>
        <v>138</v>
      </c>
      <c r="Y168" s="49">
        <f t="shared" si="16"/>
        <v>2320.56</v>
      </c>
      <c r="Z168" s="50">
        <f t="shared" si="17"/>
        <v>2321</v>
      </c>
    </row>
    <row r="169" spans="1:26" x14ac:dyDescent="0.25">
      <c r="A169" s="29" t="s">
        <v>357</v>
      </c>
      <c r="B169" s="29" t="s">
        <v>79</v>
      </c>
      <c r="C169" s="29" t="s">
        <v>380</v>
      </c>
      <c r="D169" s="30">
        <v>37836901</v>
      </c>
      <c r="E169" s="31" t="s">
        <v>381</v>
      </c>
      <c r="F169" s="29">
        <v>893137</v>
      </c>
      <c r="G169" s="32" t="s">
        <v>435</v>
      </c>
      <c r="H169" s="32" t="s">
        <v>433</v>
      </c>
      <c r="I169" s="33" t="s">
        <v>436</v>
      </c>
      <c r="J169" s="42">
        <v>6</v>
      </c>
      <c r="K169" s="43">
        <v>0</v>
      </c>
      <c r="L169" s="43">
        <v>30</v>
      </c>
      <c r="M169" s="43">
        <v>0</v>
      </c>
      <c r="N169" s="43">
        <v>0</v>
      </c>
      <c r="O169" s="43">
        <v>13</v>
      </c>
      <c r="P169" s="52">
        <v>1</v>
      </c>
      <c r="Q169" s="42">
        <v>0</v>
      </c>
      <c r="R169" s="43">
        <v>306</v>
      </c>
      <c r="S169" s="44">
        <v>130</v>
      </c>
      <c r="T169" s="45">
        <f t="shared" si="12"/>
        <v>1005</v>
      </c>
      <c r="U169" s="46">
        <v>0</v>
      </c>
      <c r="V169" s="47">
        <f t="shared" si="13"/>
        <v>0</v>
      </c>
      <c r="W169" s="47">
        <f t="shared" si="14"/>
        <v>787.5</v>
      </c>
      <c r="X169" s="48">
        <f t="shared" si="15"/>
        <v>222</v>
      </c>
      <c r="Y169" s="49">
        <f t="shared" si="16"/>
        <v>2014.5</v>
      </c>
      <c r="Z169" s="50">
        <f t="shared" si="17"/>
        <v>2015</v>
      </c>
    </row>
    <row r="170" spans="1:26" x14ac:dyDescent="0.25">
      <c r="A170" s="29" t="s">
        <v>357</v>
      </c>
      <c r="B170" s="29" t="s">
        <v>79</v>
      </c>
      <c r="C170" s="29" t="s">
        <v>380</v>
      </c>
      <c r="D170" s="30">
        <v>37836901</v>
      </c>
      <c r="E170" s="31" t="s">
        <v>381</v>
      </c>
      <c r="F170" s="29">
        <v>607347</v>
      </c>
      <c r="G170" s="32" t="s">
        <v>117</v>
      </c>
      <c r="H170" s="32" t="s">
        <v>433</v>
      </c>
      <c r="I170" s="33" t="s">
        <v>437</v>
      </c>
      <c r="J170" s="42">
        <v>9</v>
      </c>
      <c r="K170" s="43">
        <v>0</v>
      </c>
      <c r="L170" s="43">
        <v>32</v>
      </c>
      <c r="M170" s="43">
        <v>0</v>
      </c>
      <c r="N170" s="43">
        <v>2</v>
      </c>
      <c r="O170" s="43">
        <v>10</v>
      </c>
      <c r="P170" s="52">
        <v>0</v>
      </c>
      <c r="Q170" s="42">
        <v>71</v>
      </c>
      <c r="R170" s="43">
        <v>244</v>
      </c>
      <c r="S170" s="44">
        <v>0</v>
      </c>
      <c r="T170" s="45">
        <f t="shared" si="12"/>
        <v>1072</v>
      </c>
      <c r="U170" s="46">
        <v>1243.0999999999999</v>
      </c>
      <c r="V170" s="47">
        <f t="shared" si="13"/>
        <v>133.5</v>
      </c>
      <c r="W170" s="47">
        <f t="shared" si="14"/>
        <v>623</v>
      </c>
      <c r="X170" s="48">
        <f t="shared" si="15"/>
        <v>0</v>
      </c>
      <c r="Y170" s="49">
        <f t="shared" si="16"/>
        <v>3071.6</v>
      </c>
      <c r="Z170" s="50">
        <f t="shared" si="17"/>
        <v>3072</v>
      </c>
    </row>
    <row r="171" spans="1:26" x14ac:dyDescent="0.25">
      <c r="A171" s="29" t="s">
        <v>357</v>
      </c>
      <c r="B171" s="29" t="s">
        <v>79</v>
      </c>
      <c r="C171" s="29" t="s">
        <v>380</v>
      </c>
      <c r="D171" s="30">
        <v>37836901</v>
      </c>
      <c r="E171" s="31" t="s">
        <v>381</v>
      </c>
      <c r="F171" s="29">
        <v>160466</v>
      </c>
      <c r="G171" s="32" t="s">
        <v>438</v>
      </c>
      <c r="H171" s="32" t="s">
        <v>219</v>
      </c>
      <c r="I171" s="33" t="s">
        <v>439</v>
      </c>
      <c r="J171" s="54">
        <v>22</v>
      </c>
      <c r="K171" s="55">
        <v>0</v>
      </c>
      <c r="L171" s="55">
        <v>60</v>
      </c>
      <c r="M171" s="55">
        <v>0</v>
      </c>
      <c r="N171" s="55">
        <v>3</v>
      </c>
      <c r="O171" s="55">
        <v>23</v>
      </c>
      <c r="P171" s="56">
        <v>2</v>
      </c>
      <c r="Q171" s="54">
        <v>11</v>
      </c>
      <c r="R171" s="55">
        <v>365</v>
      </c>
      <c r="S171" s="57">
        <v>312</v>
      </c>
      <c r="T171" s="45">
        <f t="shared" si="12"/>
        <v>2010</v>
      </c>
      <c r="U171" s="58">
        <v>0</v>
      </c>
      <c r="V171" s="47">
        <f t="shared" si="13"/>
        <v>57</v>
      </c>
      <c r="W171" s="47">
        <f t="shared" si="14"/>
        <v>1040.5</v>
      </c>
      <c r="X171" s="48">
        <f t="shared" si="15"/>
        <v>522</v>
      </c>
      <c r="Y171" s="49">
        <f t="shared" si="16"/>
        <v>3629.5</v>
      </c>
      <c r="Z171" s="50">
        <f t="shared" si="17"/>
        <v>3630</v>
      </c>
    </row>
    <row r="172" spans="1:26" x14ac:dyDescent="0.25">
      <c r="A172" s="29" t="s">
        <v>357</v>
      </c>
      <c r="B172" s="29" t="s">
        <v>79</v>
      </c>
      <c r="C172" s="29" t="s">
        <v>380</v>
      </c>
      <c r="D172" s="30">
        <v>37836901</v>
      </c>
      <c r="E172" s="31" t="s">
        <v>381</v>
      </c>
      <c r="F172" s="29">
        <v>162001</v>
      </c>
      <c r="G172" s="32" t="s">
        <v>100</v>
      </c>
      <c r="H172" s="32" t="s">
        <v>219</v>
      </c>
      <c r="I172" s="33" t="s">
        <v>440</v>
      </c>
      <c r="J172" s="42">
        <v>14</v>
      </c>
      <c r="K172" s="43">
        <v>0</v>
      </c>
      <c r="L172" s="43">
        <v>52</v>
      </c>
      <c r="M172" s="43">
        <v>0</v>
      </c>
      <c r="N172" s="43">
        <v>0</v>
      </c>
      <c r="O172" s="43">
        <v>16</v>
      </c>
      <c r="P172" s="52">
        <v>1</v>
      </c>
      <c r="Q172" s="42">
        <v>0</v>
      </c>
      <c r="R172" s="43">
        <v>411</v>
      </c>
      <c r="S172" s="44">
        <v>78</v>
      </c>
      <c r="T172" s="45">
        <f t="shared" si="12"/>
        <v>1742</v>
      </c>
      <c r="U172" s="46">
        <v>40</v>
      </c>
      <c r="V172" s="47">
        <f t="shared" si="13"/>
        <v>0</v>
      </c>
      <c r="W172" s="47">
        <f t="shared" si="14"/>
        <v>1038</v>
      </c>
      <c r="X172" s="48">
        <f t="shared" si="15"/>
        <v>144</v>
      </c>
      <c r="Y172" s="49">
        <f t="shared" si="16"/>
        <v>2964</v>
      </c>
      <c r="Z172" s="50">
        <f t="shared" si="17"/>
        <v>2964</v>
      </c>
    </row>
    <row r="173" spans="1:26" x14ac:dyDescent="0.25">
      <c r="A173" s="29" t="s">
        <v>357</v>
      </c>
      <c r="B173" s="29" t="s">
        <v>79</v>
      </c>
      <c r="C173" s="29" t="s">
        <v>380</v>
      </c>
      <c r="D173" s="30">
        <v>37836901</v>
      </c>
      <c r="E173" s="31" t="s">
        <v>381</v>
      </c>
      <c r="F173" s="29">
        <v>53242599</v>
      </c>
      <c r="G173" s="32" t="s">
        <v>52</v>
      </c>
      <c r="H173" s="32" t="s">
        <v>219</v>
      </c>
      <c r="I173" s="33" t="s">
        <v>441</v>
      </c>
      <c r="J173" s="42">
        <v>17</v>
      </c>
      <c r="K173" s="43">
        <v>0</v>
      </c>
      <c r="L173" s="43">
        <v>64</v>
      </c>
      <c r="M173" s="43">
        <v>0</v>
      </c>
      <c r="N173" s="43">
        <v>2</v>
      </c>
      <c r="O173" s="43">
        <v>25</v>
      </c>
      <c r="P173" s="52">
        <v>1</v>
      </c>
      <c r="Q173" s="42">
        <v>20</v>
      </c>
      <c r="R173" s="43">
        <v>586</v>
      </c>
      <c r="S173" s="44">
        <v>184</v>
      </c>
      <c r="T173" s="45">
        <f t="shared" si="12"/>
        <v>2144</v>
      </c>
      <c r="U173" s="46">
        <v>0</v>
      </c>
      <c r="V173" s="47">
        <f t="shared" si="13"/>
        <v>57</v>
      </c>
      <c r="W173" s="47">
        <f t="shared" si="14"/>
        <v>1509.5</v>
      </c>
      <c r="X173" s="48">
        <f t="shared" si="15"/>
        <v>303</v>
      </c>
      <c r="Y173" s="49">
        <f t="shared" si="16"/>
        <v>4013.5</v>
      </c>
      <c r="Z173" s="50">
        <f t="shared" si="17"/>
        <v>4014</v>
      </c>
    </row>
    <row r="174" spans="1:26" x14ac:dyDescent="0.25">
      <c r="A174" s="29" t="s">
        <v>357</v>
      </c>
      <c r="B174" s="29" t="s">
        <v>79</v>
      </c>
      <c r="C174" s="29" t="s">
        <v>380</v>
      </c>
      <c r="D174" s="30">
        <v>37836901</v>
      </c>
      <c r="E174" s="31" t="s">
        <v>381</v>
      </c>
      <c r="F174" s="29">
        <v>17053676</v>
      </c>
      <c r="G174" s="32" t="s">
        <v>442</v>
      </c>
      <c r="H174" s="32" t="s">
        <v>219</v>
      </c>
      <c r="I174" s="33" t="s">
        <v>443</v>
      </c>
      <c r="J174" s="42">
        <v>7</v>
      </c>
      <c r="K174" s="43">
        <v>0</v>
      </c>
      <c r="L174" s="43">
        <v>32</v>
      </c>
      <c r="M174" s="43">
        <v>0</v>
      </c>
      <c r="N174" s="43">
        <v>1</v>
      </c>
      <c r="O174" s="43">
        <v>10</v>
      </c>
      <c r="P174" s="52">
        <v>2</v>
      </c>
      <c r="Q174" s="42">
        <v>14</v>
      </c>
      <c r="R174" s="43">
        <v>172</v>
      </c>
      <c r="S174" s="44">
        <v>68</v>
      </c>
      <c r="T174" s="45">
        <f t="shared" si="12"/>
        <v>1072</v>
      </c>
      <c r="U174" s="46">
        <v>242.7</v>
      </c>
      <c r="V174" s="47">
        <f t="shared" si="13"/>
        <v>34.5</v>
      </c>
      <c r="W174" s="47">
        <f t="shared" si="14"/>
        <v>479</v>
      </c>
      <c r="X174" s="48">
        <f t="shared" si="15"/>
        <v>156</v>
      </c>
      <c r="Y174" s="49">
        <f t="shared" si="16"/>
        <v>1984.2</v>
      </c>
      <c r="Z174" s="50">
        <f t="shared" si="17"/>
        <v>1984</v>
      </c>
    </row>
    <row r="175" spans="1:26" x14ac:dyDescent="0.25">
      <c r="A175" s="29" t="s">
        <v>357</v>
      </c>
      <c r="B175" s="29" t="s">
        <v>79</v>
      </c>
      <c r="C175" s="29" t="s">
        <v>380</v>
      </c>
      <c r="D175" s="30">
        <v>37836901</v>
      </c>
      <c r="E175" s="31" t="s">
        <v>381</v>
      </c>
      <c r="F175" s="29">
        <v>17055385</v>
      </c>
      <c r="G175" s="32" t="s">
        <v>138</v>
      </c>
      <c r="H175" s="32" t="s">
        <v>219</v>
      </c>
      <c r="I175" s="33" t="s">
        <v>444</v>
      </c>
      <c r="J175" s="42">
        <v>11</v>
      </c>
      <c r="K175" s="43">
        <v>0</v>
      </c>
      <c r="L175" s="43">
        <v>53</v>
      </c>
      <c r="M175" s="43">
        <v>0</v>
      </c>
      <c r="N175" s="43">
        <v>0</v>
      </c>
      <c r="O175" s="43">
        <v>25</v>
      </c>
      <c r="P175" s="52">
        <v>1</v>
      </c>
      <c r="Q175" s="42">
        <v>0</v>
      </c>
      <c r="R175" s="43">
        <v>405</v>
      </c>
      <c r="S175" s="44">
        <v>71</v>
      </c>
      <c r="T175" s="45">
        <f t="shared" si="12"/>
        <v>1775.5</v>
      </c>
      <c r="U175" s="46">
        <v>325.3</v>
      </c>
      <c r="V175" s="47">
        <f t="shared" si="13"/>
        <v>0</v>
      </c>
      <c r="W175" s="47">
        <f t="shared" si="14"/>
        <v>1147.5</v>
      </c>
      <c r="X175" s="48">
        <f t="shared" si="15"/>
        <v>133.5</v>
      </c>
      <c r="Y175" s="49">
        <f t="shared" si="16"/>
        <v>3381.8</v>
      </c>
      <c r="Z175" s="50">
        <f t="shared" si="17"/>
        <v>3382</v>
      </c>
    </row>
    <row r="176" spans="1:26" x14ac:dyDescent="0.25">
      <c r="A176" s="29" t="s">
        <v>357</v>
      </c>
      <c r="B176" s="29" t="s">
        <v>79</v>
      </c>
      <c r="C176" s="29" t="s">
        <v>380</v>
      </c>
      <c r="D176" s="30">
        <v>37836901</v>
      </c>
      <c r="E176" s="31" t="s">
        <v>381</v>
      </c>
      <c r="F176" s="29">
        <v>893412</v>
      </c>
      <c r="G176" s="32" t="s">
        <v>402</v>
      </c>
      <c r="H176" s="32" t="s">
        <v>219</v>
      </c>
      <c r="I176" s="33" t="s">
        <v>445</v>
      </c>
      <c r="J176" s="42">
        <v>12</v>
      </c>
      <c r="K176" s="43">
        <v>0</v>
      </c>
      <c r="L176" s="43">
        <v>72</v>
      </c>
      <c r="M176" s="43">
        <v>0</v>
      </c>
      <c r="N176" s="43">
        <v>0</v>
      </c>
      <c r="O176" s="43">
        <v>28</v>
      </c>
      <c r="P176" s="52">
        <v>2</v>
      </c>
      <c r="Q176" s="42">
        <v>0</v>
      </c>
      <c r="R176" s="43">
        <v>559</v>
      </c>
      <c r="S176" s="44">
        <v>231</v>
      </c>
      <c r="T176" s="45">
        <f t="shared" si="12"/>
        <v>2412</v>
      </c>
      <c r="U176" s="46">
        <v>151.4</v>
      </c>
      <c r="V176" s="47">
        <f t="shared" si="13"/>
        <v>0</v>
      </c>
      <c r="W176" s="47">
        <f t="shared" si="14"/>
        <v>1496</v>
      </c>
      <c r="X176" s="48">
        <f t="shared" si="15"/>
        <v>400.5</v>
      </c>
      <c r="Y176" s="49">
        <f t="shared" si="16"/>
        <v>4459.8999999999996</v>
      </c>
      <c r="Z176" s="50">
        <f t="shared" si="17"/>
        <v>4460</v>
      </c>
    </row>
    <row r="177" spans="1:26" x14ac:dyDescent="0.25">
      <c r="A177" s="29" t="s">
        <v>357</v>
      </c>
      <c r="B177" s="29" t="s">
        <v>79</v>
      </c>
      <c r="C177" s="29" t="s">
        <v>380</v>
      </c>
      <c r="D177" s="30">
        <v>37836901</v>
      </c>
      <c r="E177" s="31" t="s">
        <v>381</v>
      </c>
      <c r="F177" s="29">
        <v>162451</v>
      </c>
      <c r="G177" s="32" t="s">
        <v>446</v>
      </c>
      <c r="H177" s="32" t="s">
        <v>219</v>
      </c>
      <c r="I177" s="33" t="s">
        <v>447</v>
      </c>
      <c r="J177" s="42">
        <v>6</v>
      </c>
      <c r="K177" s="43">
        <v>0</v>
      </c>
      <c r="L177" s="43">
        <v>42</v>
      </c>
      <c r="M177" s="43">
        <v>0</v>
      </c>
      <c r="N177" s="43">
        <v>0</v>
      </c>
      <c r="O177" s="43">
        <v>14</v>
      </c>
      <c r="P177" s="52">
        <v>0</v>
      </c>
      <c r="Q177" s="42">
        <v>0</v>
      </c>
      <c r="R177" s="43">
        <v>419</v>
      </c>
      <c r="S177" s="44">
        <v>0</v>
      </c>
      <c r="T177" s="45">
        <f t="shared" si="12"/>
        <v>1407</v>
      </c>
      <c r="U177" s="46">
        <v>306</v>
      </c>
      <c r="V177" s="47">
        <f t="shared" si="13"/>
        <v>0</v>
      </c>
      <c r="W177" s="47">
        <f t="shared" si="14"/>
        <v>1027</v>
      </c>
      <c r="X177" s="48">
        <f t="shared" si="15"/>
        <v>0</v>
      </c>
      <c r="Y177" s="49">
        <f t="shared" si="16"/>
        <v>2740</v>
      </c>
      <c r="Z177" s="50">
        <f t="shared" si="17"/>
        <v>2740</v>
      </c>
    </row>
    <row r="178" spans="1:26" x14ac:dyDescent="0.25">
      <c r="A178" s="29" t="s">
        <v>357</v>
      </c>
      <c r="B178" s="29" t="s">
        <v>79</v>
      </c>
      <c r="C178" s="29" t="s">
        <v>380</v>
      </c>
      <c r="D178" s="30">
        <v>37836901</v>
      </c>
      <c r="E178" s="31" t="s">
        <v>381</v>
      </c>
      <c r="F178" s="29">
        <v>491861</v>
      </c>
      <c r="G178" s="32" t="s">
        <v>114</v>
      </c>
      <c r="H178" s="32" t="s">
        <v>219</v>
      </c>
      <c r="I178" s="33" t="s">
        <v>448</v>
      </c>
      <c r="J178" s="42">
        <v>16</v>
      </c>
      <c r="K178" s="43">
        <v>0</v>
      </c>
      <c r="L178" s="43">
        <v>88</v>
      </c>
      <c r="M178" s="43">
        <v>0</v>
      </c>
      <c r="N178" s="43">
        <v>0</v>
      </c>
      <c r="O178" s="43">
        <v>24</v>
      </c>
      <c r="P178" s="52">
        <v>1</v>
      </c>
      <c r="Q178" s="42">
        <v>0</v>
      </c>
      <c r="R178" s="43">
        <v>684</v>
      </c>
      <c r="S178" s="44">
        <v>136</v>
      </c>
      <c r="T178" s="45">
        <f t="shared" si="12"/>
        <v>2948</v>
      </c>
      <c r="U178" s="46">
        <v>0</v>
      </c>
      <c r="V178" s="47">
        <f t="shared" si="13"/>
        <v>0</v>
      </c>
      <c r="W178" s="47">
        <f t="shared" si="14"/>
        <v>1692</v>
      </c>
      <c r="X178" s="48">
        <f t="shared" si="15"/>
        <v>231</v>
      </c>
      <c r="Y178" s="49">
        <f t="shared" si="16"/>
        <v>4871</v>
      </c>
      <c r="Z178" s="50">
        <f t="shared" si="17"/>
        <v>4871</v>
      </c>
    </row>
    <row r="179" spans="1:26" x14ac:dyDescent="0.25">
      <c r="A179" s="29" t="s">
        <v>357</v>
      </c>
      <c r="B179" s="29" t="s">
        <v>79</v>
      </c>
      <c r="C179" s="29" t="s">
        <v>380</v>
      </c>
      <c r="D179" s="30">
        <v>37836901</v>
      </c>
      <c r="E179" s="31" t="s">
        <v>381</v>
      </c>
      <c r="F179" s="29">
        <v>399817</v>
      </c>
      <c r="G179" s="32" t="s">
        <v>449</v>
      </c>
      <c r="H179" s="32" t="s">
        <v>219</v>
      </c>
      <c r="I179" s="33" t="s">
        <v>450</v>
      </c>
      <c r="J179" s="54">
        <v>5</v>
      </c>
      <c r="K179" s="55">
        <v>0</v>
      </c>
      <c r="L179" s="55">
        <v>23</v>
      </c>
      <c r="M179" s="55">
        <v>0</v>
      </c>
      <c r="N179" s="55">
        <v>0</v>
      </c>
      <c r="O179" s="55">
        <v>9</v>
      </c>
      <c r="P179" s="56">
        <v>1</v>
      </c>
      <c r="Q179" s="54">
        <v>0</v>
      </c>
      <c r="R179" s="55">
        <v>111</v>
      </c>
      <c r="S179" s="57">
        <v>34</v>
      </c>
      <c r="T179" s="45">
        <f t="shared" si="12"/>
        <v>770.5</v>
      </c>
      <c r="U179" s="58">
        <v>0</v>
      </c>
      <c r="V179" s="47">
        <f t="shared" si="13"/>
        <v>0</v>
      </c>
      <c r="W179" s="47">
        <f t="shared" si="14"/>
        <v>343.5</v>
      </c>
      <c r="X179" s="48">
        <f t="shared" si="15"/>
        <v>78</v>
      </c>
      <c r="Y179" s="49">
        <f t="shared" si="16"/>
        <v>1192</v>
      </c>
      <c r="Z179" s="50">
        <f t="shared" si="17"/>
        <v>1192</v>
      </c>
    </row>
    <row r="180" spans="1:26" x14ac:dyDescent="0.25">
      <c r="A180" s="29" t="s">
        <v>357</v>
      </c>
      <c r="B180" s="29" t="s">
        <v>79</v>
      </c>
      <c r="C180" s="29" t="s">
        <v>380</v>
      </c>
      <c r="D180" s="30">
        <v>37836901</v>
      </c>
      <c r="E180" s="31" t="s">
        <v>381</v>
      </c>
      <c r="F180" s="29">
        <v>36082058</v>
      </c>
      <c r="G180" s="32" t="s">
        <v>451</v>
      </c>
      <c r="H180" s="32" t="s">
        <v>219</v>
      </c>
      <c r="I180" s="33" t="s">
        <v>452</v>
      </c>
      <c r="J180" s="42">
        <v>16</v>
      </c>
      <c r="K180" s="43">
        <v>0</v>
      </c>
      <c r="L180" s="43">
        <v>86</v>
      </c>
      <c r="M180" s="43">
        <v>0</v>
      </c>
      <c r="N180" s="43">
        <v>0</v>
      </c>
      <c r="O180" s="43">
        <v>24</v>
      </c>
      <c r="P180" s="52">
        <v>1</v>
      </c>
      <c r="Q180" s="42">
        <v>0</v>
      </c>
      <c r="R180" s="43">
        <v>865</v>
      </c>
      <c r="S180" s="44">
        <v>128</v>
      </c>
      <c r="T180" s="45">
        <f t="shared" si="12"/>
        <v>2881</v>
      </c>
      <c r="U180" s="46">
        <v>136.5</v>
      </c>
      <c r="V180" s="47">
        <f t="shared" si="13"/>
        <v>0</v>
      </c>
      <c r="W180" s="47">
        <f t="shared" si="14"/>
        <v>2054</v>
      </c>
      <c r="X180" s="48">
        <f t="shared" si="15"/>
        <v>219</v>
      </c>
      <c r="Y180" s="49">
        <f t="shared" si="16"/>
        <v>5290.5</v>
      </c>
      <c r="Z180" s="50">
        <f t="shared" si="17"/>
        <v>5291</v>
      </c>
    </row>
    <row r="181" spans="1:26" x14ac:dyDescent="0.25">
      <c r="A181" s="29" t="s">
        <v>357</v>
      </c>
      <c r="B181" s="29" t="s">
        <v>79</v>
      </c>
      <c r="C181" s="29" t="s">
        <v>380</v>
      </c>
      <c r="D181" s="30">
        <v>37836901</v>
      </c>
      <c r="E181" s="31" t="s">
        <v>381</v>
      </c>
      <c r="F181" s="29">
        <v>607371</v>
      </c>
      <c r="G181" s="32" t="s">
        <v>117</v>
      </c>
      <c r="H181" s="32" t="s">
        <v>219</v>
      </c>
      <c r="I181" s="33" t="s">
        <v>453</v>
      </c>
      <c r="J181" s="42">
        <v>16</v>
      </c>
      <c r="K181" s="43">
        <v>0</v>
      </c>
      <c r="L181" s="43">
        <v>99</v>
      </c>
      <c r="M181" s="43">
        <v>0</v>
      </c>
      <c r="N181" s="43">
        <v>0</v>
      </c>
      <c r="O181" s="43">
        <v>27</v>
      </c>
      <c r="P181" s="52">
        <v>1</v>
      </c>
      <c r="Q181" s="42">
        <v>0</v>
      </c>
      <c r="R181" s="43">
        <v>753</v>
      </c>
      <c r="S181" s="44">
        <v>157</v>
      </c>
      <c r="T181" s="45">
        <f t="shared" si="12"/>
        <v>3316.5</v>
      </c>
      <c r="U181" s="46">
        <v>2943.6</v>
      </c>
      <c r="V181" s="47">
        <f t="shared" si="13"/>
        <v>0</v>
      </c>
      <c r="W181" s="47">
        <f t="shared" si="14"/>
        <v>1870.5</v>
      </c>
      <c r="X181" s="48">
        <f t="shared" si="15"/>
        <v>262.5</v>
      </c>
      <c r="Y181" s="49">
        <f t="shared" si="16"/>
        <v>8393.1</v>
      </c>
      <c r="Z181" s="50">
        <f t="shared" si="17"/>
        <v>8393</v>
      </c>
    </row>
    <row r="182" spans="1:26" x14ac:dyDescent="0.25">
      <c r="A182" s="29" t="s">
        <v>357</v>
      </c>
      <c r="B182" s="29" t="s">
        <v>181</v>
      </c>
      <c r="C182" s="29" t="s">
        <v>454</v>
      </c>
      <c r="D182" s="29">
        <v>419702</v>
      </c>
      <c r="E182" s="32" t="s">
        <v>455</v>
      </c>
      <c r="F182" s="29">
        <v>42040655</v>
      </c>
      <c r="G182" s="32" t="s">
        <v>456</v>
      </c>
      <c r="H182" s="32" t="s">
        <v>457</v>
      </c>
      <c r="I182" s="33" t="s">
        <v>458</v>
      </c>
      <c r="J182" s="42">
        <v>11</v>
      </c>
      <c r="K182" s="43">
        <v>0</v>
      </c>
      <c r="L182" s="43">
        <v>29</v>
      </c>
      <c r="M182" s="43">
        <v>0</v>
      </c>
      <c r="N182" s="43">
        <v>1</v>
      </c>
      <c r="O182" s="43">
        <v>10</v>
      </c>
      <c r="P182" s="52">
        <v>0</v>
      </c>
      <c r="Q182" s="42">
        <v>12</v>
      </c>
      <c r="R182" s="43">
        <v>335</v>
      </c>
      <c r="S182" s="44">
        <v>0</v>
      </c>
      <c r="T182" s="45">
        <f t="shared" si="12"/>
        <v>971.5</v>
      </c>
      <c r="U182" s="46">
        <v>17.350000000000001</v>
      </c>
      <c r="V182" s="47">
        <f t="shared" si="13"/>
        <v>31.5</v>
      </c>
      <c r="W182" s="47">
        <f t="shared" si="14"/>
        <v>805</v>
      </c>
      <c r="X182" s="48">
        <f t="shared" si="15"/>
        <v>0</v>
      </c>
      <c r="Y182" s="49">
        <f t="shared" si="16"/>
        <v>1825.35</v>
      </c>
      <c r="Z182" s="50">
        <f t="shared" si="17"/>
        <v>1825</v>
      </c>
    </row>
    <row r="183" spans="1:26" x14ac:dyDescent="0.25">
      <c r="A183" s="29" t="s">
        <v>357</v>
      </c>
      <c r="B183" s="29" t="s">
        <v>181</v>
      </c>
      <c r="C183" s="29" t="s">
        <v>459</v>
      </c>
      <c r="D183" s="29">
        <v>587117</v>
      </c>
      <c r="E183" s="32" t="s">
        <v>460</v>
      </c>
      <c r="F183" s="29">
        <v>17059844</v>
      </c>
      <c r="G183" s="32" t="s">
        <v>461</v>
      </c>
      <c r="H183" s="32" t="s">
        <v>462</v>
      </c>
      <c r="I183" s="33" t="s">
        <v>463</v>
      </c>
      <c r="J183" s="42">
        <v>5</v>
      </c>
      <c r="K183" s="43">
        <v>0</v>
      </c>
      <c r="L183" s="43">
        <v>17</v>
      </c>
      <c r="M183" s="43">
        <v>0</v>
      </c>
      <c r="N183" s="43">
        <v>1</v>
      </c>
      <c r="O183" s="43">
        <v>7</v>
      </c>
      <c r="P183" s="52">
        <v>0</v>
      </c>
      <c r="Q183" s="42">
        <v>12</v>
      </c>
      <c r="R183" s="43">
        <v>176</v>
      </c>
      <c r="S183" s="44">
        <v>0</v>
      </c>
      <c r="T183" s="45">
        <f t="shared" si="12"/>
        <v>569.5</v>
      </c>
      <c r="U183" s="46">
        <v>23.1</v>
      </c>
      <c r="V183" s="47">
        <f t="shared" si="13"/>
        <v>31.5</v>
      </c>
      <c r="W183" s="47">
        <f t="shared" si="14"/>
        <v>446.5</v>
      </c>
      <c r="X183" s="48">
        <f t="shared" si="15"/>
        <v>0</v>
      </c>
      <c r="Y183" s="49">
        <f t="shared" si="16"/>
        <v>1070.5999999999999</v>
      </c>
      <c r="Z183" s="50">
        <f t="shared" si="17"/>
        <v>1071</v>
      </c>
    </row>
    <row r="184" spans="1:26" x14ac:dyDescent="0.25">
      <c r="A184" s="29" t="s">
        <v>357</v>
      </c>
      <c r="B184" s="29" t="s">
        <v>181</v>
      </c>
      <c r="C184" s="29" t="s">
        <v>454</v>
      </c>
      <c r="D184" s="29">
        <v>419702</v>
      </c>
      <c r="E184" s="32" t="s">
        <v>455</v>
      </c>
      <c r="F184" s="29">
        <v>36094625</v>
      </c>
      <c r="G184" s="32" t="s">
        <v>464</v>
      </c>
      <c r="H184" s="32" t="s">
        <v>219</v>
      </c>
      <c r="I184" s="33" t="s">
        <v>465</v>
      </c>
      <c r="J184" s="42">
        <v>3</v>
      </c>
      <c r="K184" s="43">
        <v>0</v>
      </c>
      <c r="L184" s="43">
        <v>4</v>
      </c>
      <c r="M184" s="43">
        <v>0</v>
      </c>
      <c r="N184" s="43">
        <v>1</v>
      </c>
      <c r="O184" s="43">
        <v>2</v>
      </c>
      <c r="P184" s="52">
        <v>0</v>
      </c>
      <c r="Q184" s="42">
        <v>23</v>
      </c>
      <c r="R184" s="43">
        <v>2</v>
      </c>
      <c r="S184" s="44">
        <v>0</v>
      </c>
      <c r="T184" s="45">
        <f t="shared" si="12"/>
        <v>134</v>
      </c>
      <c r="U184" s="46">
        <v>11.7</v>
      </c>
      <c r="V184" s="47">
        <f t="shared" si="13"/>
        <v>48</v>
      </c>
      <c r="W184" s="47">
        <f t="shared" si="14"/>
        <v>31</v>
      </c>
      <c r="X184" s="48">
        <f t="shared" si="15"/>
        <v>0</v>
      </c>
      <c r="Y184" s="49">
        <f t="shared" si="16"/>
        <v>224.7</v>
      </c>
      <c r="Z184" s="50">
        <f t="shared" si="17"/>
        <v>225</v>
      </c>
    </row>
    <row r="185" spans="1:26" x14ac:dyDescent="0.25">
      <c r="A185" s="29" t="s">
        <v>357</v>
      </c>
      <c r="B185" s="29" t="s">
        <v>181</v>
      </c>
      <c r="C185" s="29" t="s">
        <v>454</v>
      </c>
      <c r="D185" s="29">
        <v>419702</v>
      </c>
      <c r="E185" s="32" t="s">
        <v>455</v>
      </c>
      <c r="F185" s="29">
        <v>31825451</v>
      </c>
      <c r="G185" s="32" t="s">
        <v>466</v>
      </c>
      <c r="H185" s="32" t="s">
        <v>219</v>
      </c>
      <c r="I185" s="33" t="s">
        <v>465</v>
      </c>
      <c r="J185" s="42">
        <v>2</v>
      </c>
      <c r="K185" s="43">
        <v>0</v>
      </c>
      <c r="L185" s="43">
        <v>2</v>
      </c>
      <c r="M185" s="43">
        <v>0</v>
      </c>
      <c r="N185" s="43">
        <v>0</v>
      </c>
      <c r="O185" s="43">
        <v>2</v>
      </c>
      <c r="P185" s="52">
        <v>0</v>
      </c>
      <c r="Q185" s="42">
        <v>0</v>
      </c>
      <c r="R185" s="43">
        <v>10</v>
      </c>
      <c r="S185" s="44">
        <v>0</v>
      </c>
      <c r="T185" s="45">
        <f t="shared" si="12"/>
        <v>67</v>
      </c>
      <c r="U185" s="46">
        <v>0</v>
      </c>
      <c r="V185" s="47">
        <f t="shared" si="13"/>
        <v>0</v>
      </c>
      <c r="W185" s="47">
        <f t="shared" si="14"/>
        <v>47</v>
      </c>
      <c r="X185" s="48">
        <f t="shared" si="15"/>
        <v>0</v>
      </c>
      <c r="Y185" s="49">
        <f t="shared" si="16"/>
        <v>114</v>
      </c>
      <c r="Z185" s="50">
        <f t="shared" si="17"/>
        <v>114</v>
      </c>
    </row>
    <row r="186" spans="1:26" x14ac:dyDescent="0.25">
      <c r="A186" s="29" t="s">
        <v>357</v>
      </c>
      <c r="B186" s="59" t="s">
        <v>181</v>
      </c>
      <c r="C186" s="59" t="s">
        <v>454</v>
      </c>
      <c r="D186" s="59">
        <v>419702</v>
      </c>
      <c r="E186" s="32" t="s">
        <v>455</v>
      </c>
      <c r="F186" s="29"/>
      <c r="G186" s="32" t="s">
        <v>467</v>
      </c>
      <c r="H186" s="32" t="s">
        <v>468</v>
      </c>
      <c r="I186" s="33" t="s">
        <v>469</v>
      </c>
      <c r="J186" s="60">
        <v>1</v>
      </c>
      <c r="K186" s="61">
        <v>0</v>
      </c>
      <c r="L186" s="61">
        <v>1</v>
      </c>
      <c r="M186" s="61">
        <v>0</v>
      </c>
      <c r="N186" s="61">
        <v>0</v>
      </c>
      <c r="O186" s="61">
        <v>1</v>
      </c>
      <c r="P186" s="62">
        <v>0</v>
      </c>
      <c r="Q186" s="60">
        <v>0</v>
      </c>
      <c r="R186" s="61">
        <v>1</v>
      </c>
      <c r="S186" s="63">
        <v>0</v>
      </c>
      <c r="T186" s="45">
        <f t="shared" si="12"/>
        <v>33.5</v>
      </c>
      <c r="U186" s="64">
        <v>9.8000000000000007</v>
      </c>
      <c r="V186" s="47">
        <f t="shared" si="13"/>
        <v>0</v>
      </c>
      <c r="W186" s="47">
        <f t="shared" si="14"/>
        <v>15.5</v>
      </c>
      <c r="X186" s="48">
        <f t="shared" si="15"/>
        <v>0</v>
      </c>
      <c r="Y186" s="49">
        <f t="shared" si="16"/>
        <v>58.8</v>
      </c>
      <c r="Z186" s="50">
        <f t="shared" si="17"/>
        <v>59</v>
      </c>
    </row>
    <row r="187" spans="1:26" x14ac:dyDescent="0.25">
      <c r="A187" s="29" t="s">
        <v>357</v>
      </c>
      <c r="B187" s="29" t="s">
        <v>226</v>
      </c>
      <c r="C187" s="29" t="s">
        <v>470</v>
      </c>
      <c r="D187" s="29">
        <v>50456458</v>
      </c>
      <c r="E187" s="32" t="s">
        <v>471</v>
      </c>
      <c r="F187" s="29">
        <v>51895951</v>
      </c>
      <c r="G187" s="32" t="s">
        <v>472</v>
      </c>
      <c r="H187" s="32" t="s">
        <v>360</v>
      </c>
      <c r="I187" s="33" t="s">
        <v>473</v>
      </c>
      <c r="J187" s="42">
        <v>0</v>
      </c>
      <c r="K187" s="43">
        <v>0</v>
      </c>
      <c r="L187" s="43">
        <v>0</v>
      </c>
      <c r="M187" s="43">
        <v>0</v>
      </c>
      <c r="N187" s="43">
        <v>0</v>
      </c>
      <c r="O187" s="43">
        <v>0</v>
      </c>
      <c r="P187" s="52">
        <v>0</v>
      </c>
      <c r="Q187" s="42">
        <v>0</v>
      </c>
      <c r="R187" s="43">
        <v>0</v>
      </c>
      <c r="S187" s="44">
        <v>0</v>
      </c>
      <c r="T187" s="45">
        <f t="shared" si="12"/>
        <v>0</v>
      </c>
      <c r="U187" s="46">
        <v>0</v>
      </c>
      <c r="V187" s="47">
        <f t="shared" si="13"/>
        <v>0</v>
      </c>
      <c r="W187" s="47">
        <f t="shared" si="14"/>
        <v>0</v>
      </c>
      <c r="X187" s="48">
        <f t="shared" si="15"/>
        <v>0</v>
      </c>
      <c r="Y187" s="49">
        <f t="shared" si="16"/>
        <v>0</v>
      </c>
      <c r="Z187" s="50">
        <f t="shared" si="17"/>
        <v>0</v>
      </c>
    </row>
    <row r="188" spans="1:26" x14ac:dyDescent="0.25">
      <c r="A188" s="29" t="s">
        <v>357</v>
      </c>
      <c r="B188" s="29" t="s">
        <v>226</v>
      </c>
      <c r="C188" s="29" t="s">
        <v>474</v>
      </c>
      <c r="D188" s="29">
        <v>36269298</v>
      </c>
      <c r="E188" s="32" t="s">
        <v>475</v>
      </c>
      <c r="F188" s="29">
        <v>37839403</v>
      </c>
      <c r="G188" s="32" t="s">
        <v>476</v>
      </c>
      <c r="H188" s="32" t="s">
        <v>360</v>
      </c>
      <c r="I188" s="33" t="s">
        <v>477</v>
      </c>
      <c r="J188" s="42">
        <v>10</v>
      </c>
      <c r="K188" s="43">
        <v>5</v>
      </c>
      <c r="L188" s="43">
        <v>42</v>
      </c>
      <c r="M188" s="43">
        <v>18</v>
      </c>
      <c r="N188" s="43">
        <v>24</v>
      </c>
      <c r="O188" s="43">
        <v>17</v>
      </c>
      <c r="P188" s="52">
        <v>3</v>
      </c>
      <c r="Q188" s="42">
        <v>161</v>
      </c>
      <c r="R188" s="43">
        <v>282</v>
      </c>
      <c r="S188" s="44">
        <v>167</v>
      </c>
      <c r="T188" s="45">
        <f t="shared" si="12"/>
        <v>1407</v>
      </c>
      <c r="U188" s="46">
        <v>60.53</v>
      </c>
      <c r="V188" s="47">
        <f t="shared" si="13"/>
        <v>565.5</v>
      </c>
      <c r="W188" s="47">
        <f t="shared" si="14"/>
        <v>793.5</v>
      </c>
      <c r="X188" s="48">
        <f t="shared" si="15"/>
        <v>331.5</v>
      </c>
      <c r="Y188" s="49">
        <f t="shared" si="16"/>
        <v>3158.0299999999997</v>
      </c>
      <c r="Z188" s="50">
        <f t="shared" si="17"/>
        <v>3158</v>
      </c>
    </row>
    <row r="189" spans="1:26" x14ac:dyDescent="0.25">
      <c r="A189" s="29" t="s">
        <v>357</v>
      </c>
      <c r="B189" s="29" t="s">
        <v>226</v>
      </c>
      <c r="C189" s="29" t="s">
        <v>478</v>
      </c>
      <c r="D189" s="29">
        <v>90000209</v>
      </c>
      <c r="E189" s="32" t="s">
        <v>479</v>
      </c>
      <c r="F189" s="29">
        <v>45014906</v>
      </c>
      <c r="G189" s="32" t="s">
        <v>480</v>
      </c>
      <c r="H189" s="32" t="s">
        <v>360</v>
      </c>
      <c r="I189" s="33" t="s">
        <v>481</v>
      </c>
      <c r="J189" s="42">
        <v>8</v>
      </c>
      <c r="K189" s="43">
        <v>0</v>
      </c>
      <c r="L189" s="43">
        <v>15</v>
      </c>
      <c r="M189" s="43">
        <v>0</v>
      </c>
      <c r="N189" s="43">
        <v>0</v>
      </c>
      <c r="O189" s="43">
        <v>11</v>
      </c>
      <c r="P189" s="52">
        <v>0</v>
      </c>
      <c r="Q189" s="42">
        <v>0</v>
      </c>
      <c r="R189" s="43">
        <v>126</v>
      </c>
      <c r="S189" s="44">
        <v>0</v>
      </c>
      <c r="T189" s="45">
        <f t="shared" si="12"/>
        <v>502.5</v>
      </c>
      <c r="U189" s="46">
        <v>225.15</v>
      </c>
      <c r="V189" s="47">
        <f t="shared" si="13"/>
        <v>0</v>
      </c>
      <c r="W189" s="47">
        <f t="shared" si="14"/>
        <v>400.5</v>
      </c>
      <c r="X189" s="48">
        <f t="shared" si="15"/>
        <v>0</v>
      </c>
      <c r="Y189" s="49">
        <f t="shared" si="16"/>
        <v>1128.1500000000001</v>
      </c>
      <c r="Z189" s="50">
        <f t="shared" si="17"/>
        <v>1128</v>
      </c>
    </row>
    <row r="190" spans="1:26" x14ac:dyDescent="0.25">
      <c r="A190" s="29" t="s">
        <v>357</v>
      </c>
      <c r="B190" s="29" t="s">
        <v>226</v>
      </c>
      <c r="C190" s="29" t="s">
        <v>482</v>
      </c>
      <c r="D190" s="29">
        <v>31752896</v>
      </c>
      <c r="E190" s="32" t="s">
        <v>483</v>
      </c>
      <c r="F190" s="29">
        <v>53200349</v>
      </c>
      <c r="G190" s="32" t="s">
        <v>484</v>
      </c>
      <c r="H190" s="32" t="s">
        <v>348</v>
      </c>
      <c r="I190" s="33" t="s">
        <v>485</v>
      </c>
      <c r="J190" s="42">
        <v>0</v>
      </c>
      <c r="K190" s="43">
        <v>0</v>
      </c>
      <c r="L190" s="43">
        <v>0</v>
      </c>
      <c r="M190" s="43">
        <v>0</v>
      </c>
      <c r="N190" s="43">
        <v>0</v>
      </c>
      <c r="O190" s="43">
        <v>0</v>
      </c>
      <c r="P190" s="52">
        <v>0</v>
      </c>
      <c r="Q190" s="42">
        <v>0</v>
      </c>
      <c r="R190" s="43">
        <v>0</v>
      </c>
      <c r="S190" s="44">
        <v>0</v>
      </c>
      <c r="T190" s="45">
        <f t="shared" si="12"/>
        <v>0</v>
      </c>
      <c r="U190" s="46">
        <v>0</v>
      </c>
      <c r="V190" s="47">
        <f t="shared" si="13"/>
        <v>0</v>
      </c>
      <c r="W190" s="47">
        <f t="shared" si="14"/>
        <v>0</v>
      </c>
      <c r="X190" s="48">
        <f t="shared" si="15"/>
        <v>0</v>
      </c>
      <c r="Y190" s="49">
        <f t="shared" si="16"/>
        <v>0</v>
      </c>
      <c r="Z190" s="50">
        <f t="shared" si="17"/>
        <v>0</v>
      </c>
    </row>
    <row r="191" spans="1:26" x14ac:dyDescent="0.25">
      <c r="A191" s="29" t="s">
        <v>357</v>
      </c>
      <c r="B191" s="29" t="s">
        <v>226</v>
      </c>
      <c r="C191" s="29" t="s">
        <v>486</v>
      </c>
      <c r="D191" s="29">
        <v>47138556</v>
      </c>
      <c r="E191" s="32" t="s">
        <v>487</v>
      </c>
      <c r="F191" s="29">
        <v>11882115</v>
      </c>
      <c r="G191" s="32" t="s">
        <v>488</v>
      </c>
      <c r="H191" s="32" t="s">
        <v>489</v>
      </c>
      <c r="I191" s="33" t="s">
        <v>490</v>
      </c>
      <c r="J191" s="42">
        <v>4</v>
      </c>
      <c r="K191" s="43">
        <v>0</v>
      </c>
      <c r="L191" s="43">
        <v>12</v>
      </c>
      <c r="M191" s="43">
        <v>0</v>
      </c>
      <c r="N191" s="43">
        <v>0</v>
      </c>
      <c r="O191" s="43">
        <v>10</v>
      </c>
      <c r="P191" s="52">
        <v>0</v>
      </c>
      <c r="Q191" s="42">
        <v>0</v>
      </c>
      <c r="R191" s="43">
        <v>107</v>
      </c>
      <c r="S191" s="44">
        <v>0</v>
      </c>
      <c r="T191" s="45">
        <f t="shared" si="12"/>
        <v>402</v>
      </c>
      <c r="U191" s="46">
        <v>71.72</v>
      </c>
      <c r="V191" s="47">
        <f t="shared" si="13"/>
        <v>0</v>
      </c>
      <c r="W191" s="47">
        <f t="shared" si="14"/>
        <v>349</v>
      </c>
      <c r="X191" s="48">
        <f t="shared" si="15"/>
        <v>0</v>
      </c>
      <c r="Y191" s="49">
        <f t="shared" si="16"/>
        <v>822.72</v>
      </c>
      <c r="Z191" s="50">
        <f t="shared" si="17"/>
        <v>823</v>
      </c>
    </row>
    <row r="192" spans="1:26" x14ac:dyDescent="0.25">
      <c r="A192" s="29" t="s">
        <v>357</v>
      </c>
      <c r="B192" s="29" t="s">
        <v>226</v>
      </c>
      <c r="C192" s="29" t="s">
        <v>491</v>
      </c>
      <c r="D192" s="29">
        <v>90000113</v>
      </c>
      <c r="E192" s="32" t="s">
        <v>492</v>
      </c>
      <c r="F192" s="29">
        <v>37841700</v>
      </c>
      <c r="G192" s="32" t="s">
        <v>493</v>
      </c>
      <c r="H192" s="32" t="s">
        <v>364</v>
      </c>
      <c r="I192" s="33" t="s">
        <v>494</v>
      </c>
      <c r="J192" s="42">
        <v>2</v>
      </c>
      <c r="K192" s="43">
        <v>0</v>
      </c>
      <c r="L192" s="43">
        <v>8</v>
      </c>
      <c r="M192" s="43">
        <v>0</v>
      </c>
      <c r="N192" s="43">
        <v>0</v>
      </c>
      <c r="O192" s="43">
        <v>3</v>
      </c>
      <c r="P192" s="52">
        <v>1</v>
      </c>
      <c r="Q192" s="42">
        <v>0</v>
      </c>
      <c r="R192" s="43">
        <v>22</v>
      </c>
      <c r="S192" s="44">
        <v>18</v>
      </c>
      <c r="T192" s="45">
        <f t="shared" si="12"/>
        <v>268</v>
      </c>
      <c r="U192" s="46">
        <v>0</v>
      </c>
      <c r="V192" s="47">
        <f t="shared" si="13"/>
        <v>0</v>
      </c>
      <c r="W192" s="47">
        <f t="shared" si="14"/>
        <v>84.5</v>
      </c>
      <c r="X192" s="48">
        <f t="shared" si="15"/>
        <v>54</v>
      </c>
      <c r="Y192" s="49">
        <f t="shared" si="16"/>
        <v>406.5</v>
      </c>
      <c r="Z192" s="50">
        <f t="shared" si="17"/>
        <v>407</v>
      </c>
    </row>
    <row r="193" spans="1:26" x14ac:dyDescent="0.25">
      <c r="A193" s="51" t="s">
        <v>357</v>
      </c>
      <c r="B193" s="51" t="s">
        <v>226</v>
      </c>
      <c r="C193" s="51" t="s">
        <v>486</v>
      </c>
      <c r="D193" s="51">
        <v>47138556</v>
      </c>
      <c r="E193" s="32" t="s">
        <v>487</v>
      </c>
      <c r="F193" s="51">
        <v>42428289</v>
      </c>
      <c r="G193" s="32" t="s">
        <v>495</v>
      </c>
      <c r="H193" s="32" t="s">
        <v>496</v>
      </c>
      <c r="I193" s="33" t="s">
        <v>497</v>
      </c>
      <c r="J193" s="42">
        <v>0</v>
      </c>
      <c r="K193" s="43">
        <v>0</v>
      </c>
      <c r="L193" s="43">
        <v>0</v>
      </c>
      <c r="M193" s="43">
        <v>0</v>
      </c>
      <c r="N193" s="43">
        <v>0</v>
      </c>
      <c r="O193" s="43">
        <v>0</v>
      </c>
      <c r="P193" s="52">
        <v>0</v>
      </c>
      <c r="Q193" s="42">
        <v>0</v>
      </c>
      <c r="R193" s="43">
        <v>0</v>
      </c>
      <c r="S193" s="44">
        <v>0</v>
      </c>
      <c r="T193" s="45">
        <f t="shared" si="12"/>
        <v>0</v>
      </c>
      <c r="U193" s="46">
        <v>0</v>
      </c>
      <c r="V193" s="47">
        <f t="shared" si="13"/>
        <v>0</v>
      </c>
      <c r="W193" s="47">
        <f t="shared" si="14"/>
        <v>0</v>
      </c>
      <c r="X193" s="48">
        <f t="shared" si="15"/>
        <v>0</v>
      </c>
      <c r="Y193" s="49">
        <f t="shared" si="16"/>
        <v>0</v>
      </c>
      <c r="Z193" s="50">
        <f t="shared" si="17"/>
        <v>0</v>
      </c>
    </row>
    <row r="194" spans="1:26" x14ac:dyDescent="0.25">
      <c r="A194" s="29" t="s">
        <v>357</v>
      </c>
      <c r="B194" s="29" t="s">
        <v>226</v>
      </c>
      <c r="C194" s="29" t="s">
        <v>498</v>
      </c>
      <c r="D194" s="29">
        <v>31448135</v>
      </c>
      <c r="E194" s="32" t="s">
        <v>499</v>
      </c>
      <c r="F194" s="29">
        <v>42142768</v>
      </c>
      <c r="G194" s="32" t="s">
        <v>500</v>
      </c>
      <c r="H194" s="32" t="s">
        <v>501</v>
      </c>
      <c r="I194" s="33" t="s">
        <v>502</v>
      </c>
      <c r="J194" s="42">
        <v>0</v>
      </c>
      <c r="K194" s="43">
        <v>0</v>
      </c>
      <c r="L194" s="43">
        <v>0</v>
      </c>
      <c r="M194" s="43">
        <v>0</v>
      </c>
      <c r="N194" s="43">
        <v>0</v>
      </c>
      <c r="O194" s="43">
        <v>0</v>
      </c>
      <c r="P194" s="52">
        <v>0</v>
      </c>
      <c r="Q194" s="42">
        <v>0</v>
      </c>
      <c r="R194" s="43">
        <v>0</v>
      </c>
      <c r="S194" s="44">
        <v>0</v>
      </c>
      <c r="T194" s="45">
        <f t="shared" si="12"/>
        <v>0</v>
      </c>
      <c r="U194" s="46">
        <v>0</v>
      </c>
      <c r="V194" s="47">
        <f t="shared" si="13"/>
        <v>0</v>
      </c>
      <c r="W194" s="47">
        <f t="shared" si="14"/>
        <v>0</v>
      </c>
      <c r="X194" s="48">
        <f t="shared" si="15"/>
        <v>0</v>
      </c>
      <c r="Y194" s="49">
        <f t="shared" si="16"/>
        <v>0</v>
      </c>
      <c r="Z194" s="50">
        <f t="shared" si="17"/>
        <v>0</v>
      </c>
    </row>
    <row r="195" spans="1:26" x14ac:dyDescent="0.25">
      <c r="A195" s="29" t="s">
        <v>357</v>
      </c>
      <c r="B195" s="29" t="s">
        <v>226</v>
      </c>
      <c r="C195" s="29" t="s">
        <v>498</v>
      </c>
      <c r="D195" s="29">
        <v>31448135</v>
      </c>
      <c r="E195" s="32" t="s">
        <v>499</v>
      </c>
      <c r="F195" s="29">
        <v>42142750</v>
      </c>
      <c r="G195" s="32" t="s">
        <v>313</v>
      </c>
      <c r="H195" s="32" t="s">
        <v>501</v>
      </c>
      <c r="I195" s="33" t="s">
        <v>502</v>
      </c>
      <c r="J195" s="42">
        <v>0</v>
      </c>
      <c r="K195" s="43">
        <v>0</v>
      </c>
      <c r="L195" s="43">
        <v>0</v>
      </c>
      <c r="M195" s="43">
        <v>0</v>
      </c>
      <c r="N195" s="43">
        <v>0</v>
      </c>
      <c r="O195" s="43">
        <v>0</v>
      </c>
      <c r="P195" s="52">
        <v>0</v>
      </c>
      <c r="Q195" s="42">
        <v>0</v>
      </c>
      <c r="R195" s="43">
        <v>0</v>
      </c>
      <c r="S195" s="44">
        <v>0</v>
      </c>
      <c r="T195" s="45">
        <f t="shared" si="12"/>
        <v>0</v>
      </c>
      <c r="U195" s="46">
        <v>0</v>
      </c>
      <c r="V195" s="47">
        <f t="shared" si="13"/>
        <v>0</v>
      </c>
      <c r="W195" s="47">
        <f t="shared" si="14"/>
        <v>0</v>
      </c>
      <c r="X195" s="48">
        <f t="shared" si="15"/>
        <v>0</v>
      </c>
      <c r="Y195" s="49">
        <f t="shared" si="16"/>
        <v>0</v>
      </c>
      <c r="Z195" s="50">
        <f t="shared" si="17"/>
        <v>0</v>
      </c>
    </row>
    <row r="196" spans="1:26" x14ac:dyDescent="0.25">
      <c r="A196" s="29" t="s">
        <v>357</v>
      </c>
      <c r="B196" s="29" t="s">
        <v>226</v>
      </c>
      <c r="C196" s="29" t="s">
        <v>503</v>
      </c>
      <c r="D196" s="29">
        <v>45732604</v>
      </c>
      <c r="E196" s="32" t="s">
        <v>504</v>
      </c>
      <c r="F196" s="29">
        <v>36087947</v>
      </c>
      <c r="G196" s="32" t="s">
        <v>505</v>
      </c>
      <c r="H196" s="32" t="s">
        <v>373</v>
      </c>
      <c r="I196" s="33" t="s">
        <v>506</v>
      </c>
      <c r="J196" s="42">
        <v>2</v>
      </c>
      <c r="K196" s="43">
        <v>0</v>
      </c>
      <c r="L196" s="43">
        <v>4</v>
      </c>
      <c r="M196" s="43">
        <v>0</v>
      </c>
      <c r="N196" s="43">
        <v>0</v>
      </c>
      <c r="O196" s="43">
        <v>2</v>
      </c>
      <c r="P196" s="52">
        <v>0</v>
      </c>
      <c r="Q196" s="42">
        <v>0</v>
      </c>
      <c r="R196" s="43">
        <v>44</v>
      </c>
      <c r="S196" s="44">
        <v>0</v>
      </c>
      <c r="T196" s="45">
        <f t="shared" si="12"/>
        <v>134</v>
      </c>
      <c r="U196" s="46">
        <v>0</v>
      </c>
      <c r="V196" s="47">
        <f t="shared" si="13"/>
        <v>0</v>
      </c>
      <c r="W196" s="47">
        <f t="shared" si="14"/>
        <v>115</v>
      </c>
      <c r="X196" s="48">
        <f t="shared" si="15"/>
        <v>0</v>
      </c>
      <c r="Y196" s="49">
        <f t="shared" si="16"/>
        <v>249</v>
      </c>
      <c r="Z196" s="50">
        <f t="shared" si="17"/>
        <v>249</v>
      </c>
    </row>
    <row r="197" spans="1:26" x14ac:dyDescent="0.25">
      <c r="A197" s="29" t="s">
        <v>357</v>
      </c>
      <c r="B197" s="29" t="s">
        <v>226</v>
      </c>
      <c r="C197" s="29" t="s">
        <v>507</v>
      </c>
      <c r="D197" s="29">
        <v>42156548</v>
      </c>
      <c r="E197" s="32" t="s">
        <v>508</v>
      </c>
      <c r="F197" s="29">
        <v>36088978</v>
      </c>
      <c r="G197" s="32" t="s">
        <v>509</v>
      </c>
      <c r="H197" s="32" t="s">
        <v>433</v>
      </c>
      <c r="I197" s="33" t="s">
        <v>510</v>
      </c>
      <c r="J197" s="42">
        <v>3</v>
      </c>
      <c r="K197" s="43">
        <v>0</v>
      </c>
      <c r="L197" s="43">
        <v>14</v>
      </c>
      <c r="M197" s="43">
        <v>0</v>
      </c>
      <c r="N197" s="43">
        <v>1</v>
      </c>
      <c r="O197" s="43">
        <v>2</v>
      </c>
      <c r="P197" s="52">
        <v>1</v>
      </c>
      <c r="Q197" s="42">
        <v>24</v>
      </c>
      <c r="R197" s="43">
        <v>53</v>
      </c>
      <c r="S197" s="44">
        <v>56</v>
      </c>
      <c r="T197" s="45">
        <f t="shared" ref="T197:T260" si="18">$T$1*L197</f>
        <v>469</v>
      </c>
      <c r="U197" s="46">
        <v>34</v>
      </c>
      <c r="V197" s="47">
        <f t="shared" si="13"/>
        <v>49.5</v>
      </c>
      <c r="W197" s="47">
        <f t="shared" si="14"/>
        <v>133</v>
      </c>
      <c r="X197" s="48">
        <f t="shared" si="15"/>
        <v>111</v>
      </c>
      <c r="Y197" s="49">
        <f t="shared" si="16"/>
        <v>796.5</v>
      </c>
      <c r="Z197" s="50">
        <f t="shared" si="17"/>
        <v>797</v>
      </c>
    </row>
    <row r="198" spans="1:26" x14ac:dyDescent="0.25">
      <c r="A198" s="29" t="s">
        <v>357</v>
      </c>
      <c r="B198" s="29" t="s">
        <v>226</v>
      </c>
      <c r="C198" s="29" t="s">
        <v>511</v>
      </c>
      <c r="D198" s="29">
        <v>36271390</v>
      </c>
      <c r="E198" s="32" t="s">
        <v>512</v>
      </c>
      <c r="F198" s="29">
        <v>686484</v>
      </c>
      <c r="G198" s="32" t="s">
        <v>513</v>
      </c>
      <c r="H198" s="32" t="s">
        <v>219</v>
      </c>
      <c r="I198" s="33" t="s">
        <v>514</v>
      </c>
      <c r="J198" s="42">
        <v>16</v>
      </c>
      <c r="K198" s="43">
        <v>0</v>
      </c>
      <c r="L198" s="43">
        <v>59</v>
      </c>
      <c r="M198" s="43">
        <v>0</v>
      </c>
      <c r="N198" s="43">
        <v>2</v>
      </c>
      <c r="O198" s="43">
        <v>25</v>
      </c>
      <c r="P198" s="52">
        <v>2</v>
      </c>
      <c r="Q198" s="42">
        <v>29</v>
      </c>
      <c r="R198" s="43">
        <v>370</v>
      </c>
      <c r="S198" s="44">
        <v>87</v>
      </c>
      <c r="T198" s="45">
        <f t="shared" si="18"/>
        <v>1976.5</v>
      </c>
      <c r="U198" s="46">
        <v>377</v>
      </c>
      <c r="V198" s="47">
        <f t="shared" ref="V198:V261" si="19">$U$1*N198+$V$1*Q198</f>
        <v>70.5</v>
      </c>
      <c r="W198" s="47">
        <f t="shared" ref="W198:W261" si="20">$U$1*O198+$W$1*R198</f>
        <v>1077.5</v>
      </c>
      <c r="X198" s="48">
        <f t="shared" ref="X198:X261" si="21">$X$1*P198+$V$1*S198</f>
        <v>184.5</v>
      </c>
      <c r="Y198" s="49">
        <f t="shared" ref="Y198:Y261" si="22">T198+U198+V198+W198+X198</f>
        <v>3686</v>
      </c>
      <c r="Z198" s="50">
        <f t="shared" ref="Z198:Z261" si="23">ROUND(Y198,0)</f>
        <v>3686</v>
      </c>
    </row>
    <row r="199" spans="1:26" x14ac:dyDescent="0.25">
      <c r="A199" s="29" t="s">
        <v>357</v>
      </c>
      <c r="B199" s="29" t="s">
        <v>226</v>
      </c>
      <c r="C199" s="29" t="s">
        <v>515</v>
      </c>
      <c r="D199" s="29">
        <v>44867379</v>
      </c>
      <c r="E199" s="32" t="s">
        <v>516</v>
      </c>
      <c r="F199" s="29">
        <v>42297605</v>
      </c>
      <c r="G199" s="32" t="s">
        <v>517</v>
      </c>
      <c r="H199" s="32" t="s">
        <v>219</v>
      </c>
      <c r="I199" s="33" t="s">
        <v>518</v>
      </c>
      <c r="J199" s="42">
        <v>5</v>
      </c>
      <c r="K199" s="43">
        <v>0</v>
      </c>
      <c r="L199" s="43">
        <v>6</v>
      </c>
      <c r="M199" s="43">
        <v>0</v>
      </c>
      <c r="N199" s="43">
        <v>4</v>
      </c>
      <c r="O199" s="43">
        <v>1</v>
      </c>
      <c r="P199" s="52">
        <v>0</v>
      </c>
      <c r="Q199" s="42">
        <v>26</v>
      </c>
      <c r="R199" s="43">
        <v>19</v>
      </c>
      <c r="S199" s="44">
        <v>0</v>
      </c>
      <c r="T199" s="45">
        <f t="shared" si="18"/>
        <v>201</v>
      </c>
      <c r="U199" s="46">
        <v>0</v>
      </c>
      <c r="V199" s="47">
        <f t="shared" si="19"/>
        <v>93</v>
      </c>
      <c r="W199" s="47">
        <f t="shared" si="20"/>
        <v>51.5</v>
      </c>
      <c r="X199" s="48">
        <f t="shared" si="21"/>
        <v>0</v>
      </c>
      <c r="Y199" s="49">
        <f t="shared" si="22"/>
        <v>345.5</v>
      </c>
      <c r="Z199" s="50">
        <f t="shared" si="23"/>
        <v>346</v>
      </c>
    </row>
    <row r="200" spans="1:26" x14ac:dyDescent="0.25">
      <c r="A200" s="29" t="s">
        <v>357</v>
      </c>
      <c r="B200" s="29" t="s">
        <v>226</v>
      </c>
      <c r="C200" s="29" t="s">
        <v>519</v>
      </c>
      <c r="D200" s="29">
        <v>42159873</v>
      </c>
      <c r="E200" s="32" t="s">
        <v>520</v>
      </c>
      <c r="F200" s="29">
        <v>37849948</v>
      </c>
      <c r="G200" s="32" t="s">
        <v>521</v>
      </c>
      <c r="H200" s="32" t="s">
        <v>219</v>
      </c>
      <c r="I200" s="33" t="s">
        <v>522</v>
      </c>
      <c r="J200" s="42">
        <v>2</v>
      </c>
      <c r="K200" s="43">
        <v>0</v>
      </c>
      <c r="L200" s="43">
        <v>6</v>
      </c>
      <c r="M200" s="43">
        <v>0</v>
      </c>
      <c r="N200" s="43">
        <v>1</v>
      </c>
      <c r="O200" s="43">
        <v>2</v>
      </c>
      <c r="P200" s="52">
        <v>1</v>
      </c>
      <c r="Q200" s="42">
        <v>8</v>
      </c>
      <c r="R200" s="43">
        <v>41</v>
      </c>
      <c r="S200" s="44">
        <v>0</v>
      </c>
      <c r="T200" s="45">
        <f t="shared" si="18"/>
        <v>201</v>
      </c>
      <c r="U200" s="46">
        <v>0</v>
      </c>
      <c r="V200" s="47">
        <f t="shared" si="19"/>
        <v>25.5</v>
      </c>
      <c r="W200" s="47">
        <f t="shared" si="20"/>
        <v>109</v>
      </c>
      <c r="X200" s="48">
        <f t="shared" si="21"/>
        <v>27</v>
      </c>
      <c r="Y200" s="49">
        <f t="shared" si="22"/>
        <v>362.5</v>
      </c>
      <c r="Z200" s="50">
        <f t="shared" si="23"/>
        <v>363</v>
      </c>
    </row>
    <row r="201" spans="1:26" x14ac:dyDescent="0.25">
      <c r="A201" s="65" t="s">
        <v>357</v>
      </c>
      <c r="B201" s="66" t="s">
        <v>177</v>
      </c>
      <c r="C201" s="67" t="s">
        <v>523</v>
      </c>
      <c r="D201" s="67">
        <v>306177</v>
      </c>
      <c r="E201" s="68" t="s">
        <v>524</v>
      </c>
      <c r="F201" s="69">
        <v>36094218</v>
      </c>
      <c r="G201" s="68" t="s">
        <v>525</v>
      </c>
      <c r="H201" s="68" t="s">
        <v>364</v>
      </c>
      <c r="I201" s="70" t="s">
        <v>526</v>
      </c>
      <c r="J201" s="54">
        <v>3</v>
      </c>
      <c r="K201" s="55">
        <v>0</v>
      </c>
      <c r="L201" s="55">
        <v>7</v>
      </c>
      <c r="M201" s="55">
        <v>0</v>
      </c>
      <c r="N201" s="55">
        <v>0</v>
      </c>
      <c r="O201" s="55">
        <v>7</v>
      </c>
      <c r="P201" s="57">
        <v>0</v>
      </c>
      <c r="Q201" s="54">
        <v>0</v>
      </c>
      <c r="R201" s="55">
        <v>96</v>
      </c>
      <c r="S201" s="57">
        <v>0</v>
      </c>
      <c r="T201" s="45">
        <f t="shared" si="18"/>
        <v>234.5</v>
      </c>
      <c r="U201" s="46">
        <v>0</v>
      </c>
      <c r="V201" s="47">
        <f t="shared" si="19"/>
        <v>0</v>
      </c>
      <c r="W201" s="47">
        <f t="shared" si="20"/>
        <v>286.5</v>
      </c>
      <c r="X201" s="48">
        <f t="shared" si="21"/>
        <v>0</v>
      </c>
      <c r="Y201" s="49">
        <f t="shared" si="22"/>
        <v>521</v>
      </c>
      <c r="Z201" s="50">
        <f t="shared" si="23"/>
        <v>521</v>
      </c>
    </row>
    <row r="202" spans="1:26" x14ac:dyDescent="0.25">
      <c r="A202" s="29" t="s">
        <v>357</v>
      </c>
      <c r="B202" s="59">
        <v>0</v>
      </c>
      <c r="C202" s="71" t="s">
        <v>527</v>
      </c>
      <c r="D202" s="59">
        <v>305383</v>
      </c>
      <c r="E202" s="32" t="s">
        <v>528</v>
      </c>
      <c r="F202" s="72">
        <v>36081078</v>
      </c>
      <c r="G202" s="32" t="s">
        <v>529</v>
      </c>
      <c r="H202" s="32" t="s">
        <v>360</v>
      </c>
      <c r="I202" s="33" t="s">
        <v>530</v>
      </c>
      <c r="J202" s="54">
        <v>3</v>
      </c>
      <c r="K202" s="55">
        <v>0</v>
      </c>
      <c r="L202" s="55">
        <v>7</v>
      </c>
      <c r="M202" s="55">
        <v>0</v>
      </c>
      <c r="N202" s="55">
        <v>0</v>
      </c>
      <c r="O202" s="55">
        <v>6</v>
      </c>
      <c r="P202" s="57">
        <v>0</v>
      </c>
      <c r="Q202" s="54">
        <v>0</v>
      </c>
      <c r="R202" s="55">
        <v>28</v>
      </c>
      <c r="S202" s="57">
        <v>0</v>
      </c>
      <c r="T202" s="45">
        <f t="shared" si="18"/>
        <v>234.5</v>
      </c>
      <c r="U202" s="46">
        <v>0</v>
      </c>
      <c r="V202" s="47">
        <f t="shared" si="19"/>
        <v>0</v>
      </c>
      <c r="W202" s="47">
        <f t="shared" si="20"/>
        <v>137</v>
      </c>
      <c r="X202" s="48">
        <f t="shared" si="21"/>
        <v>0</v>
      </c>
      <c r="Y202" s="49">
        <f t="shared" si="22"/>
        <v>371.5</v>
      </c>
      <c r="Z202" s="50">
        <f t="shared" si="23"/>
        <v>372</v>
      </c>
    </row>
    <row r="203" spans="1:26" x14ac:dyDescent="0.25">
      <c r="A203" s="29" t="s">
        <v>531</v>
      </c>
      <c r="B203" s="29" t="s">
        <v>43</v>
      </c>
      <c r="C203" s="29" t="s">
        <v>532</v>
      </c>
      <c r="D203" s="30">
        <v>54130450</v>
      </c>
      <c r="E203" s="31" t="s">
        <v>533</v>
      </c>
      <c r="F203" s="29">
        <v>50459350</v>
      </c>
      <c r="G203" s="32" t="s">
        <v>52</v>
      </c>
      <c r="H203" s="32" t="s">
        <v>534</v>
      </c>
      <c r="I203" s="33" t="s">
        <v>535</v>
      </c>
      <c r="J203" s="42">
        <f>VLOOKUP($F$203,[4]Hárok1!$F$200:$S$256,5,0)</f>
        <v>0</v>
      </c>
      <c r="K203" s="43">
        <f>VLOOKUP($F$203,[4]Hárok1!$F$200:$S$256,6,0)</f>
        <v>0</v>
      </c>
      <c r="L203" s="43">
        <f>VLOOKUP($F$203,[4]Hárok1!$F$200:$S$256,7,0)</f>
        <v>0</v>
      </c>
      <c r="M203" s="43">
        <f>VLOOKUP($F$203,[4]Hárok1!$F$200:$S$256,8,0)</f>
        <v>0</v>
      </c>
      <c r="N203" s="43">
        <f>VLOOKUP($F$203,[4]Hárok1!$F$200:$S$256,9,0)</f>
        <v>0</v>
      </c>
      <c r="O203" s="43">
        <f>VLOOKUP($F$203,[4]Hárok1!$F$200:$S$256,10,0)</f>
        <v>0</v>
      </c>
      <c r="P203" s="44">
        <f>VLOOKUP($F$203,[4]Hárok1!$F$200:$S$256,11,0)</f>
        <v>0</v>
      </c>
      <c r="Q203" s="42">
        <f>VLOOKUP($F$203,[4]Hárok1!$F$200:$S$256,12,0)</f>
        <v>0</v>
      </c>
      <c r="R203" s="43">
        <f>VLOOKUP($F$203,[4]Hárok1!$F$200:$S$256,13,0)</f>
        <v>0</v>
      </c>
      <c r="S203" s="44">
        <f>VLOOKUP($F$203,[4]Hárok1!$F$200:$S$256,14,0)</f>
        <v>0</v>
      </c>
      <c r="T203" s="45">
        <f t="shared" si="18"/>
        <v>0</v>
      </c>
      <c r="U203" s="46">
        <f>VLOOKUP(F203,[4]Hárok1!$F$200:$U$256,16,0)</f>
        <v>0</v>
      </c>
      <c r="V203" s="47">
        <f t="shared" si="19"/>
        <v>0</v>
      </c>
      <c r="W203" s="47">
        <f t="shared" si="20"/>
        <v>0</v>
      </c>
      <c r="X203" s="48">
        <f t="shared" si="21"/>
        <v>0</v>
      </c>
      <c r="Y203" s="49">
        <f t="shared" si="22"/>
        <v>0</v>
      </c>
      <c r="Z203" s="50">
        <f t="shared" si="23"/>
        <v>0</v>
      </c>
    </row>
    <row r="204" spans="1:26" x14ac:dyDescent="0.25">
      <c r="A204" s="29" t="s">
        <v>531</v>
      </c>
      <c r="B204" s="29" t="s">
        <v>43</v>
      </c>
      <c r="C204" s="29" t="s">
        <v>532</v>
      </c>
      <c r="D204" s="30">
        <v>54130450</v>
      </c>
      <c r="E204" s="31" t="s">
        <v>533</v>
      </c>
      <c r="F204" s="29">
        <v>162922</v>
      </c>
      <c r="G204" s="32" t="s">
        <v>536</v>
      </c>
      <c r="H204" s="32" t="s">
        <v>537</v>
      </c>
      <c r="I204" s="33" t="s">
        <v>538</v>
      </c>
      <c r="J204" s="42">
        <f>VLOOKUP(F204,[4]Hárok1!$F$200:$S$256,5,0)</f>
        <v>0</v>
      </c>
      <c r="K204" s="43">
        <f>VLOOKUP(F204,[4]Hárok1!$F$200:$S$256,6,0)</f>
        <v>0</v>
      </c>
      <c r="L204" s="43">
        <f>VLOOKUP(F204,[4]Hárok1!$F$200:$S$256,7,0)</f>
        <v>0</v>
      </c>
      <c r="M204" s="43">
        <f>VLOOKUP(F204,[4]Hárok1!$F$200:$S$256,8,0)</f>
        <v>0</v>
      </c>
      <c r="N204" s="43">
        <f>VLOOKUP(F204,[4]Hárok1!$F$200:$S$256,9,0)</f>
        <v>0</v>
      </c>
      <c r="O204" s="43">
        <f>VLOOKUP(F204,[4]Hárok1!$F$200:$S$256,10,0)</f>
        <v>0</v>
      </c>
      <c r="P204" s="44">
        <f>VLOOKUP(F204,[4]Hárok1!$F$200:$S$256,11,0)</f>
        <v>0</v>
      </c>
      <c r="Q204" s="42">
        <f>VLOOKUP(F204,[4]Hárok1!$F$200:$S$256,12,0)</f>
        <v>0</v>
      </c>
      <c r="R204" s="43">
        <f>VLOOKUP(F204,[4]Hárok1!$F$200:$S$256,13,0)</f>
        <v>0</v>
      </c>
      <c r="S204" s="44">
        <f>VLOOKUP(F204,[4]Hárok1!$F$200:$S$256,14,0)</f>
        <v>0</v>
      </c>
      <c r="T204" s="45">
        <f t="shared" si="18"/>
        <v>0</v>
      </c>
      <c r="U204" s="46">
        <f>VLOOKUP(F204,[4]Hárok1!$F$200:$U$256,16,0)</f>
        <v>0</v>
      </c>
      <c r="V204" s="47">
        <f t="shared" si="19"/>
        <v>0</v>
      </c>
      <c r="W204" s="47">
        <f t="shared" si="20"/>
        <v>0</v>
      </c>
      <c r="X204" s="48">
        <f t="shared" si="21"/>
        <v>0</v>
      </c>
      <c r="Y204" s="49">
        <f t="shared" si="22"/>
        <v>0</v>
      </c>
      <c r="Z204" s="50">
        <f t="shared" si="23"/>
        <v>0</v>
      </c>
    </row>
    <row r="205" spans="1:26" x14ac:dyDescent="0.25">
      <c r="A205" s="29" t="s">
        <v>531</v>
      </c>
      <c r="B205" s="29" t="s">
        <v>43</v>
      </c>
      <c r="C205" s="29" t="s">
        <v>532</v>
      </c>
      <c r="D205" s="30">
        <v>54130450</v>
      </c>
      <c r="E205" s="31" t="s">
        <v>533</v>
      </c>
      <c r="F205" s="29">
        <v>50457462</v>
      </c>
      <c r="G205" s="32" t="s">
        <v>52</v>
      </c>
      <c r="H205" s="32" t="s">
        <v>539</v>
      </c>
      <c r="I205" s="33" t="s">
        <v>540</v>
      </c>
      <c r="J205" s="42">
        <f>VLOOKUP(F205,[4]Hárok1!$F$200:$S$256,5,0)</f>
        <v>0</v>
      </c>
      <c r="K205" s="43">
        <f>VLOOKUP(F205,[4]Hárok1!$F$200:$S$256,6,0)</f>
        <v>0</v>
      </c>
      <c r="L205" s="43">
        <f>VLOOKUP(F205,[4]Hárok1!$F$200:$S$256,7,0)</f>
        <v>0</v>
      </c>
      <c r="M205" s="43">
        <f>VLOOKUP(F205,[4]Hárok1!$F$200:$S$256,8,0)</f>
        <v>0</v>
      </c>
      <c r="N205" s="43">
        <f>VLOOKUP(F205,[4]Hárok1!$F$200:$S$256,9,0)</f>
        <v>0</v>
      </c>
      <c r="O205" s="43">
        <f>VLOOKUP(F205,[4]Hárok1!$F$200:$S$256,10,0)</f>
        <v>0</v>
      </c>
      <c r="P205" s="44">
        <f>VLOOKUP(F205,[4]Hárok1!$F$200:$S$256,11,0)</f>
        <v>0</v>
      </c>
      <c r="Q205" s="42">
        <f>VLOOKUP(F205,[4]Hárok1!$F$200:$S$256,12,0)</f>
        <v>0</v>
      </c>
      <c r="R205" s="43">
        <f>VLOOKUP(F205,[4]Hárok1!$F$200:$S$256,13,0)</f>
        <v>0</v>
      </c>
      <c r="S205" s="44">
        <f>VLOOKUP(F205,[4]Hárok1!$F$200:$S$256,14,0)</f>
        <v>0</v>
      </c>
      <c r="T205" s="45">
        <f t="shared" si="18"/>
        <v>0</v>
      </c>
      <c r="U205" s="46">
        <f>VLOOKUP(F205,[4]Hárok1!$F$200:$U$256,16,0)</f>
        <v>0</v>
      </c>
      <c r="V205" s="47">
        <f t="shared" si="19"/>
        <v>0</v>
      </c>
      <c r="W205" s="47">
        <f t="shared" si="20"/>
        <v>0</v>
      </c>
      <c r="X205" s="48">
        <f t="shared" si="21"/>
        <v>0</v>
      </c>
      <c r="Y205" s="49">
        <f t="shared" si="22"/>
        <v>0</v>
      </c>
      <c r="Z205" s="50">
        <f t="shared" si="23"/>
        <v>0</v>
      </c>
    </row>
    <row r="206" spans="1:26" x14ac:dyDescent="0.25">
      <c r="A206" s="51" t="s">
        <v>531</v>
      </c>
      <c r="B206" s="51" t="s">
        <v>43</v>
      </c>
      <c r="C206" s="51" t="s">
        <v>532</v>
      </c>
      <c r="D206" s="51">
        <v>54130450</v>
      </c>
      <c r="E206" s="32" t="s">
        <v>533</v>
      </c>
      <c r="F206" s="51">
        <v>37918869</v>
      </c>
      <c r="G206" s="32" t="s">
        <v>541</v>
      </c>
      <c r="H206" s="32" t="s">
        <v>542</v>
      </c>
      <c r="I206" s="33" t="s">
        <v>543</v>
      </c>
      <c r="J206" s="42">
        <f>VLOOKUP(F206,[4]Hárok1!$F$200:$S$256,5,0)</f>
        <v>0</v>
      </c>
      <c r="K206" s="43">
        <f>VLOOKUP(F206,[4]Hárok1!$F$200:$S$256,6,0)</f>
        <v>0</v>
      </c>
      <c r="L206" s="43">
        <f>VLOOKUP(F206,[4]Hárok1!$F$200:$S$256,7,0)</f>
        <v>3</v>
      </c>
      <c r="M206" s="43">
        <f>VLOOKUP(F206,[4]Hárok1!$F$200:$S$256,8,0)</f>
        <v>0</v>
      </c>
      <c r="N206" s="43">
        <f>VLOOKUP(F206,[4]Hárok1!$F$200:$S$256,9,0)</f>
        <v>0</v>
      </c>
      <c r="O206" s="43">
        <f>VLOOKUP(F206,[4]Hárok1!$F$200:$S$256,10,0)</f>
        <v>3</v>
      </c>
      <c r="P206" s="44">
        <f>VLOOKUP(F206,[4]Hárok1!$F$200:$S$256,11,0)</f>
        <v>0</v>
      </c>
      <c r="Q206" s="42">
        <f>VLOOKUP(F206,[4]Hárok1!$F$200:$S$256,12,0)</f>
        <v>0</v>
      </c>
      <c r="R206" s="43">
        <f>VLOOKUP(F206,[4]Hárok1!$F$200:$S$256,13,0)</f>
        <v>40</v>
      </c>
      <c r="S206" s="44">
        <f>VLOOKUP(F206,[4]Hárok1!$F$200:$S$256,14,0)</f>
        <v>0</v>
      </c>
      <c r="T206" s="45">
        <f t="shared" si="18"/>
        <v>100.5</v>
      </c>
      <c r="U206" s="46">
        <f>VLOOKUP(F206,[4]Hárok1!$F$200:$U$256,16,0)</f>
        <v>16</v>
      </c>
      <c r="V206" s="47">
        <f t="shared" si="19"/>
        <v>0</v>
      </c>
      <c r="W206" s="47">
        <f t="shared" si="20"/>
        <v>120.5</v>
      </c>
      <c r="X206" s="48">
        <f t="shared" si="21"/>
        <v>0</v>
      </c>
      <c r="Y206" s="49">
        <f t="shared" si="22"/>
        <v>237</v>
      </c>
      <c r="Z206" s="50">
        <f t="shared" si="23"/>
        <v>237</v>
      </c>
    </row>
    <row r="207" spans="1:26" x14ac:dyDescent="0.25">
      <c r="A207" s="29" t="s">
        <v>531</v>
      </c>
      <c r="B207" s="29" t="s">
        <v>43</v>
      </c>
      <c r="C207" s="29" t="s">
        <v>532</v>
      </c>
      <c r="D207" s="30">
        <v>54130450</v>
      </c>
      <c r="E207" s="31" t="s">
        <v>533</v>
      </c>
      <c r="F207" s="29">
        <v>50457471</v>
      </c>
      <c r="G207" s="32" t="s">
        <v>52</v>
      </c>
      <c r="H207" s="32" t="s">
        <v>542</v>
      </c>
      <c r="I207" s="33" t="s">
        <v>544</v>
      </c>
      <c r="J207" s="42">
        <f>VLOOKUP(F207,[4]Hárok1!$F$200:$S$256,5,0)</f>
        <v>0</v>
      </c>
      <c r="K207" s="43">
        <f>VLOOKUP(F207,[4]Hárok1!$F$200:$S$256,6,0)</f>
        <v>0</v>
      </c>
      <c r="L207" s="43">
        <f>VLOOKUP(F207,[4]Hárok1!$F$200:$S$256,7,0)</f>
        <v>0</v>
      </c>
      <c r="M207" s="43">
        <f>VLOOKUP(F207,[4]Hárok1!$F$200:$S$256,8,0)</f>
        <v>0</v>
      </c>
      <c r="N207" s="43">
        <f>VLOOKUP(F207,[4]Hárok1!$F$200:$S$256,9,0)</f>
        <v>0</v>
      </c>
      <c r="O207" s="43">
        <f>VLOOKUP(F207,[4]Hárok1!$F$200:$S$256,10,0)</f>
        <v>0</v>
      </c>
      <c r="P207" s="44">
        <f>VLOOKUP(F207,[4]Hárok1!$F$200:$S$256,11,0)</f>
        <v>0</v>
      </c>
      <c r="Q207" s="42">
        <f>VLOOKUP(F207,[4]Hárok1!$F$200:$S$256,12,0)</f>
        <v>0</v>
      </c>
      <c r="R207" s="43">
        <f>VLOOKUP(F207,[4]Hárok1!$F$200:$S$256,13,0)</f>
        <v>0</v>
      </c>
      <c r="S207" s="44">
        <f>VLOOKUP(F207,[4]Hárok1!$F$200:$S$256,14,0)</f>
        <v>0</v>
      </c>
      <c r="T207" s="45">
        <f t="shared" si="18"/>
        <v>0</v>
      </c>
      <c r="U207" s="46">
        <f>VLOOKUP(F207,[4]Hárok1!$F$200:$U$256,16,0)</f>
        <v>0</v>
      </c>
      <c r="V207" s="47">
        <f t="shared" si="19"/>
        <v>0</v>
      </c>
      <c r="W207" s="47">
        <f t="shared" si="20"/>
        <v>0</v>
      </c>
      <c r="X207" s="48">
        <f t="shared" si="21"/>
        <v>0</v>
      </c>
      <c r="Y207" s="49">
        <f t="shared" si="22"/>
        <v>0</v>
      </c>
      <c r="Z207" s="50">
        <f t="shared" si="23"/>
        <v>0</v>
      </c>
    </row>
    <row r="208" spans="1:26" x14ac:dyDescent="0.25">
      <c r="A208" s="29" t="s">
        <v>531</v>
      </c>
      <c r="B208" s="29" t="s">
        <v>43</v>
      </c>
      <c r="C208" s="29" t="s">
        <v>532</v>
      </c>
      <c r="D208" s="30">
        <v>54130450</v>
      </c>
      <c r="E208" s="31" t="s">
        <v>533</v>
      </c>
      <c r="F208" s="29">
        <v>31116175</v>
      </c>
      <c r="G208" s="32" t="s">
        <v>52</v>
      </c>
      <c r="H208" s="32" t="s">
        <v>501</v>
      </c>
      <c r="I208" s="33" t="s">
        <v>545</v>
      </c>
      <c r="J208" s="42">
        <f>VLOOKUP(F208,[4]Hárok1!$F$200:$S$256,5,0)</f>
        <v>0</v>
      </c>
      <c r="K208" s="43">
        <f>VLOOKUP(F208,[4]Hárok1!$F$200:$S$256,6,0)</f>
        <v>0</v>
      </c>
      <c r="L208" s="43">
        <f>VLOOKUP(F208,[4]Hárok1!$F$200:$S$256,7,0)</f>
        <v>0</v>
      </c>
      <c r="M208" s="43">
        <f>VLOOKUP(F208,[4]Hárok1!$F$200:$S$256,8,0)</f>
        <v>0</v>
      </c>
      <c r="N208" s="43">
        <f>VLOOKUP(F208,[4]Hárok1!$F$200:$S$256,9,0)</f>
        <v>0</v>
      </c>
      <c r="O208" s="43">
        <f>VLOOKUP(F208,[4]Hárok1!$F$200:$S$256,10,0)</f>
        <v>0</v>
      </c>
      <c r="P208" s="44">
        <f>VLOOKUP(F208,[4]Hárok1!$F$200:$S$256,11,0)</f>
        <v>0</v>
      </c>
      <c r="Q208" s="42">
        <f>VLOOKUP(F208,[4]Hárok1!$F$200:$S$256,12,0)</f>
        <v>0</v>
      </c>
      <c r="R208" s="43">
        <f>VLOOKUP(F208,[4]Hárok1!$F$200:$S$256,13,0)</f>
        <v>0</v>
      </c>
      <c r="S208" s="44">
        <f>VLOOKUP(F208,[4]Hárok1!$F$200:$S$256,14,0)</f>
        <v>0</v>
      </c>
      <c r="T208" s="45">
        <f t="shared" si="18"/>
        <v>0</v>
      </c>
      <c r="U208" s="46">
        <f>VLOOKUP(F208,[4]Hárok1!$F$200:$U$256,16,0)</f>
        <v>0</v>
      </c>
      <c r="V208" s="47">
        <f t="shared" si="19"/>
        <v>0</v>
      </c>
      <c r="W208" s="47">
        <f t="shared" si="20"/>
        <v>0</v>
      </c>
      <c r="X208" s="48">
        <f t="shared" si="21"/>
        <v>0</v>
      </c>
      <c r="Y208" s="49">
        <f t="shared" si="22"/>
        <v>0</v>
      </c>
      <c r="Z208" s="50">
        <f t="shared" si="23"/>
        <v>0</v>
      </c>
    </row>
    <row r="209" spans="1:26" x14ac:dyDescent="0.25">
      <c r="A209" s="29" t="s">
        <v>531</v>
      </c>
      <c r="B209" s="29" t="s">
        <v>43</v>
      </c>
      <c r="C209" s="29" t="s">
        <v>532</v>
      </c>
      <c r="D209" s="30">
        <v>54130450</v>
      </c>
      <c r="E209" s="31" t="s">
        <v>533</v>
      </c>
      <c r="F209" s="29">
        <v>163325</v>
      </c>
      <c r="G209" s="32" t="s">
        <v>70</v>
      </c>
      <c r="H209" s="32" t="s">
        <v>546</v>
      </c>
      <c r="I209" s="33" t="s">
        <v>547</v>
      </c>
      <c r="J209" s="42">
        <f>VLOOKUP(F209,[4]Hárok1!$F$200:$S$256,5,0)</f>
        <v>0</v>
      </c>
      <c r="K209" s="43">
        <f>VLOOKUP(F209,[4]Hárok1!$F$200:$S$256,6,0)</f>
        <v>0</v>
      </c>
      <c r="L209" s="43">
        <f>VLOOKUP(F209,[4]Hárok1!$F$200:$S$256,7,0)</f>
        <v>0</v>
      </c>
      <c r="M209" s="43">
        <f>VLOOKUP(F209,[4]Hárok1!$F$200:$S$256,8,0)</f>
        <v>0</v>
      </c>
      <c r="N209" s="43">
        <f>VLOOKUP(F209,[4]Hárok1!$F$200:$S$256,9,0)</f>
        <v>0</v>
      </c>
      <c r="O209" s="43">
        <f>VLOOKUP(F209,[4]Hárok1!$F$200:$S$256,10,0)</f>
        <v>0</v>
      </c>
      <c r="P209" s="44">
        <f>VLOOKUP(F209,[4]Hárok1!$F$200:$S$256,11,0)</f>
        <v>0</v>
      </c>
      <c r="Q209" s="42">
        <f>VLOOKUP(F209,[4]Hárok1!$F$200:$S$256,12,0)</f>
        <v>0</v>
      </c>
      <c r="R209" s="43">
        <f>VLOOKUP(F209,[4]Hárok1!$F$200:$S$256,13,0)</f>
        <v>0</v>
      </c>
      <c r="S209" s="44">
        <f>VLOOKUP(F209,[4]Hárok1!$F$200:$S$256,14,0)</f>
        <v>0</v>
      </c>
      <c r="T209" s="45">
        <f t="shared" si="18"/>
        <v>0</v>
      </c>
      <c r="U209" s="46">
        <f>VLOOKUP(F209,[4]Hárok1!$F$200:$U$256,16,0)</f>
        <v>0</v>
      </c>
      <c r="V209" s="47">
        <f t="shared" si="19"/>
        <v>0</v>
      </c>
      <c r="W209" s="47">
        <f t="shared" si="20"/>
        <v>0</v>
      </c>
      <c r="X209" s="48">
        <f t="shared" si="21"/>
        <v>0</v>
      </c>
      <c r="Y209" s="49">
        <f t="shared" si="22"/>
        <v>0</v>
      </c>
      <c r="Z209" s="50">
        <f t="shared" si="23"/>
        <v>0</v>
      </c>
    </row>
    <row r="210" spans="1:26" x14ac:dyDescent="0.25">
      <c r="A210" s="29" t="s">
        <v>531</v>
      </c>
      <c r="B210" s="29" t="s">
        <v>43</v>
      </c>
      <c r="C210" s="29" t="s">
        <v>532</v>
      </c>
      <c r="D210" s="30">
        <v>54130450</v>
      </c>
      <c r="E210" s="31" t="s">
        <v>533</v>
      </c>
      <c r="F210" s="29">
        <v>35667800</v>
      </c>
      <c r="G210" s="32" t="s">
        <v>548</v>
      </c>
      <c r="H210" s="32" t="s">
        <v>549</v>
      </c>
      <c r="I210" s="33" t="s">
        <v>550</v>
      </c>
      <c r="J210" s="42">
        <f>VLOOKUP(F210,[4]Hárok1!$F$200:$S$256,5,0)</f>
        <v>0</v>
      </c>
      <c r="K210" s="43">
        <f>VLOOKUP(F210,[4]Hárok1!$F$200:$S$256,6,0)</f>
        <v>0</v>
      </c>
      <c r="L210" s="43">
        <f>VLOOKUP(F210,[4]Hárok1!$F$200:$S$256,7,0)</f>
        <v>0</v>
      </c>
      <c r="M210" s="43">
        <f>VLOOKUP(F210,[4]Hárok1!$F$200:$S$256,8,0)</f>
        <v>0</v>
      </c>
      <c r="N210" s="43">
        <f>VLOOKUP(F210,[4]Hárok1!$F$200:$S$256,9,0)</f>
        <v>0</v>
      </c>
      <c r="O210" s="43">
        <f>VLOOKUP(F210,[4]Hárok1!$F$200:$S$256,10,0)</f>
        <v>0</v>
      </c>
      <c r="P210" s="44">
        <f>VLOOKUP(F210,[4]Hárok1!$F$200:$S$256,11,0)</f>
        <v>0</v>
      </c>
      <c r="Q210" s="42">
        <f>VLOOKUP(F210,[4]Hárok1!$F$200:$S$256,12,0)</f>
        <v>0</v>
      </c>
      <c r="R210" s="43">
        <f>VLOOKUP(F210,[4]Hárok1!$F$200:$S$256,13,0)</f>
        <v>0</v>
      </c>
      <c r="S210" s="44">
        <f>VLOOKUP(F210,[4]Hárok1!$F$200:$S$256,14,0)</f>
        <v>0</v>
      </c>
      <c r="T210" s="45">
        <f t="shared" si="18"/>
        <v>0</v>
      </c>
      <c r="U210" s="46">
        <f>VLOOKUP(F210,[4]Hárok1!$F$200:$U$256,16,0)</f>
        <v>0</v>
      </c>
      <c r="V210" s="47">
        <f t="shared" si="19"/>
        <v>0</v>
      </c>
      <c r="W210" s="47">
        <f t="shared" si="20"/>
        <v>0</v>
      </c>
      <c r="X210" s="48">
        <f t="shared" si="21"/>
        <v>0</v>
      </c>
      <c r="Y210" s="49">
        <f t="shared" si="22"/>
        <v>0</v>
      </c>
      <c r="Z210" s="50">
        <f t="shared" si="23"/>
        <v>0</v>
      </c>
    </row>
    <row r="211" spans="1:26" x14ac:dyDescent="0.25">
      <c r="A211" s="29" t="s">
        <v>531</v>
      </c>
      <c r="B211" s="29" t="s">
        <v>43</v>
      </c>
      <c r="C211" s="29" t="s">
        <v>532</v>
      </c>
      <c r="D211" s="30">
        <v>54130450</v>
      </c>
      <c r="E211" s="31" t="s">
        <v>533</v>
      </c>
      <c r="F211" s="29">
        <v>31116183</v>
      </c>
      <c r="G211" s="32" t="s">
        <v>64</v>
      </c>
      <c r="H211" s="32" t="s">
        <v>549</v>
      </c>
      <c r="I211" s="33" t="s">
        <v>551</v>
      </c>
      <c r="J211" s="42">
        <f>VLOOKUP(F211,[4]Hárok1!$F$200:$S$256,5,0)</f>
        <v>0</v>
      </c>
      <c r="K211" s="43">
        <f>VLOOKUP(F211,[4]Hárok1!$F$200:$S$256,6,0)</f>
        <v>0</v>
      </c>
      <c r="L211" s="43">
        <f>VLOOKUP(F211,[4]Hárok1!$F$200:$S$256,7,0)</f>
        <v>0</v>
      </c>
      <c r="M211" s="43">
        <f>VLOOKUP(F211,[4]Hárok1!$F$200:$S$256,8,0)</f>
        <v>0</v>
      </c>
      <c r="N211" s="43">
        <f>VLOOKUP(F211,[4]Hárok1!$F$200:$S$256,9,0)</f>
        <v>0</v>
      </c>
      <c r="O211" s="43">
        <f>VLOOKUP(F211,[4]Hárok1!$F$200:$S$256,10,0)</f>
        <v>0</v>
      </c>
      <c r="P211" s="44">
        <f>VLOOKUP(F211,[4]Hárok1!$F$200:$S$256,11,0)</f>
        <v>0</v>
      </c>
      <c r="Q211" s="42">
        <f>VLOOKUP(F211,[4]Hárok1!$F$200:$S$256,12,0)</f>
        <v>0</v>
      </c>
      <c r="R211" s="43">
        <f>VLOOKUP(F211,[4]Hárok1!$F$200:$S$256,13,0)</f>
        <v>0</v>
      </c>
      <c r="S211" s="44">
        <f>VLOOKUP(F211,[4]Hárok1!$F$200:$S$256,14,0)</f>
        <v>0</v>
      </c>
      <c r="T211" s="45">
        <f t="shared" si="18"/>
        <v>0</v>
      </c>
      <c r="U211" s="46">
        <f>VLOOKUP(F211,[4]Hárok1!$F$200:$U$256,16,0)</f>
        <v>0</v>
      </c>
      <c r="V211" s="47">
        <f t="shared" si="19"/>
        <v>0</v>
      </c>
      <c r="W211" s="47">
        <f t="shared" si="20"/>
        <v>0</v>
      </c>
      <c r="X211" s="48">
        <f t="shared" si="21"/>
        <v>0</v>
      </c>
      <c r="Y211" s="49">
        <f t="shared" si="22"/>
        <v>0</v>
      </c>
      <c r="Z211" s="50">
        <f t="shared" si="23"/>
        <v>0</v>
      </c>
    </row>
    <row r="212" spans="1:26" x14ac:dyDescent="0.25">
      <c r="A212" s="29" t="s">
        <v>531</v>
      </c>
      <c r="B212" s="29" t="s">
        <v>43</v>
      </c>
      <c r="C212" s="29" t="s">
        <v>532</v>
      </c>
      <c r="D212" s="30">
        <v>54130450</v>
      </c>
      <c r="E212" s="31" t="s">
        <v>533</v>
      </c>
      <c r="F212" s="29">
        <v>34058991</v>
      </c>
      <c r="G212" s="32" t="s">
        <v>52</v>
      </c>
      <c r="H212" s="32" t="s">
        <v>552</v>
      </c>
      <c r="I212" s="33" t="s">
        <v>553</v>
      </c>
      <c r="J212" s="42">
        <f>VLOOKUP(F212,[4]Hárok1!$F$200:$S$256,5,0)</f>
        <v>0</v>
      </c>
      <c r="K212" s="43">
        <f>VLOOKUP(F212,[4]Hárok1!$F$200:$S$256,6,0)</f>
        <v>0</v>
      </c>
      <c r="L212" s="43">
        <f>VLOOKUP(F212,[4]Hárok1!$F$200:$S$256,7,0)</f>
        <v>0</v>
      </c>
      <c r="M212" s="43">
        <f>VLOOKUP(F212,[4]Hárok1!$F$200:$S$256,8,0)</f>
        <v>0</v>
      </c>
      <c r="N212" s="43">
        <f>VLOOKUP(F212,[4]Hárok1!$F$200:$S$256,9,0)</f>
        <v>0</v>
      </c>
      <c r="O212" s="43">
        <f>VLOOKUP(F212,[4]Hárok1!$F$200:$S$256,10,0)</f>
        <v>0</v>
      </c>
      <c r="P212" s="44">
        <f>VLOOKUP(F212,[4]Hárok1!$F$200:$S$256,11,0)</f>
        <v>0</v>
      </c>
      <c r="Q212" s="42">
        <f>VLOOKUP(F212,[4]Hárok1!$F$200:$S$256,12,0)</f>
        <v>0</v>
      </c>
      <c r="R212" s="43">
        <f>VLOOKUP(F212,[4]Hárok1!$F$200:$S$256,13,0)</f>
        <v>0</v>
      </c>
      <c r="S212" s="44">
        <f>VLOOKUP(F212,[4]Hárok1!$F$200:$S$256,14,0)</f>
        <v>0</v>
      </c>
      <c r="T212" s="45">
        <f t="shared" si="18"/>
        <v>0</v>
      </c>
      <c r="U212" s="46">
        <f>VLOOKUP(F212,[4]Hárok1!$F$200:$U$256,16,0)</f>
        <v>0</v>
      </c>
      <c r="V212" s="47">
        <f t="shared" si="19"/>
        <v>0</v>
      </c>
      <c r="W212" s="47">
        <f t="shared" si="20"/>
        <v>0</v>
      </c>
      <c r="X212" s="48">
        <f t="shared" si="21"/>
        <v>0</v>
      </c>
      <c r="Y212" s="49">
        <f t="shared" si="22"/>
        <v>0</v>
      </c>
      <c r="Z212" s="50">
        <f t="shared" si="23"/>
        <v>0</v>
      </c>
    </row>
    <row r="213" spans="1:26" x14ac:dyDescent="0.25">
      <c r="A213" s="29" t="s">
        <v>531</v>
      </c>
      <c r="B213" s="29" t="s">
        <v>43</v>
      </c>
      <c r="C213" s="29" t="s">
        <v>532</v>
      </c>
      <c r="D213" s="30">
        <v>54130450</v>
      </c>
      <c r="E213" s="31" t="s">
        <v>533</v>
      </c>
      <c r="F213" s="29">
        <v>493562</v>
      </c>
      <c r="G213" s="32" t="s">
        <v>52</v>
      </c>
      <c r="H213" s="32" t="s">
        <v>554</v>
      </c>
      <c r="I213" s="33" t="s">
        <v>555</v>
      </c>
      <c r="J213" s="42">
        <f>VLOOKUP(F213,[4]Hárok1!$F$200:$S$256,5,0)</f>
        <v>0</v>
      </c>
      <c r="K213" s="43">
        <f>VLOOKUP(F213,[4]Hárok1!$F$200:$S$256,6,0)</f>
        <v>0</v>
      </c>
      <c r="L213" s="43">
        <f>VLOOKUP(F213,[4]Hárok1!$F$200:$S$256,7,0)</f>
        <v>0</v>
      </c>
      <c r="M213" s="43">
        <f>VLOOKUP(F213,[4]Hárok1!$F$200:$S$256,8,0)</f>
        <v>0</v>
      </c>
      <c r="N213" s="43">
        <f>VLOOKUP(F213,[4]Hárok1!$F$200:$S$256,9,0)</f>
        <v>0</v>
      </c>
      <c r="O213" s="43">
        <f>VLOOKUP(F213,[4]Hárok1!$F$200:$S$256,10,0)</f>
        <v>0</v>
      </c>
      <c r="P213" s="44">
        <f>VLOOKUP(F213,[4]Hárok1!$F$200:$S$256,11,0)</f>
        <v>0</v>
      </c>
      <c r="Q213" s="42">
        <f>VLOOKUP(F213,[4]Hárok1!$F$200:$S$256,12,0)</f>
        <v>0</v>
      </c>
      <c r="R213" s="43">
        <f>VLOOKUP(F213,[4]Hárok1!$F$200:$S$256,13,0)</f>
        <v>0</v>
      </c>
      <c r="S213" s="44">
        <f>VLOOKUP(F213,[4]Hárok1!$F$200:$S$256,14,0)</f>
        <v>0</v>
      </c>
      <c r="T213" s="45">
        <f t="shared" si="18"/>
        <v>0</v>
      </c>
      <c r="U213" s="46">
        <f>VLOOKUP(F213,[4]Hárok1!$F$200:$U$256,16,0)</f>
        <v>0</v>
      </c>
      <c r="V213" s="47">
        <f t="shared" si="19"/>
        <v>0</v>
      </c>
      <c r="W213" s="47">
        <f t="shared" si="20"/>
        <v>0</v>
      </c>
      <c r="X213" s="48">
        <f t="shared" si="21"/>
        <v>0</v>
      </c>
      <c r="Y213" s="49">
        <f t="shared" si="22"/>
        <v>0</v>
      </c>
      <c r="Z213" s="50">
        <f t="shared" si="23"/>
        <v>0</v>
      </c>
    </row>
    <row r="214" spans="1:26" x14ac:dyDescent="0.25">
      <c r="A214" s="51" t="s">
        <v>531</v>
      </c>
      <c r="B214" s="51" t="s">
        <v>43</v>
      </c>
      <c r="C214" s="51" t="s">
        <v>532</v>
      </c>
      <c r="D214" s="30">
        <v>54130450</v>
      </c>
      <c r="E214" s="31" t="s">
        <v>533</v>
      </c>
      <c r="F214" s="51">
        <v>182451</v>
      </c>
      <c r="G214" s="32" t="s">
        <v>64</v>
      </c>
      <c r="H214" s="32" t="s">
        <v>556</v>
      </c>
      <c r="I214" s="33" t="s">
        <v>557</v>
      </c>
      <c r="J214" s="42">
        <f>VLOOKUP(F214,[4]Hárok1!$F$200:$S$256,5,0)</f>
        <v>0</v>
      </c>
      <c r="K214" s="43">
        <f>VLOOKUP(F214,[4]Hárok1!$F$200:$S$256,6,0)</f>
        <v>0</v>
      </c>
      <c r="L214" s="43">
        <f>VLOOKUP(F214,[4]Hárok1!$F$200:$S$256,7,0)</f>
        <v>0</v>
      </c>
      <c r="M214" s="43">
        <f>VLOOKUP(F214,[4]Hárok1!$F$200:$S$256,8,0)</f>
        <v>0</v>
      </c>
      <c r="N214" s="43">
        <f>VLOOKUP(F214,[4]Hárok1!$F$200:$S$256,9,0)</f>
        <v>0</v>
      </c>
      <c r="O214" s="43">
        <f>VLOOKUP(F214,[4]Hárok1!$F$200:$S$256,10,0)</f>
        <v>0</v>
      </c>
      <c r="P214" s="44">
        <f>VLOOKUP(F214,[4]Hárok1!$F$200:$S$256,11,0)</f>
        <v>0</v>
      </c>
      <c r="Q214" s="42">
        <f>VLOOKUP(F214,[4]Hárok1!$F$200:$S$256,12,0)</f>
        <v>0</v>
      </c>
      <c r="R214" s="43">
        <f>VLOOKUP(F214,[4]Hárok1!$F$200:$S$256,13,0)</f>
        <v>0</v>
      </c>
      <c r="S214" s="44">
        <f>VLOOKUP(F214,[4]Hárok1!$F$200:$S$256,14,0)</f>
        <v>0</v>
      </c>
      <c r="T214" s="45">
        <f t="shared" si="18"/>
        <v>0</v>
      </c>
      <c r="U214" s="46">
        <f>VLOOKUP(F214,[4]Hárok1!$F$200:$U$256,16,0)</f>
        <v>0</v>
      </c>
      <c r="V214" s="47">
        <f t="shared" si="19"/>
        <v>0</v>
      </c>
      <c r="W214" s="47">
        <f t="shared" si="20"/>
        <v>0</v>
      </c>
      <c r="X214" s="48">
        <f t="shared" si="21"/>
        <v>0</v>
      </c>
      <c r="Y214" s="49">
        <f t="shared" si="22"/>
        <v>0</v>
      </c>
      <c r="Z214" s="50">
        <f t="shared" si="23"/>
        <v>0</v>
      </c>
    </row>
    <row r="215" spans="1:26" x14ac:dyDescent="0.25">
      <c r="A215" s="29" t="s">
        <v>531</v>
      </c>
      <c r="B215" s="29" t="s">
        <v>43</v>
      </c>
      <c r="C215" s="29" t="s">
        <v>532</v>
      </c>
      <c r="D215" s="30">
        <v>54130450</v>
      </c>
      <c r="E215" s="31" t="s">
        <v>533</v>
      </c>
      <c r="F215" s="29">
        <v>17055202</v>
      </c>
      <c r="G215" s="32" t="s">
        <v>104</v>
      </c>
      <c r="H215" s="32" t="s">
        <v>556</v>
      </c>
      <c r="I215" s="33" t="s">
        <v>558</v>
      </c>
      <c r="J215" s="42">
        <f>VLOOKUP(F215,[4]Hárok1!$F$200:$S$256,5,0)</f>
        <v>0</v>
      </c>
      <c r="K215" s="43">
        <f>VLOOKUP(F215,[4]Hárok1!$F$200:$S$256,6,0)</f>
        <v>0</v>
      </c>
      <c r="L215" s="43">
        <f>VLOOKUP(F215,[4]Hárok1!$F$200:$S$256,7,0)</f>
        <v>34</v>
      </c>
      <c r="M215" s="43">
        <f>VLOOKUP(F215,[4]Hárok1!$F$200:$S$256,8,0)</f>
        <v>0</v>
      </c>
      <c r="N215" s="43">
        <f>VLOOKUP(F215,[4]Hárok1!$F$200:$S$256,9,0)</f>
        <v>1</v>
      </c>
      <c r="O215" s="43">
        <f>VLOOKUP(F215,[4]Hárok1!$F$200:$S$256,10,0)</f>
        <v>7</v>
      </c>
      <c r="P215" s="44">
        <f>VLOOKUP(F215,[4]Hárok1!$F$200:$S$256,11,0)</f>
        <v>2</v>
      </c>
      <c r="Q215" s="42">
        <f>VLOOKUP(F215,[4]Hárok1!$F$200:$S$256,12,0)</f>
        <v>18</v>
      </c>
      <c r="R215" s="43">
        <f>VLOOKUP(F215,[4]Hárok1!$F$200:$S$256,13,0)</f>
        <v>133</v>
      </c>
      <c r="S215" s="44">
        <f>VLOOKUP(F215,[4]Hárok1!$F$200:$S$256,14,0)</f>
        <v>91</v>
      </c>
      <c r="T215" s="45">
        <f t="shared" si="18"/>
        <v>1139</v>
      </c>
      <c r="U215" s="46">
        <f>VLOOKUP(F215,[4]Hárok1!$F$200:$U$256,16,0)</f>
        <v>0</v>
      </c>
      <c r="V215" s="47">
        <f t="shared" si="19"/>
        <v>40.5</v>
      </c>
      <c r="W215" s="47">
        <f t="shared" si="20"/>
        <v>360.5</v>
      </c>
      <c r="X215" s="48">
        <f t="shared" si="21"/>
        <v>190.5</v>
      </c>
      <c r="Y215" s="49">
        <f t="shared" si="22"/>
        <v>1730.5</v>
      </c>
      <c r="Z215" s="50">
        <f t="shared" si="23"/>
        <v>1731</v>
      </c>
    </row>
    <row r="216" spans="1:26" x14ac:dyDescent="0.25">
      <c r="A216" s="29" t="s">
        <v>531</v>
      </c>
      <c r="B216" s="29" t="s">
        <v>43</v>
      </c>
      <c r="C216" s="29" t="s">
        <v>532</v>
      </c>
      <c r="D216" s="30">
        <v>54130450</v>
      </c>
      <c r="E216" s="31" t="s">
        <v>533</v>
      </c>
      <c r="F216" s="29">
        <v>17638593</v>
      </c>
      <c r="G216" s="32" t="s">
        <v>559</v>
      </c>
      <c r="H216" s="32" t="s">
        <v>556</v>
      </c>
      <c r="I216" s="33" t="s">
        <v>560</v>
      </c>
      <c r="J216" s="42">
        <f>VLOOKUP(F216,[4]Hárok1!$F$200:$S$256,5,0)</f>
        <v>0</v>
      </c>
      <c r="K216" s="43">
        <f>VLOOKUP(F216,[4]Hárok1!$F$200:$S$256,6,0)</f>
        <v>0</v>
      </c>
      <c r="L216" s="43">
        <f>VLOOKUP(F216,[4]Hárok1!$F$200:$S$256,7,0)</f>
        <v>19</v>
      </c>
      <c r="M216" s="43">
        <f>VLOOKUP(F216,[4]Hárok1!$F$200:$S$256,8,0)</f>
        <v>0</v>
      </c>
      <c r="N216" s="43">
        <f>VLOOKUP(F216,[4]Hárok1!$F$200:$S$256,9,0)</f>
        <v>0</v>
      </c>
      <c r="O216" s="43">
        <f>VLOOKUP(F216,[4]Hárok1!$F$200:$S$256,10,0)</f>
        <v>10</v>
      </c>
      <c r="P216" s="44">
        <f>VLOOKUP(F216,[4]Hárok1!$F$200:$S$256,11,0)</f>
        <v>0</v>
      </c>
      <c r="Q216" s="42">
        <f>VLOOKUP(F216,[4]Hárok1!$F$200:$S$256,12,0)</f>
        <v>0</v>
      </c>
      <c r="R216" s="43">
        <f>VLOOKUP(F216,[4]Hárok1!$F$200:$S$256,13,0)</f>
        <v>155</v>
      </c>
      <c r="S216" s="44">
        <f>VLOOKUP(F216,[4]Hárok1!$F$200:$S$256,14,0)</f>
        <v>0</v>
      </c>
      <c r="T216" s="45">
        <f t="shared" si="18"/>
        <v>636.5</v>
      </c>
      <c r="U216" s="46">
        <f>VLOOKUP(F216,[4]Hárok1!$F$200:$U$256,16,0)</f>
        <v>160</v>
      </c>
      <c r="V216" s="47">
        <f t="shared" si="19"/>
        <v>0</v>
      </c>
      <c r="W216" s="47">
        <f t="shared" si="20"/>
        <v>445</v>
      </c>
      <c r="X216" s="48">
        <f t="shared" si="21"/>
        <v>0</v>
      </c>
      <c r="Y216" s="49">
        <f t="shared" si="22"/>
        <v>1241.5</v>
      </c>
      <c r="Z216" s="50">
        <f t="shared" si="23"/>
        <v>1242</v>
      </c>
    </row>
    <row r="217" spans="1:26" x14ac:dyDescent="0.25">
      <c r="A217" s="73" t="s">
        <v>531</v>
      </c>
      <c r="B217" s="73" t="s">
        <v>43</v>
      </c>
      <c r="C217" s="73" t="s">
        <v>532</v>
      </c>
      <c r="D217" s="74">
        <v>54130450</v>
      </c>
      <c r="E217" s="75" t="s">
        <v>561</v>
      </c>
      <c r="F217" s="73">
        <v>34058915</v>
      </c>
      <c r="G217" s="76" t="s">
        <v>562</v>
      </c>
      <c r="H217" s="76" t="s">
        <v>563</v>
      </c>
      <c r="I217" s="77" t="s">
        <v>564</v>
      </c>
      <c r="J217" s="42">
        <v>0</v>
      </c>
      <c r="K217" s="43">
        <v>0</v>
      </c>
      <c r="L217" s="43">
        <v>2</v>
      </c>
      <c r="M217" s="43">
        <v>0</v>
      </c>
      <c r="N217" s="43">
        <v>0</v>
      </c>
      <c r="O217" s="43">
        <v>4</v>
      </c>
      <c r="P217" s="44">
        <v>0</v>
      </c>
      <c r="Q217" s="42">
        <v>0</v>
      </c>
      <c r="R217" s="43">
        <v>14</v>
      </c>
      <c r="S217" s="44">
        <v>0</v>
      </c>
      <c r="T217" s="45">
        <f t="shared" si="18"/>
        <v>67</v>
      </c>
      <c r="U217" s="46">
        <v>22.6</v>
      </c>
      <c r="V217" s="47">
        <f t="shared" si="19"/>
        <v>0</v>
      </c>
      <c r="W217" s="47">
        <f t="shared" si="20"/>
        <v>82</v>
      </c>
      <c r="X217" s="48">
        <f t="shared" si="21"/>
        <v>0</v>
      </c>
      <c r="Y217" s="49">
        <f t="shared" si="22"/>
        <v>171.6</v>
      </c>
      <c r="Z217" s="50">
        <f t="shared" si="23"/>
        <v>172</v>
      </c>
    </row>
    <row r="218" spans="1:26" x14ac:dyDescent="0.25">
      <c r="A218" s="29" t="s">
        <v>531</v>
      </c>
      <c r="B218" s="29" t="s">
        <v>79</v>
      </c>
      <c r="C218" s="29" t="s">
        <v>565</v>
      </c>
      <c r="D218" s="30">
        <v>36126624</v>
      </c>
      <c r="E218" s="31" t="s">
        <v>566</v>
      </c>
      <c r="F218" s="29">
        <v>17050227</v>
      </c>
      <c r="G218" s="32" t="s">
        <v>567</v>
      </c>
      <c r="H218" s="32" t="s">
        <v>568</v>
      </c>
      <c r="I218" s="33" t="s">
        <v>569</v>
      </c>
      <c r="J218" s="42">
        <f>VLOOKUP(F218,[4]Hárok1!$F$200:$S$256,5,0)</f>
        <v>14</v>
      </c>
      <c r="K218" s="43">
        <f>VLOOKUP(F218,[4]Hárok1!$F$200:$S$256,6,0)</f>
        <v>0</v>
      </c>
      <c r="L218" s="43">
        <f>VLOOKUP(F218,[4]Hárok1!$F$200:$S$256,7,0)</f>
        <v>50</v>
      </c>
      <c r="M218" s="43">
        <f>VLOOKUP(F218,[4]Hárok1!$F$200:$S$256,8,0)</f>
        <v>0</v>
      </c>
      <c r="N218" s="43">
        <f>VLOOKUP(F218,[4]Hárok1!$F$200:$S$256,9,0)</f>
        <v>0</v>
      </c>
      <c r="O218" s="43">
        <f>VLOOKUP(F218,[4]Hárok1!$F$200:$S$256,10,0)</f>
        <v>16</v>
      </c>
      <c r="P218" s="44">
        <f>VLOOKUP(F218,[4]Hárok1!$F$200:$S$256,11,0)</f>
        <v>2</v>
      </c>
      <c r="Q218" s="42">
        <f>VLOOKUP(F218,[4]Hárok1!$F$200:$S$256,12,0)</f>
        <v>0</v>
      </c>
      <c r="R218" s="43">
        <f>VLOOKUP(F218,[4]Hárok1!$F$200:$S$256,13,0)</f>
        <v>308</v>
      </c>
      <c r="S218" s="44">
        <f>VLOOKUP(F218,[4]Hárok1!$F$200:$S$256,14,0)</f>
        <v>137</v>
      </c>
      <c r="T218" s="45">
        <f t="shared" si="18"/>
        <v>1675</v>
      </c>
      <c r="U218" s="46">
        <f>VLOOKUP(F218,[4]Hárok1!$F$200:$U$256,16,0)</f>
        <v>393.26</v>
      </c>
      <c r="V218" s="47">
        <f t="shared" si="19"/>
        <v>0</v>
      </c>
      <c r="W218" s="47">
        <f t="shared" si="20"/>
        <v>832</v>
      </c>
      <c r="X218" s="48">
        <f t="shared" si="21"/>
        <v>259.5</v>
      </c>
      <c r="Y218" s="49">
        <f t="shared" si="22"/>
        <v>3159.76</v>
      </c>
      <c r="Z218" s="50">
        <f t="shared" si="23"/>
        <v>3160</v>
      </c>
    </row>
    <row r="219" spans="1:26" x14ac:dyDescent="0.25">
      <c r="A219" s="29" t="s">
        <v>531</v>
      </c>
      <c r="B219" s="29" t="s">
        <v>79</v>
      </c>
      <c r="C219" s="29" t="s">
        <v>565</v>
      </c>
      <c r="D219" s="30">
        <v>36126624</v>
      </c>
      <c r="E219" s="31" t="s">
        <v>566</v>
      </c>
      <c r="F219" s="29">
        <v>37922459</v>
      </c>
      <c r="G219" s="32" t="s">
        <v>435</v>
      </c>
      <c r="H219" s="32" t="s">
        <v>568</v>
      </c>
      <c r="I219" s="33" t="s">
        <v>570</v>
      </c>
      <c r="J219" s="42">
        <f>VLOOKUP(F219,[4]Hárok1!$F$200:$S$256,5,0)</f>
        <v>12</v>
      </c>
      <c r="K219" s="43">
        <f>VLOOKUP(F219,[4]Hárok1!$F$200:$S$256,6,0)</f>
        <v>0</v>
      </c>
      <c r="L219" s="43">
        <f>VLOOKUP(F219,[4]Hárok1!$F$200:$S$256,7,0)</f>
        <v>50</v>
      </c>
      <c r="M219" s="43">
        <f>VLOOKUP(F219,[4]Hárok1!$F$200:$S$256,8,0)</f>
        <v>0</v>
      </c>
      <c r="N219" s="43">
        <f>VLOOKUP(F219,[4]Hárok1!$F$200:$S$256,9,0)</f>
        <v>0</v>
      </c>
      <c r="O219" s="43">
        <f>VLOOKUP(F219,[4]Hárok1!$F$200:$S$256,10,0)</f>
        <v>23</v>
      </c>
      <c r="P219" s="44">
        <f>VLOOKUP(F219,[4]Hárok1!$F$200:$S$256,11,0)</f>
        <v>2</v>
      </c>
      <c r="Q219" s="42">
        <f>VLOOKUP(F219,[4]Hárok1!$F$200:$S$256,12,0)</f>
        <v>0</v>
      </c>
      <c r="R219" s="43">
        <f>VLOOKUP(F219,[4]Hárok1!$F$200:$S$256,13,0)</f>
        <v>375</v>
      </c>
      <c r="S219" s="44">
        <f>VLOOKUP(F219,[4]Hárok1!$F$200:$S$256,14,0)</f>
        <v>88</v>
      </c>
      <c r="T219" s="45">
        <f t="shared" si="18"/>
        <v>1675</v>
      </c>
      <c r="U219" s="46">
        <f>VLOOKUP(F219,[4]Hárok1!$F$200:$U$256,16,0)</f>
        <v>290.77999999999997</v>
      </c>
      <c r="V219" s="47">
        <f t="shared" si="19"/>
        <v>0</v>
      </c>
      <c r="W219" s="47">
        <f t="shared" si="20"/>
        <v>1060.5</v>
      </c>
      <c r="X219" s="48">
        <f t="shared" si="21"/>
        <v>186</v>
      </c>
      <c r="Y219" s="49">
        <f t="shared" si="22"/>
        <v>3212.2799999999997</v>
      </c>
      <c r="Z219" s="50">
        <f t="shared" si="23"/>
        <v>3212</v>
      </c>
    </row>
    <row r="220" spans="1:26" x14ac:dyDescent="0.25">
      <c r="A220" s="29" t="s">
        <v>531</v>
      </c>
      <c r="B220" s="29" t="s">
        <v>79</v>
      </c>
      <c r="C220" s="29" t="s">
        <v>565</v>
      </c>
      <c r="D220" s="30">
        <v>36126624</v>
      </c>
      <c r="E220" s="31" t="s">
        <v>566</v>
      </c>
      <c r="F220" s="29">
        <v>160628</v>
      </c>
      <c r="G220" s="32" t="s">
        <v>49</v>
      </c>
      <c r="H220" s="32" t="s">
        <v>534</v>
      </c>
      <c r="I220" s="33" t="s">
        <v>571</v>
      </c>
      <c r="J220" s="42">
        <f>VLOOKUP(F220,[4]Hárok1!$F$200:$S$256,5,0)</f>
        <v>19</v>
      </c>
      <c r="K220" s="43">
        <f>VLOOKUP(F220,[4]Hárok1!$F$200:$S$256,6,0)</f>
        <v>0</v>
      </c>
      <c r="L220" s="43">
        <f>VLOOKUP(F220,[4]Hárok1!$F$200:$S$256,7,0)</f>
        <v>79</v>
      </c>
      <c r="M220" s="43">
        <f>VLOOKUP(F220,[4]Hárok1!$F$200:$S$256,8,0)</f>
        <v>0</v>
      </c>
      <c r="N220" s="43">
        <f>VLOOKUP(F220,[4]Hárok1!$F$200:$S$256,9,0)</f>
        <v>2</v>
      </c>
      <c r="O220" s="43">
        <f>VLOOKUP(F220,[4]Hárok1!$F$200:$S$256,10,0)</f>
        <v>24</v>
      </c>
      <c r="P220" s="44">
        <f>VLOOKUP(F220,[4]Hárok1!$F$200:$S$256,11,0)</f>
        <v>3</v>
      </c>
      <c r="Q220" s="42">
        <f>VLOOKUP(F220,[4]Hárok1!$F$200:$S$256,12,0)</f>
        <v>27</v>
      </c>
      <c r="R220" s="43">
        <f>VLOOKUP(F220,[4]Hárok1!$F$200:$S$256,13,0)</f>
        <v>559</v>
      </c>
      <c r="S220" s="44">
        <f>VLOOKUP(F220,[4]Hárok1!$F$200:$S$256,14,0)</f>
        <v>226</v>
      </c>
      <c r="T220" s="45">
        <f t="shared" si="18"/>
        <v>2646.5</v>
      </c>
      <c r="U220" s="46">
        <f>VLOOKUP(F220,[4]Hárok1!$F$200:$U$256,16,0)</f>
        <v>76.88</v>
      </c>
      <c r="V220" s="47">
        <f t="shared" si="19"/>
        <v>67.5</v>
      </c>
      <c r="W220" s="47">
        <f t="shared" si="20"/>
        <v>1442</v>
      </c>
      <c r="X220" s="48">
        <f t="shared" si="21"/>
        <v>420</v>
      </c>
      <c r="Y220" s="49">
        <f t="shared" si="22"/>
        <v>4652.88</v>
      </c>
      <c r="Z220" s="50">
        <f t="shared" si="23"/>
        <v>4653</v>
      </c>
    </row>
    <row r="221" spans="1:26" x14ac:dyDescent="0.25">
      <c r="A221" s="29" t="s">
        <v>531</v>
      </c>
      <c r="B221" s="29" t="s">
        <v>79</v>
      </c>
      <c r="C221" s="29" t="s">
        <v>565</v>
      </c>
      <c r="D221" s="30">
        <v>36126624</v>
      </c>
      <c r="E221" s="31" t="s">
        <v>566</v>
      </c>
      <c r="F221" s="29">
        <v>42026393</v>
      </c>
      <c r="G221" s="32" t="s">
        <v>154</v>
      </c>
      <c r="H221" s="32" t="s">
        <v>534</v>
      </c>
      <c r="I221" s="33" t="s">
        <v>572</v>
      </c>
      <c r="J221" s="42">
        <f>VLOOKUP(F221,[4]Hárok1!$F$200:$S$256,5,0)</f>
        <v>17</v>
      </c>
      <c r="K221" s="43">
        <f>VLOOKUP(F221,[4]Hárok1!$F$200:$S$256,6,0)</f>
        <v>0</v>
      </c>
      <c r="L221" s="43">
        <f>VLOOKUP(F221,[4]Hárok1!$F$200:$S$256,7,0)</f>
        <v>88</v>
      </c>
      <c r="M221" s="43">
        <f>VLOOKUP(F221,[4]Hárok1!$F$200:$S$256,8,0)</f>
        <v>0</v>
      </c>
      <c r="N221" s="43">
        <f>VLOOKUP(F221,[4]Hárok1!$F$200:$S$256,9,0)</f>
        <v>0</v>
      </c>
      <c r="O221" s="43">
        <f>VLOOKUP(F221,[4]Hárok1!$F$200:$S$256,10,0)</f>
        <v>33</v>
      </c>
      <c r="P221" s="44">
        <f>VLOOKUP(F221,[4]Hárok1!$F$200:$S$256,11,0)</f>
        <v>1</v>
      </c>
      <c r="Q221" s="42">
        <f>VLOOKUP(F221,[4]Hárok1!$F$200:$S$256,12,0)</f>
        <v>0</v>
      </c>
      <c r="R221" s="43">
        <f>VLOOKUP(F221,[4]Hárok1!$F$200:$S$256,13,0)</f>
        <v>830</v>
      </c>
      <c r="S221" s="44">
        <f>VLOOKUP(F221,[4]Hárok1!$F$200:$S$256,14,0)</f>
        <v>72</v>
      </c>
      <c r="T221" s="45">
        <f t="shared" si="18"/>
        <v>2948</v>
      </c>
      <c r="U221" s="46">
        <f>VLOOKUP(F221,[4]Hárok1!$F$200:$U$256,16,0)</f>
        <v>601.79999999999995</v>
      </c>
      <c r="V221" s="47">
        <f t="shared" si="19"/>
        <v>0</v>
      </c>
      <c r="W221" s="47">
        <f t="shared" si="20"/>
        <v>2105.5</v>
      </c>
      <c r="X221" s="48">
        <f t="shared" si="21"/>
        <v>135</v>
      </c>
      <c r="Y221" s="49">
        <f t="shared" si="22"/>
        <v>5790.3</v>
      </c>
      <c r="Z221" s="50">
        <f t="shared" si="23"/>
        <v>5790</v>
      </c>
    </row>
    <row r="222" spans="1:26" x14ac:dyDescent="0.25">
      <c r="A222" s="29" t="s">
        <v>531</v>
      </c>
      <c r="B222" s="29" t="s">
        <v>79</v>
      </c>
      <c r="C222" s="29" t="s">
        <v>565</v>
      </c>
      <c r="D222" s="30">
        <v>36126624</v>
      </c>
      <c r="E222" s="31" t="s">
        <v>566</v>
      </c>
      <c r="F222" s="29">
        <v>161586</v>
      </c>
      <c r="G222" s="32" t="s">
        <v>573</v>
      </c>
      <c r="H222" s="32" t="s">
        <v>534</v>
      </c>
      <c r="I222" s="33" t="s">
        <v>574</v>
      </c>
      <c r="J222" s="42">
        <f>VLOOKUP(F222,[4]Hárok1!$F$200:$S$256,5,0)</f>
        <v>15</v>
      </c>
      <c r="K222" s="43">
        <f>VLOOKUP(F222,[4]Hárok1!$F$200:$S$256,6,0)</f>
        <v>0</v>
      </c>
      <c r="L222" s="43">
        <f>VLOOKUP(F222,[4]Hárok1!$F$200:$S$256,7,0)</f>
        <v>67</v>
      </c>
      <c r="M222" s="43">
        <f>VLOOKUP(F222,[4]Hárok1!$F$200:$S$256,8,0)</f>
        <v>0</v>
      </c>
      <c r="N222" s="43">
        <f>VLOOKUP(F222,[4]Hárok1!$F$200:$S$256,9,0)</f>
        <v>0</v>
      </c>
      <c r="O222" s="43">
        <f>VLOOKUP(F222,[4]Hárok1!$F$200:$S$256,10,0)</f>
        <v>21</v>
      </c>
      <c r="P222" s="44">
        <f>VLOOKUP(F222,[4]Hárok1!$F$200:$S$256,11,0)</f>
        <v>2</v>
      </c>
      <c r="Q222" s="42">
        <f>VLOOKUP(F222,[4]Hárok1!$F$200:$S$256,12,0)</f>
        <v>0</v>
      </c>
      <c r="R222" s="43">
        <f>VLOOKUP(F222,[4]Hárok1!$F$200:$S$256,13,0)</f>
        <v>357</v>
      </c>
      <c r="S222" s="44">
        <f>VLOOKUP(F222,[4]Hárok1!$F$200:$S$256,14,0)</f>
        <v>132</v>
      </c>
      <c r="T222" s="45">
        <f t="shared" si="18"/>
        <v>2244.5</v>
      </c>
      <c r="U222" s="46">
        <f>VLOOKUP(F222,[4]Hárok1!$F$200:$U$256,16,0)</f>
        <v>59.24</v>
      </c>
      <c r="V222" s="47">
        <f t="shared" si="19"/>
        <v>0</v>
      </c>
      <c r="W222" s="47">
        <f t="shared" si="20"/>
        <v>997.5</v>
      </c>
      <c r="X222" s="48">
        <f t="shared" si="21"/>
        <v>252</v>
      </c>
      <c r="Y222" s="49">
        <f t="shared" si="22"/>
        <v>3553.24</v>
      </c>
      <c r="Z222" s="50">
        <f t="shared" si="23"/>
        <v>3553</v>
      </c>
    </row>
    <row r="223" spans="1:26" x14ac:dyDescent="0.25">
      <c r="A223" s="29" t="s">
        <v>531</v>
      </c>
      <c r="B223" s="29" t="s">
        <v>79</v>
      </c>
      <c r="C223" s="29" t="s">
        <v>565</v>
      </c>
      <c r="D223" s="30">
        <v>36126624</v>
      </c>
      <c r="E223" s="31" t="s">
        <v>566</v>
      </c>
      <c r="F223" s="29">
        <v>159298</v>
      </c>
      <c r="G223" s="32" t="s">
        <v>575</v>
      </c>
      <c r="H223" s="32" t="s">
        <v>576</v>
      </c>
      <c r="I223" s="33" t="s">
        <v>577</v>
      </c>
      <c r="J223" s="42">
        <f>VLOOKUP(F223,[4]Hárok1!$F$200:$S$256,5,0)</f>
        <v>9</v>
      </c>
      <c r="K223" s="43">
        <f>VLOOKUP(F223,[4]Hárok1!$F$200:$S$256,6,0)</f>
        <v>0</v>
      </c>
      <c r="L223" s="43">
        <f>VLOOKUP(F223,[4]Hárok1!$F$200:$S$256,7,0)</f>
        <v>49</v>
      </c>
      <c r="M223" s="43">
        <f>VLOOKUP(F223,[4]Hárok1!$F$200:$S$256,8,0)</f>
        <v>0</v>
      </c>
      <c r="N223" s="43">
        <f>VLOOKUP(F223,[4]Hárok1!$F$200:$S$256,9,0)</f>
        <v>0</v>
      </c>
      <c r="O223" s="43">
        <f>VLOOKUP(F223,[4]Hárok1!$F$200:$S$256,10,0)</f>
        <v>23</v>
      </c>
      <c r="P223" s="44">
        <f>VLOOKUP(F223,[4]Hárok1!$F$200:$S$256,11,0)</f>
        <v>1</v>
      </c>
      <c r="Q223" s="42">
        <f>VLOOKUP(F223,[4]Hárok1!$F$200:$S$256,12,0)</f>
        <v>0</v>
      </c>
      <c r="R223" s="43">
        <f>VLOOKUP(F223,[4]Hárok1!$F$200:$S$256,13,0)</f>
        <v>372</v>
      </c>
      <c r="S223" s="44">
        <f>VLOOKUP(F223,[4]Hárok1!$F$200:$S$256,14,0)</f>
        <v>107</v>
      </c>
      <c r="T223" s="45">
        <f t="shared" si="18"/>
        <v>1641.5</v>
      </c>
      <c r="U223" s="46">
        <f>VLOOKUP(F223,[4]Hárok1!$F$200:$U$256,16,0)</f>
        <v>376.29</v>
      </c>
      <c r="V223" s="47">
        <f t="shared" si="19"/>
        <v>0</v>
      </c>
      <c r="W223" s="47">
        <f t="shared" si="20"/>
        <v>1054.5</v>
      </c>
      <c r="X223" s="48">
        <f t="shared" si="21"/>
        <v>187.5</v>
      </c>
      <c r="Y223" s="49">
        <f t="shared" si="22"/>
        <v>3259.79</v>
      </c>
      <c r="Z223" s="50">
        <f t="shared" si="23"/>
        <v>3260</v>
      </c>
    </row>
    <row r="224" spans="1:26" x14ac:dyDescent="0.25">
      <c r="A224" s="29" t="s">
        <v>531</v>
      </c>
      <c r="B224" s="29" t="s">
        <v>79</v>
      </c>
      <c r="C224" s="29" t="s">
        <v>565</v>
      </c>
      <c r="D224" s="30">
        <v>36126624</v>
      </c>
      <c r="E224" s="31" t="s">
        <v>566</v>
      </c>
      <c r="F224" s="51">
        <v>596680</v>
      </c>
      <c r="G224" s="32" t="s">
        <v>49</v>
      </c>
      <c r="H224" s="32" t="s">
        <v>539</v>
      </c>
      <c r="I224" s="33" t="s">
        <v>578</v>
      </c>
      <c r="J224" s="42">
        <f>VLOOKUP(F224,[4]Hárok1!$F$200:$S$256,5,0)</f>
        <v>11</v>
      </c>
      <c r="K224" s="43">
        <f>VLOOKUP(F224,[4]Hárok1!$F$200:$S$256,6,0)</f>
        <v>0</v>
      </c>
      <c r="L224" s="43">
        <f>VLOOKUP(F224,[4]Hárok1!$F$200:$S$256,7,0)</f>
        <v>43</v>
      </c>
      <c r="M224" s="43">
        <f>VLOOKUP(F224,[4]Hárok1!$F$200:$S$256,8,0)</f>
        <v>0</v>
      </c>
      <c r="N224" s="43">
        <f>VLOOKUP(F224,[4]Hárok1!$F$200:$S$256,9,0)</f>
        <v>2</v>
      </c>
      <c r="O224" s="43">
        <f>VLOOKUP(F224,[4]Hárok1!$F$200:$S$256,10,0)</f>
        <v>12</v>
      </c>
      <c r="P224" s="44">
        <f>VLOOKUP(F224,[4]Hárok1!$F$200:$S$256,11,0)</f>
        <v>2</v>
      </c>
      <c r="Q224" s="42">
        <f>VLOOKUP(F224,[4]Hárok1!$F$200:$S$256,12,0)</f>
        <v>4</v>
      </c>
      <c r="R224" s="43">
        <f>VLOOKUP(F224,[4]Hárok1!$F$200:$S$256,13,0)</f>
        <v>259</v>
      </c>
      <c r="S224" s="44">
        <f>VLOOKUP(F224,[4]Hárok1!$F$200:$S$256,14,0)</f>
        <v>103</v>
      </c>
      <c r="T224" s="45">
        <f t="shared" si="18"/>
        <v>1440.5</v>
      </c>
      <c r="U224" s="46">
        <f>VLOOKUP(F224,[4]Hárok1!$F$200:$U$256,16,0)</f>
        <v>21.05</v>
      </c>
      <c r="V224" s="47">
        <f t="shared" si="19"/>
        <v>33</v>
      </c>
      <c r="W224" s="47">
        <f t="shared" si="20"/>
        <v>680</v>
      </c>
      <c r="X224" s="48">
        <f t="shared" si="21"/>
        <v>208.5</v>
      </c>
      <c r="Y224" s="49">
        <f t="shared" si="22"/>
        <v>2383.0500000000002</v>
      </c>
      <c r="Z224" s="50">
        <f t="shared" si="23"/>
        <v>2383</v>
      </c>
    </row>
    <row r="225" spans="1:26" x14ac:dyDescent="0.25">
      <c r="A225" s="29" t="s">
        <v>531</v>
      </c>
      <c r="B225" s="29" t="s">
        <v>79</v>
      </c>
      <c r="C225" s="29" t="s">
        <v>565</v>
      </c>
      <c r="D225" s="30">
        <v>36126624</v>
      </c>
      <c r="E225" s="31" t="s">
        <v>566</v>
      </c>
      <c r="F225" s="29">
        <v>161381</v>
      </c>
      <c r="G225" s="32" t="s">
        <v>573</v>
      </c>
      <c r="H225" s="32" t="s">
        <v>539</v>
      </c>
      <c r="I225" s="33" t="s">
        <v>579</v>
      </c>
      <c r="J225" s="42">
        <f>VLOOKUP(F225,[4]Hárok1!$F$200:$S$256,5,0)</f>
        <v>10</v>
      </c>
      <c r="K225" s="43">
        <f>VLOOKUP(F225,[4]Hárok1!$F$200:$S$256,6,0)</f>
        <v>0</v>
      </c>
      <c r="L225" s="43">
        <f>VLOOKUP(F225,[4]Hárok1!$F$200:$S$256,7,0)</f>
        <v>42</v>
      </c>
      <c r="M225" s="43">
        <f>VLOOKUP(F225,[4]Hárok1!$F$200:$S$256,8,0)</f>
        <v>0</v>
      </c>
      <c r="N225" s="43">
        <f>VLOOKUP(F225,[4]Hárok1!$F$200:$S$256,9,0)</f>
        <v>1</v>
      </c>
      <c r="O225" s="43">
        <f>VLOOKUP(F225,[4]Hárok1!$F$200:$S$256,10,0)</f>
        <v>21</v>
      </c>
      <c r="P225" s="44">
        <f>VLOOKUP(F225,[4]Hárok1!$F$200:$S$256,11,0)</f>
        <v>2</v>
      </c>
      <c r="Q225" s="42">
        <f>VLOOKUP(F225,[4]Hárok1!$F$200:$S$256,12,0)</f>
        <v>13</v>
      </c>
      <c r="R225" s="43">
        <f>VLOOKUP(F225,[4]Hárok1!$F$200:$S$256,13,0)</f>
        <v>275</v>
      </c>
      <c r="S225" s="44">
        <f>VLOOKUP(F225,[4]Hárok1!$F$200:$S$256,14,0)</f>
        <v>138</v>
      </c>
      <c r="T225" s="45">
        <f t="shared" si="18"/>
        <v>1407</v>
      </c>
      <c r="U225" s="46">
        <f>VLOOKUP(F225,[4]Hárok1!$F$200:$U$256,16,0)</f>
        <v>0</v>
      </c>
      <c r="V225" s="47">
        <f t="shared" si="19"/>
        <v>33</v>
      </c>
      <c r="W225" s="47">
        <f t="shared" si="20"/>
        <v>833.5</v>
      </c>
      <c r="X225" s="48">
        <f t="shared" si="21"/>
        <v>261</v>
      </c>
      <c r="Y225" s="49">
        <f t="shared" si="22"/>
        <v>2534.5</v>
      </c>
      <c r="Z225" s="50">
        <f t="shared" si="23"/>
        <v>2535</v>
      </c>
    </row>
    <row r="226" spans="1:26" x14ac:dyDescent="0.25">
      <c r="A226" s="29" t="s">
        <v>531</v>
      </c>
      <c r="B226" s="29" t="s">
        <v>79</v>
      </c>
      <c r="C226" s="29" t="s">
        <v>565</v>
      </c>
      <c r="D226" s="30">
        <v>36126624</v>
      </c>
      <c r="E226" s="31" t="s">
        <v>566</v>
      </c>
      <c r="F226" s="29">
        <v>160270</v>
      </c>
      <c r="G226" s="32" t="s">
        <v>394</v>
      </c>
      <c r="H226" s="32" t="s">
        <v>542</v>
      </c>
      <c r="I226" s="33" t="s">
        <v>580</v>
      </c>
      <c r="J226" s="42">
        <f>VLOOKUP(F226,[4]Hárok1!$F$200:$S$256,5,0)</f>
        <v>11</v>
      </c>
      <c r="K226" s="43">
        <f>VLOOKUP(F226,[4]Hárok1!$F$200:$S$256,6,0)</f>
        <v>0</v>
      </c>
      <c r="L226" s="43">
        <f>VLOOKUP(F226,[4]Hárok1!$F$200:$S$256,7,0)</f>
        <v>27</v>
      </c>
      <c r="M226" s="43">
        <f>VLOOKUP(F226,[4]Hárok1!$F$200:$S$256,8,0)</f>
        <v>0</v>
      </c>
      <c r="N226" s="43">
        <f>VLOOKUP(F226,[4]Hárok1!$F$200:$S$256,9,0)</f>
        <v>2</v>
      </c>
      <c r="O226" s="43">
        <f>VLOOKUP(F226,[4]Hárok1!$F$200:$S$256,10,0)</f>
        <v>14</v>
      </c>
      <c r="P226" s="44">
        <f>VLOOKUP(F226,[4]Hárok1!$F$200:$S$256,11,0)</f>
        <v>1</v>
      </c>
      <c r="Q226" s="42">
        <f>VLOOKUP(F226,[4]Hárok1!$F$200:$S$256,12,0)</f>
        <v>5</v>
      </c>
      <c r="R226" s="43">
        <f>VLOOKUP(F226,[4]Hárok1!$F$200:$S$256,13,0)</f>
        <v>157</v>
      </c>
      <c r="S226" s="44">
        <f>VLOOKUP(F226,[4]Hárok1!$F$200:$S$256,14,0)</f>
        <v>13</v>
      </c>
      <c r="T226" s="45">
        <f t="shared" si="18"/>
        <v>904.5</v>
      </c>
      <c r="U226" s="46">
        <f>VLOOKUP(F226,[4]Hárok1!$F$200:$U$256,16,0)</f>
        <v>0</v>
      </c>
      <c r="V226" s="47">
        <f t="shared" si="19"/>
        <v>34.5</v>
      </c>
      <c r="W226" s="47">
        <f t="shared" si="20"/>
        <v>503</v>
      </c>
      <c r="X226" s="48">
        <f t="shared" si="21"/>
        <v>46.5</v>
      </c>
      <c r="Y226" s="49">
        <f t="shared" si="22"/>
        <v>1488.5</v>
      </c>
      <c r="Z226" s="50">
        <f t="shared" si="23"/>
        <v>1489</v>
      </c>
    </row>
    <row r="227" spans="1:26" x14ac:dyDescent="0.25">
      <c r="A227" s="29" t="s">
        <v>531</v>
      </c>
      <c r="B227" s="29" t="s">
        <v>79</v>
      </c>
      <c r="C227" s="29" t="s">
        <v>565</v>
      </c>
      <c r="D227" s="30">
        <v>36126624</v>
      </c>
      <c r="E227" s="31" t="s">
        <v>566</v>
      </c>
      <c r="F227" s="29">
        <v>893111</v>
      </c>
      <c r="G227" s="32" t="s">
        <v>402</v>
      </c>
      <c r="H227" s="32" t="s">
        <v>542</v>
      </c>
      <c r="I227" s="33" t="s">
        <v>581</v>
      </c>
      <c r="J227" s="42">
        <f>VLOOKUP(F227,[4]Hárok1!$F$200:$S$256,5,0)</f>
        <v>11</v>
      </c>
      <c r="K227" s="43">
        <f>VLOOKUP(F227,[4]Hárok1!$F$200:$S$256,6,0)</f>
        <v>1</v>
      </c>
      <c r="L227" s="43">
        <f>VLOOKUP(F227,[4]Hárok1!$F$200:$S$256,7,0)</f>
        <v>39</v>
      </c>
      <c r="M227" s="43">
        <f>VLOOKUP(F227,[4]Hárok1!$F$200:$S$256,8,0)</f>
        <v>7</v>
      </c>
      <c r="N227" s="43">
        <f>VLOOKUP(F227,[4]Hárok1!$F$200:$S$256,9,0)</f>
        <v>6</v>
      </c>
      <c r="O227" s="43">
        <f>VLOOKUP(F227,[4]Hárok1!$F$200:$S$256,10,0)</f>
        <v>17</v>
      </c>
      <c r="P227" s="44">
        <f>VLOOKUP(F227,[4]Hárok1!$F$200:$S$256,11,0)</f>
        <v>0</v>
      </c>
      <c r="Q227" s="42">
        <f>VLOOKUP(F227,[4]Hárok1!$F$200:$S$256,12,0)</f>
        <v>55</v>
      </c>
      <c r="R227" s="43">
        <f>VLOOKUP(F227,[4]Hárok1!$F$200:$S$256,13,0)</f>
        <v>279</v>
      </c>
      <c r="S227" s="44">
        <f>VLOOKUP(F227,[4]Hárok1!$F$200:$S$256,14,0)</f>
        <v>0</v>
      </c>
      <c r="T227" s="45">
        <f t="shared" si="18"/>
        <v>1306.5</v>
      </c>
      <c r="U227" s="46">
        <f>VLOOKUP(F227,[4]Hárok1!$F$200:$U$256,16,0)</f>
        <v>138.35</v>
      </c>
      <c r="V227" s="47">
        <f t="shared" si="19"/>
        <v>163.5</v>
      </c>
      <c r="W227" s="47">
        <f t="shared" si="20"/>
        <v>787.5</v>
      </c>
      <c r="X227" s="48">
        <f t="shared" si="21"/>
        <v>0</v>
      </c>
      <c r="Y227" s="49">
        <f t="shared" si="22"/>
        <v>2395.85</v>
      </c>
      <c r="Z227" s="50">
        <f t="shared" si="23"/>
        <v>2396</v>
      </c>
    </row>
    <row r="228" spans="1:26" x14ac:dyDescent="0.25">
      <c r="A228" s="29" t="s">
        <v>531</v>
      </c>
      <c r="B228" s="29" t="s">
        <v>79</v>
      </c>
      <c r="C228" s="29" t="s">
        <v>565</v>
      </c>
      <c r="D228" s="29">
        <v>36126624</v>
      </c>
      <c r="E228" s="32" t="s">
        <v>566</v>
      </c>
      <c r="F228" s="29">
        <v>161403</v>
      </c>
      <c r="G228" s="32" t="s">
        <v>573</v>
      </c>
      <c r="H228" s="32" t="s">
        <v>542</v>
      </c>
      <c r="I228" s="33" t="s">
        <v>582</v>
      </c>
      <c r="J228" s="42">
        <f>VLOOKUP(F228,[4]Hárok1!$F$200:$S$256,5,0)</f>
        <v>9</v>
      </c>
      <c r="K228" s="43">
        <f>VLOOKUP(F228,[4]Hárok1!$F$200:$S$256,6,0)</f>
        <v>2</v>
      </c>
      <c r="L228" s="43">
        <f>VLOOKUP(F228,[4]Hárok1!$F$200:$S$256,7,0)</f>
        <v>45</v>
      </c>
      <c r="M228" s="43">
        <f>VLOOKUP(F228,[4]Hárok1!$F$200:$S$256,8,0)</f>
        <v>4</v>
      </c>
      <c r="N228" s="43">
        <f>VLOOKUP(F228,[4]Hárok1!$F$200:$S$256,9,0)</f>
        <v>4</v>
      </c>
      <c r="O228" s="43">
        <f>VLOOKUP(F228,[4]Hárok1!$F$200:$S$256,10,0)</f>
        <v>17</v>
      </c>
      <c r="P228" s="44">
        <f>VLOOKUP(F228,[4]Hárok1!$F$200:$S$256,11,0)</f>
        <v>3</v>
      </c>
      <c r="Q228" s="42">
        <f>VLOOKUP(F228,[4]Hárok1!$F$200:$S$256,12,0)</f>
        <v>10</v>
      </c>
      <c r="R228" s="43">
        <f>VLOOKUP(F228,[4]Hárok1!$F$200:$S$256,13,0)</f>
        <v>362</v>
      </c>
      <c r="S228" s="44">
        <f>VLOOKUP(F228,[4]Hárok1!$F$200:$S$256,14,0)</f>
        <v>53</v>
      </c>
      <c r="T228" s="45">
        <f t="shared" si="18"/>
        <v>1507.5</v>
      </c>
      <c r="U228" s="46">
        <f>VLOOKUP(F228,[4]Hárok1!$F$200:$U$256,16,0)</f>
        <v>292.10000000000002</v>
      </c>
      <c r="V228" s="47">
        <f t="shared" si="19"/>
        <v>69</v>
      </c>
      <c r="W228" s="47">
        <f t="shared" si="20"/>
        <v>953.5</v>
      </c>
      <c r="X228" s="48">
        <f t="shared" si="21"/>
        <v>160.5</v>
      </c>
      <c r="Y228" s="49">
        <f t="shared" si="22"/>
        <v>2982.6</v>
      </c>
      <c r="Z228" s="50">
        <f t="shared" si="23"/>
        <v>2983</v>
      </c>
    </row>
    <row r="229" spans="1:26" x14ac:dyDescent="0.25">
      <c r="A229" s="29" t="s">
        <v>531</v>
      </c>
      <c r="B229" s="29" t="s">
        <v>79</v>
      </c>
      <c r="C229" s="29" t="s">
        <v>565</v>
      </c>
      <c r="D229" s="29">
        <v>36126624</v>
      </c>
      <c r="E229" s="32" t="s">
        <v>566</v>
      </c>
      <c r="F229" s="29">
        <v>893188</v>
      </c>
      <c r="G229" s="32" t="s">
        <v>575</v>
      </c>
      <c r="H229" s="32" t="s">
        <v>583</v>
      </c>
      <c r="I229" s="33" t="s">
        <v>584</v>
      </c>
      <c r="J229" s="42">
        <f>VLOOKUP(F229,[4]Hárok1!$F$200:$S$256,5,0)</f>
        <v>6</v>
      </c>
      <c r="K229" s="43">
        <f>VLOOKUP(F229,[4]Hárok1!$F$200:$S$256,6,0)</f>
        <v>0</v>
      </c>
      <c r="L229" s="43">
        <f>VLOOKUP(F229,[4]Hárok1!$F$200:$S$256,7,0)</f>
        <v>24</v>
      </c>
      <c r="M229" s="43">
        <f>VLOOKUP(F229,[4]Hárok1!$F$200:$S$256,8,0)</f>
        <v>0</v>
      </c>
      <c r="N229" s="43">
        <f>VLOOKUP(F229,[4]Hárok1!$F$200:$S$256,9,0)</f>
        <v>0</v>
      </c>
      <c r="O229" s="43">
        <f>VLOOKUP(F229,[4]Hárok1!$F$200:$S$256,10,0)</f>
        <v>18</v>
      </c>
      <c r="P229" s="44">
        <f>VLOOKUP(F229,[4]Hárok1!$F$200:$S$256,11,0)</f>
        <v>0</v>
      </c>
      <c r="Q229" s="42">
        <f>VLOOKUP(F229,[4]Hárok1!$F$200:$S$256,12,0)</f>
        <v>0</v>
      </c>
      <c r="R229" s="43">
        <f>VLOOKUP(F229,[4]Hárok1!$F$200:$S$256,13,0)</f>
        <v>219</v>
      </c>
      <c r="S229" s="44">
        <f>VLOOKUP(F229,[4]Hárok1!$F$200:$S$256,14,0)</f>
        <v>0</v>
      </c>
      <c r="T229" s="45">
        <f t="shared" si="18"/>
        <v>804</v>
      </c>
      <c r="U229" s="46">
        <f>VLOOKUP(F229,[4]Hárok1!$F$200:$U$256,16,0)</f>
        <v>95</v>
      </c>
      <c r="V229" s="47">
        <f t="shared" si="19"/>
        <v>0</v>
      </c>
      <c r="W229" s="47">
        <f t="shared" si="20"/>
        <v>681</v>
      </c>
      <c r="X229" s="48">
        <f t="shared" si="21"/>
        <v>0</v>
      </c>
      <c r="Y229" s="49">
        <f t="shared" si="22"/>
        <v>1580</v>
      </c>
      <c r="Z229" s="50">
        <f t="shared" si="23"/>
        <v>1580</v>
      </c>
    </row>
    <row r="230" spans="1:26" x14ac:dyDescent="0.25">
      <c r="A230" s="29" t="s">
        <v>531</v>
      </c>
      <c r="B230" s="29" t="s">
        <v>79</v>
      </c>
      <c r="C230" s="29" t="s">
        <v>565</v>
      </c>
      <c r="D230" s="29">
        <v>36126624</v>
      </c>
      <c r="E230" s="32" t="s">
        <v>566</v>
      </c>
      <c r="F230" s="29">
        <v>160296</v>
      </c>
      <c r="G230" s="32" t="s">
        <v>49</v>
      </c>
      <c r="H230" s="32" t="s">
        <v>563</v>
      </c>
      <c r="I230" s="33" t="s">
        <v>585</v>
      </c>
      <c r="J230" s="42">
        <f>VLOOKUP(F230,[4]Hárok1!$F$200:$S$256,5,0)</f>
        <v>10</v>
      </c>
      <c r="K230" s="43">
        <f>VLOOKUP(F230,[4]Hárok1!$F$200:$S$256,6,0)</f>
        <v>0</v>
      </c>
      <c r="L230" s="43">
        <f>VLOOKUP(F230,[4]Hárok1!$F$200:$S$256,7,0)</f>
        <v>31</v>
      </c>
      <c r="M230" s="43">
        <f>VLOOKUP(F230,[4]Hárok1!$F$200:$S$256,8,0)</f>
        <v>0</v>
      </c>
      <c r="N230" s="43">
        <f>VLOOKUP(F230,[4]Hárok1!$F$200:$S$256,9,0)</f>
        <v>1</v>
      </c>
      <c r="O230" s="43">
        <f>VLOOKUP(F230,[4]Hárok1!$F$200:$S$256,10,0)</f>
        <v>9</v>
      </c>
      <c r="P230" s="44">
        <f>VLOOKUP(F230,[4]Hárok1!$F$200:$S$256,11,0)</f>
        <v>1</v>
      </c>
      <c r="Q230" s="42">
        <f>VLOOKUP(F230,[4]Hárok1!$F$200:$S$256,12,0)</f>
        <v>31</v>
      </c>
      <c r="R230" s="43">
        <f>VLOOKUP(F230,[4]Hárok1!$F$200:$S$256,13,0)</f>
        <v>213</v>
      </c>
      <c r="S230" s="44">
        <f>VLOOKUP(F230,[4]Hárok1!$F$200:$S$256,14,0)</f>
        <v>91</v>
      </c>
      <c r="T230" s="45">
        <f t="shared" si="18"/>
        <v>1038.5</v>
      </c>
      <c r="U230" s="46">
        <f>VLOOKUP(F230,[4]Hárok1!$F$200:$U$256,16,0)</f>
        <v>84.52</v>
      </c>
      <c r="V230" s="47">
        <f t="shared" si="19"/>
        <v>60</v>
      </c>
      <c r="W230" s="47">
        <f t="shared" si="20"/>
        <v>547.5</v>
      </c>
      <c r="X230" s="48">
        <f t="shared" si="21"/>
        <v>163.5</v>
      </c>
      <c r="Y230" s="49">
        <f t="shared" si="22"/>
        <v>1894.02</v>
      </c>
      <c r="Z230" s="50">
        <f t="shared" si="23"/>
        <v>1894</v>
      </c>
    </row>
    <row r="231" spans="1:26" x14ac:dyDescent="0.25">
      <c r="A231" s="51" t="s">
        <v>531</v>
      </c>
      <c r="B231" s="51" t="s">
        <v>79</v>
      </c>
      <c r="C231" s="51" t="s">
        <v>565</v>
      </c>
      <c r="D231" s="51">
        <v>36126624</v>
      </c>
      <c r="E231" s="32" t="s">
        <v>566</v>
      </c>
      <c r="F231" s="51">
        <v>50424891</v>
      </c>
      <c r="G231" s="32" t="s">
        <v>586</v>
      </c>
      <c r="H231" s="32" t="s">
        <v>563</v>
      </c>
      <c r="I231" s="33" t="s">
        <v>587</v>
      </c>
      <c r="J231" s="42">
        <f>VLOOKUP(F231,[4]Hárok1!$F$200:$S$256,5,0)</f>
        <v>6</v>
      </c>
      <c r="K231" s="43">
        <f>VLOOKUP(F231,[4]Hárok1!$F$200:$S$256,6,0)</f>
        <v>0</v>
      </c>
      <c r="L231" s="43">
        <f>VLOOKUP(F231,[4]Hárok1!$F$200:$S$256,7,0)</f>
        <v>18</v>
      </c>
      <c r="M231" s="43">
        <f>VLOOKUP(F231,[4]Hárok1!$F$200:$S$256,8,0)</f>
        <v>0</v>
      </c>
      <c r="N231" s="43">
        <f>VLOOKUP(F231,[4]Hárok1!$F$200:$S$256,9,0)</f>
        <v>2</v>
      </c>
      <c r="O231" s="43">
        <f>VLOOKUP(F231,[4]Hárok1!$F$200:$S$256,10,0)</f>
        <v>8</v>
      </c>
      <c r="P231" s="44">
        <f>VLOOKUP(F231,[4]Hárok1!$F$200:$S$256,11,0)</f>
        <v>0</v>
      </c>
      <c r="Q231" s="42">
        <f>VLOOKUP(F231,[4]Hárok1!$F$200:$S$256,12,0)</f>
        <v>10</v>
      </c>
      <c r="R231" s="43">
        <f>VLOOKUP(F231,[4]Hárok1!$F$200:$S$256,13,0)</f>
        <v>180</v>
      </c>
      <c r="S231" s="44">
        <f>VLOOKUP(F231,[4]Hárok1!$F$200:$S$256,14,0)</f>
        <v>0</v>
      </c>
      <c r="T231" s="45">
        <f t="shared" si="18"/>
        <v>603</v>
      </c>
      <c r="U231" s="46">
        <f>VLOOKUP(F231,[4]Hárok1!$F$200:$U$256,16,0)</f>
        <v>75.78</v>
      </c>
      <c r="V231" s="47">
        <f t="shared" si="19"/>
        <v>42</v>
      </c>
      <c r="W231" s="47">
        <f t="shared" si="20"/>
        <v>468</v>
      </c>
      <c r="X231" s="48">
        <f t="shared" si="21"/>
        <v>0</v>
      </c>
      <c r="Y231" s="49">
        <f t="shared" si="22"/>
        <v>1188.78</v>
      </c>
      <c r="Z231" s="50">
        <f t="shared" si="23"/>
        <v>1189</v>
      </c>
    </row>
    <row r="232" spans="1:26" x14ac:dyDescent="0.25">
      <c r="A232" s="29" t="s">
        <v>531</v>
      </c>
      <c r="B232" s="29" t="s">
        <v>79</v>
      </c>
      <c r="C232" s="29" t="s">
        <v>565</v>
      </c>
      <c r="D232" s="29">
        <v>36126624</v>
      </c>
      <c r="E232" s="32" t="s">
        <v>566</v>
      </c>
      <c r="F232" s="29">
        <v>160741</v>
      </c>
      <c r="G232" s="32" t="s">
        <v>49</v>
      </c>
      <c r="H232" s="32" t="s">
        <v>501</v>
      </c>
      <c r="I232" s="33" t="s">
        <v>588</v>
      </c>
      <c r="J232" s="42">
        <f>VLOOKUP(F232,[4]Hárok1!$F$200:$S$256,5,0)</f>
        <v>14</v>
      </c>
      <c r="K232" s="43">
        <f>VLOOKUP(F232,[4]Hárok1!$F$200:$S$256,6,0)</f>
        <v>0</v>
      </c>
      <c r="L232" s="43">
        <f>VLOOKUP(F232,[4]Hárok1!$F$200:$S$256,7,0)</f>
        <v>53</v>
      </c>
      <c r="M232" s="43">
        <f>VLOOKUP(F232,[4]Hárok1!$F$200:$S$256,8,0)</f>
        <v>0</v>
      </c>
      <c r="N232" s="43">
        <f>VLOOKUP(F232,[4]Hárok1!$F$200:$S$256,9,0)</f>
        <v>0</v>
      </c>
      <c r="O232" s="43">
        <f>VLOOKUP(F232,[4]Hárok1!$F$200:$S$256,10,0)</f>
        <v>18</v>
      </c>
      <c r="P232" s="44">
        <f>VLOOKUP(F232,[4]Hárok1!$F$200:$S$256,11,0)</f>
        <v>1</v>
      </c>
      <c r="Q232" s="42">
        <f>VLOOKUP(F232,[4]Hárok1!$F$200:$S$256,12,0)</f>
        <v>0</v>
      </c>
      <c r="R232" s="43">
        <f>VLOOKUP(F232,[4]Hárok1!$F$200:$S$256,13,0)</f>
        <v>430</v>
      </c>
      <c r="S232" s="44">
        <f>VLOOKUP(F232,[4]Hárok1!$F$200:$S$256,14,0)</f>
        <v>88</v>
      </c>
      <c r="T232" s="45">
        <f t="shared" si="18"/>
        <v>1775.5</v>
      </c>
      <c r="U232" s="46">
        <f>VLOOKUP(F232,[4]Hárok1!$F$200:$U$256,16,0)</f>
        <v>0</v>
      </c>
      <c r="V232" s="47">
        <f t="shared" si="19"/>
        <v>0</v>
      </c>
      <c r="W232" s="47">
        <f t="shared" si="20"/>
        <v>1103</v>
      </c>
      <c r="X232" s="48">
        <f t="shared" si="21"/>
        <v>159</v>
      </c>
      <c r="Y232" s="49">
        <f t="shared" si="22"/>
        <v>3037.5</v>
      </c>
      <c r="Z232" s="50">
        <f t="shared" si="23"/>
        <v>3038</v>
      </c>
    </row>
    <row r="233" spans="1:26" x14ac:dyDescent="0.25">
      <c r="A233" s="29" t="s">
        <v>531</v>
      </c>
      <c r="B233" s="29" t="s">
        <v>79</v>
      </c>
      <c r="C233" s="29" t="s">
        <v>565</v>
      </c>
      <c r="D233" s="29">
        <v>36126624</v>
      </c>
      <c r="E233" s="32" t="s">
        <v>566</v>
      </c>
      <c r="F233" s="29">
        <v>162086</v>
      </c>
      <c r="G233" s="32" t="s">
        <v>100</v>
      </c>
      <c r="H233" s="32" t="s">
        <v>501</v>
      </c>
      <c r="I233" s="33" t="s">
        <v>589</v>
      </c>
      <c r="J233" s="42">
        <f>VLOOKUP(F233,[4]Hárok1!$F$200:$S$256,5,0)</f>
        <v>18</v>
      </c>
      <c r="K233" s="43">
        <f>VLOOKUP(F233,[4]Hárok1!$F$200:$S$256,6,0)</f>
        <v>0</v>
      </c>
      <c r="L233" s="43">
        <f>VLOOKUP(F233,[4]Hárok1!$F$200:$S$256,7,0)</f>
        <v>64</v>
      </c>
      <c r="M233" s="43">
        <f>VLOOKUP(F233,[4]Hárok1!$F$200:$S$256,8,0)</f>
        <v>0</v>
      </c>
      <c r="N233" s="43">
        <f>VLOOKUP(F233,[4]Hárok1!$F$200:$S$256,9,0)</f>
        <v>1</v>
      </c>
      <c r="O233" s="43">
        <f>VLOOKUP(F233,[4]Hárok1!$F$200:$S$256,10,0)</f>
        <v>27</v>
      </c>
      <c r="P233" s="44">
        <f>VLOOKUP(F233,[4]Hárok1!$F$200:$S$256,11,0)</f>
        <v>2</v>
      </c>
      <c r="Q233" s="42">
        <f>VLOOKUP(F233,[4]Hárok1!$F$200:$S$256,12,0)</f>
        <v>63</v>
      </c>
      <c r="R233" s="43">
        <f>VLOOKUP(F233,[4]Hárok1!$F$200:$S$256,13,0)</f>
        <v>577</v>
      </c>
      <c r="S233" s="44">
        <f>VLOOKUP(F233,[4]Hárok1!$F$200:$S$256,14,0)</f>
        <v>97</v>
      </c>
      <c r="T233" s="45">
        <f t="shared" si="18"/>
        <v>2144</v>
      </c>
      <c r="U233" s="46">
        <f>VLOOKUP(F233,[4]Hárok1!$F$200:$U$256,16,0)</f>
        <v>169.2</v>
      </c>
      <c r="V233" s="47">
        <f t="shared" si="19"/>
        <v>108</v>
      </c>
      <c r="W233" s="47">
        <f t="shared" si="20"/>
        <v>1518.5</v>
      </c>
      <c r="X233" s="48">
        <f t="shared" si="21"/>
        <v>199.5</v>
      </c>
      <c r="Y233" s="49">
        <f t="shared" si="22"/>
        <v>4139.2</v>
      </c>
      <c r="Z233" s="50">
        <f t="shared" si="23"/>
        <v>4139</v>
      </c>
    </row>
    <row r="234" spans="1:26" x14ac:dyDescent="0.25">
      <c r="A234" s="29" t="s">
        <v>531</v>
      </c>
      <c r="B234" s="29" t="s">
        <v>79</v>
      </c>
      <c r="C234" s="29" t="s">
        <v>565</v>
      </c>
      <c r="D234" s="29">
        <v>36126624</v>
      </c>
      <c r="E234" s="32" t="s">
        <v>566</v>
      </c>
      <c r="F234" s="29">
        <v>42141443</v>
      </c>
      <c r="G234" s="32" t="s">
        <v>575</v>
      </c>
      <c r="H234" s="32" t="s">
        <v>501</v>
      </c>
      <c r="I234" s="33" t="s">
        <v>590</v>
      </c>
      <c r="J234" s="42">
        <f>VLOOKUP(F234,[4]Hárok1!$F$200:$S$256,5,0)</f>
        <v>7</v>
      </c>
      <c r="K234" s="43">
        <f>VLOOKUP(F234,[4]Hárok1!$F$200:$S$256,6,0)</f>
        <v>0</v>
      </c>
      <c r="L234" s="43">
        <f>VLOOKUP(F234,[4]Hárok1!$F$200:$S$256,7,0)</f>
        <v>36</v>
      </c>
      <c r="M234" s="43">
        <f>VLOOKUP(F234,[4]Hárok1!$F$200:$S$256,8,0)</f>
        <v>0</v>
      </c>
      <c r="N234" s="43">
        <f>VLOOKUP(F234,[4]Hárok1!$F$200:$S$256,9,0)</f>
        <v>0</v>
      </c>
      <c r="O234" s="43">
        <f>VLOOKUP(F234,[4]Hárok1!$F$200:$S$256,10,0)</f>
        <v>11</v>
      </c>
      <c r="P234" s="44">
        <f>VLOOKUP(F234,[4]Hárok1!$F$200:$S$256,11,0)</f>
        <v>1</v>
      </c>
      <c r="Q234" s="42">
        <f>VLOOKUP(F234,[4]Hárok1!$F$200:$S$256,12,0)</f>
        <v>0</v>
      </c>
      <c r="R234" s="43">
        <f>VLOOKUP(F234,[4]Hárok1!$F$200:$S$256,13,0)</f>
        <v>198</v>
      </c>
      <c r="S234" s="44">
        <f>VLOOKUP(F234,[4]Hárok1!$F$200:$S$256,14,0)</f>
        <v>76</v>
      </c>
      <c r="T234" s="45">
        <f t="shared" si="18"/>
        <v>1206</v>
      </c>
      <c r="U234" s="46">
        <f>VLOOKUP(F234,[4]Hárok1!$F$200:$U$256,16,0)</f>
        <v>244.4</v>
      </c>
      <c r="V234" s="47">
        <f t="shared" si="19"/>
        <v>0</v>
      </c>
      <c r="W234" s="47">
        <f t="shared" si="20"/>
        <v>544.5</v>
      </c>
      <c r="X234" s="48">
        <f t="shared" si="21"/>
        <v>141</v>
      </c>
      <c r="Y234" s="49">
        <f t="shared" si="22"/>
        <v>2135.9</v>
      </c>
      <c r="Z234" s="50">
        <f t="shared" si="23"/>
        <v>2136</v>
      </c>
    </row>
    <row r="235" spans="1:26" x14ac:dyDescent="0.25">
      <c r="A235" s="29" t="s">
        <v>531</v>
      </c>
      <c r="B235" s="29" t="s">
        <v>79</v>
      </c>
      <c r="C235" s="29" t="s">
        <v>565</v>
      </c>
      <c r="D235" s="29">
        <v>36126624</v>
      </c>
      <c r="E235" s="32" t="s">
        <v>566</v>
      </c>
      <c r="F235" s="29">
        <v>17050561</v>
      </c>
      <c r="G235" s="32" t="s">
        <v>435</v>
      </c>
      <c r="H235" s="32" t="s">
        <v>501</v>
      </c>
      <c r="I235" s="33" t="s">
        <v>591</v>
      </c>
      <c r="J235" s="42">
        <f>VLOOKUP(F235,[4]Hárok1!$F$200:$S$256,5,0)</f>
        <v>11</v>
      </c>
      <c r="K235" s="43">
        <f>VLOOKUP(F235,[4]Hárok1!$F$200:$S$256,6,0)</f>
        <v>0</v>
      </c>
      <c r="L235" s="43">
        <f>VLOOKUP(F235,[4]Hárok1!$F$200:$S$256,7,0)</f>
        <v>41</v>
      </c>
      <c r="M235" s="43">
        <f>VLOOKUP(F235,[4]Hárok1!$F$200:$S$256,8,0)</f>
        <v>0</v>
      </c>
      <c r="N235" s="43">
        <f>VLOOKUP(F235,[4]Hárok1!$F$200:$S$256,9,0)</f>
        <v>0</v>
      </c>
      <c r="O235" s="43">
        <f>VLOOKUP(F235,[4]Hárok1!$F$200:$S$256,10,0)</f>
        <v>18</v>
      </c>
      <c r="P235" s="44">
        <f>VLOOKUP(F235,[4]Hárok1!$F$200:$S$256,11,0)</f>
        <v>1</v>
      </c>
      <c r="Q235" s="42">
        <f>VLOOKUP(F235,[4]Hárok1!$F$200:$S$256,12,0)</f>
        <v>0</v>
      </c>
      <c r="R235" s="43">
        <f>VLOOKUP(F235,[4]Hárok1!$F$200:$S$256,13,0)</f>
        <v>237</v>
      </c>
      <c r="S235" s="44">
        <f>VLOOKUP(F235,[4]Hárok1!$F$200:$S$256,14,0)</f>
        <v>66</v>
      </c>
      <c r="T235" s="45">
        <f t="shared" si="18"/>
        <v>1373.5</v>
      </c>
      <c r="U235" s="46">
        <f>VLOOKUP(F235,[4]Hárok1!$F$200:$U$256,16,0)</f>
        <v>0</v>
      </c>
      <c r="V235" s="47">
        <f t="shared" si="19"/>
        <v>0</v>
      </c>
      <c r="W235" s="47">
        <f t="shared" si="20"/>
        <v>717</v>
      </c>
      <c r="X235" s="48">
        <f t="shared" si="21"/>
        <v>126</v>
      </c>
      <c r="Y235" s="49">
        <f t="shared" si="22"/>
        <v>2216.5</v>
      </c>
      <c r="Z235" s="50">
        <f t="shared" si="23"/>
        <v>2217</v>
      </c>
    </row>
    <row r="236" spans="1:26" x14ac:dyDescent="0.25">
      <c r="A236" s="29" t="s">
        <v>531</v>
      </c>
      <c r="B236" s="29" t="s">
        <v>79</v>
      </c>
      <c r="C236" s="29" t="s">
        <v>565</v>
      </c>
      <c r="D236" s="29">
        <v>36126624</v>
      </c>
      <c r="E236" s="32" t="s">
        <v>566</v>
      </c>
      <c r="F236" s="29">
        <v>161594</v>
      </c>
      <c r="G236" s="32" t="s">
        <v>573</v>
      </c>
      <c r="H236" s="32" t="s">
        <v>501</v>
      </c>
      <c r="I236" s="33" t="s">
        <v>592</v>
      </c>
      <c r="J236" s="42">
        <f>VLOOKUP(F236,[4]Hárok1!$F$200:$S$256,5,0)</f>
        <v>6</v>
      </c>
      <c r="K236" s="43">
        <f>VLOOKUP(F236,[4]Hárok1!$F$200:$S$256,6,0)</f>
        <v>0</v>
      </c>
      <c r="L236" s="43">
        <f>VLOOKUP(F236,[4]Hárok1!$F$200:$S$256,7,0)</f>
        <v>28</v>
      </c>
      <c r="M236" s="43">
        <f>VLOOKUP(F236,[4]Hárok1!$F$200:$S$256,8,0)</f>
        <v>0</v>
      </c>
      <c r="N236" s="43">
        <f>VLOOKUP(F236,[4]Hárok1!$F$200:$S$256,9,0)</f>
        <v>0</v>
      </c>
      <c r="O236" s="43">
        <f>VLOOKUP(F236,[4]Hárok1!$F$200:$S$256,10,0)</f>
        <v>10</v>
      </c>
      <c r="P236" s="44">
        <f>VLOOKUP(F236,[4]Hárok1!$F$200:$S$256,11,0)</f>
        <v>1</v>
      </c>
      <c r="Q236" s="42">
        <f>VLOOKUP(F236,[4]Hárok1!$F$200:$S$256,12,0)</f>
        <v>0</v>
      </c>
      <c r="R236" s="43">
        <f>VLOOKUP(F236,[4]Hárok1!$F$200:$S$256,13,0)</f>
        <v>226</v>
      </c>
      <c r="S236" s="44">
        <f>VLOOKUP(F236,[4]Hárok1!$F$200:$S$256,14,0)</f>
        <v>27</v>
      </c>
      <c r="T236" s="45">
        <f t="shared" si="18"/>
        <v>938</v>
      </c>
      <c r="U236" s="46">
        <f>VLOOKUP(F236,[4]Hárok1!$F$200:$U$256,16,0)</f>
        <v>16.7</v>
      </c>
      <c r="V236" s="47">
        <f t="shared" si="19"/>
        <v>0</v>
      </c>
      <c r="W236" s="47">
        <f t="shared" si="20"/>
        <v>587</v>
      </c>
      <c r="X236" s="48">
        <f t="shared" si="21"/>
        <v>67.5</v>
      </c>
      <c r="Y236" s="49">
        <f t="shared" si="22"/>
        <v>1609.2</v>
      </c>
      <c r="Z236" s="50">
        <f t="shared" si="23"/>
        <v>1609</v>
      </c>
    </row>
    <row r="237" spans="1:26" x14ac:dyDescent="0.25">
      <c r="A237" s="29" t="s">
        <v>531</v>
      </c>
      <c r="B237" s="29" t="s">
        <v>79</v>
      </c>
      <c r="C237" s="29" t="s">
        <v>565</v>
      </c>
      <c r="D237" s="29">
        <v>36126624</v>
      </c>
      <c r="E237" s="32" t="s">
        <v>566</v>
      </c>
      <c r="F237" s="29">
        <v>607002</v>
      </c>
      <c r="G237" s="32" t="s">
        <v>117</v>
      </c>
      <c r="H237" s="32" t="s">
        <v>501</v>
      </c>
      <c r="I237" s="33" t="s">
        <v>593</v>
      </c>
      <c r="J237" s="42">
        <f>VLOOKUP(F237,[4]Hárok1!$F$200:$S$256,5,0)</f>
        <v>10</v>
      </c>
      <c r="K237" s="43">
        <f>VLOOKUP(F237,[4]Hárok1!$F$200:$S$256,6,0)</f>
        <v>1</v>
      </c>
      <c r="L237" s="43">
        <f>VLOOKUP(F237,[4]Hárok1!$F$200:$S$256,7,0)</f>
        <v>50</v>
      </c>
      <c r="M237" s="43">
        <f>VLOOKUP(F237,[4]Hárok1!$F$200:$S$256,8,0)</f>
        <v>4</v>
      </c>
      <c r="N237" s="43">
        <f>VLOOKUP(F237,[4]Hárok1!$F$200:$S$256,9,0)</f>
        <v>2</v>
      </c>
      <c r="O237" s="43">
        <f>VLOOKUP(F237,[4]Hárok1!$F$200:$S$256,10,0)</f>
        <v>12</v>
      </c>
      <c r="P237" s="44">
        <f>VLOOKUP(F237,[4]Hárok1!$F$200:$S$256,11,0)</f>
        <v>1</v>
      </c>
      <c r="Q237" s="42">
        <f>VLOOKUP(F237,[4]Hárok1!$F$200:$S$256,12,0)</f>
        <v>41</v>
      </c>
      <c r="R237" s="43">
        <f>VLOOKUP(F237,[4]Hárok1!$F$200:$S$256,13,0)</f>
        <v>368</v>
      </c>
      <c r="S237" s="44">
        <f>VLOOKUP(F237,[4]Hárok1!$F$200:$S$256,14,0)</f>
        <v>125</v>
      </c>
      <c r="T237" s="45">
        <f t="shared" si="18"/>
        <v>1675</v>
      </c>
      <c r="U237" s="46">
        <f>VLOOKUP(F237,[4]Hárok1!$F$200:$U$256,16,0)</f>
        <v>513.63</v>
      </c>
      <c r="V237" s="47">
        <f t="shared" si="19"/>
        <v>88.5</v>
      </c>
      <c r="W237" s="47">
        <f t="shared" si="20"/>
        <v>898</v>
      </c>
      <c r="X237" s="48">
        <f t="shared" si="21"/>
        <v>214.5</v>
      </c>
      <c r="Y237" s="49">
        <f t="shared" si="22"/>
        <v>3389.63</v>
      </c>
      <c r="Z237" s="50">
        <f t="shared" si="23"/>
        <v>3390</v>
      </c>
    </row>
    <row r="238" spans="1:26" x14ac:dyDescent="0.25">
      <c r="A238" s="29" t="s">
        <v>531</v>
      </c>
      <c r="B238" s="29" t="s">
        <v>79</v>
      </c>
      <c r="C238" s="29" t="s">
        <v>565</v>
      </c>
      <c r="D238" s="29">
        <v>36126624</v>
      </c>
      <c r="E238" s="32" t="s">
        <v>566</v>
      </c>
      <c r="F238" s="29">
        <v>42024471</v>
      </c>
      <c r="G238" s="32" t="s">
        <v>575</v>
      </c>
      <c r="H238" s="32" t="s">
        <v>594</v>
      </c>
      <c r="I238" s="33" t="s">
        <v>595</v>
      </c>
      <c r="J238" s="42">
        <f>VLOOKUP(F238,[4]Hárok1!$F$200:$S$256,5,0)</f>
        <v>11</v>
      </c>
      <c r="K238" s="43">
        <f>VLOOKUP(F238,[4]Hárok1!$F$200:$S$256,6,0)</f>
        <v>0</v>
      </c>
      <c r="L238" s="43">
        <f>VLOOKUP(F238,[4]Hárok1!$F$200:$S$256,7,0)</f>
        <v>52</v>
      </c>
      <c r="M238" s="43">
        <f>VLOOKUP(F238,[4]Hárok1!$F$200:$S$256,8,0)</f>
        <v>0</v>
      </c>
      <c r="N238" s="43">
        <f>VLOOKUP(F238,[4]Hárok1!$F$200:$S$256,9,0)</f>
        <v>1</v>
      </c>
      <c r="O238" s="43">
        <f>VLOOKUP(F238,[4]Hárok1!$F$200:$S$256,10,0)</f>
        <v>20</v>
      </c>
      <c r="P238" s="44">
        <f>VLOOKUP(F238,[4]Hárok1!$F$200:$S$256,11,0)</f>
        <v>1</v>
      </c>
      <c r="Q238" s="42">
        <f>VLOOKUP(F238,[4]Hárok1!$F$200:$S$256,12,0)</f>
        <v>2</v>
      </c>
      <c r="R238" s="43">
        <f>VLOOKUP(F238,[4]Hárok1!$F$200:$S$256,13,0)</f>
        <v>298</v>
      </c>
      <c r="S238" s="44">
        <f>VLOOKUP(F238,[4]Hárok1!$F$200:$S$256,14,0)</f>
        <v>74</v>
      </c>
      <c r="T238" s="45">
        <f t="shared" si="18"/>
        <v>1742</v>
      </c>
      <c r="U238" s="46">
        <f>VLOOKUP(F238,[4]Hárok1!$F$200:$U$256,16,0)</f>
        <v>418.76</v>
      </c>
      <c r="V238" s="47">
        <f t="shared" si="19"/>
        <v>16.5</v>
      </c>
      <c r="W238" s="47">
        <f t="shared" si="20"/>
        <v>866</v>
      </c>
      <c r="X238" s="48">
        <f t="shared" si="21"/>
        <v>138</v>
      </c>
      <c r="Y238" s="49">
        <f t="shared" si="22"/>
        <v>3181.26</v>
      </c>
      <c r="Z238" s="50">
        <f t="shared" si="23"/>
        <v>3181</v>
      </c>
    </row>
    <row r="239" spans="1:26" x14ac:dyDescent="0.25">
      <c r="A239" s="51" t="s">
        <v>531</v>
      </c>
      <c r="B239" s="51" t="s">
        <v>79</v>
      </c>
      <c r="C239" s="51" t="s">
        <v>565</v>
      </c>
      <c r="D239" s="51">
        <v>36126624</v>
      </c>
      <c r="E239" s="32" t="s">
        <v>566</v>
      </c>
      <c r="F239" s="51">
        <v>52375277</v>
      </c>
      <c r="G239" s="32" t="s">
        <v>575</v>
      </c>
      <c r="H239" s="32" t="s">
        <v>596</v>
      </c>
      <c r="I239" s="33" t="s">
        <v>597</v>
      </c>
      <c r="J239" s="42">
        <f>VLOOKUP(F239,[4]Hárok1!$F$200:$S$256,5,0)</f>
        <v>6</v>
      </c>
      <c r="K239" s="43">
        <f>VLOOKUP(F239,[4]Hárok1!$F$200:$S$256,6,0)</f>
        <v>0</v>
      </c>
      <c r="L239" s="43">
        <f>VLOOKUP(F239,[4]Hárok1!$F$200:$S$256,7,0)</f>
        <v>23</v>
      </c>
      <c r="M239" s="43">
        <f>VLOOKUP(F239,[4]Hárok1!$F$200:$S$256,8,0)</f>
        <v>0</v>
      </c>
      <c r="N239" s="43">
        <f>VLOOKUP(F239,[4]Hárok1!$F$200:$S$256,9,0)</f>
        <v>0</v>
      </c>
      <c r="O239" s="43">
        <f>VLOOKUP(F239,[4]Hárok1!$F$200:$S$256,10,0)</f>
        <v>15</v>
      </c>
      <c r="P239" s="44">
        <f>VLOOKUP(F239,[4]Hárok1!$F$200:$S$256,11,0)</f>
        <v>0</v>
      </c>
      <c r="Q239" s="42">
        <f>VLOOKUP(F239,[4]Hárok1!$F$200:$S$256,12,0)</f>
        <v>0</v>
      </c>
      <c r="R239" s="43">
        <f>VLOOKUP(F239,[4]Hárok1!$F$200:$S$256,13,0)</f>
        <v>223</v>
      </c>
      <c r="S239" s="44">
        <f>VLOOKUP(F239,[4]Hárok1!$F$200:$S$256,14,0)</f>
        <v>0</v>
      </c>
      <c r="T239" s="45">
        <f t="shared" si="18"/>
        <v>770.5</v>
      </c>
      <c r="U239" s="46">
        <f>VLOOKUP(F239,[4]Hárok1!$F$200:$U$256,16,0)</f>
        <v>155.04</v>
      </c>
      <c r="V239" s="47">
        <f t="shared" si="19"/>
        <v>0</v>
      </c>
      <c r="W239" s="47">
        <f t="shared" si="20"/>
        <v>648.5</v>
      </c>
      <c r="X239" s="48">
        <f t="shared" si="21"/>
        <v>0</v>
      </c>
      <c r="Y239" s="49">
        <f t="shared" si="22"/>
        <v>1574.04</v>
      </c>
      <c r="Z239" s="50">
        <f t="shared" si="23"/>
        <v>1574</v>
      </c>
    </row>
    <row r="240" spans="1:26" x14ac:dyDescent="0.25">
      <c r="A240" s="29" t="s">
        <v>531</v>
      </c>
      <c r="B240" s="29" t="s">
        <v>79</v>
      </c>
      <c r="C240" s="29" t="s">
        <v>565</v>
      </c>
      <c r="D240" s="29">
        <v>36126624</v>
      </c>
      <c r="E240" s="32" t="s">
        <v>566</v>
      </c>
      <c r="F240" s="29">
        <v>160750</v>
      </c>
      <c r="G240" s="32" t="s">
        <v>598</v>
      </c>
      <c r="H240" s="32" t="s">
        <v>549</v>
      </c>
      <c r="I240" s="33" t="s">
        <v>599</v>
      </c>
      <c r="J240" s="42">
        <f>VLOOKUP(F240,[4]Hárok1!$F$200:$S$256,5,0)</f>
        <v>16</v>
      </c>
      <c r="K240" s="43">
        <f>VLOOKUP(F240,[4]Hárok1!$F$200:$S$256,6,0)</f>
        <v>0</v>
      </c>
      <c r="L240" s="43">
        <f>VLOOKUP(F240,[4]Hárok1!$F$200:$S$256,7,0)</f>
        <v>61</v>
      </c>
      <c r="M240" s="43">
        <f>VLOOKUP(F240,[4]Hárok1!$F$200:$S$256,8,0)</f>
        <v>0</v>
      </c>
      <c r="N240" s="43">
        <f>VLOOKUP(F240,[4]Hárok1!$F$200:$S$256,9,0)</f>
        <v>1</v>
      </c>
      <c r="O240" s="43">
        <f>VLOOKUP(F240,[4]Hárok1!$F$200:$S$256,10,0)</f>
        <v>23</v>
      </c>
      <c r="P240" s="44">
        <f>VLOOKUP(F240,[4]Hárok1!$F$200:$S$256,11,0)</f>
        <v>2</v>
      </c>
      <c r="Q240" s="42">
        <f>VLOOKUP(F240,[4]Hárok1!$F$200:$S$256,12,0)</f>
        <v>2</v>
      </c>
      <c r="R240" s="43">
        <f>VLOOKUP(F240,[4]Hárok1!$F$200:$S$256,13,0)</f>
        <v>395</v>
      </c>
      <c r="S240" s="44">
        <f>VLOOKUP(F240,[4]Hárok1!$F$200:$S$256,14,0)</f>
        <v>124</v>
      </c>
      <c r="T240" s="45">
        <f t="shared" si="18"/>
        <v>2043.5</v>
      </c>
      <c r="U240" s="46">
        <f>VLOOKUP(F240,[4]Hárok1!$F$200:$U$256,16,0)</f>
        <v>306.5</v>
      </c>
      <c r="V240" s="47">
        <f t="shared" si="19"/>
        <v>16.5</v>
      </c>
      <c r="W240" s="47">
        <f t="shared" si="20"/>
        <v>1100.5</v>
      </c>
      <c r="X240" s="48">
        <f t="shared" si="21"/>
        <v>240</v>
      </c>
      <c r="Y240" s="49">
        <f t="shared" si="22"/>
        <v>3707</v>
      </c>
      <c r="Z240" s="50">
        <f t="shared" si="23"/>
        <v>3707</v>
      </c>
    </row>
    <row r="241" spans="1:26" x14ac:dyDescent="0.25">
      <c r="A241" s="29" t="s">
        <v>531</v>
      </c>
      <c r="B241" s="29" t="s">
        <v>79</v>
      </c>
      <c r="C241" s="29" t="s">
        <v>565</v>
      </c>
      <c r="D241" s="29">
        <v>36126624</v>
      </c>
      <c r="E241" s="32" t="s">
        <v>566</v>
      </c>
      <c r="F241" s="29">
        <v>162094</v>
      </c>
      <c r="G241" s="32" t="s">
        <v>100</v>
      </c>
      <c r="H241" s="32" t="s">
        <v>549</v>
      </c>
      <c r="I241" s="33" t="s">
        <v>600</v>
      </c>
      <c r="J241" s="42">
        <f>VLOOKUP(F241,[4]Hárok1!$F$200:$S$256,5,0)</f>
        <v>9</v>
      </c>
      <c r="K241" s="43">
        <f>VLOOKUP(F241,[4]Hárok1!$F$200:$S$256,6,0)</f>
        <v>0</v>
      </c>
      <c r="L241" s="43">
        <f>VLOOKUP(F241,[4]Hárok1!$F$200:$S$256,7,0)</f>
        <v>39</v>
      </c>
      <c r="M241" s="43">
        <f>VLOOKUP(F241,[4]Hárok1!$F$200:$S$256,8,0)</f>
        <v>0</v>
      </c>
      <c r="N241" s="43">
        <f>VLOOKUP(F241,[4]Hárok1!$F$200:$S$256,9,0)</f>
        <v>0</v>
      </c>
      <c r="O241" s="43">
        <f>VLOOKUP(F241,[4]Hárok1!$F$200:$S$256,10,0)</f>
        <v>12</v>
      </c>
      <c r="P241" s="44">
        <f>VLOOKUP(F241,[4]Hárok1!$F$200:$S$256,11,0)</f>
        <v>1</v>
      </c>
      <c r="Q241" s="42">
        <f>VLOOKUP(F241,[4]Hárok1!$F$200:$S$256,12,0)</f>
        <v>0</v>
      </c>
      <c r="R241" s="43">
        <f>VLOOKUP(F241,[4]Hárok1!$F$200:$S$256,13,0)</f>
        <v>279</v>
      </c>
      <c r="S241" s="44">
        <f>VLOOKUP(F241,[4]Hárok1!$F$200:$S$256,14,0)</f>
        <v>173</v>
      </c>
      <c r="T241" s="45">
        <f t="shared" si="18"/>
        <v>1306.5</v>
      </c>
      <c r="U241" s="46">
        <f>VLOOKUP(F241,[4]Hárok1!$F$200:$U$256,16,0)</f>
        <v>267.8</v>
      </c>
      <c r="V241" s="47">
        <f t="shared" si="19"/>
        <v>0</v>
      </c>
      <c r="W241" s="47">
        <f t="shared" si="20"/>
        <v>720</v>
      </c>
      <c r="X241" s="48">
        <f t="shared" si="21"/>
        <v>286.5</v>
      </c>
      <c r="Y241" s="49">
        <f t="shared" si="22"/>
        <v>2580.8000000000002</v>
      </c>
      <c r="Z241" s="50">
        <f t="shared" si="23"/>
        <v>2581</v>
      </c>
    </row>
    <row r="242" spans="1:26" x14ac:dyDescent="0.25">
      <c r="A242" s="29" t="s">
        <v>531</v>
      </c>
      <c r="B242" s="29" t="s">
        <v>79</v>
      </c>
      <c r="C242" s="29" t="s">
        <v>565</v>
      </c>
      <c r="D242" s="29">
        <v>36126624</v>
      </c>
      <c r="E242" s="32" t="s">
        <v>566</v>
      </c>
      <c r="F242" s="29">
        <v>42026407</v>
      </c>
      <c r="G242" s="32" t="s">
        <v>575</v>
      </c>
      <c r="H242" s="32" t="s">
        <v>549</v>
      </c>
      <c r="I242" s="33" t="s">
        <v>601</v>
      </c>
      <c r="J242" s="42">
        <f>VLOOKUP(F242,[4]Hárok1!$F$200:$S$256,5,0)</f>
        <v>18</v>
      </c>
      <c r="K242" s="43">
        <f>VLOOKUP(F242,[4]Hárok1!$F$200:$S$256,6,0)</f>
        <v>0</v>
      </c>
      <c r="L242" s="43">
        <f>VLOOKUP(F242,[4]Hárok1!$F$200:$S$256,7,0)</f>
        <v>76</v>
      </c>
      <c r="M242" s="43">
        <f>VLOOKUP(F242,[4]Hárok1!$F$200:$S$256,8,0)</f>
        <v>0</v>
      </c>
      <c r="N242" s="43">
        <f>VLOOKUP(F242,[4]Hárok1!$F$200:$S$256,9,0)</f>
        <v>0</v>
      </c>
      <c r="O242" s="43">
        <f>VLOOKUP(F242,[4]Hárok1!$F$200:$S$256,10,0)</f>
        <v>28</v>
      </c>
      <c r="P242" s="44">
        <f>VLOOKUP(F242,[4]Hárok1!$F$200:$S$256,11,0)</f>
        <v>3</v>
      </c>
      <c r="Q242" s="42">
        <f>VLOOKUP(F242,[4]Hárok1!$F$200:$S$256,12,0)</f>
        <v>0</v>
      </c>
      <c r="R242" s="43">
        <f>VLOOKUP(F242,[4]Hárok1!$F$200:$S$256,13,0)</f>
        <v>489</v>
      </c>
      <c r="S242" s="44">
        <f>VLOOKUP(F242,[4]Hárok1!$F$200:$S$256,14,0)</f>
        <v>153</v>
      </c>
      <c r="T242" s="45">
        <f t="shared" si="18"/>
        <v>2546</v>
      </c>
      <c r="U242" s="46">
        <f>VLOOKUP(F242,[4]Hárok1!$F$200:$U$256,16,0)</f>
        <v>542.41999999999996</v>
      </c>
      <c r="V242" s="47">
        <f t="shared" si="19"/>
        <v>0</v>
      </c>
      <c r="W242" s="47">
        <f t="shared" si="20"/>
        <v>1356</v>
      </c>
      <c r="X242" s="48">
        <f t="shared" si="21"/>
        <v>310.5</v>
      </c>
      <c r="Y242" s="49">
        <f t="shared" si="22"/>
        <v>4754.92</v>
      </c>
      <c r="Z242" s="50">
        <f t="shared" si="23"/>
        <v>4755</v>
      </c>
    </row>
    <row r="243" spans="1:26" x14ac:dyDescent="0.25">
      <c r="A243" s="29" t="s">
        <v>531</v>
      </c>
      <c r="B243" s="29" t="s">
        <v>79</v>
      </c>
      <c r="C243" s="29" t="s">
        <v>565</v>
      </c>
      <c r="D243" s="29">
        <v>36126624</v>
      </c>
      <c r="E243" s="32" t="s">
        <v>566</v>
      </c>
      <c r="F243" s="29">
        <v>158577</v>
      </c>
      <c r="G243" s="32" t="s">
        <v>402</v>
      </c>
      <c r="H243" s="32" t="s">
        <v>549</v>
      </c>
      <c r="I243" s="33" t="s">
        <v>602</v>
      </c>
      <c r="J243" s="42">
        <f>VLOOKUP(F243,[4]Hárok1!$F$200:$S$256,5,0)</f>
        <v>15</v>
      </c>
      <c r="K243" s="43">
        <f>VLOOKUP(F243,[4]Hárok1!$F$200:$S$256,6,0)</f>
        <v>0</v>
      </c>
      <c r="L243" s="43">
        <f>VLOOKUP(F243,[4]Hárok1!$F$200:$S$256,7,0)</f>
        <v>73</v>
      </c>
      <c r="M243" s="43">
        <f>VLOOKUP(F243,[4]Hárok1!$F$200:$S$256,8,0)</f>
        <v>0</v>
      </c>
      <c r="N243" s="43">
        <f>VLOOKUP(F243,[4]Hárok1!$F$200:$S$256,9,0)</f>
        <v>0</v>
      </c>
      <c r="O243" s="43">
        <f>VLOOKUP(F243,[4]Hárok1!$F$200:$S$256,10,0)</f>
        <v>23</v>
      </c>
      <c r="P243" s="44">
        <f>VLOOKUP(F243,[4]Hárok1!$F$200:$S$256,11,0)</f>
        <v>2</v>
      </c>
      <c r="Q243" s="42">
        <f>VLOOKUP(F243,[4]Hárok1!$F$200:$S$256,12,0)</f>
        <v>0</v>
      </c>
      <c r="R243" s="43">
        <f>VLOOKUP(F243,[4]Hárok1!$F$200:$S$256,13,0)</f>
        <v>489</v>
      </c>
      <c r="S243" s="44">
        <f>VLOOKUP(F243,[4]Hárok1!$F$200:$S$256,14,0)</f>
        <v>179</v>
      </c>
      <c r="T243" s="45">
        <f t="shared" si="18"/>
        <v>2445.5</v>
      </c>
      <c r="U243" s="46">
        <f>VLOOKUP(F243,[4]Hárok1!$F$200:$U$256,16,0)</f>
        <v>435.51</v>
      </c>
      <c r="V243" s="47">
        <f t="shared" si="19"/>
        <v>0</v>
      </c>
      <c r="W243" s="47">
        <f t="shared" si="20"/>
        <v>1288.5</v>
      </c>
      <c r="X243" s="48">
        <f t="shared" si="21"/>
        <v>322.5</v>
      </c>
      <c r="Y243" s="49">
        <f t="shared" si="22"/>
        <v>4492.01</v>
      </c>
      <c r="Z243" s="50">
        <f t="shared" si="23"/>
        <v>4492</v>
      </c>
    </row>
    <row r="244" spans="1:26" x14ac:dyDescent="0.25">
      <c r="A244" s="51" t="s">
        <v>531</v>
      </c>
      <c r="B244" s="51" t="s">
        <v>79</v>
      </c>
      <c r="C244" s="51" t="s">
        <v>565</v>
      </c>
      <c r="D244" s="51">
        <v>36126624</v>
      </c>
      <c r="E244" s="32" t="s">
        <v>566</v>
      </c>
      <c r="F244" s="51">
        <v>52164284</v>
      </c>
      <c r="G244" s="32" t="s">
        <v>117</v>
      </c>
      <c r="H244" s="32" t="s">
        <v>549</v>
      </c>
      <c r="I244" s="33" t="s">
        <v>603</v>
      </c>
      <c r="J244" s="42">
        <f>VLOOKUP(F244,[4]Hárok1!$F$200:$S$256,5,0)</f>
        <v>4</v>
      </c>
      <c r="K244" s="43">
        <f>VLOOKUP(F244,[4]Hárok1!$F$200:$S$256,6,0)</f>
        <v>0</v>
      </c>
      <c r="L244" s="43">
        <f>VLOOKUP(F244,[4]Hárok1!$F$200:$S$256,7,0)</f>
        <v>12</v>
      </c>
      <c r="M244" s="43">
        <f>VLOOKUP(F244,[4]Hárok1!$F$200:$S$256,8,0)</f>
        <v>0</v>
      </c>
      <c r="N244" s="43">
        <f>VLOOKUP(F244,[4]Hárok1!$F$200:$S$256,9,0)</f>
        <v>0</v>
      </c>
      <c r="O244" s="43">
        <f>VLOOKUP(F244,[4]Hárok1!$F$200:$S$256,10,0)</f>
        <v>5</v>
      </c>
      <c r="P244" s="44">
        <f>VLOOKUP(F244,[4]Hárok1!$F$200:$S$256,11,0)</f>
        <v>0</v>
      </c>
      <c r="Q244" s="42">
        <f>VLOOKUP(F244,[4]Hárok1!$F$200:$S$256,12,0)</f>
        <v>0</v>
      </c>
      <c r="R244" s="43">
        <f>VLOOKUP(F244,[4]Hárok1!$F$200:$S$256,13,0)</f>
        <v>86</v>
      </c>
      <c r="S244" s="44">
        <f>VLOOKUP(F244,[4]Hárok1!$F$200:$S$256,14,0)</f>
        <v>0</v>
      </c>
      <c r="T244" s="45">
        <f t="shared" si="18"/>
        <v>402</v>
      </c>
      <c r="U244" s="46">
        <f>VLOOKUP(F244,[4]Hárok1!$F$200:$U$256,16,0)</f>
        <v>0</v>
      </c>
      <c r="V244" s="47">
        <f t="shared" si="19"/>
        <v>0</v>
      </c>
      <c r="W244" s="47">
        <f t="shared" si="20"/>
        <v>239.5</v>
      </c>
      <c r="X244" s="48">
        <f t="shared" si="21"/>
        <v>0</v>
      </c>
      <c r="Y244" s="49">
        <f t="shared" si="22"/>
        <v>641.5</v>
      </c>
      <c r="Z244" s="50">
        <f t="shared" si="23"/>
        <v>642</v>
      </c>
    </row>
    <row r="245" spans="1:26" x14ac:dyDescent="0.25">
      <c r="A245" s="29" t="s">
        <v>531</v>
      </c>
      <c r="B245" s="29" t="s">
        <v>79</v>
      </c>
      <c r="C245" s="29" t="s">
        <v>565</v>
      </c>
      <c r="D245" s="29">
        <v>36126624</v>
      </c>
      <c r="E245" s="32" t="s">
        <v>566</v>
      </c>
      <c r="F245" s="29">
        <v>160768</v>
      </c>
      <c r="G245" s="32" t="s">
        <v>49</v>
      </c>
      <c r="H245" s="32" t="s">
        <v>552</v>
      </c>
      <c r="I245" s="33" t="s">
        <v>604</v>
      </c>
      <c r="J245" s="42">
        <f>VLOOKUP(F245,[4]Hárok1!$F$200:$S$256,5,0)</f>
        <v>8</v>
      </c>
      <c r="K245" s="43">
        <f>VLOOKUP(F245,[4]Hárok1!$F$200:$S$256,6,0)</f>
        <v>0</v>
      </c>
      <c r="L245" s="43">
        <f>VLOOKUP(F245,[4]Hárok1!$F$200:$S$256,7,0)</f>
        <v>26</v>
      </c>
      <c r="M245" s="43">
        <f>VLOOKUP(F245,[4]Hárok1!$F$200:$S$256,8,0)</f>
        <v>0</v>
      </c>
      <c r="N245" s="43">
        <f>VLOOKUP(F245,[4]Hárok1!$F$200:$S$256,9,0)</f>
        <v>0</v>
      </c>
      <c r="O245" s="43">
        <f>VLOOKUP(F245,[4]Hárok1!$F$200:$S$256,10,0)</f>
        <v>8</v>
      </c>
      <c r="P245" s="44">
        <f>VLOOKUP(F245,[4]Hárok1!$F$200:$S$256,11,0)</f>
        <v>1</v>
      </c>
      <c r="Q245" s="42">
        <f>VLOOKUP(F245,[4]Hárok1!$F$200:$S$256,12,0)</f>
        <v>0</v>
      </c>
      <c r="R245" s="43">
        <f>VLOOKUP(F245,[4]Hárok1!$F$200:$S$256,13,0)</f>
        <v>141</v>
      </c>
      <c r="S245" s="44">
        <f>VLOOKUP(F245,[4]Hárok1!$F$200:$S$256,14,0)</f>
        <v>69</v>
      </c>
      <c r="T245" s="45">
        <f t="shared" si="18"/>
        <v>871</v>
      </c>
      <c r="U245" s="46">
        <f>VLOOKUP(F245,[4]Hárok1!$F$200:$U$256,16,0)</f>
        <v>182.39</v>
      </c>
      <c r="V245" s="47">
        <f t="shared" si="19"/>
        <v>0</v>
      </c>
      <c r="W245" s="47">
        <f t="shared" si="20"/>
        <v>390</v>
      </c>
      <c r="X245" s="48">
        <f t="shared" si="21"/>
        <v>130.5</v>
      </c>
      <c r="Y245" s="49">
        <f t="shared" si="22"/>
        <v>1573.8899999999999</v>
      </c>
      <c r="Z245" s="50">
        <f t="shared" si="23"/>
        <v>1574</v>
      </c>
    </row>
    <row r="246" spans="1:26" x14ac:dyDescent="0.25">
      <c r="A246" s="29" t="s">
        <v>531</v>
      </c>
      <c r="B246" s="29" t="s">
        <v>79</v>
      </c>
      <c r="C246" s="29" t="s">
        <v>565</v>
      </c>
      <c r="D246" s="29">
        <v>36126624</v>
      </c>
      <c r="E246" s="32" t="s">
        <v>566</v>
      </c>
      <c r="F246" s="29">
        <v>52439585</v>
      </c>
      <c r="G246" s="32" t="s">
        <v>52</v>
      </c>
      <c r="H246" s="32" t="s">
        <v>552</v>
      </c>
      <c r="I246" s="33" t="s">
        <v>605</v>
      </c>
      <c r="J246" s="42">
        <f>VLOOKUP(F246,[4]Hárok1!$F$200:$S$256,5,0)</f>
        <v>7</v>
      </c>
      <c r="K246" s="43">
        <f>VLOOKUP(F246,[4]Hárok1!$F$200:$S$256,6,0)</f>
        <v>0</v>
      </c>
      <c r="L246" s="43">
        <f>VLOOKUP(F246,[4]Hárok1!$F$200:$S$256,7,0)</f>
        <v>28</v>
      </c>
      <c r="M246" s="43">
        <f>VLOOKUP(F246,[4]Hárok1!$F$200:$S$256,8,0)</f>
        <v>0</v>
      </c>
      <c r="N246" s="43">
        <f>VLOOKUP(F246,[4]Hárok1!$F$200:$S$256,9,0)</f>
        <v>2</v>
      </c>
      <c r="O246" s="43">
        <f>VLOOKUP(F246,[4]Hárok1!$F$200:$S$256,10,0)</f>
        <v>9</v>
      </c>
      <c r="P246" s="44">
        <f>VLOOKUP(F246,[4]Hárok1!$F$200:$S$256,11,0)</f>
        <v>0</v>
      </c>
      <c r="Q246" s="42">
        <f>VLOOKUP(F246,[4]Hárok1!$F$200:$S$256,12,0)</f>
        <v>18</v>
      </c>
      <c r="R246" s="43">
        <f>VLOOKUP(F246,[4]Hárok1!$F$200:$S$256,13,0)</f>
        <v>277</v>
      </c>
      <c r="S246" s="44">
        <f>VLOOKUP(F246,[4]Hárok1!$F$200:$S$256,14,0)</f>
        <v>0</v>
      </c>
      <c r="T246" s="45">
        <f t="shared" si="18"/>
        <v>938</v>
      </c>
      <c r="U246" s="46">
        <f>VLOOKUP(F246,[4]Hárok1!$F$200:$U$256,16,0)</f>
        <v>0</v>
      </c>
      <c r="V246" s="47">
        <f t="shared" si="19"/>
        <v>54</v>
      </c>
      <c r="W246" s="47">
        <f t="shared" si="20"/>
        <v>675.5</v>
      </c>
      <c r="X246" s="48">
        <f t="shared" si="21"/>
        <v>0</v>
      </c>
      <c r="Y246" s="49">
        <f t="shared" si="22"/>
        <v>1667.5</v>
      </c>
      <c r="Z246" s="50">
        <f t="shared" si="23"/>
        <v>1668</v>
      </c>
    </row>
    <row r="247" spans="1:26" x14ac:dyDescent="0.25">
      <c r="A247" s="29" t="s">
        <v>531</v>
      </c>
      <c r="B247" s="29" t="s">
        <v>79</v>
      </c>
      <c r="C247" s="29" t="s">
        <v>565</v>
      </c>
      <c r="D247" s="29">
        <v>36126624</v>
      </c>
      <c r="E247" s="32" t="s">
        <v>566</v>
      </c>
      <c r="F247" s="29">
        <v>158569</v>
      </c>
      <c r="G247" s="32" t="s">
        <v>402</v>
      </c>
      <c r="H247" s="32" t="s">
        <v>552</v>
      </c>
      <c r="I247" s="33" t="s">
        <v>606</v>
      </c>
      <c r="J247" s="42">
        <f>VLOOKUP(F247,[4]Hárok1!$F$200:$S$256,5,0)</f>
        <v>11</v>
      </c>
      <c r="K247" s="43">
        <f>VLOOKUP(F247,[4]Hárok1!$F$200:$S$256,6,0)</f>
        <v>0</v>
      </c>
      <c r="L247" s="43">
        <f>VLOOKUP(F247,[4]Hárok1!$F$200:$S$256,7,0)</f>
        <v>59</v>
      </c>
      <c r="M247" s="43">
        <f>VLOOKUP(F247,[4]Hárok1!$F$200:$S$256,8,0)</f>
        <v>0</v>
      </c>
      <c r="N247" s="43">
        <f>VLOOKUP(F247,[4]Hárok1!$F$200:$S$256,9,0)</f>
        <v>1</v>
      </c>
      <c r="O247" s="43">
        <f>VLOOKUP(F247,[4]Hárok1!$F$200:$S$256,10,0)</f>
        <v>13</v>
      </c>
      <c r="P247" s="44">
        <f>VLOOKUP(F247,[4]Hárok1!$F$200:$S$256,11,0)</f>
        <v>2</v>
      </c>
      <c r="Q247" s="42">
        <f>VLOOKUP(F247,[4]Hárok1!$F$200:$S$256,12,0)</f>
        <v>77</v>
      </c>
      <c r="R247" s="43">
        <f>VLOOKUP(F247,[4]Hárok1!$F$200:$S$256,13,0)</f>
        <v>395</v>
      </c>
      <c r="S247" s="44">
        <f>VLOOKUP(F247,[4]Hárok1!$F$200:$S$256,14,0)</f>
        <v>163</v>
      </c>
      <c r="T247" s="45">
        <f t="shared" si="18"/>
        <v>1976.5</v>
      </c>
      <c r="U247" s="46">
        <f>VLOOKUP(F247,[4]Hárok1!$F$200:$U$256,16,0)</f>
        <v>539.29999999999995</v>
      </c>
      <c r="V247" s="47">
        <f t="shared" si="19"/>
        <v>129</v>
      </c>
      <c r="W247" s="47">
        <f t="shared" si="20"/>
        <v>965.5</v>
      </c>
      <c r="X247" s="48">
        <f t="shared" si="21"/>
        <v>298.5</v>
      </c>
      <c r="Y247" s="49">
        <f t="shared" si="22"/>
        <v>3908.8</v>
      </c>
      <c r="Z247" s="50">
        <f t="shared" si="23"/>
        <v>3909</v>
      </c>
    </row>
    <row r="248" spans="1:26" x14ac:dyDescent="0.25">
      <c r="A248" s="29" t="s">
        <v>531</v>
      </c>
      <c r="B248" s="29" t="s">
        <v>79</v>
      </c>
      <c r="C248" s="29" t="s">
        <v>565</v>
      </c>
      <c r="D248" s="29">
        <v>36126624</v>
      </c>
      <c r="E248" s="32" t="s">
        <v>566</v>
      </c>
      <c r="F248" s="29">
        <v>160458</v>
      </c>
      <c r="G248" s="32" t="s">
        <v>607</v>
      </c>
      <c r="H248" s="32" t="s">
        <v>556</v>
      </c>
      <c r="I248" s="33" t="s">
        <v>608</v>
      </c>
      <c r="J248" s="42">
        <f>VLOOKUP(F248,[4]Hárok1!$F$200:$S$256,5,0)</f>
        <v>8</v>
      </c>
      <c r="K248" s="43">
        <f>VLOOKUP(F248,[4]Hárok1!$F$200:$S$256,6,0)</f>
        <v>1</v>
      </c>
      <c r="L248" s="43">
        <f>VLOOKUP(F248,[4]Hárok1!$F$200:$S$256,7,0)</f>
        <v>19</v>
      </c>
      <c r="M248" s="43">
        <f>VLOOKUP(F248,[4]Hárok1!$F$200:$S$256,8,0)</f>
        <v>2</v>
      </c>
      <c r="N248" s="43">
        <f>VLOOKUP(F248,[4]Hárok1!$F$200:$S$256,9,0)</f>
        <v>0</v>
      </c>
      <c r="O248" s="43">
        <f>VLOOKUP(F248,[4]Hárok1!$F$200:$S$256,10,0)</f>
        <v>12</v>
      </c>
      <c r="P248" s="44">
        <f>VLOOKUP(F248,[4]Hárok1!$F$200:$S$256,11,0)</f>
        <v>1</v>
      </c>
      <c r="Q248" s="42">
        <f>VLOOKUP(F248,[4]Hárok1!$F$200:$S$256,12,0)</f>
        <v>0</v>
      </c>
      <c r="R248" s="43">
        <f>VLOOKUP(F248,[4]Hárok1!$F$200:$S$256,13,0)</f>
        <v>229</v>
      </c>
      <c r="S248" s="44">
        <f>VLOOKUP(F248,[4]Hárok1!$F$200:$S$256,14,0)</f>
        <v>28</v>
      </c>
      <c r="T248" s="45">
        <f t="shared" si="18"/>
        <v>636.5</v>
      </c>
      <c r="U248" s="46">
        <f>VLOOKUP(F248,[4]Hárok1!$F$200:$U$256,16,0)</f>
        <v>0</v>
      </c>
      <c r="V248" s="47">
        <f t="shared" si="19"/>
        <v>0</v>
      </c>
      <c r="W248" s="47">
        <f t="shared" si="20"/>
        <v>620</v>
      </c>
      <c r="X248" s="48">
        <f t="shared" si="21"/>
        <v>69</v>
      </c>
      <c r="Y248" s="49">
        <f t="shared" si="22"/>
        <v>1325.5</v>
      </c>
      <c r="Z248" s="50">
        <f t="shared" si="23"/>
        <v>1326</v>
      </c>
    </row>
    <row r="249" spans="1:26" x14ac:dyDescent="0.25">
      <c r="A249" s="29" t="s">
        <v>531</v>
      </c>
      <c r="B249" s="29" t="s">
        <v>79</v>
      </c>
      <c r="C249" s="29" t="s">
        <v>565</v>
      </c>
      <c r="D249" s="29">
        <v>36126624</v>
      </c>
      <c r="E249" s="32" t="s">
        <v>566</v>
      </c>
      <c r="F249" s="29">
        <v>161993</v>
      </c>
      <c r="G249" s="32" t="s">
        <v>609</v>
      </c>
      <c r="H249" s="32" t="s">
        <v>556</v>
      </c>
      <c r="I249" s="33" t="s">
        <v>610</v>
      </c>
      <c r="J249" s="42">
        <f>VLOOKUP(F249,[4]Hárok1!$F$200:$S$256,5,0)</f>
        <v>18</v>
      </c>
      <c r="K249" s="43">
        <f>VLOOKUP(F249,[4]Hárok1!$F$200:$S$256,6,0)</f>
        <v>0</v>
      </c>
      <c r="L249" s="43">
        <f>VLOOKUP(F249,[4]Hárok1!$F$200:$S$256,7,0)</f>
        <v>75</v>
      </c>
      <c r="M249" s="43">
        <f>VLOOKUP(F249,[4]Hárok1!$F$200:$S$256,8,0)</f>
        <v>0</v>
      </c>
      <c r="N249" s="43">
        <f>VLOOKUP(F249,[4]Hárok1!$F$200:$S$256,9,0)</f>
        <v>1</v>
      </c>
      <c r="O249" s="43">
        <f>VLOOKUP(F249,[4]Hárok1!$F$200:$S$256,10,0)</f>
        <v>20</v>
      </c>
      <c r="P249" s="44">
        <f>VLOOKUP(F249,[4]Hárok1!$F$200:$S$256,11,0)</f>
        <v>3</v>
      </c>
      <c r="Q249" s="42">
        <f>VLOOKUP(F249,[4]Hárok1!$F$200:$S$256,12,0)</f>
        <v>18</v>
      </c>
      <c r="R249" s="43">
        <f>VLOOKUP(F249,[4]Hárok1!$F$200:$S$256,13,0)</f>
        <v>555</v>
      </c>
      <c r="S249" s="44">
        <f>VLOOKUP(F249,[4]Hárok1!$F$200:$S$256,14,0)</f>
        <v>291</v>
      </c>
      <c r="T249" s="45">
        <f t="shared" si="18"/>
        <v>2512.5</v>
      </c>
      <c r="U249" s="46">
        <f>VLOOKUP(F249,[4]Hárok1!$F$200:$U$256,16,0)</f>
        <v>542.5</v>
      </c>
      <c r="V249" s="47">
        <f t="shared" si="19"/>
        <v>40.5</v>
      </c>
      <c r="W249" s="47">
        <f t="shared" si="20"/>
        <v>1380</v>
      </c>
      <c r="X249" s="48">
        <f t="shared" si="21"/>
        <v>517.5</v>
      </c>
      <c r="Y249" s="49">
        <f t="shared" si="22"/>
        <v>4993</v>
      </c>
      <c r="Z249" s="50">
        <f t="shared" si="23"/>
        <v>4993</v>
      </c>
    </row>
    <row r="250" spans="1:26" x14ac:dyDescent="0.25">
      <c r="A250" s="29" t="s">
        <v>531</v>
      </c>
      <c r="B250" s="29" t="s">
        <v>79</v>
      </c>
      <c r="C250" s="29" t="s">
        <v>565</v>
      </c>
      <c r="D250" s="29">
        <v>36126624</v>
      </c>
      <c r="E250" s="32" t="s">
        <v>566</v>
      </c>
      <c r="F250" s="29">
        <v>17053668</v>
      </c>
      <c r="G250" s="32" t="s">
        <v>575</v>
      </c>
      <c r="H250" s="32" t="s">
        <v>556</v>
      </c>
      <c r="I250" s="33" t="s">
        <v>611</v>
      </c>
      <c r="J250" s="42">
        <f>VLOOKUP(F250,[4]Hárok1!$F$200:$S$256,5,0)</f>
        <v>12</v>
      </c>
      <c r="K250" s="43">
        <f>VLOOKUP(F250,[4]Hárok1!$F$200:$S$256,6,0)</f>
        <v>2</v>
      </c>
      <c r="L250" s="43">
        <f>VLOOKUP(F250,[4]Hárok1!$F$200:$S$256,7,0)</f>
        <v>57</v>
      </c>
      <c r="M250" s="43">
        <f>VLOOKUP(F250,[4]Hárok1!$F$200:$S$256,8,0)</f>
        <v>6</v>
      </c>
      <c r="N250" s="43">
        <f>VLOOKUP(F250,[4]Hárok1!$F$200:$S$256,9,0)</f>
        <v>4</v>
      </c>
      <c r="O250" s="43">
        <f>VLOOKUP(F250,[4]Hárok1!$F$200:$S$256,10,0)</f>
        <v>32</v>
      </c>
      <c r="P250" s="44">
        <f>VLOOKUP(F250,[4]Hárok1!$F$200:$S$256,11,0)</f>
        <v>0</v>
      </c>
      <c r="Q250" s="42">
        <f>VLOOKUP(F250,[4]Hárok1!$F$200:$S$256,12,0)</f>
        <v>50</v>
      </c>
      <c r="R250" s="43">
        <f>VLOOKUP(F250,[4]Hárok1!$F$200:$S$256,13,0)</f>
        <v>397</v>
      </c>
      <c r="S250" s="44">
        <f>VLOOKUP(F250,[4]Hárok1!$F$200:$S$256,14,0)</f>
        <v>0</v>
      </c>
      <c r="T250" s="45">
        <f t="shared" si="18"/>
        <v>1909.5</v>
      </c>
      <c r="U250" s="46">
        <f>VLOOKUP(F250,[4]Hárok1!$F$200:$U$256,16,0)</f>
        <v>404.3</v>
      </c>
      <c r="V250" s="47">
        <f t="shared" si="19"/>
        <v>129</v>
      </c>
      <c r="W250" s="47">
        <f t="shared" si="20"/>
        <v>1226</v>
      </c>
      <c r="X250" s="48">
        <f t="shared" si="21"/>
        <v>0</v>
      </c>
      <c r="Y250" s="49">
        <f t="shared" si="22"/>
        <v>3668.8</v>
      </c>
      <c r="Z250" s="50">
        <f t="shared" si="23"/>
        <v>3669</v>
      </c>
    </row>
    <row r="251" spans="1:26" x14ac:dyDescent="0.25">
      <c r="A251" s="29" t="s">
        <v>531</v>
      </c>
      <c r="B251" s="29" t="s">
        <v>79</v>
      </c>
      <c r="C251" s="29" t="s">
        <v>565</v>
      </c>
      <c r="D251" s="29">
        <v>36126624</v>
      </c>
      <c r="E251" s="32" t="s">
        <v>566</v>
      </c>
      <c r="F251" s="29">
        <v>351806</v>
      </c>
      <c r="G251" s="32" t="s">
        <v>402</v>
      </c>
      <c r="H251" s="32" t="s">
        <v>556</v>
      </c>
      <c r="I251" s="33" t="s">
        <v>612</v>
      </c>
      <c r="J251" s="42">
        <f>VLOOKUP(F251,[4]Hárok1!$F$200:$S$256,5,0)</f>
        <v>16</v>
      </c>
      <c r="K251" s="43">
        <f>VLOOKUP(F251,[4]Hárok1!$F$200:$S$256,6,0)</f>
        <v>0</v>
      </c>
      <c r="L251" s="43">
        <f>VLOOKUP(F251,[4]Hárok1!$F$200:$S$256,7,0)</f>
        <v>67</v>
      </c>
      <c r="M251" s="43">
        <f>VLOOKUP(F251,[4]Hárok1!$F$200:$S$256,8,0)</f>
        <v>0</v>
      </c>
      <c r="N251" s="43">
        <f>VLOOKUP(F251,[4]Hárok1!$F$200:$S$256,9,0)</f>
        <v>0</v>
      </c>
      <c r="O251" s="43">
        <f>VLOOKUP(F251,[4]Hárok1!$F$200:$S$256,10,0)</f>
        <v>32</v>
      </c>
      <c r="P251" s="44">
        <f>VLOOKUP(F251,[4]Hárok1!$F$200:$S$256,11,0)</f>
        <v>1</v>
      </c>
      <c r="Q251" s="42">
        <f>VLOOKUP(F251,[4]Hárok1!$F$200:$S$256,12,0)</f>
        <v>0</v>
      </c>
      <c r="R251" s="43">
        <f>VLOOKUP(F251,[4]Hárok1!$F$200:$S$256,13,0)</f>
        <v>528</v>
      </c>
      <c r="S251" s="44">
        <f>VLOOKUP(F251,[4]Hárok1!$F$200:$S$256,14,0)</f>
        <v>55</v>
      </c>
      <c r="T251" s="45">
        <f t="shared" si="18"/>
        <v>2244.5</v>
      </c>
      <c r="U251" s="46">
        <f>VLOOKUP(F251,[4]Hárok1!$F$200:$U$256,16,0)</f>
        <v>367.81</v>
      </c>
      <c r="V251" s="47">
        <f t="shared" si="19"/>
        <v>0</v>
      </c>
      <c r="W251" s="47">
        <f t="shared" si="20"/>
        <v>1488</v>
      </c>
      <c r="X251" s="48">
        <f t="shared" si="21"/>
        <v>109.5</v>
      </c>
      <c r="Y251" s="49">
        <f t="shared" si="22"/>
        <v>4209.8099999999995</v>
      </c>
      <c r="Z251" s="50">
        <f t="shared" si="23"/>
        <v>4210</v>
      </c>
    </row>
    <row r="252" spans="1:26" x14ac:dyDescent="0.25">
      <c r="A252" s="29" t="s">
        <v>531</v>
      </c>
      <c r="B252" s="29" t="s">
        <v>79</v>
      </c>
      <c r="C252" s="29" t="s">
        <v>565</v>
      </c>
      <c r="D252" s="29">
        <v>36126624</v>
      </c>
      <c r="E252" s="32" t="s">
        <v>566</v>
      </c>
      <c r="F252" s="29">
        <v>37922467</v>
      </c>
      <c r="G252" s="32" t="s">
        <v>613</v>
      </c>
      <c r="H252" s="32" t="s">
        <v>556</v>
      </c>
      <c r="I252" s="33" t="s">
        <v>614</v>
      </c>
      <c r="J252" s="42">
        <f>VLOOKUP(F252,[4]Hárok1!$F$200:$S$256,5,0)</f>
        <v>11</v>
      </c>
      <c r="K252" s="43">
        <f>VLOOKUP(F252,[4]Hárok1!$F$200:$S$256,6,0)</f>
        <v>0</v>
      </c>
      <c r="L252" s="43">
        <f>VLOOKUP(F252,[4]Hárok1!$F$200:$S$256,7,0)</f>
        <v>44</v>
      </c>
      <c r="M252" s="43">
        <f>VLOOKUP(F252,[4]Hárok1!$F$200:$S$256,8,0)</f>
        <v>0</v>
      </c>
      <c r="N252" s="43">
        <f>VLOOKUP(F252,[4]Hárok1!$F$200:$S$256,9,0)</f>
        <v>1</v>
      </c>
      <c r="O252" s="43">
        <f>VLOOKUP(F252,[4]Hárok1!$F$200:$S$256,10,0)</f>
        <v>18</v>
      </c>
      <c r="P252" s="44">
        <f>VLOOKUP(F252,[4]Hárok1!$F$200:$S$256,11,0)</f>
        <v>1</v>
      </c>
      <c r="Q252" s="42">
        <f>VLOOKUP(F252,[4]Hárok1!$F$200:$S$256,12,0)</f>
        <v>12</v>
      </c>
      <c r="R252" s="43">
        <f>VLOOKUP(F252,[4]Hárok1!$F$200:$S$256,13,0)</f>
        <v>323</v>
      </c>
      <c r="S252" s="44">
        <f>VLOOKUP(F252,[4]Hárok1!$F$200:$S$256,14,0)</f>
        <v>103</v>
      </c>
      <c r="T252" s="45">
        <f t="shared" si="18"/>
        <v>1474</v>
      </c>
      <c r="U252" s="46">
        <f>VLOOKUP(F252,[4]Hárok1!$F$200:$U$256,16,0)</f>
        <v>361.82</v>
      </c>
      <c r="V252" s="47">
        <f t="shared" si="19"/>
        <v>31.5</v>
      </c>
      <c r="W252" s="47">
        <f t="shared" si="20"/>
        <v>889</v>
      </c>
      <c r="X252" s="48">
        <f t="shared" si="21"/>
        <v>181.5</v>
      </c>
      <c r="Y252" s="49">
        <f t="shared" si="22"/>
        <v>2937.8199999999997</v>
      </c>
      <c r="Z252" s="50">
        <f t="shared" si="23"/>
        <v>2938</v>
      </c>
    </row>
    <row r="253" spans="1:26" x14ac:dyDescent="0.25">
      <c r="A253" s="29" t="s">
        <v>531</v>
      </c>
      <c r="B253" s="29" t="s">
        <v>79</v>
      </c>
      <c r="C253" s="29" t="s">
        <v>565</v>
      </c>
      <c r="D253" s="29">
        <v>36126624</v>
      </c>
      <c r="E253" s="32" t="s">
        <v>566</v>
      </c>
      <c r="F253" s="29">
        <v>515159</v>
      </c>
      <c r="G253" s="32" t="s">
        <v>615</v>
      </c>
      <c r="H253" s="32" t="s">
        <v>556</v>
      </c>
      <c r="I253" s="33" t="s">
        <v>616</v>
      </c>
      <c r="J253" s="42">
        <f>VLOOKUP(F253,[4]Hárok1!$F$200:$S$256,5,0)</f>
        <v>11</v>
      </c>
      <c r="K253" s="43">
        <f>VLOOKUP(F253,[4]Hárok1!$F$200:$S$256,6,0)</f>
        <v>0</v>
      </c>
      <c r="L253" s="43">
        <f>VLOOKUP(F253,[4]Hárok1!$F$200:$S$256,7,0)</f>
        <v>30</v>
      </c>
      <c r="M253" s="43">
        <f>VLOOKUP(F253,[4]Hárok1!$F$200:$S$256,8,0)</f>
        <v>0</v>
      </c>
      <c r="N253" s="43">
        <f>VLOOKUP(F253,[4]Hárok1!$F$200:$S$256,9,0)</f>
        <v>6</v>
      </c>
      <c r="O253" s="43">
        <f>VLOOKUP(F253,[4]Hárok1!$F$200:$S$256,10,0)</f>
        <v>10</v>
      </c>
      <c r="P253" s="44">
        <f>VLOOKUP(F253,[4]Hárok1!$F$200:$S$256,11,0)</f>
        <v>1</v>
      </c>
      <c r="Q253" s="42">
        <f>VLOOKUP(F253,[4]Hárok1!$F$200:$S$256,12,0)</f>
        <v>69</v>
      </c>
      <c r="R253" s="43">
        <f>VLOOKUP(F253,[4]Hárok1!$F$200:$S$256,13,0)</f>
        <v>151</v>
      </c>
      <c r="S253" s="44">
        <f>VLOOKUP(F253,[4]Hárok1!$F$200:$S$256,14,0)</f>
        <v>23</v>
      </c>
      <c r="T253" s="45">
        <f t="shared" si="18"/>
        <v>1005</v>
      </c>
      <c r="U253" s="46">
        <f>VLOOKUP(F253,[4]Hárok1!$F$200:$U$256,16,0)</f>
        <v>0</v>
      </c>
      <c r="V253" s="47">
        <f t="shared" si="19"/>
        <v>184.5</v>
      </c>
      <c r="W253" s="47">
        <f t="shared" si="20"/>
        <v>437</v>
      </c>
      <c r="X253" s="48">
        <f t="shared" si="21"/>
        <v>61.5</v>
      </c>
      <c r="Y253" s="49">
        <f t="shared" si="22"/>
        <v>1688</v>
      </c>
      <c r="Z253" s="50">
        <f t="shared" si="23"/>
        <v>1688</v>
      </c>
    </row>
    <row r="254" spans="1:26" x14ac:dyDescent="0.25">
      <c r="A254" s="29" t="s">
        <v>531</v>
      </c>
      <c r="B254" s="29" t="s">
        <v>79</v>
      </c>
      <c r="C254" s="29" t="s">
        <v>565</v>
      </c>
      <c r="D254" s="29">
        <v>36126624</v>
      </c>
      <c r="E254" s="32" t="s">
        <v>566</v>
      </c>
      <c r="F254" s="29">
        <v>607363</v>
      </c>
      <c r="G254" s="32" t="s">
        <v>617</v>
      </c>
      <c r="H254" s="32" t="s">
        <v>556</v>
      </c>
      <c r="I254" s="33" t="s">
        <v>618</v>
      </c>
      <c r="J254" s="42">
        <f>VLOOKUP(F254,[4]Hárok1!$F$200:$S$256,5,0)</f>
        <v>13</v>
      </c>
      <c r="K254" s="43">
        <f>VLOOKUP(F254,[4]Hárok1!$F$200:$S$256,6,0)</f>
        <v>0</v>
      </c>
      <c r="L254" s="43">
        <f>VLOOKUP(F254,[4]Hárok1!$F$200:$S$256,7,0)</f>
        <v>71</v>
      </c>
      <c r="M254" s="43">
        <f>VLOOKUP(F254,[4]Hárok1!$F$200:$S$256,8,0)</f>
        <v>0</v>
      </c>
      <c r="N254" s="43">
        <f>VLOOKUP(F254,[4]Hárok1!$F$200:$S$256,9,0)</f>
        <v>1</v>
      </c>
      <c r="O254" s="43">
        <f>VLOOKUP(F254,[4]Hárok1!$F$200:$S$256,10,0)</f>
        <v>22</v>
      </c>
      <c r="P254" s="44">
        <f>VLOOKUP(F254,[4]Hárok1!$F$200:$S$256,11,0)</f>
        <v>1</v>
      </c>
      <c r="Q254" s="42">
        <f>VLOOKUP(F254,[4]Hárok1!$F$200:$S$256,12,0)</f>
        <v>35</v>
      </c>
      <c r="R254" s="43">
        <f>VLOOKUP(F254,[4]Hárok1!$F$200:$S$256,13,0)</f>
        <v>601</v>
      </c>
      <c r="S254" s="44">
        <f>VLOOKUP(F254,[4]Hárok1!$F$200:$S$256,14,0)</f>
        <v>48</v>
      </c>
      <c r="T254" s="45">
        <f t="shared" si="18"/>
        <v>2378.5</v>
      </c>
      <c r="U254" s="46">
        <f>VLOOKUP(F254,[4]Hárok1!$F$200:$U$256,16,0)</f>
        <v>898.9</v>
      </c>
      <c r="V254" s="47">
        <f t="shared" si="19"/>
        <v>66</v>
      </c>
      <c r="W254" s="47">
        <f t="shared" si="20"/>
        <v>1499</v>
      </c>
      <c r="X254" s="48">
        <f t="shared" si="21"/>
        <v>99</v>
      </c>
      <c r="Y254" s="49">
        <f t="shared" si="22"/>
        <v>4941.3999999999996</v>
      </c>
      <c r="Z254" s="50">
        <f t="shared" si="23"/>
        <v>4941</v>
      </c>
    </row>
    <row r="255" spans="1:26" x14ac:dyDescent="0.25">
      <c r="A255" s="29" t="s">
        <v>531</v>
      </c>
      <c r="B255" s="29" t="s">
        <v>79</v>
      </c>
      <c r="C255" s="29" t="s">
        <v>565</v>
      </c>
      <c r="D255" s="29">
        <v>36126624</v>
      </c>
      <c r="E255" s="32" t="s">
        <v>566</v>
      </c>
      <c r="F255" s="29">
        <v>161438</v>
      </c>
      <c r="G255" s="32" t="s">
        <v>119</v>
      </c>
      <c r="H255" s="32" t="s">
        <v>556</v>
      </c>
      <c r="I255" s="33" t="s">
        <v>619</v>
      </c>
      <c r="J255" s="42">
        <f>VLOOKUP(F255,[4]Hárok1!$F$200:$S$256,5,0)</f>
        <v>24</v>
      </c>
      <c r="K255" s="43">
        <f>VLOOKUP(F255,[4]Hárok1!$F$200:$S$256,6,0)</f>
        <v>0</v>
      </c>
      <c r="L255" s="43">
        <f>VLOOKUP(F255,[4]Hárok1!$F$200:$S$256,7,0)</f>
        <v>85</v>
      </c>
      <c r="M255" s="43">
        <f>VLOOKUP(F255,[4]Hárok1!$F$200:$S$256,8,0)</f>
        <v>0</v>
      </c>
      <c r="N255" s="43">
        <f>VLOOKUP(F255,[4]Hárok1!$F$200:$S$256,9,0)</f>
        <v>1</v>
      </c>
      <c r="O255" s="43">
        <f>VLOOKUP(F255,[4]Hárok1!$F$200:$S$256,10,0)</f>
        <v>34</v>
      </c>
      <c r="P255" s="44">
        <f>VLOOKUP(F255,[4]Hárok1!$F$200:$S$256,11,0)</f>
        <v>3</v>
      </c>
      <c r="Q255" s="42">
        <f>VLOOKUP(F255,[4]Hárok1!$F$200:$S$256,12,0)</f>
        <v>6</v>
      </c>
      <c r="R255" s="43">
        <f>VLOOKUP(F255,[4]Hárok1!$F$200:$S$256,13,0)</f>
        <v>647</v>
      </c>
      <c r="S255" s="44">
        <f>VLOOKUP(F255,[4]Hárok1!$F$200:$S$256,14,0)</f>
        <v>269</v>
      </c>
      <c r="T255" s="45">
        <f t="shared" si="18"/>
        <v>2847.5</v>
      </c>
      <c r="U255" s="46">
        <f>VLOOKUP(F255,[4]Hárok1!$F$200:$U$256,16,0)</f>
        <v>1434.93</v>
      </c>
      <c r="V255" s="47">
        <f t="shared" si="19"/>
        <v>22.5</v>
      </c>
      <c r="W255" s="47">
        <f t="shared" si="20"/>
        <v>1753</v>
      </c>
      <c r="X255" s="48">
        <f t="shared" si="21"/>
        <v>484.5</v>
      </c>
      <c r="Y255" s="49">
        <f t="shared" si="22"/>
        <v>6542.43</v>
      </c>
      <c r="Z255" s="50">
        <f t="shared" si="23"/>
        <v>6542</v>
      </c>
    </row>
    <row r="256" spans="1:26" x14ac:dyDescent="0.25">
      <c r="A256" s="29" t="s">
        <v>531</v>
      </c>
      <c r="B256" s="29" t="s">
        <v>181</v>
      </c>
      <c r="C256" s="29" t="s">
        <v>620</v>
      </c>
      <c r="D256" s="29">
        <v>677574</v>
      </c>
      <c r="E256" s="32" t="s">
        <v>621</v>
      </c>
      <c r="F256" s="29">
        <v>17643066</v>
      </c>
      <c r="G256" s="32" t="s">
        <v>622</v>
      </c>
      <c r="H256" s="32" t="s">
        <v>542</v>
      </c>
      <c r="I256" s="33" t="s">
        <v>623</v>
      </c>
      <c r="J256" s="42">
        <f>VLOOKUP(F256,[4]Hárok1!$F$200:$S$256,5,0)</f>
        <v>7</v>
      </c>
      <c r="K256" s="43">
        <f>VLOOKUP(F256,[4]Hárok1!$F$200:$S$256,6,0)</f>
        <v>0</v>
      </c>
      <c r="L256" s="43">
        <f>VLOOKUP(F256,[4]Hárok1!$F$200:$S$256,7,0)</f>
        <v>30</v>
      </c>
      <c r="M256" s="43">
        <f>VLOOKUP(F256,[4]Hárok1!$F$200:$S$256,8,0)</f>
        <v>0</v>
      </c>
      <c r="N256" s="43">
        <f>VLOOKUP(F256,[4]Hárok1!$F$200:$S$256,9,0)</f>
        <v>2</v>
      </c>
      <c r="O256" s="43">
        <f>VLOOKUP(F256,[4]Hárok1!$F$200:$S$256,10,0)</f>
        <v>8</v>
      </c>
      <c r="P256" s="44">
        <f>VLOOKUP(F256,[4]Hárok1!$F$200:$S$256,11,0)</f>
        <v>1</v>
      </c>
      <c r="Q256" s="42">
        <f>VLOOKUP(F256,[4]Hárok1!$F$200:$S$256,12,0)</f>
        <v>26</v>
      </c>
      <c r="R256" s="43">
        <f>VLOOKUP(F256,[4]Hárok1!$F$200:$S$256,13,0)</f>
        <v>180</v>
      </c>
      <c r="S256" s="44">
        <f>VLOOKUP(F256,[4]Hárok1!$F$200:$S$256,14,0)</f>
        <v>74</v>
      </c>
      <c r="T256" s="45">
        <f t="shared" si="18"/>
        <v>1005</v>
      </c>
      <c r="U256" s="46">
        <f>VLOOKUP(F256,[4]Hárok1!$F$200:$U$256,16,0)</f>
        <v>0</v>
      </c>
      <c r="V256" s="47">
        <f t="shared" si="19"/>
        <v>66</v>
      </c>
      <c r="W256" s="47">
        <f t="shared" si="20"/>
        <v>468</v>
      </c>
      <c r="X256" s="48">
        <f t="shared" si="21"/>
        <v>138</v>
      </c>
      <c r="Y256" s="49">
        <f t="shared" si="22"/>
        <v>1677</v>
      </c>
      <c r="Z256" s="50">
        <f t="shared" si="23"/>
        <v>1677</v>
      </c>
    </row>
    <row r="257" spans="1:26" x14ac:dyDescent="0.25">
      <c r="A257" s="29" t="s">
        <v>531</v>
      </c>
      <c r="B257" s="29" t="s">
        <v>226</v>
      </c>
      <c r="C257" s="29" t="s">
        <v>624</v>
      </c>
      <c r="D257" s="29">
        <v>36323373</v>
      </c>
      <c r="E257" s="32" t="s">
        <v>625</v>
      </c>
      <c r="F257" s="29">
        <v>37922866</v>
      </c>
      <c r="G257" s="32" t="s">
        <v>328</v>
      </c>
      <c r="H257" s="32" t="s">
        <v>626</v>
      </c>
      <c r="I257" s="33" t="s">
        <v>627</v>
      </c>
      <c r="J257" s="42">
        <f>VLOOKUP(F257,[4]Hárok1!$F$200:$S$256,5,0)</f>
        <v>2</v>
      </c>
      <c r="K257" s="43">
        <f>VLOOKUP(F257,[4]Hárok1!$F$200:$S$256,6,0)</f>
        <v>0</v>
      </c>
      <c r="L257" s="43">
        <f>VLOOKUP(F257,[4]Hárok1!$F$200:$S$256,7,0)</f>
        <v>5</v>
      </c>
      <c r="M257" s="43">
        <f>VLOOKUP(F257,[4]Hárok1!$F$200:$S$256,8,0)</f>
        <v>0</v>
      </c>
      <c r="N257" s="43">
        <f>VLOOKUP(F257,[4]Hárok1!$F$200:$S$256,9,0)</f>
        <v>0</v>
      </c>
      <c r="O257" s="43">
        <f>VLOOKUP(F257,[4]Hárok1!$F$200:$S$256,10,0)</f>
        <v>3</v>
      </c>
      <c r="P257" s="44">
        <f>VLOOKUP(F257,[4]Hárok1!$F$200:$S$256,11,0)</f>
        <v>0</v>
      </c>
      <c r="Q257" s="42">
        <f>VLOOKUP(F257,[4]Hárok1!$F$200:$S$256,12,0)</f>
        <v>0</v>
      </c>
      <c r="R257" s="43">
        <f>VLOOKUP(F257,[4]Hárok1!$F$200:$S$256,13,0)</f>
        <v>65</v>
      </c>
      <c r="S257" s="44">
        <f>VLOOKUP(F257,[4]Hárok1!$F$200:$S$256,14,0)</f>
        <v>0</v>
      </c>
      <c r="T257" s="45">
        <f t="shared" si="18"/>
        <v>167.5</v>
      </c>
      <c r="U257" s="46">
        <f>VLOOKUP(F257,[4]Hárok1!$F$200:$U$256,16,0)</f>
        <v>27</v>
      </c>
      <c r="V257" s="47">
        <f t="shared" si="19"/>
        <v>0</v>
      </c>
      <c r="W257" s="47">
        <f t="shared" si="20"/>
        <v>170.5</v>
      </c>
      <c r="X257" s="48">
        <f t="shared" si="21"/>
        <v>0</v>
      </c>
      <c r="Y257" s="49">
        <f t="shared" si="22"/>
        <v>365</v>
      </c>
      <c r="Z257" s="50">
        <f t="shared" si="23"/>
        <v>365</v>
      </c>
    </row>
    <row r="258" spans="1:26" x14ac:dyDescent="0.25">
      <c r="A258" s="29" t="s">
        <v>531</v>
      </c>
      <c r="B258" s="29" t="s">
        <v>226</v>
      </c>
      <c r="C258" s="29" t="s">
        <v>628</v>
      </c>
      <c r="D258" s="29">
        <v>37922688</v>
      </c>
      <c r="E258" s="32" t="s">
        <v>629</v>
      </c>
      <c r="F258" s="29">
        <v>42019427</v>
      </c>
      <c r="G258" s="32" t="s">
        <v>229</v>
      </c>
      <c r="H258" s="32" t="s">
        <v>556</v>
      </c>
      <c r="I258" s="33" t="s">
        <v>630</v>
      </c>
      <c r="J258" s="42">
        <f>VLOOKUP(F258,[4]Hárok1!$F$200:$S$256,5,0)</f>
        <v>0</v>
      </c>
      <c r="K258" s="43">
        <f>VLOOKUP(F258,[4]Hárok1!$F$200:$S$256,6,0)</f>
        <v>0</v>
      </c>
      <c r="L258" s="43">
        <f>VLOOKUP(F258,[4]Hárok1!$F$200:$S$256,7,0)</f>
        <v>0</v>
      </c>
      <c r="M258" s="43">
        <f>VLOOKUP(F258,[4]Hárok1!$F$200:$S$256,8,0)</f>
        <v>0</v>
      </c>
      <c r="N258" s="43">
        <f>VLOOKUP(F258,[4]Hárok1!$F$200:$S$256,9,0)</f>
        <v>0</v>
      </c>
      <c r="O258" s="43">
        <f>VLOOKUP(F258,[4]Hárok1!$F$200:$S$256,10,0)</f>
        <v>0</v>
      </c>
      <c r="P258" s="44">
        <f>VLOOKUP(F258,[4]Hárok1!$F$200:$S$256,11,0)</f>
        <v>0</v>
      </c>
      <c r="Q258" s="42">
        <f>VLOOKUP(F258,[4]Hárok1!$F$200:$S$256,12,0)</f>
        <v>0</v>
      </c>
      <c r="R258" s="43">
        <f>VLOOKUP(F258,[4]Hárok1!$F$200:$S$256,13,0)</f>
        <v>0</v>
      </c>
      <c r="S258" s="44">
        <f>VLOOKUP(F258,[4]Hárok1!$F$200:$S$256,14,0)</f>
        <v>0</v>
      </c>
      <c r="T258" s="45">
        <f t="shared" si="18"/>
        <v>0</v>
      </c>
      <c r="U258" s="46">
        <f>VLOOKUP(F258,[4]Hárok1!$F$200:$U$256,16,0)</f>
        <v>0</v>
      </c>
      <c r="V258" s="47">
        <f t="shared" si="19"/>
        <v>0</v>
      </c>
      <c r="W258" s="47">
        <f t="shared" si="20"/>
        <v>0</v>
      </c>
      <c r="X258" s="48">
        <f t="shared" si="21"/>
        <v>0</v>
      </c>
      <c r="Y258" s="49">
        <f t="shared" si="22"/>
        <v>0</v>
      </c>
      <c r="Z258" s="50">
        <f t="shared" si="23"/>
        <v>0</v>
      </c>
    </row>
    <row r="259" spans="1:26" x14ac:dyDescent="0.25">
      <c r="A259" s="29" t="s">
        <v>531</v>
      </c>
      <c r="B259" s="29" t="s">
        <v>226</v>
      </c>
      <c r="C259" s="29" t="s">
        <v>631</v>
      </c>
      <c r="D259" s="29">
        <v>47337915</v>
      </c>
      <c r="E259" s="32" t="s">
        <v>632</v>
      </c>
      <c r="F259" s="29">
        <v>42378699</v>
      </c>
      <c r="G259" s="32" t="s">
        <v>313</v>
      </c>
      <c r="H259" s="32" t="s">
        <v>549</v>
      </c>
      <c r="I259" s="33" t="s">
        <v>633</v>
      </c>
      <c r="J259" s="42">
        <f>VLOOKUP(F259,[4]Hárok1!$F$200:$S$256,5,0)</f>
        <v>0</v>
      </c>
      <c r="K259" s="43">
        <f>VLOOKUP(F259,[4]Hárok1!$F$200:$S$256,6,0)</f>
        <v>0</v>
      </c>
      <c r="L259" s="43">
        <f>VLOOKUP(F259,[4]Hárok1!$F$200:$S$256,7,0)</f>
        <v>0</v>
      </c>
      <c r="M259" s="43">
        <f>VLOOKUP(F259,[4]Hárok1!$F$200:$S$256,8,0)</f>
        <v>0</v>
      </c>
      <c r="N259" s="43">
        <f>VLOOKUP(F259,[4]Hárok1!$F$200:$S$256,9,0)</f>
        <v>0</v>
      </c>
      <c r="O259" s="43">
        <f>VLOOKUP(F259,[4]Hárok1!$F$200:$S$256,10,0)</f>
        <v>0</v>
      </c>
      <c r="P259" s="44">
        <f>VLOOKUP(F259,[4]Hárok1!$F$200:$S$256,11,0)</f>
        <v>0</v>
      </c>
      <c r="Q259" s="42">
        <f>VLOOKUP(F259,[4]Hárok1!$F$200:$S$256,12,0)</f>
        <v>0</v>
      </c>
      <c r="R259" s="43">
        <f>VLOOKUP(F259,[4]Hárok1!$F$200:$S$256,13,0)</f>
        <v>0</v>
      </c>
      <c r="S259" s="44">
        <f>VLOOKUP(F259,[4]Hárok1!$F$200:$S$256,14,0)</f>
        <v>0</v>
      </c>
      <c r="T259" s="45">
        <f t="shared" si="18"/>
        <v>0</v>
      </c>
      <c r="U259" s="46">
        <f>VLOOKUP(F259,[4]Hárok1!$F$200:$U$256,16,0)</f>
        <v>0</v>
      </c>
      <c r="V259" s="47">
        <f t="shared" si="19"/>
        <v>0</v>
      </c>
      <c r="W259" s="47">
        <f t="shared" si="20"/>
        <v>0</v>
      </c>
      <c r="X259" s="48">
        <f t="shared" si="21"/>
        <v>0</v>
      </c>
      <c r="Y259" s="49">
        <f t="shared" si="22"/>
        <v>0</v>
      </c>
      <c r="Z259" s="50">
        <f t="shared" si="23"/>
        <v>0</v>
      </c>
    </row>
    <row r="260" spans="1:26" x14ac:dyDescent="0.25">
      <c r="A260" s="29" t="s">
        <v>634</v>
      </c>
      <c r="B260" s="29" t="s">
        <v>43</v>
      </c>
      <c r="C260" s="29" t="s">
        <v>635</v>
      </c>
      <c r="D260" s="30">
        <v>54130590</v>
      </c>
      <c r="E260" s="31" t="s">
        <v>636</v>
      </c>
      <c r="F260" s="29">
        <v>350362</v>
      </c>
      <c r="G260" s="32" t="s">
        <v>64</v>
      </c>
      <c r="H260" s="32" t="s">
        <v>637</v>
      </c>
      <c r="I260" s="33" t="s">
        <v>638</v>
      </c>
      <c r="J260" s="42">
        <f>VLOOKUP($F$260,[5]Hárok1!$F$4:$S$93,5,0)</f>
        <v>0</v>
      </c>
      <c r="K260" s="43">
        <f>VLOOKUP($F$260,[5]Hárok1!$F$4:$S$93,6,0)</f>
        <v>0</v>
      </c>
      <c r="L260" s="43">
        <f>VLOOKUP($F$260,[5]Hárok1!$F$4:$S$93,7,0)</f>
        <v>0</v>
      </c>
      <c r="M260" s="43">
        <f>VLOOKUP($F$260,[5]Hárok1!$F$4:$S$93,8,0)</f>
        <v>0</v>
      </c>
      <c r="N260" s="43">
        <f>VLOOKUP($F$260,[5]Hárok1!$F$4:$S$93,9,0)</f>
        <v>0</v>
      </c>
      <c r="O260" s="43">
        <f>VLOOKUP($F$260,[5]Hárok1!$F$4:$S$93,10,0)</f>
        <v>0</v>
      </c>
      <c r="P260" s="44">
        <f>VLOOKUP($F$260,[5]Hárok1!$F$4:$S$93,11,0)</f>
        <v>0</v>
      </c>
      <c r="Q260" s="42">
        <f>VLOOKUP($F$260,[5]Hárok1!$F$4:$S$93,12,0)</f>
        <v>0</v>
      </c>
      <c r="R260" s="43">
        <f>VLOOKUP($F$260,[5]Hárok1!$F$4:$S$93,13,0)</f>
        <v>0</v>
      </c>
      <c r="S260" s="44">
        <f>VLOOKUP($F$260,[5]Hárok1!$F$4:$S$93,14,0)</f>
        <v>0</v>
      </c>
      <c r="T260" s="45">
        <f t="shared" si="18"/>
        <v>0</v>
      </c>
      <c r="U260" s="46">
        <f>VLOOKUP(F260,[5]Hárok1!$F$4:$U$93,16,0)</f>
        <v>0</v>
      </c>
      <c r="V260" s="47">
        <f t="shared" si="19"/>
        <v>0</v>
      </c>
      <c r="W260" s="47">
        <f t="shared" si="20"/>
        <v>0</v>
      </c>
      <c r="X260" s="48">
        <f t="shared" si="21"/>
        <v>0</v>
      </c>
      <c r="Y260" s="49">
        <f t="shared" si="22"/>
        <v>0</v>
      </c>
      <c r="Z260" s="50">
        <f t="shared" si="23"/>
        <v>0</v>
      </c>
    </row>
    <row r="261" spans="1:26" x14ac:dyDescent="0.25">
      <c r="A261" s="29" t="s">
        <v>634</v>
      </c>
      <c r="B261" s="29" t="s">
        <v>43</v>
      </c>
      <c r="C261" s="29" t="s">
        <v>635</v>
      </c>
      <c r="D261" s="30">
        <v>54130590</v>
      </c>
      <c r="E261" s="31" t="s">
        <v>636</v>
      </c>
      <c r="F261" s="29">
        <v>31874312</v>
      </c>
      <c r="G261" s="32" t="s">
        <v>64</v>
      </c>
      <c r="H261" s="32" t="s">
        <v>639</v>
      </c>
      <c r="I261" s="33" t="s">
        <v>640</v>
      </c>
      <c r="J261" s="42">
        <f>VLOOKUP(F261,[5]Hárok1!$F$4:$S$93,5,0)</f>
        <v>1</v>
      </c>
      <c r="K261" s="43">
        <f>VLOOKUP(F261,[5]Hárok1!$F$4:$S$93,6,0)</f>
        <v>0</v>
      </c>
      <c r="L261" s="43">
        <f>VLOOKUP(F261,[5]Hárok1!$F$4:$S$93,7,0)</f>
        <v>7</v>
      </c>
      <c r="M261" s="43">
        <f>VLOOKUP(F261,[5]Hárok1!$F$4:$S$93,8,0)</f>
        <v>0</v>
      </c>
      <c r="N261" s="43">
        <f>VLOOKUP(F261,[5]Hárok1!$F$4:$S$93,9,0)</f>
        <v>0</v>
      </c>
      <c r="O261" s="43">
        <f>VLOOKUP(F261,[5]Hárok1!$F$4:$S$93,10,0)</f>
        <v>4</v>
      </c>
      <c r="P261" s="44">
        <f>VLOOKUP(F261,[5]Hárok1!$F$4:$S$93,11,0)</f>
        <v>0</v>
      </c>
      <c r="Q261" s="42">
        <f>VLOOKUP(F261,[5]Hárok1!$F$4:$S$93,12,0)</f>
        <v>0</v>
      </c>
      <c r="R261" s="43">
        <f>VLOOKUP(F261,[5]Hárok1!$F$4:$S$93,13,0)</f>
        <v>27</v>
      </c>
      <c r="S261" s="44">
        <f>VLOOKUP(F261,[5]Hárok1!$F$4:$S$93,14,0)</f>
        <v>0</v>
      </c>
      <c r="T261" s="45">
        <f t="shared" ref="T261:T325" si="24">$T$1*L261</f>
        <v>234.5</v>
      </c>
      <c r="U261" s="46">
        <f>VLOOKUP(F261,[5]Hárok1!$F$4:$U$93,16,0)</f>
        <v>0</v>
      </c>
      <c r="V261" s="47">
        <f t="shared" si="19"/>
        <v>0</v>
      </c>
      <c r="W261" s="47">
        <f t="shared" si="20"/>
        <v>108</v>
      </c>
      <c r="X261" s="48">
        <f t="shared" si="21"/>
        <v>0</v>
      </c>
      <c r="Y261" s="49">
        <f t="shared" si="22"/>
        <v>342.5</v>
      </c>
      <c r="Z261" s="50">
        <f t="shared" si="23"/>
        <v>343</v>
      </c>
    </row>
    <row r="262" spans="1:26" x14ac:dyDescent="0.25">
      <c r="A262" s="29" t="s">
        <v>634</v>
      </c>
      <c r="B262" s="29" t="s">
        <v>43</v>
      </c>
      <c r="C262" s="29" t="s">
        <v>635</v>
      </c>
      <c r="D262" s="30">
        <v>54130590</v>
      </c>
      <c r="E262" s="31" t="s">
        <v>636</v>
      </c>
      <c r="F262" s="29">
        <v>515485</v>
      </c>
      <c r="G262" s="32" t="s">
        <v>536</v>
      </c>
      <c r="H262" s="32" t="s">
        <v>641</v>
      </c>
      <c r="I262" s="33" t="s">
        <v>642</v>
      </c>
      <c r="J262" s="42">
        <f>VLOOKUP(F262,[5]Hárok1!$F$4:$S$93,5,0)</f>
        <v>1</v>
      </c>
      <c r="K262" s="43">
        <f>VLOOKUP(F262,[5]Hárok1!$F$4:$S$93,6,0)</f>
        <v>0</v>
      </c>
      <c r="L262" s="43">
        <f>VLOOKUP(F262,[5]Hárok1!$F$4:$S$93,7,0)</f>
        <v>5</v>
      </c>
      <c r="M262" s="43">
        <f>VLOOKUP(F262,[5]Hárok1!$F$4:$S$93,8,0)</f>
        <v>0</v>
      </c>
      <c r="N262" s="43">
        <f>VLOOKUP(F262,[5]Hárok1!$F$4:$S$93,9,0)</f>
        <v>0</v>
      </c>
      <c r="O262" s="43">
        <f>VLOOKUP(F262,[5]Hárok1!$F$4:$S$93,10,0)</f>
        <v>3</v>
      </c>
      <c r="P262" s="44">
        <f>VLOOKUP(F262,[5]Hárok1!$F$4:$S$93,11,0)</f>
        <v>0</v>
      </c>
      <c r="Q262" s="42">
        <f>VLOOKUP(F262,[5]Hárok1!$F$4:$S$93,12,0)</f>
        <v>0</v>
      </c>
      <c r="R262" s="43">
        <f>VLOOKUP(F262,[5]Hárok1!$F$4:$S$93,13,0)</f>
        <v>23</v>
      </c>
      <c r="S262" s="44">
        <f>VLOOKUP(F262,[5]Hárok1!$F$4:$S$93,14,0)</f>
        <v>0</v>
      </c>
      <c r="T262" s="45">
        <f t="shared" si="24"/>
        <v>167.5</v>
      </c>
      <c r="U262" s="46">
        <f>VLOOKUP(F262,[5]Hárok1!$F$4:$U$93,16,0)</f>
        <v>0</v>
      </c>
      <c r="V262" s="47">
        <f t="shared" ref="V262:V326" si="25">$U$1*N262+$V$1*Q262</f>
        <v>0</v>
      </c>
      <c r="W262" s="47">
        <f t="shared" ref="W262:W326" si="26">$U$1*O262+$W$1*R262</f>
        <v>86.5</v>
      </c>
      <c r="X262" s="48">
        <f t="shared" ref="X262:X326" si="27">$X$1*P262+$V$1*S262</f>
        <v>0</v>
      </c>
      <c r="Y262" s="49">
        <f t="shared" ref="Y262:Y326" si="28">T262+U262+V262+W262+X262</f>
        <v>254</v>
      </c>
      <c r="Z262" s="50">
        <f t="shared" ref="Z262:Z326" si="29">ROUND(Y262,0)</f>
        <v>254</v>
      </c>
    </row>
    <row r="263" spans="1:26" x14ac:dyDescent="0.25">
      <c r="A263" s="29" t="s">
        <v>634</v>
      </c>
      <c r="B263" s="29" t="s">
        <v>43</v>
      </c>
      <c r="C263" s="29" t="s">
        <v>635</v>
      </c>
      <c r="D263" s="30">
        <v>54130590</v>
      </c>
      <c r="E263" s="31" t="s">
        <v>636</v>
      </c>
      <c r="F263" s="29">
        <v>160253</v>
      </c>
      <c r="G263" s="32" t="s">
        <v>49</v>
      </c>
      <c r="H263" s="32" t="s">
        <v>643</v>
      </c>
      <c r="I263" s="33" t="s">
        <v>644</v>
      </c>
      <c r="J263" s="42">
        <f>VLOOKUP(F263,[5]Hárok1!$F$4:$S$93,5,0)</f>
        <v>14</v>
      </c>
      <c r="K263" s="43">
        <f>VLOOKUP(F263,[5]Hárok1!$F$4:$S$93,6,0)</f>
        <v>0</v>
      </c>
      <c r="L263" s="43">
        <f>VLOOKUP(F263,[5]Hárok1!$F$4:$S$93,7,0)</f>
        <v>47</v>
      </c>
      <c r="M263" s="43">
        <f>VLOOKUP(F263,[5]Hárok1!$F$4:$S$93,8,0)</f>
        <v>0</v>
      </c>
      <c r="N263" s="43">
        <f>VLOOKUP(F263,[5]Hárok1!$F$4:$S$93,9,0)</f>
        <v>0</v>
      </c>
      <c r="O263" s="43">
        <f>VLOOKUP(F263,[5]Hárok1!$F$4:$S$93,10,0)</f>
        <v>19</v>
      </c>
      <c r="P263" s="44">
        <f>VLOOKUP(F263,[5]Hárok1!$F$4:$S$93,11,0)</f>
        <v>1</v>
      </c>
      <c r="Q263" s="42">
        <f>VLOOKUP(F263,[5]Hárok1!$F$4:$S$93,12,0)</f>
        <v>0</v>
      </c>
      <c r="R263" s="43">
        <f>VLOOKUP(F263,[5]Hárok1!$F$4:$S$93,13,0)</f>
        <v>317</v>
      </c>
      <c r="S263" s="44">
        <f>VLOOKUP(F263,[5]Hárok1!$F$4:$S$93,14,0)</f>
        <v>99</v>
      </c>
      <c r="T263" s="45">
        <f t="shared" si="24"/>
        <v>1574.5</v>
      </c>
      <c r="U263" s="46">
        <f>VLOOKUP(F263,[5]Hárok1!$F$4:$U$93,16,0)</f>
        <v>0</v>
      </c>
      <c r="V263" s="47">
        <f t="shared" si="25"/>
        <v>0</v>
      </c>
      <c r="W263" s="47">
        <f t="shared" si="26"/>
        <v>890.5</v>
      </c>
      <c r="X263" s="48">
        <f t="shared" si="27"/>
        <v>175.5</v>
      </c>
      <c r="Y263" s="49">
        <f t="shared" si="28"/>
        <v>2640.5</v>
      </c>
      <c r="Z263" s="50">
        <f t="shared" si="29"/>
        <v>2641</v>
      </c>
    </row>
    <row r="264" spans="1:26" x14ac:dyDescent="0.25">
      <c r="A264" s="29" t="s">
        <v>634</v>
      </c>
      <c r="B264" s="29" t="s">
        <v>43</v>
      </c>
      <c r="C264" s="29" t="s">
        <v>635</v>
      </c>
      <c r="D264" s="30">
        <v>54130590</v>
      </c>
      <c r="E264" s="31" t="s">
        <v>636</v>
      </c>
      <c r="F264" s="29">
        <v>162868</v>
      </c>
      <c r="G264" s="32" t="s">
        <v>64</v>
      </c>
      <c r="H264" s="32" t="s">
        <v>643</v>
      </c>
      <c r="I264" s="33" t="s">
        <v>645</v>
      </c>
      <c r="J264" s="42">
        <f>VLOOKUP(F264,[5]Hárok1!$F$4:$S$93,5,0)</f>
        <v>0</v>
      </c>
      <c r="K264" s="43">
        <f>VLOOKUP(F264,[5]Hárok1!$F$4:$S$93,6,0)</f>
        <v>0</v>
      </c>
      <c r="L264" s="43">
        <f>VLOOKUP(F264,[5]Hárok1!$F$4:$S$93,7,0)</f>
        <v>0</v>
      </c>
      <c r="M264" s="43">
        <f>VLOOKUP(F264,[5]Hárok1!$F$4:$S$93,8,0)</f>
        <v>0</v>
      </c>
      <c r="N264" s="43">
        <f>VLOOKUP(F264,[5]Hárok1!$F$4:$S$93,9,0)</f>
        <v>0</v>
      </c>
      <c r="O264" s="43">
        <f>VLOOKUP(F264,[5]Hárok1!$F$4:$S$93,10,0)</f>
        <v>0</v>
      </c>
      <c r="P264" s="44">
        <f>VLOOKUP(F264,[5]Hárok1!$F$4:$S$93,11,0)</f>
        <v>0</v>
      </c>
      <c r="Q264" s="42">
        <f>VLOOKUP(F264,[5]Hárok1!$F$4:$S$93,12,0)</f>
        <v>0</v>
      </c>
      <c r="R264" s="43">
        <f>VLOOKUP(F264,[5]Hárok1!$F$4:$S$93,13,0)</f>
        <v>0</v>
      </c>
      <c r="S264" s="44">
        <f>VLOOKUP(F264,[5]Hárok1!$F$4:$S$93,14,0)</f>
        <v>0</v>
      </c>
      <c r="T264" s="45">
        <f t="shared" si="24"/>
        <v>0</v>
      </c>
      <c r="U264" s="46">
        <f>VLOOKUP(F264,[5]Hárok1!$F$4:$U$93,16,0)</f>
        <v>0</v>
      </c>
      <c r="V264" s="47">
        <f t="shared" si="25"/>
        <v>0</v>
      </c>
      <c r="W264" s="47">
        <f t="shared" si="26"/>
        <v>0</v>
      </c>
      <c r="X264" s="48">
        <f t="shared" si="27"/>
        <v>0</v>
      </c>
      <c r="Y264" s="49">
        <f t="shared" si="28"/>
        <v>0</v>
      </c>
      <c r="Z264" s="50">
        <f t="shared" si="29"/>
        <v>0</v>
      </c>
    </row>
    <row r="265" spans="1:26" x14ac:dyDescent="0.25">
      <c r="A265" s="29" t="s">
        <v>634</v>
      </c>
      <c r="B265" s="29" t="s">
        <v>43</v>
      </c>
      <c r="C265" s="29" t="s">
        <v>635</v>
      </c>
      <c r="D265" s="30">
        <v>54130590</v>
      </c>
      <c r="E265" s="31" t="s">
        <v>636</v>
      </c>
      <c r="F265" s="29">
        <v>500801</v>
      </c>
      <c r="G265" s="32" t="s">
        <v>536</v>
      </c>
      <c r="H265" s="32" t="s">
        <v>646</v>
      </c>
      <c r="I265" s="33" t="s">
        <v>647</v>
      </c>
      <c r="J265" s="42">
        <f>VLOOKUP(F265,[5]Hárok1!$F$4:$S$93,5,0)</f>
        <v>1</v>
      </c>
      <c r="K265" s="43">
        <f>VLOOKUP(F265,[5]Hárok1!$F$4:$S$93,6,0)</f>
        <v>0</v>
      </c>
      <c r="L265" s="43">
        <f>VLOOKUP(F265,[5]Hárok1!$F$4:$S$93,7,0)</f>
        <v>3</v>
      </c>
      <c r="M265" s="43">
        <f>VLOOKUP(F265,[5]Hárok1!$F$4:$S$93,8,0)</f>
        <v>0</v>
      </c>
      <c r="N265" s="43">
        <f>VLOOKUP(F265,[5]Hárok1!$F$4:$S$93,9,0)</f>
        <v>0</v>
      </c>
      <c r="O265" s="43">
        <f>VLOOKUP(F265,[5]Hárok1!$F$4:$S$93,10,0)</f>
        <v>1</v>
      </c>
      <c r="P265" s="44">
        <f>VLOOKUP(F265,[5]Hárok1!$F$4:$S$93,11,0)</f>
        <v>0</v>
      </c>
      <c r="Q265" s="42">
        <f>VLOOKUP(F265,[5]Hárok1!$F$4:$S$93,12,0)</f>
        <v>0</v>
      </c>
      <c r="R265" s="43">
        <f>VLOOKUP(F265,[5]Hárok1!$F$4:$S$93,13,0)</f>
        <v>8</v>
      </c>
      <c r="S265" s="44">
        <f>VLOOKUP(F265,[5]Hárok1!$F$4:$S$93,14,0)</f>
        <v>0</v>
      </c>
      <c r="T265" s="45">
        <f t="shared" si="24"/>
        <v>100.5</v>
      </c>
      <c r="U265" s="46">
        <f>VLOOKUP(F265,[5]Hárok1!$F$4:$U$93,16,0)</f>
        <v>0</v>
      </c>
      <c r="V265" s="47">
        <f t="shared" si="25"/>
        <v>0</v>
      </c>
      <c r="W265" s="47">
        <f t="shared" si="26"/>
        <v>29.5</v>
      </c>
      <c r="X265" s="48">
        <f t="shared" si="27"/>
        <v>0</v>
      </c>
      <c r="Y265" s="49">
        <f t="shared" si="28"/>
        <v>130</v>
      </c>
      <c r="Z265" s="50">
        <f t="shared" si="29"/>
        <v>130</v>
      </c>
    </row>
    <row r="266" spans="1:26" x14ac:dyDescent="0.25">
      <c r="A266" s="29" t="s">
        <v>634</v>
      </c>
      <c r="B266" s="29" t="s">
        <v>43</v>
      </c>
      <c r="C266" s="29" t="s">
        <v>635</v>
      </c>
      <c r="D266" s="30">
        <v>54130590</v>
      </c>
      <c r="E266" s="31" t="s">
        <v>636</v>
      </c>
      <c r="F266" s="29">
        <v>182249</v>
      </c>
      <c r="G266" s="32" t="s">
        <v>64</v>
      </c>
      <c r="H266" s="32" t="s">
        <v>648</v>
      </c>
      <c r="I266" s="33" t="s">
        <v>649</v>
      </c>
      <c r="J266" s="42">
        <f>VLOOKUP(F266,[5]Hárok1!$F$4:$S$93,5,0)</f>
        <v>0</v>
      </c>
      <c r="K266" s="43">
        <f>VLOOKUP(F266,[5]Hárok1!$F$4:$S$93,6,0)</f>
        <v>0</v>
      </c>
      <c r="L266" s="43">
        <f>VLOOKUP(F266,[5]Hárok1!$F$4:$S$93,7,0)</f>
        <v>0</v>
      </c>
      <c r="M266" s="43">
        <f>VLOOKUP(F266,[5]Hárok1!$F$4:$S$93,8,0)</f>
        <v>0</v>
      </c>
      <c r="N266" s="43">
        <f>VLOOKUP(F266,[5]Hárok1!$F$4:$S$93,9,0)</f>
        <v>0</v>
      </c>
      <c r="O266" s="43">
        <f>VLOOKUP(F266,[5]Hárok1!$F$4:$S$93,10,0)</f>
        <v>0</v>
      </c>
      <c r="P266" s="44">
        <f>VLOOKUP(F266,[5]Hárok1!$F$4:$S$93,11,0)</f>
        <v>0</v>
      </c>
      <c r="Q266" s="42">
        <f>VLOOKUP(F266,[5]Hárok1!$F$4:$S$93,12,0)</f>
        <v>0</v>
      </c>
      <c r="R266" s="43">
        <f>VLOOKUP(F266,[5]Hárok1!$F$4:$S$93,13,0)</f>
        <v>0</v>
      </c>
      <c r="S266" s="44">
        <f>VLOOKUP(F266,[5]Hárok1!$F$4:$S$93,14,0)</f>
        <v>0</v>
      </c>
      <c r="T266" s="45">
        <f t="shared" si="24"/>
        <v>0</v>
      </c>
      <c r="U266" s="46">
        <f>VLOOKUP(F266,[5]Hárok1!$F$4:$U$93,16,0)</f>
        <v>0</v>
      </c>
      <c r="V266" s="47">
        <f t="shared" si="25"/>
        <v>0</v>
      </c>
      <c r="W266" s="47">
        <f t="shared" si="26"/>
        <v>0</v>
      </c>
      <c r="X266" s="48">
        <f t="shared" si="27"/>
        <v>0</v>
      </c>
      <c r="Y266" s="49">
        <f t="shared" si="28"/>
        <v>0</v>
      </c>
      <c r="Z266" s="50">
        <f t="shared" si="29"/>
        <v>0</v>
      </c>
    </row>
    <row r="267" spans="1:26" x14ac:dyDescent="0.25">
      <c r="A267" s="29" t="s">
        <v>634</v>
      </c>
      <c r="B267" s="29" t="s">
        <v>43</v>
      </c>
      <c r="C267" s="29" t="s">
        <v>635</v>
      </c>
      <c r="D267" s="30">
        <v>54130590</v>
      </c>
      <c r="E267" s="31" t="s">
        <v>636</v>
      </c>
      <c r="F267" s="29">
        <v>163295</v>
      </c>
      <c r="G267" s="32" t="s">
        <v>70</v>
      </c>
      <c r="H267" s="32" t="s">
        <v>650</v>
      </c>
      <c r="I267" s="33" t="s">
        <v>651</v>
      </c>
      <c r="J267" s="42">
        <f>VLOOKUP(F267,[5]Hárok1!$F$4:$S$93,5,0)</f>
        <v>0</v>
      </c>
      <c r="K267" s="43">
        <f>VLOOKUP(F267,[5]Hárok1!$F$4:$S$93,6,0)</f>
        <v>0</v>
      </c>
      <c r="L267" s="43">
        <f>VLOOKUP(F267,[5]Hárok1!$F$4:$S$93,7,0)</f>
        <v>0</v>
      </c>
      <c r="M267" s="43">
        <f>VLOOKUP(F267,[5]Hárok1!$F$4:$S$93,8,0)</f>
        <v>0</v>
      </c>
      <c r="N267" s="43">
        <f>VLOOKUP(F267,[5]Hárok1!$F$4:$S$93,9,0)</f>
        <v>0</v>
      </c>
      <c r="O267" s="43">
        <f>VLOOKUP(F267,[5]Hárok1!$F$4:$S$93,10,0)</f>
        <v>0</v>
      </c>
      <c r="P267" s="44">
        <f>VLOOKUP(F267,[5]Hárok1!$F$4:$S$93,11,0)</f>
        <v>0</v>
      </c>
      <c r="Q267" s="42">
        <f>VLOOKUP(F267,[5]Hárok1!$F$4:$S$93,12,0)</f>
        <v>0</v>
      </c>
      <c r="R267" s="43">
        <f>VLOOKUP(F267,[5]Hárok1!$F$4:$S$93,13,0)</f>
        <v>0</v>
      </c>
      <c r="S267" s="44">
        <f>VLOOKUP(F267,[5]Hárok1!$F$4:$S$93,14,0)</f>
        <v>0</v>
      </c>
      <c r="T267" s="45">
        <f t="shared" si="24"/>
        <v>0</v>
      </c>
      <c r="U267" s="46">
        <f>VLOOKUP(F267,[5]Hárok1!$F$4:$U$93,16,0)</f>
        <v>0</v>
      </c>
      <c r="V267" s="47">
        <f t="shared" si="25"/>
        <v>0</v>
      </c>
      <c r="W267" s="47">
        <f t="shared" si="26"/>
        <v>0</v>
      </c>
      <c r="X267" s="48">
        <f t="shared" si="27"/>
        <v>0</v>
      </c>
      <c r="Y267" s="49">
        <f t="shared" si="28"/>
        <v>0</v>
      </c>
      <c r="Z267" s="50">
        <f t="shared" si="29"/>
        <v>0</v>
      </c>
    </row>
    <row r="268" spans="1:26" x14ac:dyDescent="0.25">
      <c r="A268" s="29" t="s">
        <v>634</v>
      </c>
      <c r="B268" s="29" t="s">
        <v>79</v>
      </c>
      <c r="C268" s="29" t="s">
        <v>652</v>
      </c>
      <c r="D268" s="29">
        <v>37861298</v>
      </c>
      <c r="E268" s="32" t="s">
        <v>653</v>
      </c>
      <c r="F268" s="29">
        <v>159026</v>
      </c>
      <c r="G268" s="32" t="s">
        <v>654</v>
      </c>
      <c r="H268" s="32" t="s">
        <v>655</v>
      </c>
      <c r="I268" s="33" t="s">
        <v>656</v>
      </c>
      <c r="J268" s="42">
        <f>VLOOKUP(F268,[5]Hárok1!$F$4:$S$93,5,0)</f>
        <v>1</v>
      </c>
      <c r="K268" s="43">
        <f>VLOOKUP(F268,[5]Hárok1!$F$4:$S$93,6,0)</f>
        <v>0</v>
      </c>
      <c r="L268" s="43">
        <f>VLOOKUP(F268,[5]Hárok1!$F$4:$S$93,7,0)</f>
        <v>2</v>
      </c>
      <c r="M268" s="43">
        <f>VLOOKUP(F268,[5]Hárok1!$F$4:$S$93,8,0)</f>
        <v>0</v>
      </c>
      <c r="N268" s="43">
        <f>VLOOKUP(F268,[5]Hárok1!$F$4:$S$93,9,0)</f>
        <v>0</v>
      </c>
      <c r="O268" s="43">
        <f>VLOOKUP(F268,[5]Hárok1!$F$4:$S$93,10,0)</f>
        <v>2</v>
      </c>
      <c r="P268" s="44">
        <f>VLOOKUP(F268,[5]Hárok1!$F$4:$S$93,11,0)</f>
        <v>0</v>
      </c>
      <c r="Q268" s="42">
        <f>VLOOKUP(F268,[5]Hárok1!$F$4:$S$93,12,0)</f>
        <v>0</v>
      </c>
      <c r="R268" s="43">
        <f>VLOOKUP(F268,[5]Hárok1!$F$4:$S$93,13,0)</f>
        <v>14</v>
      </c>
      <c r="S268" s="44">
        <f>VLOOKUP(F268,[5]Hárok1!$F$4:$S$93,14,0)</f>
        <v>0</v>
      </c>
      <c r="T268" s="45">
        <f t="shared" si="24"/>
        <v>67</v>
      </c>
      <c r="U268" s="46">
        <f>VLOOKUP(F268,[5]Hárok1!$F$4:$U$93,16,0)</f>
        <v>20.6</v>
      </c>
      <c r="V268" s="47">
        <f t="shared" si="25"/>
        <v>0</v>
      </c>
      <c r="W268" s="47">
        <f t="shared" si="26"/>
        <v>55</v>
      </c>
      <c r="X268" s="48">
        <f t="shared" si="27"/>
        <v>0</v>
      </c>
      <c r="Y268" s="49">
        <f t="shared" si="28"/>
        <v>142.6</v>
      </c>
      <c r="Z268" s="50">
        <f t="shared" si="29"/>
        <v>143</v>
      </c>
    </row>
    <row r="269" spans="1:26" x14ac:dyDescent="0.25">
      <c r="A269" s="29" t="s">
        <v>634</v>
      </c>
      <c r="B269" s="29" t="s">
        <v>79</v>
      </c>
      <c r="C269" s="29" t="s">
        <v>652</v>
      </c>
      <c r="D269" s="29">
        <v>37861298</v>
      </c>
      <c r="E269" s="32" t="s">
        <v>653</v>
      </c>
      <c r="F269" s="29">
        <v>44717</v>
      </c>
      <c r="G269" s="32" t="s">
        <v>657</v>
      </c>
      <c r="H269" s="32" t="s">
        <v>655</v>
      </c>
      <c r="I269" s="33" t="s">
        <v>658</v>
      </c>
      <c r="J269" s="42">
        <f>VLOOKUP(F269,[5]Hárok1!$F$4:$S$93,5,0)</f>
        <v>12</v>
      </c>
      <c r="K269" s="43">
        <f>VLOOKUP(F269,[5]Hárok1!$F$4:$S$93,6,0)</f>
        <v>0</v>
      </c>
      <c r="L269" s="43">
        <f>VLOOKUP(F269,[5]Hárok1!$F$4:$S$93,7,0)</f>
        <v>40</v>
      </c>
      <c r="M269" s="43">
        <f>VLOOKUP(F269,[5]Hárok1!$F$4:$S$93,8,0)</f>
        <v>0</v>
      </c>
      <c r="N269" s="43">
        <f>VLOOKUP(F269,[5]Hárok1!$F$4:$S$93,9,0)</f>
        <v>4</v>
      </c>
      <c r="O269" s="43">
        <f>VLOOKUP(F269,[5]Hárok1!$F$4:$S$93,10,0)</f>
        <v>14</v>
      </c>
      <c r="P269" s="44">
        <f>VLOOKUP(F269,[5]Hárok1!$F$4:$S$93,11,0)</f>
        <v>1</v>
      </c>
      <c r="Q269" s="42">
        <f>VLOOKUP(F269,[5]Hárok1!$F$4:$S$93,12,0)</f>
        <v>21</v>
      </c>
      <c r="R269" s="43">
        <f>VLOOKUP(F269,[5]Hárok1!$F$4:$S$93,13,0)</f>
        <v>267</v>
      </c>
      <c r="S269" s="44">
        <f>VLOOKUP(F269,[5]Hárok1!$F$4:$S$93,14,0)</f>
        <v>7</v>
      </c>
      <c r="T269" s="45">
        <f t="shared" si="24"/>
        <v>1340</v>
      </c>
      <c r="U269" s="46">
        <f>VLOOKUP(F269,[5]Hárok1!$F$4:$U$93,16,0)</f>
        <v>199.4</v>
      </c>
      <c r="V269" s="47">
        <f t="shared" si="25"/>
        <v>85.5</v>
      </c>
      <c r="W269" s="47">
        <f t="shared" si="26"/>
        <v>723</v>
      </c>
      <c r="X269" s="48">
        <f t="shared" si="27"/>
        <v>37.5</v>
      </c>
      <c r="Y269" s="49">
        <f t="shared" si="28"/>
        <v>2385.4</v>
      </c>
      <c r="Z269" s="50">
        <f t="shared" si="29"/>
        <v>2385</v>
      </c>
    </row>
    <row r="270" spans="1:26" x14ac:dyDescent="0.25">
      <c r="A270" s="29" t="s">
        <v>634</v>
      </c>
      <c r="B270" s="29" t="s">
        <v>79</v>
      </c>
      <c r="C270" s="29" t="s">
        <v>652</v>
      </c>
      <c r="D270" s="29">
        <v>37861298</v>
      </c>
      <c r="E270" s="32" t="s">
        <v>653</v>
      </c>
      <c r="F270" s="29">
        <v>399965</v>
      </c>
      <c r="G270" s="32" t="s">
        <v>659</v>
      </c>
      <c r="H270" s="32" t="s">
        <v>457</v>
      </c>
      <c r="I270" s="33" t="s">
        <v>660</v>
      </c>
      <c r="J270" s="42">
        <f>VLOOKUP(F270,[5]Hárok1!$F$4:$S$93,5,0)</f>
        <v>11</v>
      </c>
      <c r="K270" s="43">
        <f>VLOOKUP(F270,[5]Hárok1!$F$4:$S$93,6,0)</f>
        <v>0</v>
      </c>
      <c r="L270" s="43">
        <f>VLOOKUP(F270,[5]Hárok1!$F$4:$S$93,7,0)</f>
        <v>40</v>
      </c>
      <c r="M270" s="43">
        <f>VLOOKUP(F270,[5]Hárok1!$F$4:$S$93,8,0)</f>
        <v>0</v>
      </c>
      <c r="N270" s="43">
        <f>VLOOKUP(F270,[5]Hárok1!$F$4:$S$93,9,0)</f>
        <v>1</v>
      </c>
      <c r="O270" s="43">
        <f>VLOOKUP(F270,[5]Hárok1!$F$4:$S$93,10,0)</f>
        <v>13</v>
      </c>
      <c r="P270" s="44">
        <f>VLOOKUP(F270,[5]Hárok1!$F$4:$S$93,11,0)</f>
        <v>1</v>
      </c>
      <c r="Q270" s="42">
        <f>VLOOKUP(F270,[5]Hárok1!$F$4:$S$93,12,0)</f>
        <v>1</v>
      </c>
      <c r="R270" s="43">
        <f>VLOOKUP(F270,[5]Hárok1!$F$4:$S$93,13,0)</f>
        <v>241</v>
      </c>
      <c r="S270" s="44">
        <f>VLOOKUP(F270,[5]Hárok1!$F$4:$S$93,14,0)</f>
        <v>53</v>
      </c>
      <c r="T270" s="45">
        <f t="shared" si="24"/>
        <v>1340</v>
      </c>
      <c r="U270" s="46">
        <f>VLOOKUP(F270,[5]Hárok1!$F$4:$U$93,16,0)</f>
        <v>113.2</v>
      </c>
      <c r="V270" s="47">
        <f t="shared" si="25"/>
        <v>15</v>
      </c>
      <c r="W270" s="47">
        <f t="shared" si="26"/>
        <v>657.5</v>
      </c>
      <c r="X270" s="48">
        <f t="shared" si="27"/>
        <v>106.5</v>
      </c>
      <c r="Y270" s="49">
        <f t="shared" si="28"/>
        <v>2232.1999999999998</v>
      </c>
      <c r="Z270" s="50">
        <f t="shared" si="29"/>
        <v>2232</v>
      </c>
    </row>
    <row r="271" spans="1:26" x14ac:dyDescent="0.25">
      <c r="A271" s="29" t="s">
        <v>634</v>
      </c>
      <c r="B271" s="29" t="s">
        <v>79</v>
      </c>
      <c r="C271" s="29" t="s">
        <v>652</v>
      </c>
      <c r="D271" s="29">
        <v>37861298</v>
      </c>
      <c r="E271" s="32" t="s">
        <v>653</v>
      </c>
      <c r="F271" s="29">
        <v>160199</v>
      </c>
      <c r="G271" s="32" t="s">
        <v>661</v>
      </c>
      <c r="H271" s="32" t="s">
        <v>457</v>
      </c>
      <c r="I271" s="33" t="s">
        <v>662</v>
      </c>
      <c r="J271" s="42">
        <f>VLOOKUP(F271,[5]Hárok1!$F$4:$S$93,5,0)</f>
        <v>2</v>
      </c>
      <c r="K271" s="43">
        <f>VLOOKUP(F271,[5]Hárok1!$F$4:$S$93,6,0)</f>
        <v>0</v>
      </c>
      <c r="L271" s="43">
        <f>VLOOKUP(F271,[5]Hárok1!$F$4:$S$93,7,0)</f>
        <v>2</v>
      </c>
      <c r="M271" s="43">
        <f>VLOOKUP(F271,[5]Hárok1!$F$4:$S$93,8,0)</f>
        <v>0</v>
      </c>
      <c r="N271" s="43">
        <f>VLOOKUP(F271,[5]Hárok1!$F$4:$S$93,9,0)</f>
        <v>0</v>
      </c>
      <c r="O271" s="43">
        <f>VLOOKUP(F271,[5]Hárok1!$F$4:$S$93,10,0)</f>
        <v>2</v>
      </c>
      <c r="P271" s="44">
        <f>VLOOKUP(F271,[5]Hárok1!$F$4:$S$93,11,0)</f>
        <v>0</v>
      </c>
      <c r="Q271" s="42">
        <f>VLOOKUP(F271,[5]Hárok1!$F$4:$S$93,12,0)</f>
        <v>0</v>
      </c>
      <c r="R271" s="43">
        <f>VLOOKUP(F271,[5]Hárok1!$F$4:$S$93,13,0)</f>
        <v>21</v>
      </c>
      <c r="S271" s="44">
        <f>VLOOKUP(F271,[5]Hárok1!$F$4:$S$93,14,0)</f>
        <v>0</v>
      </c>
      <c r="T271" s="45">
        <f t="shared" si="24"/>
        <v>67</v>
      </c>
      <c r="U271" s="46">
        <f>VLOOKUP(F271,[5]Hárok1!$F$4:$U$93,16,0)</f>
        <v>0</v>
      </c>
      <c r="V271" s="47">
        <f t="shared" si="25"/>
        <v>0</v>
      </c>
      <c r="W271" s="47">
        <f t="shared" si="26"/>
        <v>69</v>
      </c>
      <c r="X271" s="48">
        <f t="shared" si="27"/>
        <v>0</v>
      </c>
      <c r="Y271" s="49">
        <f t="shared" si="28"/>
        <v>136</v>
      </c>
      <c r="Z271" s="50">
        <f t="shared" si="29"/>
        <v>136</v>
      </c>
    </row>
    <row r="272" spans="1:26" x14ac:dyDescent="0.25">
      <c r="A272" s="29" t="s">
        <v>634</v>
      </c>
      <c r="B272" s="29" t="s">
        <v>79</v>
      </c>
      <c r="C272" s="29" t="s">
        <v>652</v>
      </c>
      <c r="D272" s="29">
        <v>37861298</v>
      </c>
      <c r="E272" s="32" t="s">
        <v>653</v>
      </c>
      <c r="F272" s="29">
        <v>352233</v>
      </c>
      <c r="G272" s="32" t="s">
        <v>663</v>
      </c>
      <c r="H272" s="32" t="s">
        <v>457</v>
      </c>
      <c r="I272" s="33" t="s">
        <v>664</v>
      </c>
      <c r="J272" s="42">
        <f>VLOOKUP(F272,[5]Hárok1!$F$4:$S$93,5,0)</f>
        <v>10</v>
      </c>
      <c r="K272" s="43">
        <f>VLOOKUP(F272,[5]Hárok1!$F$4:$S$93,6,0)</f>
        <v>3</v>
      </c>
      <c r="L272" s="43">
        <f>VLOOKUP(F272,[5]Hárok1!$F$4:$S$93,7,0)</f>
        <v>28</v>
      </c>
      <c r="M272" s="43">
        <f>VLOOKUP(F272,[5]Hárok1!$F$4:$S$93,8,0)</f>
        <v>9</v>
      </c>
      <c r="N272" s="43">
        <f>VLOOKUP(F272,[5]Hárok1!$F$4:$S$93,9,0)</f>
        <v>4</v>
      </c>
      <c r="O272" s="43">
        <f>VLOOKUP(F272,[5]Hárok1!$F$4:$S$93,10,0)</f>
        <v>13</v>
      </c>
      <c r="P272" s="44">
        <f>VLOOKUP(F272,[5]Hárok1!$F$4:$S$93,11,0)</f>
        <v>1</v>
      </c>
      <c r="Q272" s="42">
        <f>VLOOKUP(F272,[5]Hárok1!$F$4:$S$93,12,0)</f>
        <v>34</v>
      </c>
      <c r="R272" s="43">
        <f>VLOOKUP(F272,[5]Hárok1!$F$4:$S$93,13,0)</f>
        <v>168</v>
      </c>
      <c r="S272" s="44">
        <f>VLOOKUP(F272,[5]Hárok1!$F$4:$S$93,14,0)</f>
        <v>14</v>
      </c>
      <c r="T272" s="45">
        <f t="shared" si="24"/>
        <v>938</v>
      </c>
      <c r="U272" s="46">
        <f>VLOOKUP(F272,[5]Hárok1!$F$4:$U$93,16,0)</f>
        <v>43.3</v>
      </c>
      <c r="V272" s="47">
        <f t="shared" si="25"/>
        <v>105</v>
      </c>
      <c r="W272" s="47">
        <f t="shared" si="26"/>
        <v>511.5</v>
      </c>
      <c r="X272" s="48">
        <f t="shared" si="27"/>
        <v>48</v>
      </c>
      <c r="Y272" s="49">
        <f t="shared" si="28"/>
        <v>1645.8</v>
      </c>
      <c r="Z272" s="50">
        <f t="shared" si="29"/>
        <v>1646</v>
      </c>
    </row>
    <row r="273" spans="1:26" x14ac:dyDescent="0.25">
      <c r="A273" s="29" t="s">
        <v>634</v>
      </c>
      <c r="B273" s="29" t="s">
        <v>79</v>
      </c>
      <c r="C273" s="29" t="s">
        <v>652</v>
      </c>
      <c r="D273" s="29">
        <v>37861298</v>
      </c>
      <c r="E273" s="32" t="s">
        <v>653</v>
      </c>
      <c r="F273" s="29">
        <v>891592</v>
      </c>
      <c r="G273" s="32" t="s">
        <v>665</v>
      </c>
      <c r="H273" s="32" t="s">
        <v>457</v>
      </c>
      <c r="I273" s="33" t="s">
        <v>666</v>
      </c>
      <c r="J273" s="42">
        <f>VLOOKUP(F273,[5]Hárok1!$F$4:$S$93,5,0)</f>
        <v>9</v>
      </c>
      <c r="K273" s="43">
        <f>VLOOKUP(F273,[5]Hárok1!$F$4:$S$93,6,0)</f>
        <v>0</v>
      </c>
      <c r="L273" s="43">
        <f>VLOOKUP(F273,[5]Hárok1!$F$4:$S$93,7,0)</f>
        <v>32</v>
      </c>
      <c r="M273" s="43">
        <f>VLOOKUP(F273,[5]Hárok1!$F$4:$S$93,8,0)</f>
        <v>0</v>
      </c>
      <c r="N273" s="43">
        <f>VLOOKUP(F273,[5]Hárok1!$F$4:$S$93,9,0)</f>
        <v>0</v>
      </c>
      <c r="O273" s="43">
        <f>VLOOKUP(F273,[5]Hárok1!$F$4:$S$93,10,0)</f>
        <v>10</v>
      </c>
      <c r="P273" s="44">
        <f>VLOOKUP(F273,[5]Hárok1!$F$4:$S$93,11,0)</f>
        <v>1</v>
      </c>
      <c r="Q273" s="42">
        <f>VLOOKUP(F273,[5]Hárok1!$F$4:$S$93,12,0)</f>
        <v>0</v>
      </c>
      <c r="R273" s="43">
        <f>VLOOKUP(F273,[5]Hárok1!$F$4:$S$93,13,0)</f>
        <v>161</v>
      </c>
      <c r="S273" s="44">
        <f>VLOOKUP(F273,[5]Hárok1!$F$4:$S$93,14,0)</f>
        <v>26</v>
      </c>
      <c r="T273" s="45">
        <f t="shared" si="24"/>
        <v>1072</v>
      </c>
      <c r="U273" s="46">
        <f>VLOOKUP(F273,[5]Hárok1!$F$4:$U$93,16,0)</f>
        <v>163.30000000000001</v>
      </c>
      <c r="V273" s="47">
        <f t="shared" si="25"/>
        <v>0</v>
      </c>
      <c r="W273" s="47">
        <f t="shared" si="26"/>
        <v>457</v>
      </c>
      <c r="X273" s="48">
        <f t="shared" si="27"/>
        <v>66</v>
      </c>
      <c r="Y273" s="49">
        <f t="shared" si="28"/>
        <v>1758.3</v>
      </c>
      <c r="Z273" s="50">
        <f t="shared" si="29"/>
        <v>1758</v>
      </c>
    </row>
    <row r="274" spans="1:26" x14ac:dyDescent="0.25">
      <c r="A274" s="29" t="s">
        <v>634</v>
      </c>
      <c r="B274" s="29" t="s">
        <v>79</v>
      </c>
      <c r="C274" s="29" t="s">
        <v>652</v>
      </c>
      <c r="D274" s="29">
        <v>37861298</v>
      </c>
      <c r="E274" s="32" t="s">
        <v>653</v>
      </c>
      <c r="F274" s="29">
        <v>161357</v>
      </c>
      <c r="G274" s="32" t="s">
        <v>667</v>
      </c>
      <c r="H274" s="32" t="s">
        <v>457</v>
      </c>
      <c r="I274" s="33" t="s">
        <v>668</v>
      </c>
      <c r="J274" s="42">
        <f>VLOOKUP(F274,[5]Hárok1!$F$4:$S$93,5,0)</f>
        <v>18</v>
      </c>
      <c r="K274" s="43">
        <f>VLOOKUP(F274,[5]Hárok1!$F$4:$S$93,6,0)</f>
        <v>0</v>
      </c>
      <c r="L274" s="43">
        <f>VLOOKUP(F274,[5]Hárok1!$F$4:$S$93,7,0)</f>
        <v>84</v>
      </c>
      <c r="M274" s="43">
        <f>VLOOKUP(F274,[5]Hárok1!$F$4:$S$93,8,0)</f>
        <v>0</v>
      </c>
      <c r="N274" s="43">
        <f>VLOOKUP(F274,[5]Hárok1!$F$4:$S$93,9,0)</f>
        <v>0</v>
      </c>
      <c r="O274" s="43">
        <f>VLOOKUP(F274,[5]Hárok1!$F$4:$S$93,10,0)</f>
        <v>37</v>
      </c>
      <c r="P274" s="44">
        <f>VLOOKUP(F274,[5]Hárok1!$F$4:$S$93,11,0)</f>
        <v>1</v>
      </c>
      <c r="Q274" s="42">
        <f>VLOOKUP(F274,[5]Hárok1!$F$4:$S$93,12,0)</f>
        <v>0</v>
      </c>
      <c r="R274" s="43">
        <f>VLOOKUP(F274,[5]Hárok1!$F$4:$S$93,13,0)</f>
        <v>747</v>
      </c>
      <c r="S274" s="44">
        <f>VLOOKUP(F274,[5]Hárok1!$F$4:$S$93,14,0)</f>
        <v>67</v>
      </c>
      <c r="T274" s="45">
        <f t="shared" si="24"/>
        <v>2814</v>
      </c>
      <c r="U274" s="46">
        <f>VLOOKUP(F274,[5]Hárok1!$F$4:$U$93,16,0)</f>
        <v>497.95</v>
      </c>
      <c r="V274" s="47">
        <f t="shared" si="25"/>
        <v>0</v>
      </c>
      <c r="W274" s="47">
        <f t="shared" si="26"/>
        <v>1993.5</v>
      </c>
      <c r="X274" s="48">
        <f t="shared" si="27"/>
        <v>127.5</v>
      </c>
      <c r="Y274" s="49">
        <f t="shared" si="28"/>
        <v>5432.95</v>
      </c>
      <c r="Z274" s="50">
        <f t="shared" si="29"/>
        <v>5433</v>
      </c>
    </row>
    <row r="275" spans="1:26" x14ac:dyDescent="0.25">
      <c r="A275" s="29" t="s">
        <v>634</v>
      </c>
      <c r="B275" s="29" t="s">
        <v>79</v>
      </c>
      <c r="C275" s="29" t="s">
        <v>652</v>
      </c>
      <c r="D275" s="29">
        <v>37861298</v>
      </c>
      <c r="E275" s="32" t="s">
        <v>653</v>
      </c>
      <c r="F275" s="29">
        <v>159042</v>
      </c>
      <c r="G275" s="32" t="s">
        <v>669</v>
      </c>
      <c r="H275" s="32" t="s">
        <v>670</v>
      </c>
      <c r="I275" s="33" t="s">
        <v>671</v>
      </c>
      <c r="J275" s="42">
        <f>VLOOKUP(F275,[5]Hárok1!$F$4:$S$93,5,0)</f>
        <v>9</v>
      </c>
      <c r="K275" s="43">
        <f>VLOOKUP(F275,[5]Hárok1!$F$4:$S$93,6,0)</f>
        <v>0</v>
      </c>
      <c r="L275" s="43">
        <f>VLOOKUP(F275,[5]Hárok1!$F$4:$S$93,7,0)</f>
        <v>41</v>
      </c>
      <c r="M275" s="43">
        <f>VLOOKUP(F275,[5]Hárok1!$F$4:$S$93,8,0)</f>
        <v>0</v>
      </c>
      <c r="N275" s="43">
        <f>VLOOKUP(F275,[5]Hárok1!$F$4:$S$93,9,0)</f>
        <v>0</v>
      </c>
      <c r="O275" s="43">
        <f>VLOOKUP(F275,[5]Hárok1!$F$4:$S$93,10,0)</f>
        <v>15</v>
      </c>
      <c r="P275" s="44">
        <f>VLOOKUP(F275,[5]Hárok1!$F$4:$S$93,11,0)</f>
        <v>1</v>
      </c>
      <c r="Q275" s="42">
        <f>VLOOKUP(F275,[5]Hárok1!$F$4:$S$93,12,0)</f>
        <v>0</v>
      </c>
      <c r="R275" s="43">
        <f>VLOOKUP(F275,[5]Hárok1!$F$4:$S$93,13,0)</f>
        <v>244</v>
      </c>
      <c r="S275" s="44">
        <f>VLOOKUP(F275,[5]Hárok1!$F$4:$S$93,14,0)</f>
        <v>77</v>
      </c>
      <c r="T275" s="45">
        <f t="shared" si="24"/>
        <v>1373.5</v>
      </c>
      <c r="U275" s="46">
        <f>VLOOKUP(F275,[5]Hárok1!$F$4:$U$93,16,0)</f>
        <v>470.1</v>
      </c>
      <c r="V275" s="47">
        <f t="shared" si="25"/>
        <v>0</v>
      </c>
      <c r="W275" s="47">
        <f t="shared" si="26"/>
        <v>690.5</v>
      </c>
      <c r="X275" s="48">
        <f t="shared" si="27"/>
        <v>142.5</v>
      </c>
      <c r="Y275" s="49">
        <f t="shared" si="28"/>
        <v>2676.6</v>
      </c>
      <c r="Z275" s="50">
        <f t="shared" si="29"/>
        <v>2677</v>
      </c>
    </row>
    <row r="276" spans="1:26" x14ac:dyDescent="0.25">
      <c r="A276" s="29" t="s">
        <v>634</v>
      </c>
      <c r="B276" s="29" t="s">
        <v>79</v>
      </c>
      <c r="C276" s="29" t="s">
        <v>652</v>
      </c>
      <c r="D276" s="29">
        <v>37861298</v>
      </c>
      <c r="E276" s="32" t="s">
        <v>653</v>
      </c>
      <c r="F276" s="29">
        <v>160211</v>
      </c>
      <c r="G276" s="32" t="s">
        <v>672</v>
      </c>
      <c r="H276" s="32" t="s">
        <v>637</v>
      </c>
      <c r="I276" s="33" t="s">
        <v>673</v>
      </c>
      <c r="J276" s="42">
        <f>VLOOKUP(F276,[5]Hárok1!$F$4:$S$93,5,0)</f>
        <v>13</v>
      </c>
      <c r="K276" s="43">
        <f>VLOOKUP(F276,[5]Hárok1!$F$4:$S$93,6,0)</f>
        <v>0</v>
      </c>
      <c r="L276" s="43">
        <f>VLOOKUP(F276,[5]Hárok1!$F$4:$S$93,7,0)</f>
        <v>27</v>
      </c>
      <c r="M276" s="43">
        <f>VLOOKUP(F276,[5]Hárok1!$F$4:$S$93,8,0)</f>
        <v>0</v>
      </c>
      <c r="N276" s="43">
        <f>VLOOKUP(F276,[5]Hárok1!$F$4:$S$93,9,0)</f>
        <v>1</v>
      </c>
      <c r="O276" s="43">
        <f>VLOOKUP(F276,[5]Hárok1!$F$4:$S$93,10,0)</f>
        <v>15</v>
      </c>
      <c r="P276" s="44">
        <f>VLOOKUP(F276,[5]Hárok1!$F$4:$S$93,11,0)</f>
        <v>1</v>
      </c>
      <c r="Q276" s="42">
        <f>VLOOKUP(F276,[5]Hárok1!$F$4:$S$93,12,0)</f>
        <v>3</v>
      </c>
      <c r="R276" s="43">
        <f>VLOOKUP(F276,[5]Hárok1!$F$4:$S$93,13,0)</f>
        <v>164</v>
      </c>
      <c r="S276" s="44">
        <f>VLOOKUP(F276,[5]Hárok1!$F$4:$S$93,14,0)</f>
        <v>26</v>
      </c>
      <c r="T276" s="45">
        <f t="shared" si="24"/>
        <v>904.5</v>
      </c>
      <c r="U276" s="46">
        <f>VLOOKUP(F276,[5]Hárok1!$F$4:$U$93,16,0)</f>
        <v>0</v>
      </c>
      <c r="V276" s="47">
        <f t="shared" si="25"/>
        <v>18</v>
      </c>
      <c r="W276" s="47">
        <f t="shared" si="26"/>
        <v>530.5</v>
      </c>
      <c r="X276" s="48">
        <f t="shared" si="27"/>
        <v>66</v>
      </c>
      <c r="Y276" s="49">
        <f t="shared" si="28"/>
        <v>1519</v>
      </c>
      <c r="Z276" s="50">
        <f t="shared" si="29"/>
        <v>1519</v>
      </c>
    </row>
    <row r="277" spans="1:26" x14ac:dyDescent="0.25">
      <c r="A277" s="29" t="s">
        <v>634</v>
      </c>
      <c r="B277" s="29" t="s">
        <v>79</v>
      </c>
      <c r="C277" s="29" t="s">
        <v>652</v>
      </c>
      <c r="D277" s="29">
        <v>37861298</v>
      </c>
      <c r="E277" s="32" t="s">
        <v>653</v>
      </c>
      <c r="F277" s="29">
        <v>161934</v>
      </c>
      <c r="G277" s="32" t="s">
        <v>100</v>
      </c>
      <c r="H277" s="32" t="s">
        <v>637</v>
      </c>
      <c r="I277" s="33" t="s">
        <v>674</v>
      </c>
      <c r="J277" s="42">
        <f>VLOOKUP(F277,[5]Hárok1!$F$4:$S$93,5,0)</f>
        <v>6</v>
      </c>
      <c r="K277" s="43">
        <f>VLOOKUP(F277,[5]Hárok1!$F$4:$S$93,6,0)</f>
        <v>0</v>
      </c>
      <c r="L277" s="43">
        <f>VLOOKUP(F277,[5]Hárok1!$F$4:$S$93,7,0)</f>
        <v>29</v>
      </c>
      <c r="M277" s="43">
        <f>VLOOKUP(F277,[5]Hárok1!$F$4:$S$93,8,0)</f>
        <v>0</v>
      </c>
      <c r="N277" s="43">
        <f>VLOOKUP(F277,[5]Hárok1!$F$4:$S$93,9,0)</f>
        <v>1</v>
      </c>
      <c r="O277" s="43">
        <f>VLOOKUP(F277,[5]Hárok1!$F$4:$S$93,10,0)</f>
        <v>7</v>
      </c>
      <c r="P277" s="44">
        <f>VLOOKUP(F277,[5]Hárok1!$F$4:$S$93,11,0)</f>
        <v>2</v>
      </c>
      <c r="Q277" s="42">
        <f>VLOOKUP(F277,[5]Hárok1!$F$4:$S$93,12,0)</f>
        <v>1</v>
      </c>
      <c r="R277" s="43">
        <f>VLOOKUP(F277,[5]Hárok1!$F$4:$S$93,13,0)</f>
        <v>142</v>
      </c>
      <c r="S277" s="44">
        <f>VLOOKUP(F277,[5]Hárok1!$F$4:$S$93,14,0)</f>
        <v>75</v>
      </c>
      <c r="T277" s="45">
        <f t="shared" si="24"/>
        <v>971.5</v>
      </c>
      <c r="U277" s="46">
        <f>VLOOKUP(F277,[5]Hárok1!$F$4:$U$93,16,0)</f>
        <v>0</v>
      </c>
      <c r="V277" s="47">
        <f t="shared" si="25"/>
        <v>15</v>
      </c>
      <c r="W277" s="47">
        <f t="shared" si="26"/>
        <v>378.5</v>
      </c>
      <c r="X277" s="48">
        <f t="shared" si="27"/>
        <v>166.5</v>
      </c>
      <c r="Y277" s="49">
        <f t="shared" si="28"/>
        <v>1531.5</v>
      </c>
      <c r="Z277" s="50">
        <f t="shared" si="29"/>
        <v>1532</v>
      </c>
    </row>
    <row r="278" spans="1:26" x14ac:dyDescent="0.25">
      <c r="A278" s="29" t="s">
        <v>634</v>
      </c>
      <c r="B278" s="29" t="s">
        <v>79</v>
      </c>
      <c r="C278" s="29" t="s">
        <v>652</v>
      </c>
      <c r="D278" s="29">
        <v>37861298</v>
      </c>
      <c r="E278" s="32" t="s">
        <v>653</v>
      </c>
      <c r="F278" s="29">
        <v>162795</v>
      </c>
      <c r="G278" s="32" t="s">
        <v>141</v>
      </c>
      <c r="H278" s="32" t="s">
        <v>637</v>
      </c>
      <c r="I278" s="33" t="s">
        <v>675</v>
      </c>
      <c r="J278" s="42">
        <f>VLOOKUP(F278,[5]Hárok1!$F$4:$S$93,5,0)</f>
        <v>8</v>
      </c>
      <c r="K278" s="43">
        <f>VLOOKUP(F278,[5]Hárok1!$F$4:$S$93,6,0)</f>
        <v>0</v>
      </c>
      <c r="L278" s="43">
        <f>VLOOKUP(F278,[5]Hárok1!$F$4:$S$93,7,0)</f>
        <v>24</v>
      </c>
      <c r="M278" s="43">
        <f>VLOOKUP(F278,[5]Hárok1!$F$4:$S$93,8,0)</f>
        <v>0</v>
      </c>
      <c r="N278" s="43">
        <f>VLOOKUP(F278,[5]Hárok1!$F$4:$S$93,9,0)</f>
        <v>0</v>
      </c>
      <c r="O278" s="43">
        <f>VLOOKUP(F278,[5]Hárok1!$F$4:$S$93,10,0)</f>
        <v>11</v>
      </c>
      <c r="P278" s="44">
        <f>VLOOKUP(F278,[5]Hárok1!$F$4:$S$93,11,0)</f>
        <v>0</v>
      </c>
      <c r="Q278" s="42">
        <f>VLOOKUP(F278,[5]Hárok1!$F$4:$S$93,12,0)</f>
        <v>0</v>
      </c>
      <c r="R278" s="43">
        <f>VLOOKUP(F278,[5]Hárok1!$F$4:$S$93,13,0)</f>
        <v>255</v>
      </c>
      <c r="S278" s="44">
        <f>VLOOKUP(F278,[5]Hárok1!$F$4:$S$93,14,0)</f>
        <v>0</v>
      </c>
      <c r="T278" s="45">
        <f t="shared" si="24"/>
        <v>804</v>
      </c>
      <c r="U278" s="46">
        <f>VLOOKUP(F278,[5]Hárok1!$F$4:$U$93,16,0)</f>
        <v>1491.7</v>
      </c>
      <c r="V278" s="47">
        <f t="shared" si="25"/>
        <v>0</v>
      </c>
      <c r="W278" s="47">
        <f t="shared" si="26"/>
        <v>658.5</v>
      </c>
      <c r="X278" s="48">
        <f t="shared" si="27"/>
        <v>0</v>
      </c>
      <c r="Y278" s="49">
        <f t="shared" si="28"/>
        <v>2954.2</v>
      </c>
      <c r="Z278" s="50">
        <f t="shared" si="29"/>
        <v>2954</v>
      </c>
    </row>
    <row r="279" spans="1:26" x14ac:dyDescent="0.25">
      <c r="A279" s="29" t="s">
        <v>634</v>
      </c>
      <c r="B279" s="29" t="s">
        <v>79</v>
      </c>
      <c r="C279" s="29" t="s">
        <v>652</v>
      </c>
      <c r="D279" s="29">
        <v>37861298</v>
      </c>
      <c r="E279" s="32" t="s">
        <v>653</v>
      </c>
      <c r="F279" s="29">
        <v>162353</v>
      </c>
      <c r="G279" s="32" t="s">
        <v>446</v>
      </c>
      <c r="H279" s="32" t="s">
        <v>637</v>
      </c>
      <c r="I279" s="33" t="s">
        <v>676</v>
      </c>
      <c r="J279" s="42">
        <f>VLOOKUP(F279,[5]Hárok1!$F$4:$S$93,5,0)</f>
        <v>6</v>
      </c>
      <c r="K279" s="43">
        <f>VLOOKUP(F279,[5]Hárok1!$F$4:$S$93,6,0)</f>
        <v>0</v>
      </c>
      <c r="L279" s="43">
        <f>VLOOKUP(F279,[5]Hárok1!$F$4:$S$93,7,0)</f>
        <v>27</v>
      </c>
      <c r="M279" s="43">
        <f>VLOOKUP(F279,[5]Hárok1!$F$4:$S$93,8,0)</f>
        <v>0</v>
      </c>
      <c r="N279" s="43">
        <f>VLOOKUP(F279,[5]Hárok1!$F$4:$S$93,9,0)</f>
        <v>1</v>
      </c>
      <c r="O279" s="43">
        <f>VLOOKUP(F279,[5]Hárok1!$F$4:$S$93,10,0)</f>
        <v>7</v>
      </c>
      <c r="P279" s="44">
        <f>VLOOKUP(F279,[5]Hárok1!$F$4:$S$93,11,0)</f>
        <v>1</v>
      </c>
      <c r="Q279" s="42">
        <f>VLOOKUP(F279,[5]Hárok1!$F$4:$S$93,12,0)</f>
        <v>40</v>
      </c>
      <c r="R279" s="43">
        <f>VLOOKUP(F279,[5]Hárok1!$F$4:$S$93,13,0)</f>
        <v>145</v>
      </c>
      <c r="S279" s="44">
        <f>VLOOKUP(F279,[5]Hárok1!$F$4:$S$93,14,0)</f>
        <v>55</v>
      </c>
      <c r="T279" s="45">
        <f t="shared" si="24"/>
        <v>904.5</v>
      </c>
      <c r="U279" s="46">
        <f>VLOOKUP(F279,[5]Hárok1!$F$4:$U$93,16,0)</f>
        <v>19.95</v>
      </c>
      <c r="V279" s="47">
        <f t="shared" si="25"/>
        <v>73.5</v>
      </c>
      <c r="W279" s="47">
        <f t="shared" si="26"/>
        <v>384.5</v>
      </c>
      <c r="X279" s="48">
        <f t="shared" si="27"/>
        <v>109.5</v>
      </c>
      <c r="Y279" s="49">
        <f t="shared" si="28"/>
        <v>1491.95</v>
      </c>
      <c r="Z279" s="50">
        <f t="shared" si="29"/>
        <v>1492</v>
      </c>
    </row>
    <row r="280" spans="1:26" x14ac:dyDescent="0.25">
      <c r="A280" s="29" t="s">
        <v>634</v>
      </c>
      <c r="B280" s="29" t="s">
        <v>79</v>
      </c>
      <c r="C280" s="29" t="s">
        <v>652</v>
      </c>
      <c r="D280" s="29">
        <v>37861298</v>
      </c>
      <c r="E280" s="32" t="s">
        <v>653</v>
      </c>
      <c r="F280" s="29">
        <v>352098</v>
      </c>
      <c r="G280" s="32" t="s">
        <v>677</v>
      </c>
      <c r="H280" s="32" t="s">
        <v>637</v>
      </c>
      <c r="I280" s="33" t="s">
        <v>678</v>
      </c>
      <c r="J280" s="42">
        <f>VLOOKUP(F280,[5]Hárok1!$F$4:$S$93,5,0)</f>
        <v>12</v>
      </c>
      <c r="K280" s="43">
        <f>VLOOKUP(F280,[5]Hárok1!$F$4:$S$93,6,0)</f>
        <v>1</v>
      </c>
      <c r="L280" s="43">
        <f>VLOOKUP(F280,[5]Hárok1!$F$4:$S$93,7,0)</f>
        <v>54</v>
      </c>
      <c r="M280" s="43">
        <f>VLOOKUP(F280,[5]Hárok1!$F$4:$S$93,8,0)</f>
        <v>2</v>
      </c>
      <c r="N280" s="43">
        <f>VLOOKUP(F280,[5]Hárok1!$F$4:$S$93,9,0)</f>
        <v>2</v>
      </c>
      <c r="O280" s="43">
        <f>VLOOKUP(F280,[5]Hárok1!$F$4:$S$93,10,0)</f>
        <v>17</v>
      </c>
      <c r="P280" s="44">
        <f>VLOOKUP(F280,[5]Hárok1!$F$4:$S$93,11,0)</f>
        <v>2</v>
      </c>
      <c r="Q280" s="42">
        <f>VLOOKUP(F280,[5]Hárok1!$F$4:$S$93,12,0)</f>
        <v>6</v>
      </c>
      <c r="R280" s="43">
        <f>VLOOKUP(F280,[5]Hárok1!$F$4:$S$93,13,0)</f>
        <v>416</v>
      </c>
      <c r="S280" s="44">
        <f>VLOOKUP(F280,[5]Hárok1!$F$4:$S$93,14,0)</f>
        <v>114</v>
      </c>
      <c r="T280" s="45">
        <f t="shared" si="24"/>
        <v>1809</v>
      </c>
      <c r="U280" s="46">
        <f>VLOOKUP(F280,[5]Hárok1!$F$4:$U$93,16,0)</f>
        <v>64.7</v>
      </c>
      <c r="V280" s="47">
        <f t="shared" si="25"/>
        <v>36</v>
      </c>
      <c r="W280" s="47">
        <f t="shared" si="26"/>
        <v>1061.5</v>
      </c>
      <c r="X280" s="48">
        <f t="shared" si="27"/>
        <v>225</v>
      </c>
      <c r="Y280" s="49">
        <f t="shared" si="28"/>
        <v>3196.2</v>
      </c>
      <c r="Z280" s="50">
        <f t="shared" si="29"/>
        <v>3196</v>
      </c>
    </row>
    <row r="281" spans="1:26" x14ac:dyDescent="0.25">
      <c r="A281" s="29" t="s">
        <v>634</v>
      </c>
      <c r="B281" s="29" t="s">
        <v>79</v>
      </c>
      <c r="C281" s="29" t="s">
        <v>652</v>
      </c>
      <c r="D281" s="29">
        <v>37861298</v>
      </c>
      <c r="E281" s="32" t="s">
        <v>653</v>
      </c>
      <c r="F281" s="29">
        <v>893315</v>
      </c>
      <c r="G281" s="32" t="s">
        <v>679</v>
      </c>
      <c r="H281" s="32" t="s">
        <v>637</v>
      </c>
      <c r="I281" s="33" t="s">
        <v>680</v>
      </c>
      <c r="J281" s="42">
        <f>VLOOKUP(F281,[5]Hárok1!$F$4:$S$93,5,0)</f>
        <v>4</v>
      </c>
      <c r="K281" s="43">
        <f>VLOOKUP(F281,[5]Hárok1!$F$4:$S$93,6,0)</f>
        <v>4</v>
      </c>
      <c r="L281" s="43">
        <f>VLOOKUP(F281,[5]Hárok1!$F$4:$S$93,7,0)</f>
        <v>14</v>
      </c>
      <c r="M281" s="43">
        <f>VLOOKUP(F281,[5]Hárok1!$F$4:$S$93,8,0)</f>
        <v>12</v>
      </c>
      <c r="N281" s="43">
        <f>VLOOKUP(F281,[5]Hárok1!$F$4:$S$93,9,0)</f>
        <v>8</v>
      </c>
      <c r="O281" s="43">
        <f>VLOOKUP(F281,[5]Hárok1!$F$4:$S$93,10,0)</f>
        <v>4</v>
      </c>
      <c r="P281" s="44">
        <f>VLOOKUP(F281,[5]Hárok1!$F$4:$S$93,11,0)</f>
        <v>1</v>
      </c>
      <c r="Q281" s="42">
        <f>VLOOKUP(F281,[5]Hárok1!$F$4:$S$93,12,0)</f>
        <v>91</v>
      </c>
      <c r="R281" s="43">
        <f>VLOOKUP(F281,[5]Hárok1!$F$4:$S$93,13,0)</f>
        <v>85</v>
      </c>
      <c r="S281" s="44">
        <f>VLOOKUP(F281,[5]Hárok1!$F$4:$S$93,14,0)</f>
        <v>49</v>
      </c>
      <c r="T281" s="45">
        <f t="shared" si="24"/>
        <v>469</v>
      </c>
      <c r="U281" s="46">
        <f>VLOOKUP(F281,[5]Hárok1!$F$4:$U$93,16,0)</f>
        <v>0.7</v>
      </c>
      <c r="V281" s="47">
        <f t="shared" si="25"/>
        <v>244.5</v>
      </c>
      <c r="W281" s="47">
        <f t="shared" si="26"/>
        <v>224</v>
      </c>
      <c r="X281" s="48">
        <f t="shared" si="27"/>
        <v>100.5</v>
      </c>
      <c r="Y281" s="49">
        <f t="shared" si="28"/>
        <v>1038.7</v>
      </c>
      <c r="Z281" s="50">
        <f t="shared" si="29"/>
        <v>1039</v>
      </c>
    </row>
    <row r="282" spans="1:26" x14ac:dyDescent="0.25">
      <c r="A282" s="29" t="s">
        <v>634</v>
      </c>
      <c r="B282" s="29" t="s">
        <v>79</v>
      </c>
      <c r="C282" s="29" t="s">
        <v>652</v>
      </c>
      <c r="D282" s="29">
        <v>37861298</v>
      </c>
      <c r="E282" s="32" t="s">
        <v>653</v>
      </c>
      <c r="F282" s="29">
        <v>420191</v>
      </c>
      <c r="G282" s="32" t="s">
        <v>681</v>
      </c>
      <c r="H282" s="32" t="s">
        <v>637</v>
      </c>
      <c r="I282" s="33" t="s">
        <v>682</v>
      </c>
      <c r="J282" s="42">
        <f>VLOOKUP(F282,[5]Hárok1!$F$4:$S$93,5,0)</f>
        <v>7</v>
      </c>
      <c r="K282" s="43">
        <f>VLOOKUP(F282,[5]Hárok1!$F$4:$S$93,6,0)</f>
        <v>0</v>
      </c>
      <c r="L282" s="43">
        <f>VLOOKUP(F282,[5]Hárok1!$F$4:$S$93,7,0)</f>
        <v>36</v>
      </c>
      <c r="M282" s="43">
        <f>VLOOKUP(F282,[5]Hárok1!$F$4:$S$93,8,0)</f>
        <v>0</v>
      </c>
      <c r="N282" s="43">
        <f>VLOOKUP(F282,[5]Hárok1!$F$4:$S$93,9,0)</f>
        <v>0</v>
      </c>
      <c r="O282" s="43">
        <f>VLOOKUP(F282,[5]Hárok1!$F$4:$S$93,10,0)</f>
        <v>11</v>
      </c>
      <c r="P282" s="44">
        <f>VLOOKUP(F282,[5]Hárok1!$F$4:$S$93,11,0)</f>
        <v>1</v>
      </c>
      <c r="Q282" s="42">
        <f>VLOOKUP(F282,[5]Hárok1!$F$4:$S$93,12,0)</f>
        <v>0</v>
      </c>
      <c r="R282" s="43">
        <f>VLOOKUP(F282,[5]Hárok1!$F$4:$S$93,13,0)</f>
        <v>273</v>
      </c>
      <c r="S282" s="44">
        <f>VLOOKUP(F282,[5]Hárok1!$F$4:$S$93,14,0)</f>
        <v>37</v>
      </c>
      <c r="T282" s="45">
        <f t="shared" si="24"/>
        <v>1206</v>
      </c>
      <c r="U282" s="46">
        <f>VLOOKUP(F282,[5]Hárok1!$F$4:$U$93,16,0)</f>
        <v>273.3</v>
      </c>
      <c r="V282" s="47">
        <f t="shared" si="25"/>
        <v>0</v>
      </c>
      <c r="W282" s="47">
        <f t="shared" si="26"/>
        <v>694.5</v>
      </c>
      <c r="X282" s="48">
        <f t="shared" si="27"/>
        <v>82.5</v>
      </c>
      <c r="Y282" s="49">
        <f t="shared" si="28"/>
        <v>2256.3000000000002</v>
      </c>
      <c r="Z282" s="50">
        <f t="shared" si="29"/>
        <v>2256</v>
      </c>
    </row>
    <row r="283" spans="1:26" x14ac:dyDescent="0.25">
      <c r="A283" s="29" t="s">
        <v>634</v>
      </c>
      <c r="B283" s="29" t="s">
        <v>79</v>
      </c>
      <c r="C283" s="29" t="s">
        <v>652</v>
      </c>
      <c r="D283" s="29">
        <v>37861298</v>
      </c>
      <c r="E283" s="32" t="s">
        <v>653</v>
      </c>
      <c r="F283" s="29">
        <v>17053889</v>
      </c>
      <c r="G283" s="32" t="s">
        <v>683</v>
      </c>
      <c r="H283" s="32" t="s">
        <v>637</v>
      </c>
      <c r="I283" s="33" t="s">
        <v>684</v>
      </c>
      <c r="J283" s="42">
        <f>VLOOKUP(F283,[5]Hárok1!$F$4:$S$93,5,0)</f>
        <v>6</v>
      </c>
      <c r="K283" s="43">
        <f>VLOOKUP(F283,[5]Hárok1!$F$4:$S$93,6,0)</f>
        <v>1</v>
      </c>
      <c r="L283" s="43">
        <f>VLOOKUP(F283,[5]Hárok1!$F$4:$S$93,7,0)</f>
        <v>32</v>
      </c>
      <c r="M283" s="43">
        <f>VLOOKUP(F283,[5]Hárok1!$F$4:$S$93,8,0)</f>
        <v>3</v>
      </c>
      <c r="N283" s="43">
        <f>VLOOKUP(F283,[5]Hárok1!$F$4:$S$93,9,0)</f>
        <v>8</v>
      </c>
      <c r="O283" s="43">
        <f>VLOOKUP(F283,[5]Hárok1!$F$4:$S$93,10,0)</f>
        <v>6</v>
      </c>
      <c r="P283" s="44">
        <f>VLOOKUP(F283,[5]Hárok1!$F$4:$S$93,11,0)</f>
        <v>2</v>
      </c>
      <c r="Q283" s="42">
        <f>VLOOKUP(F283,[5]Hárok1!$F$4:$S$93,12,0)</f>
        <v>31</v>
      </c>
      <c r="R283" s="43">
        <f>VLOOKUP(F283,[5]Hárok1!$F$4:$S$93,13,0)</f>
        <v>217</v>
      </c>
      <c r="S283" s="44">
        <f>VLOOKUP(F283,[5]Hárok1!$F$4:$S$93,14,0)</f>
        <v>119</v>
      </c>
      <c r="T283" s="45">
        <f t="shared" si="24"/>
        <v>1072</v>
      </c>
      <c r="U283" s="46">
        <f>VLOOKUP(F283,[5]Hárok1!$F$4:$U$93,16,0)</f>
        <v>286.25</v>
      </c>
      <c r="V283" s="47">
        <f t="shared" si="25"/>
        <v>154.5</v>
      </c>
      <c r="W283" s="47">
        <f t="shared" si="26"/>
        <v>515</v>
      </c>
      <c r="X283" s="48">
        <f t="shared" si="27"/>
        <v>232.5</v>
      </c>
      <c r="Y283" s="49">
        <f t="shared" si="28"/>
        <v>2260.25</v>
      </c>
      <c r="Z283" s="50">
        <f t="shared" si="29"/>
        <v>2260</v>
      </c>
    </row>
    <row r="284" spans="1:26" x14ac:dyDescent="0.25">
      <c r="A284" s="29" t="s">
        <v>634</v>
      </c>
      <c r="B284" s="29" t="s">
        <v>79</v>
      </c>
      <c r="C284" s="29" t="s">
        <v>652</v>
      </c>
      <c r="D284" s="29">
        <v>37861298</v>
      </c>
      <c r="E284" s="32" t="s">
        <v>653</v>
      </c>
      <c r="F284" s="29">
        <v>47147</v>
      </c>
      <c r="G284" s="32" t="s">
        <v>49</v>
      </c>
      <c r="H284" s="32" t="s">
        <v>639</v>
      </c>
      <c r="I284" s="33" t="s">
        <v>685</v>
      </c>
      <c r="J284" s="42">
        <f>VLOOKUP(F284,[5]Hárok1!$F$4:$S$93,5,0)</f>
        <v>1</v>
      </c>
      <c r="K284" s="43">
        <f>VLOOKUP(F284,[5]Hárok1!$F$4:$S$93,6,0)</f>
        <v>2</v>
      </c>
      <c r="L284" s="43">
        <f>VLOOKUP(F284,[5]Hárok1!$F$4:$S$93,7,0)</f>
        <v>1</v>
      </c>
      <c r="M284" s="43">
        <f>VLOOKUP(F284,[5]Hárok1!$F$4:$S$93,8,0)</f>
        <v>3</v>
      </c>
      <c r="N284" s="43">
        <f>VLOOKUP(F284,[5]Hárok1!$F$4:$S$93,9,0)</f>
        <v>1</v>
      </c>
      <c r="O284" s="43">
        <f>VLOOKUP(F284,[5]Hárok1!$F$4:$S$93,10,0)</f>
        <v>2</v>
      </c>
      <c r="P284" s="44">
        <f>VLOOKUP(F284,[5]Hárok1!$F$4:$S$93,11,0)</f>
        <v>0</v>
      </c>
      <c r="Q284" s="42">
        <f>VLOOKUP(F284,[5]Hárok1!$F$4:$S$93,12,0)</f>
        <v>1</v>
      </c>
      <c r="R284" s="43">
        <f>VLOOKUP(F284,[5]Hárok1!$F$4:$S$93,13,0)</f>
        <v>18</v>
      </c>
      <c r="S284" s="44">
        <f>VLOOKUP(F284,[5]Hárok1!$F$4:$S$93,14,0)</f>
        <v>0</v>
      </c>
      <c r="T284" s="45">
        <f t="shared" si="24"/>
        <v>33.5</v>
      </c>
      <c r="U284" s="46">
        <f>VLOOKUP(F284,[5]Hárok1!$F$4:$U$93,16,0)</f>
        <v>0</v>
      </c>
      <c r="V284" s="47">
        <f t="shared" si="25"/>
        <v>15</v>
      </c>
      <c r="W284" s="47">
        <f t="shared" si="26"/>
        <v>63</v>
      </c>
      <c r="X284" s="48">
        <f t="shared" si="27"/>
        <v>0</v>
      </c>
      <c r="Y284" s="49">
        <f t="shared" si="28"/>
        <v>111.5</v>
      </c>
      <c r="Z284" s="50">
        <f t="shared" si="29"/>
        <v>112</v>
      </c>
    </row>
    <row r="285" spans="1:26" x14ac:dyDescent="0.25">
      <c r="A285" s="29" t="s">
        <v>634</v>
      </c>
      <c r="B285" s="29" t="s">
        <v>79</v>
      </c>
      <c r="C285" s="29" t="s">
        <v>652</v>
      </c>
      <c r="D285" s="29">
        <v>37861298</v>
      </c>
      <c r="E285" s="32" t="s">
        <v>653</v>
      </c>
      <c r="F285" s="29">
        <v>17050111</v>
      </c>
      <c r="G285" s="32" t="s">
        <v>686</v>
      </c>
      <c r="H285" s="32" t="s">
        <v>639</v>
      </c>
      <c r="I285" s="33" t="s">
        <v>685</v>
      </c>
      <c r="J285" s="42">
        <f>VLOOKUP(F285,[5]Hárok1!$F$4:$S$93,5,0)</f>
        <v>7</v>
      </c>
      <c r="K285" s="43">
        <f>VLOOKUP(F285,[5]Hárok1!$F$4:$S$93,6,0)</f>
        <v>7</v>
      </c>
      <c r="L285" s="43">
        <f>VLOOKUP(F285,[5]Hárok1!$F$4:$S$93,7,0)</f>
        <v>14</v>
      </c>
      <c r="M285" s="43">
        <f>VLOOKUP(F285,[5]Hárok1!$F$4:$S$93,8,0)</f>
        <v>17</v>
      </c>
      <c r="N285" s="43">
        <f>VLOOKUP(F285,[5]Hárok1!$F$4:$S$93,9,0)</f>
        <v>3</v>
      </c>
      <c r="O285" s="43">
        <f>VLOOKUP(F285,[5]Hárok1!$F$4:$S$93,10,0)</f>
        <v>11</v>
      </c>
      <c r="P285" s="44">
        <f>VLOOKUP(F285,[5]Hárok1!$F$4:$S$93,11,0)</f>
        <v>2</v>
      </c>
      <c r="Q285" s="42">
        <f>VLOOKUP(F285,[5]Hárok1!$F$4:$S$93,12,0)</f>
        <v>39</v>
      </c>
      <c r="R285" s="43">
        <f>VLOOKUP(F285,[5]Hárok1!$F$4:$S$93,13,0)</f>
        <v>107</v>
      </c>
      <c r="S285" s="44">
        <f>VLOOKUP(F285,[5]Hárok1!$F$4:$S$93,14,0)</f>
        <v>34</v>
      </c>
      <c r="T285" s="45">
        <f t="shared" si="24"/>
        <v>469</v>
      </c>
      <c r="U285" s="46">
        <f>VLOOKUP(F285,[5]Hárok1!$F$4:$U$93,16,0)</f>
        <v>0</v>
      </c>
      <c r="V285" s="47">
        <f t="shared" si="25"/>
        <v>99</v>
      </c>
      <c r="W285" s="47">
        <f t="shared" si="26"/>
        <v>362.5</v>
      </c>
      <c r="X285" s="48">
        <f t="shared" si="27"/>
        <v>105</v>
      </c>
      <c r="Y285" s="49">
        <f t="shared" si="28"/>
        <v>1035.5</v>
      </c>
      <c r="Z285" s="50">
        <f t="shared" si="29"/>
        <v>1036</v>
      </c>
    </row>
    <row r="286" spans="1:26" x14ac:dyDescent="0.25">
      <c r="A286" s="51" t="s">
        <v>634</v>
      </c>
      <c r="B286" s="51" t="s">
        <v>79</v>
      </c>
      <c r="C286" s="51" t="s">
        <v>652</v>
      </c>
      <c r="D286" s="51">
        <v>37861298</v>
      </c>
      <c r="E286" s="32" t="s">
        <v>653</v>
      </c>
      <c r="F286" s="51">
        <v>399388</v>
      </c>
      <c r="G286" s="32" t="s">
        <v>687</v>
      </c>
      <c r="H286" s="32" t="s">
        <v>639</v>
      </c>
      <c r="I286" s="33" t="s">
        <v>688</v>
      </c>
      <c r="J286" s="42">
        <f>VLOOKUP(F286,[5]Hárok1!$F$4:$S$93,5,0)</f>
        <v>5</v>
      </c>
      <c r="K286" s="43">
        <f>VLOOKUP(F286,[5]Hárok1!$F$4:$S$93,6,0)</f>
        <v>0</v>
      </c>
      <c r="L286" s="43">
        <f>VLOOKUP(F286,[5]Hárok1!$F$4:$S$93,7,0)</f>
        <v>17</v>
      </c>
      <c r="M286" s="43">
        <f>VLOOKUP(F286,[5]Hárok1!$F$4:$S$93,8,0)</f>
        <v>0</v>
      </c>
      <c r="N286" s="43">
        <f>VLOOKUP(F286,[5]Hárok1!$F$4:$S$93,9,0)</f>
        <v>1</v>
      </c>
      <c r="O286" s="43">
        <f>VLOOKUP(F286,[5]Hárok1!$F$4:$S$93,10,0)</f>
        <v>5</v>
      </c>
      <c r="P286" s="44">
        <f>VLOOKUP(F286,[5]Hárok1!$F$4:$S$93,11,0)</f>
        <v>2</v>
      </c>
      <c r="Q286" s="42">
        <f>VLOOKUP(F286,[5]Hárok1!$F$4:$S$93,12,0)</f>
        <v>3</v>
      </c>
      <c r="R286" s="43">
        <f>VLOOKUP(F286,[5]Hárok1!$F$4:$S$93,13,0)</f>
        <v>72</v>
      </c>
      <c r="S286" s="44">
        <f>VLOOKUP(F286,[5]Hárok1!$F$4:$S$93,14,0)</f>
        <v>52</v>
      </c>
      <c r="T286" s="45">
        <f t="shared" si="24"/>
        <v>569.5</v>
      </c>
      <c r="U286" s="46">
        <f>VLOOKUP(F286,[5]Hárok1!$F$4:$U$93,16,0)</f>
        <v>0</v>
      </c>
      <c r="V286" s="47">
        <f t="shared" si="25"/>
        <v>18</v>
      </c>
      <c r="W286" s="47">
        <f t="shared" si="26"/>
        <v>211.5</v>
      </c>
      <c r="X286" s="48">
        <f t="shared" si="27"/>
        <v>132</v>
      </c>
      <c r="Y286" s="49">
        <f t="shared" si="28"/>
        <v>931</v>
      </c>
      <c r="Z286" s="50">
        <f t="shared" si="29"/>
        <v>931</v>
      </c>
    </row>
    <row r="287" spans="1:26" x14ac:dyDescent="0.25">
      <c r="A287" s="29" t="s">
        <v>634</v>
      </c>
      <c r="B287" s="29" t="s">
        <v>79</v>
      </c>
      <c r="C287" s="29" t="s">
        <v>652</v>
      </c>
      <c r="D287" s="29">
        <v>37861298</v>
      </c>
      <c r="E287" s="32" t="s">
        <v>653</v>
      </c>
      <c r="F287" s="29">
        <v>17050308</v>
      </c>
      <c r="G287" s="32" t="s">
        <v>154</v>
      </c>
      <c r="H287" s="32" t="s">
        <v>689</v>
      </c>
      <c r="I287" s="33" t="s">
        <v>690</v>
      </c>
      <c r="J287" s="42">
        <f>VLOOKUP(F287,[5]Hárok1!$F$4:$S$93,5,0)</f>
        <v>4</v>
      </c>
      <c r="K287" s="43">
        <f>VLOOKUP(F287,[5]Hárok1!$F$4:$S$93,6,0)</f>
        <v>3</v>
      </c>
      <c r="L287" s="43">
        <f>VLOOKUP(F287,[5]Hárok1!$F$4:$S$93,7,0)</f>
        <v>17</v>
      </c>
      <c r="M287" s="43">
        <f>VLOOKUP(F287,[5]Hárok1!$F$4:$S$93,8,0)</f>
        <v>12</v>
      </c>
      <c r="N287" s="43">
        <f>VLOOKUP(F287,[5]Hárok1!$F$4:$S$93,9,0)</f>
        <v>7</v>
      </c>
      <c r="O287" s="43">
        <f>VLOOKUP(F287,[5]Hárok1!$F$4:$S$93,10,0)</f>
        <v>8</v>
      </c>
      <c r="P287" s="44">
        <f>VLOOKUP(F287,[5]Hárok1!$F$4:$S$93,11,0)</f>
        <v>0</v>
      </c>
      <c r="Q287" s="42">
        <f>VLOOKUP(F287,[5]Hárok1!$F$4:$S$93,12,0)</f>
        <v>170</v>
      </c>
      <c r="R287" s="43">
        <f>VLOOKUP(F287,[5]Hárok1!$F$4:$S$93,13,0)</f>
        <v>111</v>
      </c>
      <c r="S287" s="44">
        <f>VLOOKUP(F287,[5]Hárok1!$F$4:$S$93,14,0)</f>
        <v>0</v>
      </c>
      <c r="T287" s="45">
        <f t="shared" si="24"/>
        <v>569.5</v>
      </c>
      <c r="U287" s="46">
        <f>VLOOKUP(F287,[5]Hárok1!$F$4:$U$93,16,0)</f>
        <v>65.7</v>
      </c>
      <c r="V287" s="47">
        <f t="shared" si="25"/>
        <v>349.5</v>
      </c>
      <c r="W287" s="47">
        <f t="shared" si="26"/>
        <v>330</v>
      </c>
      <c r="X287" s="48">
        <f t="shared" si="27"/>
        <v>0</v>
      </c>
      <c r="Y287" s="49">
        <f t="shared" si="28"/>
        <v>1314.7</v>
      </c>
      <c r="Z287" s="50">
        <f t="shared" si="29"/>
        <v>1315</v>
      </c>
    </row>
    <row r="288" spans="1:26" x14ac:dyDescent="0.25">
      <c r="A288" s="29" t="s">
        <v>634</v>
      </c>
      <c r="B288" s="29" t="s">
        <v>79</v>
      </c>
      <c r="C288" s="29" t="s">
        <v>652</v>
      </c>
      <c r="D288" s="29">
        <v>37861298</v>
      </c>
      <c r="E288" s="32" t="s">
        <v>653</v>
      </c>
      <c r="F288" s="29">
        <v>160504</v>
      </c>
      <c r="G288" s="32" t="s">
        <v>691</v>
      </c>
      <c r="H288" s="32" t="s">
        <v>692</v>
      </c>
      <c r="I288" s="33" t="s">
        <v>693</v>
      </c>
      <c r="J288" s="42">
        <f>VLOOKUP(F288,[5]Hárok1!$F$4:$S$93,5,0)</f>
        <v>2</v>
      </c>
      <c r="K288" s="43">
        <f>VLOOKUP(F288,[5]Hárok1!$F$4:$S$93,6,0)</f>
        <v>4</v>
      </c>
      <c r="L288" s="43">
        <f>VLOOKUP(F288,[5]Hárok1!$F$4:$S$93,7,0)</f>
        <v>7</v>
      </c>
      <c r="M288" s="43">
        <f>VLOOKUP(F288,[5]Hárok1!$F$4:$S$93,8,0)</f>
        <v>5</v>
      </c>
      <c r="N288" s="43">
        <f>VLOOKUP(F288,[5]Hárok1!$F$4:$S$93,9,0)</f>
        <v>5</v>
      </c>
      <c r="O288" s="43">
        <f>VLOOKUP(F288,[5]Hárok1!$F$4:$S$93,10,0)</f>
        <v>4</v>
      </c>
      <c r="P288" s="44">
        <f>VLOOKUP(F288,[5]Hárok1!$F$4:$S$93,11,0)</f>
        <v>2</v>
      </c>
      <c r="Q288" s="42">
        <f>VLOOKUP(F288,[5]Hárok1!$F$4:$S$93,12,0)</f>
        <v>35</v>
      </c>
      <c r="R288" s="43">
        <f>VLOOKUP(F288,[5]Hárok1!$F$4:$S$93,13,0)</f>
        <v>66</v>
      </c>
      <c r="S288" s="44">
        <f>VLOOKUP(F288,[5]Hárok1!$F$4:$S$93,14,0)</f>
        <v>52</v>
      </c>
      <c r="T288" s="45">
        <f t="shared" si="24"/>
        <v>234.5</v>
      </c>
      <c r="U288" s="46">
        <f>VLOOKUP(F288,[5]Hárok1!$F$4:$U$93,16,0)</f>
        <v>0</v>
      </c>
      <c r="V288" s="47">
        <f t="shared" si="25"/>
        <v>120</v>
      </c>
      <c r="W288" s="47">
        <f t="shared" si="26"/>
        <v>186</v>
      </c>
      <c r="X288" s="48">
        <f t="shared" si="27"/>
        <v>132</v>
      </c>
      <c r="Y288" s="49">
        <f t="shared" si="28"/>
        <v>672.5</v>
      </c>
      <c r="Z288" s="50">
        <f t="shared" si="29"/>
        <v>673</v>
      </c>
    </row>
    <row r="289" spans="1:26" x14ac:dyDescent="0.25">
      <c r="A289" s="29" t="s">
        <v>634</v>
      </c>
      <c r="B289" s="29" t="s">
        <v>79</v>
      </c>
      <c r="C289" s="29" t="s">
        <v>652</v>
      </c>
      <c r="D289" s="29">
        <v>37861298</v>
      </c>
      <c r="E289" s="32" t="s">
        <v>653</v>
      </c>
      <c r="F289" s="29">
        <v>160261</v>
      </c>
      <c r="G289" s="32" t="s">
        <v>49</v>
      </c>
      <c r="H289" s="32" t="s">
        <v>643</v>
      </c>
      <c r="I289" s="33" t="s">
        <v>694</v>
      </c>
      <c r="J289" s="42">
        <f>VLOOKUP(F289,[5]Hárok1!$F$4:$S$93,5,0)</f>
        <v>26</v>
      </c>
      <c r="K289" s="43">
        <f>VLOOKUP(F289,[5]Hárok1!$F$4:$S$93,6,0)</f>
        <v>0</v>
      </c>
      <c r="L289" s="43">
        <f>VLOOKUP(F289,[5]Hárok1!$F$4:$S$93,7,0)</f>
        <v>103</v>
      </c>
      <c r="M289" s="43">
        <f>VLOOKUP(F289,[5]Hárok1!$F$4:$S$93,8,0)</f>
        <v>0</v>
      </c>
      <c r="N289" s="43">
        <f>VLOOKUP(F289,[5]Hárok1!$F$4:$S$93,9,0)</f>
        <v>2</v>
      </c>
      <c r="O289" s="43">
        <f>VLOOKUP(F289,[5]Hárok1!$F$4:$S$93,10,0)</f>
        <v>26</v>
      </c>
      <c r="P289" s="44">
        <f>VLOOKUP(F289,[5]Hárok1!$F$4:$S$93,11,0)</f>
        <v>5</v>
      </c>
      <c r="Q289" s="42">
        <f>VLOOKUP(F289,[5]Hárok1!$F$4:$S$93,12,0)</f>
        <v>7</v>
      </c>
      <c r="R289" s="43">
        <f>VLOOKUP(F289,[5]Hárok1!$F$4:$S$93,13,0)</f>
        <v>621</v>
      </c>
      <c r="S289" s="44">
        <f>VLOOKUP(F289,[5]Hárok1!$F$4:$S$93,14,0)</f>
        <v>374</v>
      </c>
      <c r="T289" s="45">
        <f t="shared" si="24"/>
        <v>3450.5</v>
      </c>
      <c r="U289" s="46">
        <f>VLOOKUP(F289,[5]Hárok1!$F$4:$U$93,16,0)</f>
        <v>0</v>
      </c>
      <c r="V289" s="47">
        <f t="shared" si="25"/>
        <v>37.5</v>
      </c>
      <c r="W289" s="47">
        <f t="shared" si="26"/>
        <v>1593</v>
      </c>
      <c r="X289" s="48">
        <f t="shared" si="27"/>
        <v>696</v>
      </c>
      <c r="Y289" s="49">
        <f t="shared" si="28"/>
        <v>5777</v>
      </c>
      <c r="Z289" s="50">
        <f t="shared" si="29"/>
        <v>5777</v>
      </c>
    </row>
    <row r="290" spans="1:26" x14ac:dyDescent="0.25">
      <c r="A290" s="29" t="s">
        <v>634</v>
      </c>
      <c r="B290" s="29" t="s">
        <v>79</v>
      </c>
      <c r="C290" s="29" t="s">
        <v>652</v>
      </c>
      <c r="D290" s="29">
        <v>37861298</v>
      </c>
      <c r="E290" s="32" t="s">
        <v>653</v>
      </c>
      <c r="F290" s="29">
        <v>161942</v>
      </c>
      <c r="G290" s="32" t="s">
        <v>100</v>
      </c>
      <c r="H290" s="32" t="s">
        <v>643</v>
      </c>
      <c r="I290" s="33" t="s">
        <v>695</v>
      </c>
      <c r="J290" s="42">
        <f>VLOOKUP(F290,[5]Hárok1!$F$4:$S$93,5,0)</f>
        <v>9</v>
      </c>
      <c r="K290" s="43">
        <f>VLOOKUP(F290,[5]Hárok1!$F$4:$S$93,6,0)</f>
        <v>0</v>
      </c>
      <c r="L290" s="43">
        <f>VLOOKUP(F290,[5]Hárok1!$F$4:$S$93,7,0)</f>
        <v>31</v>
      </c>
      <c r="M290" s="43">
        <f>VLOOKUP(F290,[5]Hárok1!$F$4:$S$93,8,0)</f>
        <v>0</v>
      </c>
      <c r="N290" s="43">
        <f>VLOOKUP(F290,[5]Hárok1!$F$4:$S$93,9,0)</f>
        <v>3</v>
      </c>
      <c r="O290" s="43">
        <f>VLOOKUP(F290,[5]Hárok1!$F$4:$S$93,10,0)</f>
        <v>7</v>
      </c>
      <c r="P290" s="44">
        <f>VLOOKUP(F290,[5]Hárok1!$F$4:$S$93,11,0)</f>
        <v>1</v>
      </c>
      <c r="Q290" s="42">
        <f>VLOOKUP(F290,[5]Hárok1!$F$4:$S$93,12,0)</f>
        <v>92</v>
      </c>
      <c r="R290" s="43">
        <f>VLOOKUP(F290,[5]Hárok1!$F$4:$S$93,13,0)</f>
        <v>129</v>
      </c>
      <c r="S290" s="44">
        <f>VLOOKUP(F290,[5]Hárok1!$F$4:$S$93,14,0)</f>
        <v>63</v>
      </c>
      <c r="T290" s="45">
        <f t="shared" si="24"/>
        <v>1038.5</v>
      </c>
      <c r="U290" s="46">
        <f>VLOOKUP(F290,[5]Hárok1!$F$4:$U$93,16,0)</f>
        <v>175.8</v>
      </c>
      <c r="V290" s="47">
        <f t="shared" si="25"/>
        <v>178.5</v>
      </c>
      <c r="W290" s="47">
        <f t="shared" si="26"/>
        <v>352.5</v>
      </c>
      <c r="X290" s="48">
        <f t="shared" si="27"/>
        <v>121.5</v>
      </c>
      <c r="Y290" s="49">
        <f t="shared" si="28"/>
        <v>1866.8</v>
      </c>
      <c r="Z290" s="50">
        <f t="shared" si="29"/>
        <v>1867</v>
      </c>
    </row>
    <row r="291" spans="1:26" x14ac:dyDescent="0.25">
      <c r="A291" s="29" t="s">
        <v>634</v>
      </c>
      <c r="B291" s="29" t="s">
        <v>79</v>
      </c>
      <c r="C291" s="29" t="s">
        <v>652</v>
      </c>
      <c r="D291" s="29">
        <v>37861298</v>
      </c>
      <c r="E291" s="32" t="s">
        <v>653</v>
      </c>
      <c r="F291" s="29">
        <v>161365</v>
      </c>
      <c r="G291" s="32" t="s">
        <v>52</v>
      </c>
      <c r="H291" s="32" t="s">
        <v>643</v>
      </c>
      <c r="I291" s="33" t="s">
        <v>696</v>
      </c>
      <c r="J291" s="42">
        <f>VLOOKUP(F291,[5]Hárok1!$F$4:$S$93,5,0)</f>
        <v>29</v>
      </c>
      <c r="K291" s="43">
        <f>VLOOKUP(F291,[5]Hárok1!$F$4:$S$93,6,0)</f>
        <v>2</v>
      </c>
      <c r="L291" s="43">
        <f>VLOOKUP(F291,[5]Hárok1!$F$4:$S$93,7,0)</f>
        <v>106</v>
      </c>
      <c r="M291" s="43">
        <f>VLOOKUP(F291,[5]Hárok1!$F$4:$S$93,8,0)</f>
        <v>9</v>
      </c>
      <c r="N291" s="43">
        <f>VLOOKUP(F291,[5]Hárok1!$F$4:$S$93,9,0)</f>
        <v>4</v>
      </c>
      <c r="O291" s="43">
        <f>VLOOKUP(F291,[5]Hárok1!$F$4:$S$93,10,0)</f>
        <v>35</v>
      </c>
      <c r="P291" s="44">
        <f>VLOOKUP(F291,[5]Hárok1!$F$4:$S$93,11,0)</f>
        <v>4</v>
      </c>
      <c r="Q291" s="42">
        <f>VLOOKUP(F291,[5]Hárok1!$F$4:$S$93,12,0)</f>
        <v>144</v>
      </c>
      <c r="R291" s="43">
        <f>VLOOKUP(F291,[5]Hárok1!$F$4:$S$93,13,0)</f>
        <v>1044</v>
      </c>
      <c r="S291" s="44">
        <f>VLOOKUP(F291,[5]Hárok1!$F$4:$S$93,14,0)</f>
        <v>297</v>
      </c>
      <c r="T291" s="45">
        <f t="shared" si="24"/>
        <v>3551</v>
      </c>
      <c r="U291" s="46">
        <f>VLOOKUP(F291,[5]Hárok1!$F$4:$U$93,16,0)</f>
        <v>46.45</v>
      </c>
      <c r="V291" s="47">
        <f t="shared" si="25"/>
        <v>270</v>
      </c>
      <c r="W291" s="47">
        <f t="shared" si="26"/>
        <v>2560.5</v>
      </c>
      <c r="X291" s="48">
        <f t="shared" si="27"/>
        <v>553.5</v>
      </c>
      <c r="Y291" s="49">
        <f t="shared" si="28"/>
        <v>6981.45</v>
      </c>
      <c r="Z291" s="50">
        <f t="shared" si="29"/>
        <v>6981</v>
      </c>
    </row>
    <row r="292" spans="1:26" x14ac:dyDescent="0.25">
      <c r="A292" s="29" t="s">
        <v>634</v>
      </c>
      <c r="B292" s="29" t="s">
        <v>79</v>
      </c>
      <c r="C292" s="29" t="s">
        <v>652</v>
      </c>
      <c r="D292" s="29">
        <v>37861298</v>
      </c>
      <c r="E292" s="32" t="s">
        <v>653</v>
      </c>
      <c r="F292" s="29">
        <v>596876</v>
      </c>
      <c r="G292" s="32" t="s">
        <v>697</v>
      </c>
      <c r="H292" s="32" t="s">
        <v>643</v>
      </c>
      <c r="I292" s="33" t="s">
        <v>698</v>
      </c>
      <c r="J292" s="42">
        <f>VLOOKUP(F292,[5]Hárok1!$F$4:$S$93,5,0)</f>
        <v>13</v>
      </c>
      <c r="K292" s="43">
        <f>VLOOKUP(F292,[5]Hárok1!$F$4:$S$93,6,0)</f>
        <v>2</v>
      </c>
      <c r="L292" s="43">
        <f>VLOOKUP(F292,[5]Hárok1!$F$4:$S$93,7,0)</f>
        <v>50</v>
      </c>
      <c r="M292" s="43">
        <f>VLOOKUP(F292,[5]Hárok1!$F$4:$S$93,8,0)</f>
        <v>5</v>
      </c>
      <c r="N292" s="43">
        <f>VLOOKUP(F292,[5]Hárok1!$F$4:$S$93,9,0)</f>
        <v>4</v>
      </c>
      <c r="O292" s="43">
        <f>VLOOKUP(F292,[5]Hárok1!$F$4:$S$93,10,0)</f>
        <v>17</v>
      </c>
      <c r="P292" s="44">
        <f>VLOOKUP(F292,[5]Hárok1!$F$4:$S$93,11,0)</f>
        <v>8</v>
      </c>
      <c r="Q292" s="42">
        <f>VLOOKUP(F292,[5]Hárok1!$F$4:$S$93,12,0)</f>
        <v>59</v>
      </c>
      <c r="R292" s="43">
        <f>VLOOKUP(F292,[5]Hárok1!$F$4:$S$93,13,0)</f>
        <v>263</v>
      </c>
      <c r="S292" s="44">
        <f>VLOOKUP(F292,[5]Hárok1!$F$4:$S$93,14,0)</f>
        <v>69</v>
      </c>
      <c r="T292" s="45">
        <f t="shared" si="24"/>
        <v>1675</v>
      </c>
      <c r="U292" s="46">
        <f>VLOOKUP(F292,[5]Hárok1!$F$4:$U$93,16,0)</f>
        <v>274.60000000000002</v>
      </c>
      <c r="V292" s="47">
        <f t="shared" si="25"/>
        <v>142.5</v>
      </c>
      <c r="W292" s="47">
        <f t="shared" si="26"/>
        <v>755.5</v>
      </c>
      <c r="X292" s="48">
        <f t="shared" si="27"/>
        <v>319.5</v>
      </c>
      <c r="Y292" s="49">
        <f t="shared" si="28"/>
        <v>3167.1</v>
      </c>
      <c r="Z292" s="50">
        <f t="shared" si="29"/>
        <v>3167</v>
      </c>
    </row>
    <row r="293" spans="1:26" x14ac:dyDescent="0.25">
      <c r="A293" s="29" t="s">
        <v>634</v>
      </c>
      <c r="B293" s="29" t="s">
        <v>79</v>
      </c>
      <c r="C293" s="29" t="s">
        <v>652</v>
      </c>
      <c r="D293" s="29">
        <v>37861298</v>
      </c>
      <c r="E293" s="32" t="s">
        <v>653</v>
      </c>
      <c r="F293" s="29">
        <v>17054222</v>
      </c>
      <c r="G293" s="32" t="s">
        <v>699</v>
      </c>
      <c r="H293" s="32" t="s">
        <v>643</v>
      </c>
      <c r="I293" s="33" t="s">
        <v>700</v>
      </c>
      <c r="J293" s="42">
        <f>VLOOKUP(F293,[5]Hárok1!$F$4:$S$93,5,0)</f>
        <v>7</v>
      </c>
      <c r="K293" s="43">
        <f>VLOOKUP(F293,[5]Hárok1!$F$4:$S$93,6,0)</f>
        <v>0</v>
      </c>
      <c r="L293" s="43">
        <f>VLOOKUP(F293,[5]Hárok1!$F$4:$S$93,7,0)</f>
        <v>28</v>
      </c>
      <c r="M293" s="43">
        <f>VLOOKUP(F293,[5]Hárok1!$F$4:$S$93,8,0)</f>
        <v>0</v>
      </c>
      <c r="N293" s="43">
        <f>VLOOKUP(F293,[5]Hárok1!$F$4:$S$93,9,0)</f>
        <v>0</v>
      </c>
      <c r="O293" s="43">
        <f>VLOOKUP(F293,[5]Hárok1!$F$4:$S$93,10,0)</f>
        <v>11</v>
      </c>
      <c r="P293" s="44">
        <f>VLOOKUP(F293,[5]Hárok1!$F$4:$S$93,11,0)</f>
        <v>0</v>
      </c>
      <c r="Q293" s="42">
        <f>VLOOKUP(F293,[5]Hárok1!$F$4:$S$93,12,0)</f>
        <v>0</v>
      </c>
      <c r="R293" s="43">
        <f>VLOOKUP(F293,[5]Hárok1!$F$4:$S$93,13,0)</f>
        <v>256</v>
      </c>
      <c r="S293" s="44">
        <f>VLOOKUP(F293,[5]Hárok1!$F$4:$S$93,14,0)</f>
        <v>0</v>
      </c>
      <c r="T293" s="45">
        <f t="shared" si="24"/>
        <v>938</v>
      </c>
      <c r="U293" s="46">
        <f>VLOOKUP(F293,[5]Hárok1!$F$4:$U$93,16,0)</f>
        <v>0</v>
      </c>
      <c r="V293" s="47">
        <f t="shared" si="25"/>
        <v>0</v>
      </c>
      <c r="W293" s="47">
        <f t="shared" si="26"/>
        <v>660.5</v>
      </c>
      <c r="X293" s="48">
        <f t="shared" si="27"/>
        <v>0</v>
      </c>
      <c r="Y293" s="49">
        <f t="shared" si="28"/>
        <v>1598.5</v>
      </c>
      <c r="Z293" s="50">
        <f t="shared" si="29"/>
        <v>1599</v>
      </c>
    </row>
    <row r="294" spans="1:26" x14ac:dyDescent="0.25">
      <c r="A294" s="51" t="s">
        <v>634</v>
      </c>
      <c r="B294" s="51" t="s">
        <v>79</v>
      </c>
      <c r="C294" s="51" t="s">
        <v>652</v>
      </c>
      <c r="D294" s="51">
        <v>37861298</v>
      </c>
      <c r="E294" s="32" t="s">
        <v>653</v>
      </c>
      <c r="F294" s="51">
        <v>893293</v>
      </c>
      <c r="G294" s="32" t="s">
        <v>701</v>
      </c>
      <c r="H294" s="32" t="s">
        <v>643</v>
      </c>
      <c r="I294" s="33" t="s">
        <v>702</v>
      </c>
      <c r="J294" s="42">
        <f>VLOOKUP(F294,[5]Hárok1!$F$4:$S$93,5,0)</f>
        <v>8</v>
      </c>
      <c r="K294" s="43">
        <f>VLOOKUP(F294,[5]Hárok1!$F$4:$S$93,6,0)</f>
        <v>4</v>
      </c>
      <c r="L294" s="43">
        <f>VLOOKUP(F294,[5]Hárok1!$F$4:$S$93,7,0)</f>
        <v>31</v>
      </c>
      <c r="M294" s="43">
        <f>VLOOKUP(F294,[5]Hárok1!$F$4:$S$93,8,0)</f>
        <v>12</v>
      </c>
      <c r="N294" s="43">
        <f>VLOOKUP(F294,[5]Hárok1!$F$4:$S$93,9,0)</f>
        <v>1</v>
      </c>
      <c r="O294" s="43">
        <f>VLOOKUP(F294,[5]Hárok1!$F$4:$S$93,10,0)</f>
        <v>16</v>
      </c>
      <c r="P294" s="44">
        <f>VLOOKUP(F294,[5]Hárok1!$F$4:$S$93,11,0)</f>
        <v>0</v>
      </c>
      <c r="Q294" s="42">
        <f>VLOOKUP(F294,[5]Hárok1!$F$4:$S$93,12,0)</f>
        <v>89</v>
      </c>
      <c r="R294" s="43">
        <f>VLOOKUP(F294,[5]Hárok1!$F$4:$S$93,13,0)</f>
        <v>240</v>
      </c>
      <c r="S294" s="44">
        <f>VLOOKUP(F294,[5]Hárok1!$F$4:$S$93,14,0)</f>
        <v>0</v>
      </c>
      <c r="T294" s="45">
        <f t="shared" si="24"/>
        <v>1038.5</v>
      </c>
      <c r="U294" s="46">
        <f>VLOOKUP(F294,[5]Hárok1!$F$4:$U$93,16,0)</f>
        <v>0</v>
      </c>
      <c r="V294" s="47">
        <f t="shared" si="25"/>
        <v>147</v>
      </c>
      <c r="W294" s="47">
        <f t="shared" si="26"/>
        <v>696</v>
      </c>
      <c r="X294" s="48">
        <f t="shared" si="27"/>
        <v>0</v>
      </c>
      <c r="Y294" s="49">
        <f t="shared" si="28"/>
        <v>1881.5</v>
      </c>
      <c r="Z294" s="50">
        <f t="shared" si="29"/>
        <v>1882</v>
      </c>
    </row>
    <row r="295" spans="1:26" x14ac:dyDescent="0.25">
      <c r="A295" s="29" t="s">
        <v>634</v>
      </c>
      <c r="B295" s="29" t="s">
        <v>79</v>
      </c>
      <c r="C295" s="29" t="s">
        <v>652</v>
      </c>
      <c r="D295" s="29">
        <v>37861298</v>
      </c>
      <c r="E295" s="32" t="s">
        <v>653</v>
      </c>
      <c r="F295" s="29">
        <v>596868</v>
      </c>
      <c r="G295" s="32" t="s">
        <v>679</v>
      </c>
      <c r="H295" s="32" t="s">
        <v>643</v>
      </c>
      <c r="I295" s="33" t="s">
        <v>703</v>
      </c>
      <c r="J295" s="42">
        <f>VLOOKUP(F295,[5]Hárok1!$F$4:$S$93,5,0)</f>
        <v>9</v>
      </c>
      <c r="K295" s="43">
        <f>VLOOKUP(F295,[5]Hárok1!$F$4:$S$93,6,0)</f>
        <v>3</v>
      </c>
      <c r="L295" s="43">
        <f>VLOOKUP(F295,[5]Hárok1!$F$4:$S$93,7,0)</f>
        <v>45</v>
      </c>
      <c r="M295" s="43">
        <f>VLOOKUP(F295,[5]Hárok1!$F$4:$S$93,8,0)</f>
        <v>9</v>
      </c>
      <c r="N295" s="43">
        <f>VLOOKUP(F295,[5]Hárok1!$F$4:$S$93,9,0)</f>
        <v>0</v>
      </c>
      <c r="O295" s="43">
        <f>VLOOKUP(F295,[5]Hárok1!$F$4:$S$93,10,0)</f>
        <v>20</v>
      </c>
      <c r="P295" s="44">
        <f>VLOOKUP(F295,[5]Hárok1!$F$4:$S$93,11,0)</f>
        <v>2</v>
      </c>
      <c r="Q295" s="42">
        <f>VLOOKUP(F295,[5]Hárok1!$F$4:$S$93,12,0)</f>
        <v>0</v>
      </c>
      <c r="R295" s="43">
        <f>VLOOKUP(F295,[5]Hárok1!$F$4:$S$93,13,0)</f>
        <v>399</v>
      </c>
      <c r="S295" s="44">
        <f>VLOOKUP(F295,[5]Hárok1!$F$4:$S$93,14,0)</f>
        <v>150</v>
      </c>
      <c r="T295" s="45">
        <f t="shared" si="24"/>
        <v>1507.5</v>
      </c>
      <c r="U295" s="46">
        <f>VLOOKUP(F295,[5]Hárok1!$F$4:$U$93,16,0)</f>
        <v>316.76</v>
      </c>
      <c r="V295" s="47">
        <f t="shared" si="25"/>
        <v>0</v>
      </c>
      <c r="W295" s="47">
        <f t="shared" si="26"/>
        <v>1068</v>
      </c>
      <c r="X295" s="48">
        <f t="shared" si="27"/>
        <v>279</v>
      </c>
      <c r="Y295" s="49">
        <f t="shared" si="28"/>
        <v>3171.26</v>
      </c>
      <c r="Z295" s="50">
        <f t="shared" si="29"/>
        <v>3171</v>
      </c>
    </row>
    <row r="296" spans="1:26" x14ac:dyDescent="0.25">
      <c r="A296" s="51" t="s">
        <v>634</v>
      </c>
      <c r="B296" s="51" t="s">
        <v>79</v>
      </c>
      <c r="C296" s="51" t="s">
        <v>652</v>
      </c>
      <c r="D296" s="51">
        <v>37861298</v>
      </c>
      <c r="E296" s="32" t="s">
        <v>653</v>
      </c>
      <c r="F296" s="51">
        <v>162370</v>
      </c>
      <c r="G296" s="32" t="s">
        <v>704</v>
      </c>
      <c r="H296" s="32" t="s">
        <v>643</v>
      </c>
      <c r="I296" s="33" t="s">
        <v>705</v>
      </c>
      <c r="J296" s="42">
        <f>VLOOKUP(F296,[5]Hárok1!$F$4:$S$93,5,0)</f>
        <v>5</v>
      </c>
      <c r="K296" s="43">
        <f>VLOOKUP(F296,[5]Hárok1!$F$4:$S$93,6,0)</f>
        <v>0</v>
      </c>
      <c r="L296" s="43">
        <f>VLOOKUP(F296,[5]Hárok1!$F$4:$S$93,7,0)</f>
        <v>15</v>
      </c>
      <c r="M296" s="43">
        <f>VLOOKUP(F296,[5]Hárok1!$F$4:$S$93,8,0)</f>
        <v>0</v>
      </c>
      <c r="N296" s="43">
        <f>VLOOKUP(F296,[5]Hárok1!$F$4:$S$93,9,0)</f>
        <v>0</v>
      </c>
      <c r="O296" s="43">
        <f>VLOOKUP(F296,[5]Hárok1!$F$4:$S$93,10,0)</f>
        <v>9</v>
      </c>
      <c r="P296" s="44">
        <f>VLOOKUP(F296,[5]Hárok1!$F$4:$S$93,11,0)</f>
        <v>0</v>
      </c>
      <c r="Q296" s="42">
        <f>VLOOKUP(F296,[5]Hárok1!$F$4:$S$93,12,0)</f>
        <v>0</v>
      </c>
      <c r="R296" s="43">
        <f>VLOOKUP(F296,[5]Hárok1!$F$4:$S$93,13,0)</f>
        <v>145</v>
      </c>
      <c r="S296" s="44">
        <f>VLOOKUP(F296,[5]Hárok1!$F$4:$S$93,14,0)</f>
        <v>0</v>
      </c>
      <c r="T296" s="45">
        <f t="shared" si="24"/>
        <v>502.5</v>
      </c>
      <c r="U296" s="46">
        <f>VLOOKUP(F296,[5]Hárok1!$F$4:$U$93,16,0)</f>
        <v>55.98</v>
      </c>
      <c r="V296" s="47">
        <f t="shared" si="25"/>
        <v>0</v>
      </c>
      <c r="W296" s="47">
        <f t="shared" si="26"/>
        <v>411.5</v>
      </c>
      <c r="X296" s="48">
        <f t="shared" si="27"/>
        <v>0</v>
      </c>
      <c r="Y296" s="49">
        <f t="shared" si="28"/>
        <v>969.98</v>
      </c>
      <c r="Z296" s="50">
        <f t="shared" si="29"/>
        <v>970</v>
      </c>
    </row>
    <row r="297" spans="1:26" x14ac:dyDescent="0.25">
      <c r="A297" s="51" t="s">
        <v>634</v>
      </c>
      <c r="B297" s="51" t="s">
        <v>79</v>
      </c>
      <c r="C297" s="51" t="s">
        <v>652</v>
      </c>
      <c r="D297" s="51">
        <v>37861298</v>
      </c>
      <c r="E297" s="32" t="s">
        <v>653</v>
      </c>
      <c r="F297" s="51">
        <v>161373</v>
      </c>
      <c r="G297" s="32" t="s">
        <v>706</v>
      </c>
      <c r="H297" s="32" t="s">
        <v>643</v>
      </c>
      <c r="I297" s="33" t="s">
        <v>707</v>
      </c>
      <c r="J297" s="42">
        <f>VLOOKUP(F297,[5]Hárok1!$F$4:$S$93,5,0)</f>
        <v>10</v>
      </c>
      <c r="K297" s="43">
        <f>VLOOKUP(F297,[5]Hárok1!$F$4:$S$93,6,0)</f>
        <v>0</v>
      </c>
      <c r="L297" s="43">
        <f>VLOOKUP(F297,[5]Hárok1!$F$4:$S$93,7,0)</f>
        <v>57</v>
      </c>
      <c r="M297" s="43">
        <f>VLOOKUP(F297,[5]Hárok1!$F$4:$S$93,8,0)</f>
        <v>0</v>
      </c>
      <c r="N297" s="43">
        <f>VLOOKUP(F297,[5]Hárok1!$F$4:$S$93,9,0)</f>
        <v>0</v>
      </c>
      <c r="O297" s="43">
        <f>VLOOKUP(F297,[5]Hárok1!$F$4:$S$93,10,0)</f>
        <v>10</v>
      </c>
      <c r="P297" s="44">
        <f>VLOOKUP(F297,[5]Hárok1!$F$4:$S$93,11,0)</f>
        <v>3</v>
      </c>
      <c r="Q297" s="42">
        <f>VLOOKUP(F297,[5]Hárok1!$F$4:$S$93,12,0)</f>
        <v>0</v>
      </c>
      <c r="R297" s="43">
        <f>VLOOKUP(F297,[5]Hárok1!$F$4:$S$93,13,0)</f>
        <v>421</v>
      </c>
      <c r="S297" s="44">
        <f>VLOOKUP(F297,[5]Hárok1!$F$4:$S$93,14,0)</f>
        <v>252</v>
      </c>
      <c r="T297" s="45">
        <f t="shared" si="24"/>
        <v>1909.5</v>
      </c>
      <c r="U297" s="46">
        <f>VLOOKUP(F297,[5]Hárok1!$F$4:$U$93,16,0)</f>
        <v>0</v>
      </c>
      <c r="V297" s="47">
        <f t="shared" si="25"/>
        <v>0</v>
      </c>
      <c r="W297" s="47">
        <f t="shared" si="26"/>
        <v>977</v>
      </c>
      <c r="X297" s="48">
        <f t="shared" si="27"/>
        <v>459</v>
      </c>
      <c r="Y297" s="49">
        <f t="shared" si="28"/>
        <v>3345.5</v>
      </c>
      <c r="Z297" s="50">
        <f t="shared" si="29"/>
        <v>3346</v>
      </c>
    </row>
    <row r="298" spans="1:26" x14ac:dyDescent="0.25">
      <c r="A298" s="29" t="s">
        <v>634</v>
      </c>
      <c r="B298" s="29" t="s">
        <v>79</v>
      </c>
      <c r="C298" s="29" t="s">
        <v>652</v>
      </c>
      <c r="D298" s="29">
        <v>37861298</v>
      </c>
      <c r="E298" s="32" t="s">
        <v>653</v>
      </c>
      <c r="F298" s="29">
        <v>17050073</v>
      </c>
      <c r="G298" s="32" t="s">
        <v>681</v>
      </c>
      <c r="H298" s="32" t="s">
        <v>643</v>
      </c>
      <c r="I298" s="33" t="s">
        <v>708</v>
      </c>
      <c r="J298" s="42">
        <f>VLOOKUP(F298,[5]Hárok1!$F$4:$S$93,5,0)</f>
        <v>8</v>
      </c>
      <c r="K298" s="43">
        <f>VLOOKUP(F298,[5]Hárok1!$F$4:$S$93,6,0)</f>
        <v>0</v>
      </c>
      <c r="L298" s="43">
        <f>VLOOKUP(F298,[5]Hárok1!$F$4:$S$93,7,0)</f>
        <v>41</v>
      </c>
      <c r="M298" s="43">
        <f>VLOOKUP(F298,[5]Hárok1!$F$4:$S$93,8,0)</f>
        <v>0</v>
      </c>
      <c r="N298" s="43">
        <f>VLOOKUP(F298,[5]Hárok1!$F$4:$S$93,9,0)</f>
        <v>0</v>
      </c>
      <c r="O298" s="43">
        <f>VLOOKUP(F298,[5]Hárok1!$F$4:$S$93,10,0)</f>
        <v>10</v>
      </c>
      <c r="P298" s="44">
        <f>VLOOKUP(F298,[5]Hárok1!$F$4:$S$93,11,0)</f>
        <v>1</v>
      </c>
      <c r="Q298" s="42">
        <f>VLOOKUP(F298,[5]Hárok1!$F$4:$S$93,12,0)</f>
        <v>0</v>
      </c>
      <c r="R298" s="43">
        <f>VLOOKUP(F298,[5]Hárok1!$F$4:$S$93,13,0)</f>
        <v>396</v>
      </c>
      <c r="S298" s="44">
        <f>VLOOKUP(F298,[5]Hárok1!$F$4:$S$93,14,0)</f>
        <v>129</v>
      </c>
      <c r="T298" s="45">
        <f t="shared" si="24"/>
        <v>1373.5</v>
      </c>
      <c r="U298" s="46">
        <f>VLOOKUP(F298,[5]Hárok1!$F$4:$U$93,16,0)</f>
        <v>237.5</v>
      </c>
      <c r="V298" s="47">
        <f t="shared" si="25"/>
        <v>0</v>
      </c>
      <c r="W298" s="47">
        <f t="shared" si="26"/>
        <v>927</v>
      </c>
      <c r="X298" s="48">
        <f t="shared" si="27"/>
        <v>220.5</v>
      </c>
      <c r="Y298" s="49">
        <f t="shared" si="28"/>
        <v>2758.5</v>
      </c>
      <c r="Z298" s="50">
        <f t="shared" si="29"/>
        <v>2759</v>
      </c>
    </row>
    <row r="299" spans="1:26" x14ac:dyDescent="0.25">
      <c r="A299" s="51" t="s">
        <v>634</v>
      </c>
      <c r="B299" s="51" t="s">
        <v>79</v>
      </c>
      <c r="C299" s="51" t="s">
        <v>652</v>
      </c>
      <c r="D299" s="51">
        <v>37861298</v>
      </c>
      <c r="E299" s="32" t="s">
        <v>653</v>
      </c>
      <c r="F299" s="51">
        <v>607321</v>
      </c>
      <c r="G299" s="32" t="s">
        <v>117</v>
      </c>
      <c r="H299" s="32" t="s">
        <v>643</v>
      </c>
      <c r="I299" s="33" t="s">
        <v>709</v>
      </c>
      <c r="J299" s="42">
        <f>VLOOKUP(F299,[5]Hárok1!$F$4:$S$93,5,0)</f>
        <v>5</v>
      </c>
      <c r="K299" s="43">
        <f>VLOOKUP(F299,[5]Hárok1!$F$4:$S$93,6,0)</f>
        <v>0</v>
      </c>
      <c r="L299" s="43">
        <f>VLOOKUP(F299,[5]Hárok1!$F$4:$S$93,7,0)</f>
        <v>24</v>
      </c>
      <c r="M299" s="43">
        <f>VLOOKUP(F299,[5]Hárok1!$F$4:$S$93,8,0)</f>
        <v>0</v>
      </c>
      <c r="N299" s="43">
        <f>VLOOKUP(F299,[5]Hárok1!$F$4:$S$93,9,0)</f>
        <v>0</v>
      </c>
      <c r="O299" s="43">
        <f>VLOOKUP(F299,[5]Hárok1!$F$4:$S$93,10,0)</f>
        <v>8</v>
      </c>
      <c r="P299" s="44">
        <f>VLOOKUP(F299,[5]Hárok1!$F$4:$S$93,11,0)</f>
        <v>0</v>
      </c>
      <c r="Q299" s="42">
        <f>VLOOKUP(F299,[5]Hárok1!$F$4:$S$93,12,0)</f>
        <v>0</v>
      </c>
      <c r="R299" s="43">
        <f>VLOOKUP(F299,[5]Hárok1!$F$4:$S$93,13,0)</f>
        <v>330</v>
      </c>
      <c r="S299" s="44">
        <f>VLOOKUP(F299,[5]Hárok1!$F$4:$S$93,14,0)</f>
        <v>0</v>
      </c>
      <c r="T299" s="45">
        <f t="shared" si="24"/>
        <v>804</v>
      </c>
      <c r="U299" s="46">
        <f>VLOOKUP(F299,[5]Hárok1!$F$4:$U$93,16,0)</f>
        <v>53.4</v>
      </c>
      <c r="V299" s="47">
        <f t="shared" si="25"/>
        <v>0</v>
      </c>
      <c r="W299" s="47">
        <f t="shared" si="26"/>
        <v>768</v>
      </c>
      <c r="X299" s="48">
        <f t="shared" si="27"/>
        <v>0</v>
      </c>
      <c r="Y299" s="49">
        <f t="shared" si="28"/>
        <v>1625.4</v>
      </c>
      <c r="Z299" s="50">
        <f t="shared" si="29"/>
        <v>1625</v>
      </c>
    </row>
    <row r="300" spans="1:26" x14ac:dyDescent="0.25">
      <c r="A300" s="51" t="s">
        <v>634</v>
      </c>
      <c r="B300" s="51" t="s">
        <v>79</v>
      </c>
      <c r="C300" s="51" t="s">
        <v>652</v>
      </c>
      <c r="D300" s="51">
        <v>37861298</v>
      </c>
      <c r="E300" s="32" t="s">
        <v>653</v>
      </c>
      <c r="F300" s="51">
        <v>500780</v>
      </c>
      <c r="G300" s="32" t="s">
        <v>49</v>
      </c>
      <c r="H300" s="32" t="s">
        <v>710</v>
      </c>
      <c r="I300" s="33" t="s">
        <v>711</v>
      </c>
      <c r="J300" s="42">
        <f>VLOOKUP(F300,[5]Hárok1!$F$4:$S$93,5,0)</f>
        <v>1</v>
      </c>
      <c r="K300" s="43">
        <f>VLOOKUP(F300,[5]Hárok1!$F$4:$S$93,6,0)</f>
        <v>0</v>
      </c>
      <c r="L300" s="43">
        <f>VLOOKUP(F300,[5]Hárok1!$F$4:$S$93,7,0)</f>
        <v>10</v>
      </c>
      <c r="M300" s="43">
        <f>VLOOKUP(F300,[5]Hárok1!$F$4:$S$93,8,0)</f>
        <v>0</v>
      </c>
      <c r="N300" s="43">
        <f>VLOOKUP(F300,[5]Hárok1!$F$4:$S$93,9,0)</f>
        <v>0</v>
      </c>
      <c r="O300" s="43">
        <f>VLOOKUP(F300,[5]Hárok1!$F$4:$S$93,10,0)</f>
        <v>1</v>
      </c>
      <c r="P300" s="44">
        <f>VLOOKUP(F300,[5]Hárok1!$F$4:$S$93,11,0)</f>
        <v>1</v>
      </c>
      <c r="Q300" s="42">
        <f>VLOOKUP(F300,[5]Hárok1!$F$4:$S$93,12,0)</f>
        <v>0</v>
      </c>
      <c r="R300" s="43">
        <f>VLOOKUP(F300,[5]Hárok1!$F$4:$S$93,13,0)</f>
        <v>45</v>
      </c>
      <c r="S300" s="44">
        <f>VLOOKUP(F300,[5]Hárok1!$F$4:$S$93,14,0)</f>
        <v>64</v>
      </c>
      <c r="T300" s="45">
        <f t="shared" si="24"/>
        <v>335</v>
      </c>
      <c r="U300" s="46">
        <f>VLOOKUP(F300,[5]Hárok1!$F$4:$U$93,16,0)</f>
        <v>0</v>
      </c>
      <c r="V300" s="47">
        <f t="shared" si="25"/>
        <v>0</v>
      </c>
      <c r="W300" s="47">
        <f t="shared" si="26"/>
        <v>103.5</v>
      </c>
      <c r="X300" s="48">
        <f t="shared" si="27"/>
        <v>123</v>
      </c>
      <c r="Y300" s="49">
        <f t="shared" si="28"/>
        <v>561.5</v>
      </c>
      <c r="Z300" s="50">
        <f t="shared" si="29"/>
        <v>562</v>
      </c>
    </row>
    <row r="301" spans="1:26" x14ac:dyDescent="0.25">
      <c r="A301" s="29" t="s">
        <v>634</v>
      </c>
      <c r="B301" s="29" t="s">
        <v>79</v>
      </c>
      <c r="C301" s="29" t="s">
        <v>652</v>
      </c>
      <c r="D301" s="29">
        <v>37861298</v>
      </c>
      <c r="E301" s="32" t="s">
        <v>653</v>
      </c>
      <c r="F301" s="29">
        <v>891550</v>
      </c>
      <c r="G301" s="32" t="s">
        <v>154</v>
      </c>
      <c r="H301" s="32" t="s">
        <v>710</v>
      </c>
      <c r="I301" s="33" t="s">
        <v>712</v>
      </c>
      <c r="J301" s="42">
        <f>VLOOKUP(F301,[5]Hárok1!$F$4:$S$93,5,0)</f>
        <v>8</v>
      </c>
      <c r="K301" s="43">
        <f>VLOOKUP(F301,[5]Hárok1!$F$4:$S$93,6,0)</f>
        <v>0</v>
      </c>
      <c r="L301" s="43">
        <f>VLOOKUP(F301,[5]Hárok1!$F$4:$S$93,7,0)</f>
        <v>33</v>
      </c>
      <c r="M301" s="43">
        <f>VLOOKUP(F301,[5]Hárok1!$F$4:$S$93,8,0)</f>
        <v>0</v>
      </c>
      <c r="N301" s="43">
        <f>VLOOKUP(F301,[5]Hárok1!$F$4:$S$93,9,0)</f>
        <v>1</v>
      </c>
      <c r="O301" s="43">
        <f>VLOOKUP(F301,[5]Hárok1!$F$4:$S$93,10,0)</f>
        <v>11</v>
      </c>
      <c r="P301" s="44">
        <f>VLOOKUP(F301,[5]Hárok1!$F$4:$S$93,11,0)</f>
        <v>1</v>
      </c>
      <c r="Q301" s="42">
        <f>VLOOKUP(F301,[5]Hárok1!$F$4:$S$93,12,0)</f>
        <v>32</v>
      </c>
      <c r="R301" s="43">
        <f>VLOOKUP(F301,[5]Hárok1!$F$4:$S$93,13,0)</f>
        <v>267</v>
      </c>
      <c r="S301" s="44">
        <f>VLOOKUP(F301,[5]Hárok1!$F$4:$S$93,14,0)</f>
        <v>62</v>
      </c>
      <c r="T301" s="45">
        <f t="shared" si="24"/>
        <v>1105.5</v>
      </c>
      <c r="U301" s="46">
        <f>VLOOKUP(F301,[5]Hárok1!$F$4:$U$93,16,0)</f>
        <v>179.05</v>
      </c>
      <c r="V301" s="47">
        <f t="shared" si="25"/>
        <v>61.5</v>
      </c>
      <c r="W301" s="47">
        <f t="shared" si="26"/>
        <v>682.5</v>
      </c>
      <c r="X301" s="48">
        <f t="shared" si="27"/>
        <v>120</v>
      </c>
      <c r="Y301" s="49">
        <f t="shared" si="28"/>
        <v>2148.5500000000002</v>
      </c>
      <c r="Z301" s="50">
        <f t="shared" si="29"/>
        <v>2149</v>
      </c>
    </row>
    <row r="302" spans="1:26" x14ac:dyDescent="0.25">
      <c r="A302" s="29" t="s">
        <v>634</v>
      </c>
      <c r="B302" s="29" t="s">
        <v>79</v>
      </c>
      <c r="C302" s="29" t="s">
        <v>652</v>
      </c>
      <c r="D302" s="29">
        <v>37861298</v>
      </c>
      <c r="E302" s="32" t="s">
        <v>653</v>
      </c>
      <c r="F302" s="29">
        <v>160288</v>
      </c>
      <c r="G302" s="32" t="s">
        <v>49</v>
      </c>
      <c r="H302" s="32" t="s">
        <v>713</v>
      </c>
      <c r="I302" s="33" t="s">
        <v>714</v>
      </c>
      <c r="J302" s="42">
        <f>VLOOKUP(F302,[5]Hárok1!$F$4:$S$93,5,0)</f>
        <v>11</v>
      </c>
      <c r="K302" s="43">
        <f>VLOOKUP(F302,[5]Hárok1!$F$4:$S$93,6,0)</f>
        <v>0</v>
      </c>
      <c r="L302" s="43">
        <f>VLOOKUP(F302,[5]Hárok1!$F$4:$S$93,7,0)</f>
        <v>28</v>
      </c>
      <c r="M302" s="43">
        <f>VLOOKUP(F302,[5]Hárok1!$F$4:$S$93,8,0)</f>
        <v>0</v>
      </c>
      <c r="N302" s="43">
        <f>VLOOKUP(F302,[5]Hárok1!$F$4:$S$93,9,0)</f>
        <v>2</v>
      </c>
      <c r="O302" s="43">
        <f>VLOOKUP(F302,[5]Hárok1!$F$4:$S$93,10,0)</f>
        <v>11</v>
      </c>
      <c r="P302" s="44">
        <f>VLOOKUP(F302,[5]Hárok1!$F$4:$S$93,11,0)</f>
        <v>1</v>
      </c>
      <c r="Q302" s="42">
        <f>VLOOKUP(F302,[5]Hárok1!$F$4:$S$93,12,0)</f>
        <v>16</v>
      </c>
      <c r="R302" s="43">
        <f>VLOOKUP(F302,[5]Hárok1!$F$4:$S$93,13,0)</f>
        <v>233</v>
      </c>
      <c r="S302" s="44">
        <f>VLOOKUP(F302,[5]Hárok1!$F$4:$S$93,14,0)</f>
        <v>29</v>
      </c>
      <c r="T302" s="45">
        <f t="shared" si="24"/>
        <v>938</v>
      </c>
      <c r="U302" s="46">
        <f>VLOOKUP(F302,[5]Hárok1!$F$4:$U$93,16,0)</f>
        <v>37.9</v>
      </c>
      <c r="V302" s="47">
        <f t="shared" si="25"/>
        <v>51</v>
      </c>
      <c r="W302" s="47">
        <f t="shared" si="26"/>
        <v>614.5</v>
      </c>
      <c r="X302" s="48">
        <f t="shared" si="27"/>
        <v>70.5</v>
      </c>
      <c r="Y302" s="49">
        <f t="shared" si="28"/>
        <v>1711.9</v>
      </c>
      <c r="Z302" s="50">
        <f t="shared" si="29"/>
        <v>1712</v>
      </c>
    </row>
    <row r="303" spans="1:26" x14ac:dyDescent="0.25">
      <c r="A303" s="29" t="s">
        <v>634</v>
      </c>
      <c r="B303" s="29" t="s">
        <v>79</v>
      </c>
      <c r="C303" s="29" t="s">
        <v>652</v>
      </c>
      <c r="D303" s="29">
        <v>37861298</v>
      </c>
      <c r="E303" s="32" t="s">
        <v>653</v>
      </c>
      <c r="F303" s="29">
        <v>37965352</v>
      </c>
      <c r="G303" s="32" t="s">
        <v>715</v>
      </c>
      <c r="H303" s="32" t="s">
        <v>713</v>
      </c>
      <c r="I303" s="33" t="s">
        <v>716</v>
      </c>
      <c r="J303" s="42">
        <f>VLOOKUP(F303,[5]Hárok1!$F$4:$S$93,5,0)</f>
        <v>4</v>
      </c>
      <c r="K303" s="43">
        <f>VLOOKUP(F303,[5]Hárok1!$F$4:$S$93,6,0)</f>
        <v>6</v>
      </c>
      <c r="L303" s="43">
        <f>VLOOKUP(F303,[5]Hárok1!$F$4:$S$93,7,0)</f>
        <v>18</v>
      </c>
      <c r="M303" s="43">
        <f>VLOOKUP(F303,[5]Hárok1!$F$4:$S$93,8,0)</f>
        <v>9</v>
      </c>
      <c r="N303" s="43">
        <f>VLOOKUP(F303,[5]Hárok1!$F$4:$S$93,9,0)</f>
        <v>8</v>
      </c>
      <c r="O303" s="43">
        <f>VLOOKUP(F303,[5]Hárok1!$F$4:$S$93,10,0)</f>
        <v>6</v>
      </c>
      <c r="P303" s="44">
        <f>VLOOKUP(F303,[5]Hárok1!$F$4:$S$93,11,0)</f>
        <v>1</v>
      </c>
      <c r="Q303" s="42">
        <f>VLOOKUP(F303,[5]Hárok1!$F$4:$S$93,12,0)</f>
        <v>46</v>
      </c>
      <c r="R303" s="43">
        <f>VLOOKUP(F303,[5]Hárok1!$F$4:$S$93,13,0)</f>
        <v>199</v>
      </c>
      <c r="S303" s="44">
        <f>VLOOKUP(F303,[5]Hárok1!$F$4:$S$93,14,0)</f>
        <v>119</v>
      </c>
      <c r="T303" s="45">
        <f t="shared" si="24"/>
        <v>603</v>
      </c>
      <c r="U303" s="46">
        <f>VLOOKUP(F303,[5]Hárok1!$F$4:$U$93,16,0)</f>
        <v>151.1</v>
      </c>
      <c r="V303" s="47">
        <f t="shared" si="25"/>
        <v>177</v>
      </c>
      <c r="W303" s="47">
        <f t="shared" si="26"/>
        <v>479</v>
      </c>
      <c r="X303" s="48">
        <f t="shared" si="27"/>
        <v>205.5</v>
      </c>
      <c r="Y303" s="49">
        <f t="shared" si="28"/>
        <v>1615.6</v>
      </c>
      <c r="Z303" s="50">
        <f t="shared" si="29"/>
        <v>1616</v>
      </c>
    </row>
    <row r="304" spans="1:26" x14ac:dyDescent="0.25">
      <c r="A304" s="29" t="s">
        <v>634</v>
      </c>
      <c r="B304" s="29" t="s">
        <v>79</v>
      </c>
      <c r="C304" s="29" t="s">
        <v>652</v>
      </c>
      <c r="D304" s="29">
        <v>37861298</v>
      </c>
      <c r="E304" s="32" t="s">
        <v>653</v>
      </c>
      <c r="F304" s="29">
        <v>12432</v>
      </c>
      <c r="G304" s="32" t="s">
        <v>52</v>
      </c>
      <c r="H304" s="32" t="s">
        <v>713</v>
      </c>
      <c r="I304" s="33" t="s">
        <v>717</v>
      </c>
      <c r="J304" s="42">
        <f>VLOOKUP(F304,[5]Hárok1!$F$4:$S$93,5,0)</f>
        <v>19</v>
      </c>
      <c r="K304" s="43">
        <f>VLOOKUP(F304,[5]Hárok1!$F$4:$S$93,6,0)</f>
        <v>0</v>
      </c>
      <c r="L304" s="43">
        <f>VLOOKUP(F304,[5]Hárok1!$F$4:$S$93,7,0)</f>
        <v>76</v>
      </c>
      <c r="M304" s="43">
        <f>VLOOKUP(F304,[5]Hárok1!$F$4:$S$93,8,0)</f>
        <v>0</v>
      </c>
      <c r="N304" s="43">
        <f>VLOOKUP(F304,[5]Hárok1!$F$4:$S$93,9,0)</f>
        <v>0</v>
      </c>
      <c r="O304" s="43">
        <f>VLOOKUP(F304,[5]Hárok1!$F$4:$S$93,10,0)</f>
        <v>28</v>
      </c>
      <c r="P304" s="44">
        <f>VLOOKUP(F304,[5]Hárok1!$F$4:$S$93,11,0)</f>
        <v>2</v>
      </c>
      <c r="Q304" s="42">
        <f>VLOOKUP(F304,[5]Hárok1!$F$4:$S$93,12,0)</f>
        <v>0</v>
      </c>
      <c r="R304" s="43">
        <f>VLOOKUP(F304,[5]Hárok1!$F$4:$S$93,13,0)</f>
        <v>594</v>
      </c>
      <c r="S304" s="44">
        <f>VLOOKUP(F304,[5]Hárok1!$F$4:$S$93,14,0)</f>
        <v>227</v>
      </c>
      <c r="T304" s="45">
        <f t="shared" si="24"/>
        <v>2546</v>
      </c>
      <c r="U304" s="46">
        <f>VLOOKUP(F304,[5]Hárok1!$F$4:$U$93,16,0)</f>
        <v>44.8</v>
      </c>
      <c r="V304" s="47">
        <f t="shared" si="25"/>
        <v>0</v>
      </c>
      <c r="W304" s="47">
        <f t="shared" si="26"/>
        <v>1566</v>
      </c>
      <c r="X304" s="48">
        <f t="shared" si="27"/>
        <v>394.5</v>
      </c>
      <c r="Y304" s="49">
        <f t="shared" si="28"/>
        <v>4551.3</v>
      </c>
      <c r="Z304" s="50">
        <f t="shared" si="29"/>
        <v>4551</v>
      </c>
    </row>
    <row r="305" spans="1:26" x14ac:dyDescent="0.25">
      <c r="A305" s="29" t="s">
        <v>634</v>
      </c>
      <c r="B305" s="29" t="s">
        <v>79</v>
      </c>
      <c r="C305" s="29" t="s">
        <v>652</v>
      </c>
      <c r="D305" s="29">
        <v>37861298</v>
      </c>
      <c r="E305" s="32" t="s">
        <v>653</v>
      </c>
      <c r="F305" s="29">
        <v>654230</v>
      </c>
      <c r="G305" s="32" t="s">
        <v>718</v>
      </c>
      <c r="H305" s="32" t="s">
        <v>713</v>
      </c>
      <c r="I305" s="33" t="s">
        <v>719</v>
      </c>
      <c r="J305" s="42">
        <f>VLOOKUP(F305,[5]Hárok1!$F$4:$S$93,5,0)</f>
        <v>12</v>
      </c>
      <c r="K305" s="43">
        <f>VLOOKUP(F305,[5]Hárok1!$F$4:$S$93,6,0)</f>
        <v>0</v>
      </c>
      <c r="L305" s="43">
        <f>VLOOKUP(F305,[5]Hárok1!$F$4:$S$93,7,0)</f>
        <v>54</v>
      </c>
      <c r="M305" s="43">
        <f>VLOOKUP(F305,[5]Hárok1!$F$4:$S$93,8,0)</f>
        <v>0</v>
      </c>
      <c r="N305" s="43">
        <f>VLOOKUP(F305,[5]Hárok1!$F$4:$S$93,9,0)</f>
        <v>0</v>
      </c>
      <c r="O305" s="43">
        <f>VLOOKUP(F305,[5]Hárok1!$F$4:$S$93,10,0)</f>
        <v>16</v>
      </c>
      <c r="P305" s="44">
        <f>VLOOKUP(F305,[5]Hárok1!$F$4:$S$93,11,0)</f>
        <v>2</v>
      </c>
      <c r="Q305" s="42">
        <f>VLOOKUP(F305,[5]Hárok1!$F$4:$S$93,12,0)</f>
        <v>0</v>
      </c>
      <c r="R305" s="43">
        <f>VLOOKUP(F305,[5]Hárok1!$F$4:$S$93,13,0)</f>
        <v>432</v>
      </c>
      <c r="S305" s="44">
        <f>VLOOKUP(F305,[5]Hárok1!$F$4:$S$93,14,0)</f>
        <v>113</v>
      </c>
      <c r="T305" s="45">
        <f t="shared" si="24"/>
        <v>1809</v>
      </c>
      <c r="U305" s="46">
        <f>VLOOKUP(F305,[5]Hárok1!$F$4:$U$93,16,0)</f>
        <v>128.75</v>
      </c>
      <c r="V305" s="47">
        <f t="shared" si="25"/>
        <v>0</v>
      </c>
      <c r="W305" s="47">
        <f t="shared" si="26"/>
        <v>1080</v>
      </c>
      <c r="X305" s="48">
        <f t="shared" si="27"/>
        <v>223.5</v>
      </c>
      <c r="Y305" s="49">
        <f t="shared" si="28"/>
        <v>3241.25</v>
      </c>
      <c r="Z305" s="50">
        <f t="shared" si="29"/>
        <v>3241</v>
      </c>
    </row>
    <row r="306" spans="1:26" x14ac:dyDescent="0.25">
      <c r="A306" s="29" t="s">
        <v>634</v>
      </c>
      <c r="B306" s="29" t="s">
        <v>79</v>
      </c>
      <c r="C306" s="29" t="s">
        <v>652</v>
      </c>
      <c r="D306" s="29">
        <v>37861298</v>
      </c>
      <c r="E306" s="32" t="s">
        <v>653</v>
      </c>
      <c r="F306" s="29">
        <v>891606</v>
      </c>
      <c r="G306" s="32" t="s">
        <v>132</v>
      </c>
      <c r="H306" s="32" t="s">
        <v>713</v>
      </c>
      <c r="I306" s="33" t="s">
        <v>720</v>
      </c>
      <c r="J306" s="42">
        <f>VLOOKUP(F306,[5]Hárok1!$F$4:$S$93,5,0)</f>
        <v>13</v>
      </c>
      <c r="K306" s="43">
        <f>VLOOKUP(F306,[5]Hárok1!$F$4:$S$93,6,0)</f>
        <v>1</v>
      </c>
      <c r="L306" s="43">
        <f>VLOOKUP(F306,[5]Hárok1!$F$4:$S$93,7,0)</f>
        <v>57</v>
      </c>
      <c r="M306" s="43">
        <f>VLOOKUP(F306,[5]Hárok1!$F$4:$S$93,8,0)</f>
        <v>5</v>
      </c>
      <c r="N306" s="43">
        <f>VLOOKUP(F306,[5]Hárok1!$F$4:$S$93,9,0)</f>
        <v>3</v>
      </c>
      <c r="O306" s="43">
        <f>VLOOKUP(F306,[5]Hárok1!$F$4:$S$93,10,0)</f>
        <v>13</v>
      </c>
      <c r="P306" s="44">
        <f>VLOOKUP(F306,[5]Hárok1!$F$4:$S$93,11,0)</f>
        <v>3</v>
      </c>
      <c r="Q306" s="42">
        <f>VLOOKUP(F306,[5]Hárok1!$F$4:$S$93,12,0)</f>
        <v>36</v>
      </c>
      <c r="R306" s="43">
        <f>VLOOKUP(F306,[5]Hárok1!$F$4:$S$93,13,0)</f>
        <v>544</v>
      </c>
      <c r="S306" s="44">
        <f>VLOOKUP(F306,[5]Hárok1!$F$4:$S$93,14,0)</f>
        <v>193</v>
      </c>
      <c r="T306" s="45">
        <f t="shared" si="24"/>
        <v>1909.5</v>
      </c>
      <c r="U306" s="46">
        <f>VLOOKUP(F306,[5]Hárok1!$F$4:$U$93,16,0)</f>
        <v>0</v>
      </c>
      <c r="V306" s="47">
        <f t="shared" si="25"/>
        <v>94.5</v>
      </c>
      <c r="W306" s="47">
        <f t="shared" si="26"/>
        <v>1263.5</v>
      </c>
      <c r="X306" s="48">
        <f t="shared" si="27"/>
        <v>370.5</v>
      </c>
      <c r="Y306" s="49">
        <f t="shared" si="28"/>
        <v>3638</v>
      </c>
      <c r="Z306" s="50">
        <f t="shared" si="29"/>
        <v>3638</v>
      </c>
    </row>
    <row r="307" spans="1:26" x14ac:dyDescent="0.25">
      <c r="A307" s="29" t="s">
        <v>634</v>
      </c>
      <c r="B307" s="29" t="s">
        <v>79</v>
      </c>
      <c r="C307" s="29" t="s">
        <v>652</v>
      </c>
      <c r="D307" s="29">
        <v>37861298</v>
      </c>
      <c r="E307" s="32" t="s">
        <v>653</v>
      </c>
      <c r="F307" s="29">
        <v>893421</v>
      </c>
      <c r="G307" s="32" t="s">
        <v>721</v>
      </c>
      <c r="H307" s="32" t="s">
        <v>713</v>
      </c>
      <c r="I307" s="33" t="s">
        <v>722</v>
      </c>
      <c r="J307" s="42">
        <f>VLOOKUP(F307,[5]Hárok1!$F$4:$S$93,5,0)</f>
        <v>10</v>
      </c>
      <c r="K307" s="43">
        <f>VLOOKUP(F307,[5]Hárok1!$F$4:$S$93,6,0)</f>
        <v>0</v>
      </c>
      <c r="L307" s="43">
        <f>VLOOKUP(F307,[5]Hárok1!$F$4:$S$93,7,0)</f>
        <v>50</v>
      </c>
      <c r="M307" s="43">
        <f>VLOOKUP(F307,[5]Hárok1!$F$4:$S$93,8,0)</f>
        <v>0</v>
      </c>
      <c r="N307" s="43">
        <f>VLOOKUP(F307,[5]Hárok1!$F$4:$S$93,9,0)</f>
        <v>2</v>
      </c>
      <c r="O307" s="43">
        <f>VLOOKUP(F307,[5]Hárok1!$F$4:$S$93,10,0)</f>
        <v>16</v>
      </c>
      <c r="P307" s="44">
        <f>VLOOKUP(F307,[5]Hárok1!$F$4:$S$93,11,0)</f>
        <v>1</v>
      </c>
      <c r="Q307" s="42">
        <f>VLOOKUP(F307,[5]Hárok1!$F$4:$S$93,12,0)</f>
        <v>4</v>
      </c>
      <c r="R307" s="43">
        <f>VLOOKUP(F307,[5]Hárok1!$F$4:$S$93,13,0)</f>
        <v>365</v>
      </c>
      <c r="S307" s="44">
        <f>VLOOKUP(F307,[5]Hárok1!$F$4:$S$93,14,0)</f>
        <v>159</v>
      </c>
      <c r="T307" s="45">
        <f t="shared" si="24"/>
        <v>1675</v>
      </c>
      <c r="U307" s="46">
        <f>VLOOKUP(F307,[5]Hárok1!$F$4:$U$93,16,0)</f>
        <v>0</v>
      </c>
      <c r="V307" s="47">
        <f t="shared" si="25"/>
        <v>33</v>
      </c>
      <c r="W307" s="47">
        <f t="shared" si="26"/>
        <v>946</v>
      </c>
      <c r="X307" s="48">
        <f t="shared" si="27"/>
        <v>265.5</v>
      </c>
      <c r="Y307" s="49">
        <f t="shared" si="28"/>
        <v>2919.5</v>
      </c>
      <c r="Z307" s="50">
        <f t="shared" si="29"/>
        <v>2920</v>
      </c>
    </row>
    <row r="308" spans="1:26" x14ac:dyDescent="0.25">
      <c r="A308" s="29" t="s">
        <v>634</v>
      </c>
      <c r="B308" s="29" t="s">
        <v>79</v>
      </c>
      <c r="C308" s="29" t="s">
        <v>652</v>
      </c>
      <c r="D308" s="29">
        <v>37861298</v>
      </c>
      <c r="E308" s="32" t="s">
        <v>653</v>
      </c>
      <c r="F308" s="29">
        <v>607339</v>
      </c>
      <c r="G308" s="32" t="s">
        <v>723</v>
      </c>
      <c r="H308" s="32" t="s">
        <v>713</v>
      </c>
      <c r="I308" s="33" t="s">
        <v>724</v>
      </c>
      <c r="J308" s="42">
        <f>VLOOKUP(F308,[5]Hárok1!$F$4:$S$93,5,0)</f>
        <v>14</v>
      </c>
      <c r="K308" s="43">
        <f>VLOOKUP(F308,[5]Hárok1!$F$4:$S$93,6,0)</f>
        <v>0</v>
      </c>
      <c r="L308" s="43">
        <f>VLOOKUP(F308,[5]Hárok1!$F$4:$S$93,7,0)</f>
        <v>45</v>
      </c>
      <c r="M308" s="43">
        <f>VLOOKUP(F308,[5]Hárok1!$F$4:$S$93,8,0)</f>
        <v>0</v>
      </c>
      <c r="N308" s="43">
        <f>VLOOKUP(F308,[5]Hárok1!$F$4:$S$93,9,0)</f>
        <v>1</v>
      </c>
      <c r="O308" s="43">
        <f>VLOOKUP(F308,[5]Hárok1!$F$4:$S$93,10,0)</f>
        <v>17</v>
      </c>
      <c r="P308" s="44">
        <f>VLOOKUP(F308,[5]Hárok1!$F$4:$S$93,11,0)</f>
        <v>1</v>
      </c>
      <c r="Q308" s="42">
        <f>VLOOKUP(F308,[5]Hárok1!$F$4:$S$93,12,0)</f>
        <v>29</v>
      </c>
      <c r="R308" s="43">
        <f>VLOOKUP(F308,[5]Hárok1!$F$4:$S$93,13,0)</f>
        <v>381</v>
      </c>
      <c r="S308" s="44">
        <f>VLOOKUP(F308,[5]Hárok1!$F$4:$S$93,14,0)</f>
        <v>58</v>
      </c>
      <c r="T308" s="45">
        <f t="shared" si="24"/>
        <v>1507.5</v>
      </c>
      <c r="U308" s="46">
        <f>VLOOKUP(F308,[5]Hárok1!$F$4:$U$93,16,0)</f>
        <v>1457.35</v>
      </c>
      <c r="V308" s="47">
        <f t="shared" si="25"/>
        <v>57</v>
      </c>
      <c r="W308" s="47">
        <f t="shared" si="26"/>
        <v>991.5</v>
      </c>
      <c r="X308" s="48">
        <f t="shared" si="27"/>
        <v>114</v>
      </c>
      <c r="Y308" s="49">
        <f t="shared" si="28"/>
        <v>4127.3500000000004</v>
      </c>
      <c r="Z308" s="50">
        <f t="shared" si="29"/>
        <v>4127</v>
      </c>
    </row>
    <row r="309" spans="1:26" x14ac:dyDescent="0.25">
      <c r="A309" s="29" t="s">
        <v>634</v>
      </c>
      <c r="B309" s="29" t="s">
        <v>79</v>
      </c>
      <c r="C309" s="29" t="s">
        <v>652</v>
      </c>
      <c r="D309" s="29">
        <v>37861298</v>
      </c>
      <c r="E309" s="32" t="s">
        <v>653</v>
      </c>
      <c r="F309" s="29">
        <v>160423</v>
      </c>
      <c r="G309" s="32" t="s">
        <v>725</v>
      </c>
      <c r="H309" s="32" t="s">
        <v>726</v>
      </c>
      <c r="I309" s="33" t="s">
        <v>727</v>
      </c>
      <c r="J309" s="42">
        <f>VLOOKUP(F309,[5]Hárok1!$F$4:$S$93,5,0)</f>
        <v>10</v>
      </c>
      <c r="K309" s="43">
        <f>VLOOKUP(F309,[5]Hárok1!$F$4:$S$93,6,0)</f>
        <v>3</v>
      </c>
      <c r="L309" s="43">
        <f>VLOOKUP(F309,[5]Hárok1!$F$4:$S$93,7,0)</f>
        <v>24</v>
      </c>
      <c r="M309" s="43">
        <f>VLOOKUP(F309,[5]Hárok1!$F$4:$S$93,8,0)</f>
        <v>3</v>
      </c>
      <c r="N309" s="43">
        <f>VLOOKUP(F309,[5]Hárok1!$F$4:$S$93,9,0)</f>
        <v>4</v>
      </c>
      <c r="O309" s="43">
        <f>VLOOKUP(F309,[5]Hárok1!$F$4:$S$93,10,0)</f>
        <v>12</v>
      </c>
      <c r="P309" s="44">
        <f>VLOOKUP(F309,[5]Hárok1!$F$4:$S$93,11,0)</f>
        <v>2</v>
      </c>
      <c r="Q309" s="42">
        <f>VLOOKUP(F309,[5]Hárok1!$F$4:$S$93,12,0)</f>
        <v>20</v>
      </c>
      <c r="R309" s="43">
        <f>VLOOKUP(F309,[5]Hárok1!$F$4:$S$93,13,0)</f>
        <v>136</v>
      </c>
      <c r="S309" s="44">
        <f>VLOOKUP(F309,[5]Hárok1!$F$4:$S$93,14,0)</f>
        <v>43</v>
      </c>
      <c r="T309" s="45">
        <f t="shared" si="24"/>
        <v>804</v>
      </c>
      <c r="U309" s="46">
        <f>VLOOKUP(F309,[5]Hárok1!$F$4:$U$93,16,0)</f>
        <v>165.7</v>
      </c>
      <c r="V309" s="47">
        <f t="shared" si="25"/>
        <v>84</v>
      </c>
      <c r="W309" s="47">
        <f t="shared" si="26"/>
        <v>434</v>
      </c>
      <c r="X309" s="48">
        <f t="shared" si="27"/>
        <v>118.5</v>
      </c>
      <c r="Y309" s="49">
        <f t="shared" si="28"/>
        <v>1606.2</v>
      </c>
      <c r="Z309" s="50">
        <f t="shared" si="29"/>
        <v>1606</v>
      </c>
    </row>
    <row r="310" spans="1:26" x14ac:dyDescent="0.25">
      <c r="A310" s="29" t="s">
        <v>634</v>
      </c>
      <c r="B310" s="29" t="s">
        <v>79</v>
      </c>
      <c r="C310" s="29" t="s">
        <v>652</v>
      </c>
      <c r="D310" s="29">
        <v>37861298</v>
      </c>
      <c r="E310" s="32" t="s">
        <v>653</v>
      </c>
      <c r="F310" s="29">
        <v>891908</v>
      </c>
      <c r="G310" s="32" t="s">
        <v>728</v>
      </c>
      <c r="H310" s="32" t="s">
        <v>726</v>
      </c>
      <c r="I310" s="33" t="s">
        <v>729</v>
      </c>
      <c r="J310" s="42">
        <f>VLOOKUP(F310,[5]Hárok1!$F$4:$S$93,5,0)</f>
        <v>6</v>
      </c>
      <c r="K310" s="43">
        <f>VLOOKUP(F310,[5]Hárok1!$F$4:$S$93,6,0)</f>
        <v>0</v>
      </c>
      <c r="L310" s="43">
        <f>VLOOKUP(F310,[5]Hárok1!$F$4:$S$93,7,0)</f>
        <v>11</v>
      </c>
      <c r="M310" s="43">
        <f>VLOOKUP(F310,[5]Hárok1!$F$4:$S$93,8,0)</f>
        <v>0</v>
      </c>
      <c r="N310" s="43">
        <f>VLOOKUP(F310,[5]Hárok1!$F$4:$S$93,9,0)</f>
        <v>1</v>
      </c>
      <c r="O310" s="43">
        <f>VLOOKUP(F310,[5]Hárok1!$F$4:$S$93,10,0)</f>
        <v>6</v>
      </c>
      <c r="P310" s="44">
        <f>VLOOKUP(F310,[5]Hárok1!$F$4:$S$93,11,0)</f>
        <v>0</v>
      </c>
      <c r="Q310" s="42">
        <f>VLOOKUP(F310,[5]Hárok1!$F$4:$S$93,12,0)</f>
        <v>5</v>
      </c>
      <c r="R310" s="43">
        <f>VLOOKUP(F310,[5]Hárok1!$F$4:$S$93,13,0)</f>
        <v>87</v>
      </c>
      <c r="S310" s="44">
        <f>VLOOKUP(F310,[5]Hárok1!$F$4:$S$93,14,0)</f>
        <v>0</v>
      </c>
      <c r="T310" s="45">
        <f t="shared" si="24"/>
        <v>368.5</v>
      </c>
      <c r="U310" s="46">
        <f>VLOOKUP(F310,[5]Hárok1!$F$4:$U$93,16,0)</f>
        <v>109.91</v>
      </c>
      <c r="V310" s="47">
        <f t="shared" si="25"/>
        <v>21</v>
      </c>
      <c r="W310" s="47">
        <f t="shared" si="26"/>
        <v>255</v>
      </c>
      <c r="X310" s="48">
        <f t="shared" si="27"/>
        <v>0</v>
      </c>
      <c r="Y310" s="49">
        <f t="shared" si="28"/>
        <v>754.41</v>
      </c>
      <c r="Z310" s="50">
        <f t="shared" si="29"/>
        <v>754</v>
      </c>
    </row>
    <row r="311" spans="1:26" x14ac:dyDescent="0.25">
      <c r="A311" s="29" t="s">
        <v>634</v>
      </c>
      <c r="B311" s="29" t="s">
        <v>79</v>
      </c>
      <c r="C311" s="29" t="s">
        <v>652</v>
      </c>
      <c r="D311" s="29">
        <v>37861298</v>
      </c>
      <c r="E311" s="32" t="s">
        <v>653</v>
      </c>
      <c r="F311" s="29">
        <v>17050138</v>
      </c>
      <c r="G311" s="32" t="s">
        <v>49</v>
      </c>
      <c r="H311" s="32" t="s">
        <v>730</v>
      </c>
      <c r="I311" s="33" t="s">
        <v>731</v>
      </c>
      <c r="J311" s="42">
        <f>VLOOKUP(F311,[5]Hárok1!$F$4:$S$93,5,0)</f>
        <v>6</v>
      </c>
      <c r="K311" s="43">
        <f>VLOOKUP(F311,[5]Hárok1!$F$4:$S$93,6,0)</f>
        <v>1</v>
      </c>
      <c r="L311" s="43">
        <f>VLOOKUP(F311,[5]Hárok1!$F$4:$S$93,7,0)</f>
        <v>17</v>
      </c>
      <c r="M311" s="43">
        <f>VLOOKUP(F311,[5]Hárok1!$F$4:$S$93,8,0)</f>
        <v>1</v>
      </c>
      <c r="N311" s="43">
        <f>VLOOKUP(F311,[5]Hárok1!$F$4:$S$93,9,0)</f>
        <v>2</v>
      </c>
      <c r="O311" s="43">
        <f>VLOOKUP(F311,[5]Hárok1!$F$4:$S$93,10,0)</f>
        <v>7</v>
      </c>
      <c r="P311" s="44">
        <f>VLOOKUP(F311,[5]Hárok1!$F$4:$S$93,11,0)</f>
        <v>0</v>
      </c>
      <c r="Q311" s="42">
        <f>VLOOKUP(F311,[5]Hárok1!$F$4:$S$93,12,0)</f>
        <v>9</v>
      </c>
      <c r="R311" s="43">
        <f>VLOOKUP(F311,[5]Hárok1!$F$4:$S$93,13,0)</f>
        <v>175</v>
      </c>
      <c r="S311" s="44">
        <f>VLOOKUP(F311,[5]Hárok1!$F$4:$S$93,14,0)</f>
        <v>0</v>
      </c>
      <c r="T311" s="45">
        <f t="shared" si="24"/>
        <v>569.5</v>
      </c>
      <c r="U311" s="46">
        <f>VLOOKUP(F311,[5]Hárok1!$F$4:$U$93,16,0)</f>
        <v>0</v>
      </c>
      <c r="V311" s="47">
        <f t="shared" si="25"/>
        <v>40.5</v>
      </c>
      <c r="W311" s="47">
        <f t="shared" si="26"/>
        <v>444.5</v>
      </c>
      <c r="X311" s="48">
        <f t="shared" si="27"/>
        <v>0</v>
      </c>
      <c r="Y311" s="49">
        <f t="shared" si="28"/>
        <v>1054.5</v>
      </c>
      <c r="Z311" s="50">
        <f t="shared" si="29"/>
        <v>1055</v>
      </c>
    </row>
    <row r="312" spans="1:26" x14ac:dyDescent="0.25">
      <c r="A312" s="29" t="s">
        <v>634</v>
      </c>
      <c r="B312" s="29" t="s">
        <v>79</v>
      </c>
      <c r="C312" s="29" t="s">
        <v>652</v>
      </c>
      <c r="D312" s="29">
        <v>37861298</v>
      </c>
      <c r="E312" s="32" t="s">
        <v>653</v>
      </c>
      <c r="F312" s="29">
        <v>161951</v>
      </c>
      <c r="G312" s="32" t="s">
        <v>100</v>
      </c>
      <c r="H312" s="32" t="s">
        <v>730</v>
      </c>
      <c r="I312" s="33" t="s">
        <v>732</v>
      </c>
      <c r="J312" s="42">
        <f>VLOOKUP(F312,[5]Hárok1!$F$4:$S$93,5,0)</f>
        <v>4</v>
      </c>
      <c r="K312" s="43">
        <f>VLOOKUP(F312,[5]Hárok1!$F$4:$S$93,6,0)</f>
        <v>0</v>
      </c>
      <c r="L312" s="43">
        <f>VLOOKUP(F312,[5]Hárok1!$F$4:$S$93,7,0)</f>
        <v>12</v>
      </c>
      <c r="M312" s="43">
        <f>VLOOKUP(F312,[5]Hárok1!$F$4:$S$93,8,0)</f>
        <v>0</v>
      </c>
      <c r="N312" s="43">
        <f>VLOOKUP(F312,[5]Hárok1!$F$4:$S$93,9,0)</f>
        <v>1</v>
      </c>
      <c r="O312" s="43">
        <f>VLOOKUP(F312,[5]Hárok1!$F$4:$S$93,10,0)</f>
        <v>4</v>
      </c>
      <c r="P312" s="44">
        <f>VLOOKUP(F312,[5]Hárok1!$F$4:$S$93,11,0)</f>
        <v>1</v>
      </c>
      <c r="Q312" s="42">
        <f>VLOOKUP(F312,[5]Hárok1!$F$4:$S$93,12,0)</f>
        <v>19</v>
      </c>
      <c r="R312" s="43">
        <f>VLOOKUP(F312,[5]Hárok1!$F$4:$S$93,13,0)</f>
        <v>55</v>
      </c>
      <c r="S312" s="44">
        <f>VLOOKUP(F312,[5]Hárok1!$F$4:$S$93,14,0)</f>
        <v>36</v>
      </c>
      <c r="T312" s="45">
        <f t="shared" si="24"/>
        <v>402</v>
      </c>
      <c r="U312" s="46">
        <f>VLOOKUP(F312,[5]Hárok1!$F$4:$U$93,16,0)</f>
        <v>74.8</v>
      </c>
      <c r="V312" s="47">
        <f t="shared" si="25"/>
        <v>42</v>
      </c>
      <c r="W312" s="47">
        <f t="shared" si="26"/>
        <v>164</v>
      </c>
      <c r="X312" s="48">
        <f t="shared" si="27"/>
        <v>81</v>
      </c>
      <c r="Y312" s="49">
        <f t="shared" si="28"/>
        <v>763.8</v>
      </c>
      <c r="Z312" s="50">
        <f t="shared" si="29"/>
        <v>764</v>
      </c>
    </row>
    <row r="313" spans="1:26" x14ac:dyDescent="0.25">
      <c r="A313" s="51" t="s">
        <v>634</v>
      </c>
      <c r="B313" s="51" t="s">
        <v>79</v>
      </c>
      <c r="C313" s="51" t="s">
        <v>652</v>
      </c>
      <c r="D313" s="51">
        <v>37861298</v>
      </c>
      <c r="E313" s="32" t="s">
        <v>653</v>
      </c>
      <c r="F313" s="51">
        <v>42114977</v>
      </c>
      <c r="G313" s="32" t="s">
        <v>733</v>
      </c>
      <c r="H313" s="32" t="s">
        <v>730</v>
      </c>
      <c r="I313" s="33" t="s">
        <v>734</v>
      </c>
      <c r="J313" s="42">
        <f>VLOOKUP(F313,[5]Hárok1!$F$4:$S$93,5,0)</f>
        <v>7</v>
      </c>
      <c r="K313" s="43">
        <f>VLOOKUP(F313,[5]Hárok1!$F$4:$S$93,6,0)</f>
        <v>0</v>
      </c>
      <c r="L313" s="43">
        <f>VLOOKUP(F313,[5]Hárok1!$F$4:$S$93,7,0)</f>
        <v>35</v>
      </c>
      <c r="M313" s="43">
        <f>VLOOKUP(F313,[5]Hárok1!$F$4:$S$93,8,0)</f>
        <v>0</v>
      </c>
      <c r="N313" s="43">
        <f>VLOOKUP(F313,[5]Hárok1!$F$4:$S$93,9,0)</f>
        <v>1</v>
      </c>
      <c r="O313" s="43">
        <f>VLOOKUP(F313,[5]Hárok1!$F$4:$S$93,10,0)</f>
        <v>8</v>
      </c>
      <c r="P313" s="44">
        <f>VLOOKUP(F313,[5]Hárok1!$F$4:$S$93,11,0)</f>
        <v>1</v>
      </c>
      <c r="Q313" s="42">
        <f>VLOOKUP(F313,[5]Hárok1!$F$4:$S$93,12,0)</f>
        <v>19</v>
      </c>
      <c r="R313" s="43">
        <f>VLOOKUP(F313,[5]Hárok1!$F$4:$S$93,13,0)</f>
        <v>240</v>
      </c>
      <c r="S313" s="44">
        <f>VLOOKUP(F313,[5]Hárok1!$F$4:$S$93,14,0)</f>
        <v>81</v>
      </c>
      <c r="T313" s="45">
        <f t="shared" si="24"/>
        <v>1172.5</v>
      </c>
      <c r="U313" s="46">
        <f>VLOOKUP(F313,[5]Hárok1!$F$4:$U$93,16,0)</f>
        <v>13.6</v>
      </c>
      <c r="V313" s="47">
        <f t="shared" si="25"/>
        <v>42</v>
      </c>
      <c r="W313" s="47">
        <f t="shared" si="26"/>
        <v>588</v>
      </c>
      <c r="X313" s="48">
        <f t="shared" si="27"/>
        <v>148.5</v>
      </c>
      <c r="Y313" s="49">
        <f t="shared" si="28"/>
        <v>1964.6</v>
      </c>
      <c r="Z313" s="50">
        <f t="shared" si="29"/>
        <v>1965</v>
      </c>
    </row>
    <row r="314" spans="1:26" x14ac:dyDescent="0.25">
      <c r="A314" s="29" t="s">
        <v>634</v>
      </c>
      <c r="B314" s="29" t="s">
        <v>79</v>
      </c>
      <c r="C314" s="29" t="s">
        <v>652</v>
      </c>
      <c r="D314" s="29">
        <v>37861298</v>
      </c>
      <c r="E314" s="32" t="s">
        <v>653</v>
      </c>
      <c r="F314" s="29">
        <v>17050316</v>
      </c>
      <c r="G314" s="32" t="s">
        <v>154</v>
      </c>
      <c r="H314" s="32" t="s">
        <v>730</v>
      </c>
      <c r="I314" s="33" t="s">
        <v>735</v>
      </c>
      <c r="J314" s="42">
        <f>VLOOKUP(F314,[5]Hárok1!$F$4:$S$93,5,0)</f>
        <v>5</v>
      </c>
      <c r="K314" s="43">
        <f>VLOOKUP(F314,[5]Hárok1!$F$4:$S$93,6,0)</f>
        <v>0</v>
      </c>
      <c r="L314" s="43">
        <f>VLOOKUP(F314,[5]Hárok1!$F$4:$S$93,7,0)</f>
        <v>29</v>
      </c>
      <c r="M314" s="43">
        <f>VLOOKUP(F314,[5]Hárok1!$F$4:$S$93,8,0)</f>
        <v>0</v>
      </c>
      <c r="N314" s="43">
        <f>VLOOKUP(F314,[5]Hárok1!$F$4:$S$93,9,0)</f>
        <v>0</v>
      </c>
      <c r="O314" s="43">
        <f>VLOOKUP(F314,[5]Hárok1!$F$4:$S$93,10,0)</f>
        <v>11</v>
      </c>
      <c r="P314" s="44">
        <f>VLOOKUP(F314,[5]Hárok1!$F$4:$S$93,11,0)</f>
        <v>1</v>
      </c>
      <c r="Q314" s="42">
        <f>VLOOKUP(F314,[5]Hárok1!$F$4:$S$93,12,0)</f>
        <v>0</v>
      </c>
      <c r="R314" s="43">
        <f>VLOOKUP(F314,[5]Hárok1!$F$4:$S$93,13,0)</f>
        <v>151</v>
      </c>
      <c r="S314" s="44">
        <f>VLOOKUP(F314,[5]Hárok1!$F$4:$S$93,14,0)</f>
        <v>59</v>
      </c>
      <c r="T314" s="45">
        <f t="shared" si="24"/>
        <v>971.5</v>
      </c>
      <c r="U314" s="46">
        <f>VLOOKUP(F314,[5]Hárok1!$F$4:$U$93,16,0)</f>
        <v>216.65</v>
      </c>
      <c r="V314" s="47">
        <f t="shared" si="25"/>
        <v>0</v>
      </c>
      <c r="W314" s="47">
        <f t="shared" si="26"/>
        <v>450.5</v>
      </c>
      <c r="X314" s="48">
        <f t="shared" si="27"/>
        <v>115.5</v>
      </c>
      <c r="Y314" s="49">
        <f t="shared" si="28"/>
        <v>1754.15</v>
      </c>
      <c r="Z314" s="50">
        <f t="shared" si="29"/>
        <v>1754</v>
      </c>
    </row>
    <row r="315" spans="1:26" x14ac:dyDescent="0.25">
      <c r="A315" s="29" t="s">
        <v>634</v>
      </c>
      <c r="B315" s="29" t="s">
        <v>79</v>
      </c>
      <c r="C315" s="29" t="s">
        <v>652</v>
      </c>
      <c r="D315" s="29">
        <v>37861298</v>
      </c>
      <c r="E315" s="32" t="s">
        <v>653</v>
      </c>
      <c r="F315" s="29">
        <v>399850</v>
      </c>
      <c r="G315" s="32" t="s">
        <v>736</v>
      </c>
      <c r="H315" s="32" t="s">
        <v>737</v>
      </c>
      <c r="I315" s="33" t="s">
        <v>738</v>
      </c>
      <c r="J315" s="42">
        <f>VLOOKUP(F315,[5]Hárok1!$F$4:$S$93,5,0)</f>
        <v>0</v>
      </c>
      <c r="K315" s="43">
        <f>VLOOKUP(F315,[5]Hárok1!$F$4:$S$93,6,0)</f>
        <v>0</v>
      </c>
      <c r="L315" s="43">
        <f>VLOOKUP(F315,[5]Hárok1!$F$4:$S$93,7,0)</f>
        <v>0</v>
      </c>
      <c r="M315" s="43">
        <f>VLOOKUP(F315,[5]Hárok1!$F$4:$S$93,8,0)</f>
        <v>0</v>
      </c>
      <c r="N315" s="43">
        <f>VLOOKUP(F315,[5]Hárok1!$F$4:$S$93,9,0)</f>
        <v>0</v>
      </c>
      <c r="O315" s="43">
        <f>VLOOKUP(F315,[5]Hárok1!$F$4:$S$93,10,0)</f>
        <v>0</v>
      </c>
      <c r="P315" s="44">
        <f>VLOOKUP(F315,[5]Hárok1!$F$4:$S$93,11,0)</f>
        <v>0</v>
      </c>
      <c r="Q315" s="42">
        <f>VLOOKUP(F315,[5]Hárok1!$F$4:$S$93,12,0)</f>
        <v>0</v>
      </c>
      <c r="R315" s="43">
        <f>VLOOKUP(F315,[5]Hárok1!$F$4:$S$93,13,0)</f>
        <v>0</v>
      </c>
      <c r="S315" s="44">
        <f>VLOOKUP(F315,[5]Hárok1!$F$4:$S$93,14,0)</f>
        <v>0</v>
      </c>
      <c r="T315" s="45">
        <f t="shared" si="24"/>
        <v>0</v>
      </c>
      <c r="U315" s="46">
        <f>VLOOKUP(F315,[5]Hárok1!$F$4:$U$93,16,0)</f>
        <v>0</v>
      </c>
      <c r="V315" s="47">
        <f t="shared" si="25"/>
        <v>0</v>
      </c>
      <c r="W315" s="47">
        <f t="shared" si="26"/>
        <v>0</v>
      </c>
      <c r="X315" s="48">
        <f t="shared" si="27"/>
        <v>0</v>
      </c>
      <c r="Y315" s="49">
        <f t="shared" si="28"/>
        <v>0</v>
      </c>
      <c r="Z315" s="50">
        <f t="shared" si="29"/>
        <v>0</v>
      </c>
    </row>
    <row r="316" spans="1:26" x14ac:dyDescent="0.25">
      <c r="A316" s="29" t="s">
        <v>634</v>
      </c>
      <c r="B316" s="29" t="s">
        <v>79</v>
      </c>
      <c r="C316" s="29" t="s">
        <v>652</v>
      </c>
      <c r="D316" s="29">
        <v>37861298</v>
      </c>
      <c r="E316" s="32" t="s">
        <v>653</v>
      </c>
      <c r="F316" s="29">
        <v>31873715</v>
      </c>
      <c r="G316" s="32" t="s">
        <v>52</v>
      </c>
      <c r="H316" s="32" t="s">
        <v>737</v>
      </c>
      <c r="I316" s="33" t="s">
        <v>739</v>
      </c>
      <c r="J316" s="42">
        <f>VLOOKUP(F316,[5]Hárok1!$F$4:$S$93,5,0)</f>
        <v>17</v>
      </c>
      <c r="K316" s="43">
        <f>VLOOKUP(F316,[5]Hárok1!$F$4:$S$93,6,0)</f>
        <v>0</v>
      </c>
      <c r="L316" s="43">
        <f>VLOOKUP(F316,[5]Hárok1!$F$4:$S$93,7,0)</f>
        <v>60</v>
      </c>
      <c r="M316" s="43">
        <f>VLOOKUP(F316,[5]Hárok1!$F$4:$S$93,8,0)</f>
        <v>0</v>
      </c>
      <c r="N316" s="43">
        <f>VLOOKUP(F316,[5]Hárok1!$F$4:$S$93,9,0)</f>
        <v>3</v>
      </c>
      <c r="O316" s="43">
        <f>VLOOKUP(F316,[5]Hárok1!$F$4:$S$93,10,0)</f>
        <v>20</v>
      </c>
      <c r="P316" s="44">
        <f>VLOOKUP(F316,[5]Hárok1!$F$4:$S$93,11,0)</f>
        <v>11</v>
      </c>
      <c r="Q316" s="42">
        <f>VLOOKUP(F316,[5]Hárok1!$F$4:$S$93,12,0)</f>
        <v>41</v>
      </c>
      <c r="R316" s="43">
        <f>VLOOKUP(F316,[5]Hárok1!$F$4:$S$93,13,0)</f>
        <v>472</v>
      </c>
      <c r="S316" s="44">
        <f>VLOOKUP(F316,[5]Hárok1!$F$4:$S$93,14,0)</f>
        <v>44</v>
      </c>
      <c r="T316" s="45">
        <f t="shared" si="24"/>
        <v>2010</v>
      </c>
      <c r="U316" s="46">
        <f>VLOOKUP(F316,[5]Hárok1!$F$4:$U$93,16,0)</f>
        <v>268.89999999999998</v>
      </c>
      <c r="V316" s="47">
        <f t="shared" si="25"/>
        <v>102</v>
      </c>
      <c r="W316" s="47">
        <f t="shared" si="26"/>
        <v>1214</v>
      </c>
      <c r="X316" s="48">
        <f t="shared" si="27"/>
        <v>363</v>
      </c>
      <c r="Y316" s="49">
        <f t="shared" si="28"/>
        <v>3957.9</v>
      </c>
      <c r="Z316" s="50">
        <f t="shared" si="29"/>
        <v>3958</v>
      </c>
    </row>
    <row r="317" spans="1:26" x14ac:dyDescent="0.25">
      <c r="A317" s="29" t="s">
        <v>634</v>
      </c>
      <c r="B317" s="29" t="s">
        <v>79</v>
      </c>
      <c r="C317" s="29" t="s">
        <v>652</v>
      </c>
      <c r="D317" s="29">
        <v>37861298</v>
      </c>
      <c r="E317" s="32" t="s">
        <v>653</v>
      </c>
      <c r="F317" s="29">
        <v>159000</v>
      </c>
      <c r="G317" s="32" t="s">
        <v>740</v>
      </c>
      <c r="H317" s="32" t="s">
        <v>737</v>
      </c>
      <c r="I317" s="33" t="s">
        <v>741</v>
      </c>
      <c r="J317" s="42">
        <f>VLOOKUP(F317,[5]Hárok1!$F$4:$S$93,5,0)</f>
        <v>4</v>
      </c>
      <c r="K317" s="43">
        <f>VLOOKUP(F317,[5]Hárok1!$F$4:$S$93,6,0)</f>
        <v>0</v>
      </c>
      <c r="L317" s="43">
        <f>VLOOKUP(F317,[5]Hárok1!$F$4:$S$93,7,0)</f>
        <v>26</v>
      </c>
      <c r="M317" s="43">
        <f>VLOOKUP(F317,[5]Hárok1!$F$4:$S$93,8,0)</f>
        <v>0</v>
      </c>
      <c r="N317" s="43">
        <f>VLOOKUP(F317,[5]Hárok1!$F$4:$S$93,9,0)</f>
        <v>0</v>
      </c>
      <c r="O317" s="43">
        <f>VLOOKUP(F317,[5]Hárok1!$F$4:$S$93,10,0)</f>
        <v>4</v>
      </c>
      <c r="P317" s="44">
        <f>VLOOKUP(F317,[5]Hárok1!$F$4:$S$93,11,0)</f>
        <v>2</v>
      </c>
      <c r="Q317" s="42">
        <f>VLOOKUP(F317,[5]Hárok1!$F$4:$S$93,12,0)</f>
        <v>0</v>
      </c>
      <c r="R317" s="43">
        <f>VLOOKUP(F317,[5]Hárok1!$F$4:$S$93,13,0)</f>
        <v>94</v>
      </c>
      <c r="S317" s="44">
        <f>VLOOKUP(F317,[5]Hárok1!$F$4:$S$93,14,0)</f>
        <v>90</v>
      </c>
      <c r="T317" s="45">
        <f t="shared" si="24"/>
        <v>871</v>
      </c>
      <c r="U317" s="46">
        <f>VLOOKUP(F317,[5]Hárok1!$F$4:$U$93,16,0)</f>
        <v>0</v>
      </c>
      <c r="V317" s="47">
        <f t="shared" si="25"/>
        <v>0</v>
      </c>
      <c r="W317" s="47">
        <f t="shared" si="26"/>
        <v>242</v>
      </c>
      <c r="X317" s="48">
        <f t="shared" si="27"/>
        <v>189</v>
      </c>
      <c r="Y317" s="49">
        <f t="shared" si="28"/>
        <v>1302</v>
      </c>
      <c r="Z317" s="50">
        <f t="shared" si="29"/>
        <v>1302</v>
      </c>
    </row>
    <row r="318" spans="1:26" x14ac:dyDescent="0.25">
      <c r="A318" s="51" t="s">
        <v>634</v>
      </c>
      <c r="B318" s="51" t="s">
        <v>79</v>
      </c>
      <c r="C318" s="51" t="s">
        <v>652</v>
      </c>
      <c r="D318" s="51">
        <v>37861298</v>
      </c>
      <c r="E318" s="32" t="s">
        <v>653</v>
      </c>
      <c r="F318" s="51">
        <v>160440</v>
      </c>
      <c r="G318" s="32" t="s">
        <v>49</v>
      </c>
      <c r="H318" s="32" t="s">
        <v>648</v>
      </c>
      <c r="I318" s="33" t="s">
        <v>742</v>
      </c>
      <c r="J318" s="42">
        <f>VLOOKUP(F318,[5]Hárok1!$F$4:$S$93,5,0)</f>
        <v>10</v>
      </c>
      <c r="K318" s="43">
        <f>VLOOKUP(F318,[5]Hárok1!$F$4:$S$93,6,0)</f>
        <v>0</v>
      </c>
      <c r="L318" s="43">
        <f>VLOOKUP(F318,[5]Hárok1!$F$4:$S$93,7,0)</f>
        <v>48</v>
      </c>
      <c r="M318" s="43">
        <f>VLOOKUP(F318,[5]Hárok1!$F$4:$S$93,8,0)</f>
        <v>0</v>
      </c>
      <c r="N318" s="43">
        <f>VLOOKUP(F318,[5]Hárok1!$F$4:$S$93,9,0)</f>
        <v>0</v>
      </c>
      <c r="O318" s="43">
        <f>VLOOKUP(F318,[5]Hárok1!$F$4:$S$93,10,0)</f>
        <v>10</v>
      </c>
      <c r="P318" s="44">
        <f>VLOOKUP(F318,[5]Hárok1!$F$4:$S$93,11,0)</f>
        <v>2</v>
      </c>
      <c r="Q318" s="42">
        <f>VLOOKUP(F318,[5]Hárok1!$F$4:$S$93,12,0)</f>
        <v>0</v>
      </c>
      <c r="R318" s="43">
        <f>VLOOKUP(F318,[5]Hárok1!$F$4:$S$93,13,0)</f>
        <v>285</v>
      </c>
      <c r="S318" s="44">
        <f>VLOOKUP(F318,[5]Hárok1!$F$4:$S$93,14,0)</f>
        <v>103</v>
      </c>
      <c r="T318" s="45">
        <f t="shared" si="24"/>
        <v>1608</v>
      </c>
      <c r="U318" s="46">
        <f>VLOOKUP(F318,[5]Hárok1!$F$4:$U$93,16,0)</f>
        <v>0</v>
      </c>
      <c r="V318" s="47">
        <f t="shared" si="25"/>
        <v>0</v>
      </c>
      <c r="W318" s="47">
        <f t="shared" si="26"/>
        <v>705</v>
      </c>
      <c r="X318" s="48">
        <f t="shared" si="27"/>
        <v>208.5</v>
      </c>
      <c r="Y318" s="49">
        <f t="shared" si="28"/>
        <v>2521.5</v>
      </c>
      <c r="Z318" s="50">
        <f t="shared" si="29"/>
        <v>2522</v>
      </c>
    </row>
    <row r="319" spans="1:26" x14ac:dyDescent="0.25">
      <c r="A319" s="29" t="s">
        <v>634</v>
      </c>
      <c r="B319" s="29" t="s">
        <v>79</v>
      </c>
      <c r="C319" s="29" t="s">
        <v>652</v>
      </c>
      <c r="D319" s="29">
        <v>37861298</v>
      </c>
      <c r="E319" s="32" t="s">
        <v>653</v>
      </c>
      <c r="F319" s="29">
        <v>159841</v>
      </c>
      <c r="G319" s="32" t="s">
        <v>100</v>
      </c>
      <c r="H319" s="32" t="s">
        <v>648</v>
      </c>
      <c r="I319" s="33" t="s">
        <v>743</v>
      </c>
      <c r="J319" s="42">
        <f>VLOOKUP(F319,[5]Hárok1!$F$4:$S$93,5,0)</f>
        <v>8</v>
      </c>
      <c r="K319" s="43">
        <f>VLOOKUP(F319,[5]Hárok1!$F$4:$S$93,6,0)</f>
        <v>0</v>
      </c>
      <c r="L319" s="43">
        <f>VLOOKUP(F319,[5]Hárok1!$F$4:$S$93,7,0)</f>
        <v>33</v>
      </c>
      <c r="M319" s="43">
        <f>VLOOKUP(F319,[5]Hárok1!$F$4:$S$93,8,0)</f>
        <v>0</v>
      </c>
      <c r="N319" s="43">
        <f>VLOOKUP(F319,[5]Hárok1!$F$4:$S$93,9,0)</f>
        <v>0</v>
      </c>
      <c r="O319" s="43">
        <f>VLOOKUP(F319,[5]Hárok1!$F$4:$S$93,10,0)</f>
        <v>9</v>
      </c>
      <c r="P319" s="44">
        <f>VLOOKUP(F319,[5]Hárok1!$F$4:$S$93,11,0)</f>
        <v>2</v>
      </c>
      <c r="Q319" s="42">
        <f>VLOOKUP(F319,[5]Hárok1!$F$4:$S$93,12,0)</f>
        <v>0</v>
      </c>
      <c r="R319" s="43">
        <f>VLOOKUP(F319,[5]Hárok1!$F$4:$S$93,13,0)</f>
        <v>209</v>
      </c>
      <c r="S319" s="44">
        <f>VLOOKUP(F319,[5]Hárok1!$F$4:$S$93,14,0)</f>
        <v>87</v>
      </c>
      <c r="T319" s="45">
        <f t="shared" si="24"/>
        <v>1105.5</v>
      </c>
      <c r="U319" s="46">
        <f>VLOOKUP(F319,[5]Hárok1!$F$4:$U$93,16,0)</f>
        <v>227.9</v>
      </c>
      <c r="V319" s="47">
        <f t="shared" si="25"/>
        <v>0</v>
      </c>
      <c r="W319" s="47">
        <f t="shared" si="26"/>
        <v>539.5</v>
      </c>
      <c r="X319" s="48">
        <f t="shared" si="27"/>
        <v>184.5</v>
      </c>
      <c r="Y319" s="49">
        <f t="shared" si="28"/>
        <v>2057.4</v>
      </c>
      <c r="Z319" s="50">
        <f t="shared" si="29"/>
        <v>2057</v>
      </c>
    </row>
    <row r="320" spans="1:26" x14ac:dyDescent="0.25">
      <c r="A320" s="29" t="s">
        <v>634</v>
      </c>
      <c r="B320" s="29" t="s">
        <v>79</v>
      </c>
      <c r="C320" s="29" t="s">
        <v>652</v>
      </c>
      <c r="D320" s="29">
        <v>37861298</v>
      </c>
      <c r="E320" s="32" t="s">
        <v>653</v>
      </c>
      <c r="F320" s="29">
        <v>398411</v>
      </c>
      <c r="G320" s="32" t="s">
        <v>744</v>
      </c>
      <c r="H320" s="32" t="s">
        <v>648</v>
      </c>
      <c r="I320" s="33" t="s">
        <v>649</v>
      </c>
      <c r="J320" s="42">
        <f>VLOOKUP(F320,[5]Hárok1!$F$4:$S$93,5,0)</f>
        <v>11</v>
      </c>
      <c r="K320" s="43">
        <f>VLOOKUP(F320,[5]Hárok1!$F$4:$S$93,6,0)</f>
        <v>0</v>
      </c>
      <c r="L320" s="43">
        <f>VLOOKUP(F320,[5]Hárok1!$F$4:$S$93,7,0)</f>
        <v>55</v>
      </c>
      <c r="M320" s="43">
        <f>VLOOKUP(F320,[5]Hárok1!$F$4:$S$93,8,0)</f>
        <v>0</v>
      </c>
      <c r="N320" s="43">
        <f>VLOOKUP(F320,[5]Hárok1!$F$4:$S$93,9,0)</f>
        <v>0</v>
      </c>
      <c r="O320" s="43">
        <f>VLOOKUP(F320,[5]Hárok1!$F$4:$S$93,10,0)</f>
        <v>18</v>
      </c>
      <c r="P320" s="44">
        <f>VLOOKUP(F320,[5]Hárok1!$F$4:$S$93,11,0)</f>
        <v>1</v>
      </c>
      <c r="Q320" s="42">
        <f>VLOOKUP(F320,[5]Hárok1!$F$4:$S$93,12,0)</f>
        <v>0</v>
      </c>
      <c r="R320" s="43">
        <f>VLOOKUP(F320,[5]Hárok1!$F$4:$S$93,13,0)</f>
        <v>427</v>
      </c>
      <c r="S320" s="44">
        <f>VLOOKUP(F320,[5]Hárok1!$F$4:$S$93,14,0)</f>
        <v>146</v>
      </c>
      <c r="T320" s="45">
        <f t="shared" si="24"/>
        <v>1842.5</v>
      </c>
      <c r="U320" s="46">
        <f>VLOOKUP(F320,[5]Hárok1!$F$4:$U$93,16,0)</f>
        <v>0</v>
      </c>
      <c r="V320" s="47">
        <f t="shared" si="25"/>
        <v>0</v>
      </c>
      <c r="W320" s="47">
        <f t="shared" si="26"/>
        <v>1097</v>
      </c>
      <c r="X320" s="48">
        <f t="shared" si="27"/>
        <v>246</v>
      </c>
      <c r="Y320" s="49">
        <f t="shared" si="28"/>
        <v>3185.5</v>
      </c>
      <c r="Z320" s="50">
        <f t="shared" si="29"/>
        <v>3186</v>
      </c>
    </row>
    <row r="321" spans="1:26" x14ac:dyDescent="0.25">
      <c r="A321" s="29" t="s">
        <v>634</v>
      </c>
      <c r="B321" s="29" t="s">
        <v>79</v>
      </c>
      <c r="C321" s="29" t="s">
        <v>652</v>
      </c>
      <c r="D321" s="29">
        <v>37861298</v>
      </c>
      <c r="E321" s="32" t="s">
        <v>653</v>
      </c>
      <c r="F321" s="29">
        <v>891860</v>
      </c>
      <c r="G321" s="32" t="s">
        <v>745</v>
      </c>
      <c r="H321" s="32" t="s">
        <v>648</v>
      </c>
      <c r="I321" s="33" t="s">
        <v>746</v>
      </c>
      <c r="J321" s="42">
        <f>VLOOKUP(F321,[5]Hárok1!$F$4:$S$93,5,0)</f>
        <v>5</v>
      </c>
      <c r="K321" s="43">
        <f>VLOOKUP(F321,[5]Hárok1!$F$4:$S$93,6,0)</f>
        <v>0</v>
      </c>
      <c r="L321" s="43">
        <f>VLOOKUP(F321,[5]Hárok1!$F$4:$S$93,7,0)</f>
        <v>21</v>
      </c>
      <c r="M321" s="43">
        <f>VLOOKUP(F321,[5]Hárok1!$F$4:$S$93,8,0)</f>
        <v>0</v>
      </c>
      <c r="N321" s="43">
        <f>VLOOKUP(F321,[5]Hárok1!$F$4:$S$93,9,0)</f>
        <v>0</v>
      </c>
      <c r="O321" s="43">
        <f>VLOOKUP(F321,[5]Hárok1!$F$4:$S$93,10,0)</f>
        <v>14</v>
      </c>
      <c r="P321" s="44">
        <f>VLOOKUP(F321,[5]Hárok1!$F$4:$S$93,11,0)</f>
        <v>0</v>
      </c>
      <c r="Q321" s="42">
        <f>VLOOKUP(F321,[5]Hárok1!$F$4:$S$93,12,0)</f>
        <v>0</v>
      </c>
      <c r="R321" s="43">
        <f>VLOOKUP(F321,[5]Hárok1!$F$4:$S$93,13,0)</f>
        <v>192</v>
      </c>
      <c r="S321" s="44">
        <f>VLOOKUP(F321,[5]Hárok1!$F$4:$S$93,14,0)</f>
        <v>0</v>
      </c>
      <c r="T321" s="45">
        <f t="shared" si="24"/>
        <v>703.5</v>
      </c>
      <c r="U321" s="46">
        <f>VLOOKUP(F321,[5]Hárok1!$F$4:$U$93,16,0)</f>
        <v>145.80000000000001</v>
      </c>
      <c r="V321" s="47">
        <f t="shared" si="25"/>
        <v>0</v>
      </c>
      <c r="W321" s="47">
        <f t="shared" si="26"/>
        <v>573</v>
      </c>
      <c r="X321" s="48">
        <f t="shared" si="27"/>
        <v>0</v>
      </c>
      <c r="Y321" s="49">
        <f t="shared" si="28"/>
        <v>1422.3</v>
      </c>
      <c r="Z321" s="50">
        <f t="shared" si="29"/>
        <v>1422</v>
      </c>
    </row>
    <row r="322" spans="1:26" x14ac:dyDescent="0.25">
      <c r="A322" s="29" t="s">
        <v>634</v>
      </c>
      <c r="B322" s="29" t="s">
        <v>79</v>
      </c>
      <c r="C322" s="29" t="s">
        <v>652</v>
      </c>
      <c r="D322" s="29">
        <v>37861298</v>
      </c>
      <c r="E322" s="32" t="s">
        <v>653</v>
      </c>
      <c r="F322" s="29">
        <v>893480</v>
      </c>
      <c r="G322" s="32" t="s">
        <v>402</v>
      </c>
      <c r="H322" s="32" t="s">
        <v>648</v>
      </c>
      <c r="I322" s="33" t="s">
        <v>747</v>
      </c>
      <c r="J322" s="42">
        <f>VLOOKUP(F322,[5]Hárok1!$F$4:$S$93,5,0)</f>
        <v>13</v>
      </c>
      <c r="K322" s="43">
        <f>VLOOKUP(F322,[5]Hárok1!$F$4:$S$93,6,0)</f>
        <v>3</v>
      </c>
      <c r="L322" s="43">
        <f>VLOOKUP(F322,[5]Hárok1!$F$4:$S$93,7,0)</f>
        <v>39</v>
      </c>
      <c r="M322" s="43">
        <f>VLOOKUP(F322,[5]Hárok1!$F$4:$S$93,8,0)</f>
        <v>8</v>
      </c>
      <c r="N322" s="43">
        <f>VLOOKUP(F322,[5]Hárok1!$F$4:$S$93,9,0)</f>
        <v>11</v>
      </c>
      <c r="O322" s="43">
        <f>VLOOKUP(F322,[5]Hárok1!$F$4:$S$93,10,0)</f>
        <v>16</v>
      </c>
      <c r="P322" s="44">
        <f>VLOOKUP(F322,[5]Hárok1!$F$4:$S$93,11,0)</f>
        <v>1</v>
      </c>
      <c r="Q322" s="42">
        <f>VLOOKUP(F322,[5]Hárok1!$F$4:$S$93,12,0)</f>
        <v>93</v>
      </c>
      <c r="R322" s="43">
        <f>VLOOKUP(F322,[5]Hárok1!$F$4:$S$93,13,0)</f>
        <v>294</v>
      </c>
      <c r="S322" s="44">
        <f>VLOOKUP(F322,[5]Hárok1!$F$4:$S$93,14,0)</f>
        <v>119</v>
      </c>
      <c r="T322" s="45">
        <f t="shared" si="24"/>
        <v>1306.5</v>
      </c>
      <c r="U322" s="46">
        <f>VLOOKUP(F322,[5]Hárok1!$F$4:$U$93,16,0)</f>
        <v>227.95</v>
      </c>
      <c r="V322" s="47">
        <f t="shared" si="25"/>
        <v>288</v>
      </c>
      <c r="W322" s="47">
        <f t="shared" si="26"/>
        <v>804</v>
      </c>
      <c r="X322" s="48">
        <f t="shared" si="27"/>
        <v>205.5</v>
      </c>
      <c r="Y322" s="49">
        <f t="shared" si="28"/>
        <v>2831.95</v>
      </c>
      <c r="Z322" s="50">
        <f t="shared" si="29"/>
        <v>2832</v>
      </c>
    </row>
    <row r="323" spans="1:26" x14ac:dyDescent="0.25">
      <c r="A323" s="29" t="s">
        <v>634</v>
      </c>
      <c r="B323" s="29" t="s">
        <v>79</v>
      </c>
      <c r="C323" s="29" t="s">
        <v>652</v>
      </c>
      <c r="D323" s="29">
        <v>37861298</v>
      </c>
      <c r="E323" s="32" t="s">
        <v>653</v>
      </c>
      <c r="F323" s="29">
        <v>17054249</v>
      </c>
      <c r="G323" s="32" t="s">
        <v>699</v>
      </c>
      <c r="H323" s="32" t="s">
        <v>648</v>
      </c>
      <c r="I323" s="33" t="s">
        <v>748</v>
      </c>
      <c r="J323" s="42">
        <f>VLOOKUP(F323,[5]Hárok1!$F$4:$S$93,5,0)</f>
        <v>2</v>
      </c>
      <c r="K323" s="43">
        <f>VLOOKUP(F323,[5]Hárok1!$F$4:$S$93,6,0)</f>
        <v>0</v>
      </c>
      <c r="L323" s="43">
        <f>VLOOKUP(F323,[5]Hárok1!$F$4:$S$93,7,0)</f>
        <v>7</v>
      </c>
      <c r="M323" s="43">
        <f>VLOOKUP(F323,[5]Hárok1!$F$4:$S$93,8,0)</f>
        <v>0</v>
      </c>
      <c r="N323" s="43">
        <f>VLOOKUP(F323,[5]Hárok1!$F$4:$S$93,9,0)</f>
        <v>0</v>
      </c>
      <c r="O323" s="43">
        <f>VLOOKUP(F323,[5]Hárok1!$F$4:$S$93,10,0)</f>
        <v>2</v>
      </c>
      <c r="P323" s="44">
        <f>VLOOKUP(F323,[5]Hárok1!$F$4:$S$93,11,0)</f>
        <v>0</v>
      </c>
      <c r="Q323" s="42">
        <f>VLOOKUP(F323,[5]Hárok1!$F$4:$S$93,12,0)</f>
        <v>0</v>
      </c>
      <c r="R323" s="43">
        <f>VLOOKUP(F323,[5]Hárok1!$F$4:$S$93,13,0)</f>
        <v>59</v>
      </c>
      <c r="S323" s="44">
        <f>VLOOKUP(F323,[5]Hárok1!$F$4:$S$93,14,0)</f>
        <v>0</v>
      </c>
      <c r="T323" s="45">
        <f t="shared" si="24"/>
        <v>234.5</v>
      </c>
      <c r="U323" s="46">
        <f>VLOOKUP(F323,[5]Hárok1!$F$4:$U$93,16,0)</f>
        <v>0</v>
      </c>
      <c r="V323" s="47">
        <f t="shared" si="25"/>
        <v>0</v>
      </c>
      <c r="W323" s="47">
        <f t="shared" si="26"/>
        <v>145</v>
      </c>
      <c r="X323" s="48">
        <f t="shared" si="27"/>
        <v>0</v>
      </c>
      <c r="Y323" s="49">
        <f t="shared" si="28"/>
        <v>379.5</v>
      </c>
      <c r="Z323" s="50">
        <f t="shared" si="29"/>
        <v>380</v>
      </c>
    </row>
    <row r="324" spans="1:26" x14ac:dyDescent="0.25">
      <c r="A324" s="51" t="s">
        <v>634</v>
      </c>
      <c r="B324" s="51" t="s">
        <v>79</v>
      </c>
      <c r="C324" s="51" t="s">
        <v>652</v>
      </c>
      <c r="D324" s="51">
        <v>37861298</v>
      </c>
      <c r="E324" s="32" t="s">
        <v>653</v>
      </c>
      <c r="F324" s="51">
        <v>351989</v>
      </c>
      <c r="G324" s="32" t="s">
        <v>679</v>
      </c>
      <c r="H324" s="32" t="s">
        <v>648</v>
      </c>
      <c r="I324" s="33" t="s">
        <v>749</v>
      </c>
      <c r="J324" s="42">
        <f>VLOOKUP(F324,[5]Hárok1!$F$4:$S$93,5,0)</f>
        <v>14</v>
      </c>
      <c r="K324" s="43">
        <f>VLOOKUP(F324,[5]Hárok1!$F$4:$S$93,6,0)</f>
        <v>8</v>
      </c>
      <c r="L324" s="43">
        <f>VLOOKUP(F324,[5]Hárok1!$F$4:$S$93,7,0)</f>
        <v>47</v>
      </c>
      <c r="M324" s="43">
        <f>VLOOKUP(F324,[5]Hárok1!$F$4:$S$93,8,0)</f>
        <v>22</v>
      </c>
      <c r="N324" s="43">
        <f>VLOOKUP(F324,[5]Hárok1!$F$4:$S$93,9,0)</f>
        <v>12</v>
      </c>
      <c r="O324" s="43">
        <f>VLOOKUP(F324,[5]Hárok1!$F$4:$S$93,10,0)</f>
        <v>12</v>
      </c>
      <c r="P324" s="44">
        <f>VLOOKUP(F324,[5]Hárok1!$F$4:$S$93,11,0)</f>
        <v>3</v>
      </c>
      <c r="Q324" s="42">
        <f>VLOOKUP(F324,[5]Hárok1!$F$4:$S$93,12,0)</f>
        <v>123</v>
      </c>
      <c r="R324" s="43">
        <f>VLOOKUP(F324,[5]Hárok1!$F$4:$S$93,13,0)</f>
        <v>276</v>
      </c>
      <c r="S324" s="44">
        <f>VLOOKUP(F324,[5]Hárok1!$F$4:$S$93,14,0)</f>
        <v>181</v>
      </c>
      <c r="T324" s="45">
        <f t="shared" si="24"/>
        <v>1574.5</v>
      </c>
      <c r="U324" s="46">
        <f>VLOOKUP(F324,[5]Hárok1!$F$4:$U$93,16,0)</f>
        <v>0</v>
      </c>
      <c r="V324" s="47">
        <f t="shared" si="25"/>
        <v>346.5</v>
      </c>
      <c r="W324" s="47">
        <f t="shared" si="26"/>
        <v>714</v>
      </c>
      <c r="X324" s="48">
        <f t="shared" si="27"/>
        <v>352.5</v>
      </c>
      <c r="Y324" s="49">
        <f t="shared" si="28"/>
        <v>2987.5</v>
      </c>
      <c r="Z324" s="50">
        <f t="shared" si="29"/>
        <v>2988</v>
      </c>
    </row>
    <row r="325" spans="1:26" x14ac:dyDescent="0.25">
      <c r="A325" s="29" t="s">
        <v>634</v>
      </c>
      <c r="B325" s="29" t="s">
        <v>79</v>
      </c>
      <c r="C325" s="29" t="s">
        <v>652</v>
      </c>
      <c r="D325" s="29">
        <v>37861298</v>
      </c>
      <c r="E325" s="32" t="s">
        <v>653</v>
      </c>
      <c r="F325" s="29">
        <v>160482</v>
      </c>
      <c r="G325" s="32" t="s">
        <v>750</v>
      </c>
      <c r="H325" s="32" t="s">
        <v>650</v>
      </c>
      <c r="I325" s="33" t="s">
        <v>751</v>
      </c>
      <c r="J325" s="42">
        <f>VLOOKUP(F325,[5]Hárok1!$F$4:$S$93,5,0)</f>
        <v>11</v>
      </c>
      <c r="K325" s="43">
        <f>VLOOKUP(F325,[5]Hárok1!$F$4:$S$93,6,0)</f>
        <v>0</v>
      </c>
      <c r="L325" s="43">
        <f>VLOOKUP(F325,[5]Hárok1!$F$4:$S$93,7,0)</f>
        <v>38</v>
      </c>
      <c r="M325" s="43">
        <f>VLOOKUP(F325,[5]Hárok1!$F$4:$S$93,8,0)</f>
        <v>0</v>
      </c>
      <c r="N325" s="43">
        <f>VLOOKUP(F325,[5]Hárok1!$F$4:$S$93,9,0)</f>
        <v>0</v>
      </c>
      <c r="O325" s="43">
        <f>VLOOKUP(F325,[5]Hárok1!$F$4:$S$93,10,0)</f>
        <v>12</v>
      </c>
      <c r="P325" s="44">
        <f>VLOOKUP(F325,[5]Hárok1!$F$4:$S$93,11,0)</f>
        <v>1</v>
      </c>
      <c r="Q325" s="42">
        <f>VLOOKUP(F325,[5]Hárok1!$F$4:$S$93,12,0)</f>
        <v>0</v>
      </c>
      <c r="R325" s="43">
        <f>VLOOKUP(F325,[5]Hárok1!$F$4:$S$93,13,0)</f>
        <v>381</v>
      </c>
      <c r="S325" s="44">
        <f>VLOOKUP(F325,[5]Hárok1!$F$4:$S$93,14,0)</f>
        <v>126</v>
      </c>
      <c r="T325" s="45">
        <f t="shared" si="24"/>
        <v>1273</v>
      </c>
      <c r="U325" s="46">
        <f>VLOOKUP(F325,[5]Hárok1!$F$4:$U$93,16,0)</f>
        <v>262.05</v>
      </c>
      <c r="V325" s="47">
        <f t="shared" si="25"/>
        <v>0</v>
      </c>
      <c r="W325" s="47">
        <f t="shared" si="26"/>
        <v>924</v>
      </c>
      <c r="X325" s="48">
        <f t="shared" si="27"/>
        <v>216</v>
      </c>
      <c r="Y325" s="49">
        <f t="shared" si="28"/>
        <v>2675.05</v>
      </c>
      <c r="Z325" s="50">
        <f t="shared" si="29"/>
        <v>2675</v>
      </c>
    </row>
    <row r="326" spans="1:26" x14ac:dyDescent="0.25">
      <c r="A326" s="29" t="s">
        <v>634</v>
      </c>
      <c r="B326" s="29" t="s">
        <v>79</v>
      </c>
      <c r="C326" s="29" t="s">
        <v>652</v>
      </c>
      <c r="D326" s="29">
        <v>37861298</v>
      </c>
      <c r="E326" s="32" t="s">
        <v>653</v>
      </c>
      <c r="F326" s="29">
        <v>34005153</v>
      </c>
      <c r="G326" s="32" t="s">
        <v>100</v>
      </c>
      <c r="H326" s="32" t="s">
        <v>650</v>
      </c>
      <c r="I326" s="33" t="s">
        <v>752</v>
      </c>
      <c r="J326" s="42">
        <f>VLOOKUP(F326,[5]Hárok1!$F$4:$S$93,5,0)</f>
        <v>5</v>
      </c>
      <c r="K326" s="43">
        <f>VLOOKUP(F326,[5]Hárok1!$F$4:$S$93,6,0)</f>
        <v>0</v>
      </c>
      <c r="L326" s="43">
        <f>VLOOKUP(F326,[5]Hárok1!$F$4:$S$93,7,0)</f>
        <v>11</v>
      </c>
      <c r="M326" s="43">
        <f>VLOOKUP(F326,[5]Hárok1!$F$4:$S$93,8,0)</f>
        <v>0</v>
      </c>
      <c r="N326" s="43">
        <f>VLOOKUP(F326,[5]Hárok1!$F$4:$S$93,9,0)</f>
        <v>1</v>
      </c>
      <c r="O326" s="43">
        <f>VLOOKUP(F326,[5]Hárok1!$F$4:$S$93,10,0)</f>
        <v>5</v>
      </c>
      <c r="P326" s="44">
        <f>VLOOKUP(F326,[5]Hárok1!$F$4:$S$93,11,0)</f>
        <v>0</v>
      </c>
      <c r="Q326" s="42">
        <f>VLOOKUP(F326,[5]Hárok1!$F$4:$S$93,12,0)</f>
        <v>45</v>
      </c>
      <c r="R326" s="43">
        <f>VLOOKUP(F326,[5]Hárok1!$F$4:$S$93,13,0)</f>
        <v>79</v>
      </c>
      <c r="S326" s="44">
        <f>VLOOKUP(F326,[5]Hárok1!$F$4:$S$93,14,0)</f>
        <v>0</v>
      </c>
      <c r="T326" s="45">
        <f t="shared" ref="T326:T389" si="30">$T$1*L326</f>
        <v>368.5</v>
      </c>
      <c r="U326" s="46">
        <f>VLOOKUP(F326,[5]Hárok1!$F$4:$U$93,16,0)</f>
        <v>0</v>
      </c>
      <c r="V326" s="47">
        <f t="shared" si="25"/>
        <v>81</v>
      </c>
      <c r="W326" s="47">
        <f t="shared" si="26"/>
        <v>225.5</v>
      </c>
      <c r="X326" s="48">
        <f t="shared" si="27"/>
        <v>0</v>
      </c>
      <c r="Y326" s="49">
        <f t="shared" si="28"/>
        <v>675</v>
      </c>
      <c r="Z326" s="50">
        <f t="shared" si="29"/>
        <v>675</v>
      </c>
    </row>
    <row r="327" spans="1:26" x14ac:dyDescent="0.25">
      <c r="A327" s="29" t="s">
        <v>634</v>
      </c>
      <c r="B327" s="29" t="s">
        <v>79</v>
      </c>
      <c r="C327" s="29" t="s">
        <v>652</v>
      </c>
      <c r="D327" s="29">
        <v>37861298</v>
      </c>
      <c r="E327" s="32" t="s">
        <v>653</v>
      </c>
      <c r="F327" s="29">
        <v>893498</v>
      </c>
      <c r="G327" s="32" t="s">
        <v>402</v>
      </c>
      <c r="H327" s="32" t="s">
        <v>650</v>
      </c>
      <c r="I327" s="33" t="s">
        <v>753</v>
      </c>
      <c r="J327" s="42">
        <f>VLOOKUP(F327,[5]Hárok1!$F$4:$S$93,5,0)</f>
        <v>6</v>
      </c>
      <c r="K327" s="43">
        <f>VLOOKUP(F327,[5]Hárok1!$F$4:$S$93,6,0)</f>
        <v>0</v>
      </c>
      <c r="L327" s="43">
        <f>VLOOKUP(F327,[5]Hárok1!$F$4:$S$93,7,0)</f>
        <v>28</v>
      </c>
      <c r="M327" s="43">
        <f>VLOOKUP(F327,[5]Hárok1!$F$4:$S$93,8,0)</f>
        <v>0</v>
      </c>
      <c r="N327" s="43">
        <f>VLOOKUP(F327,[5]Hárok1!$F$4:$S$93,9,0)</f>
        <v>0</v>
      </c>
      <c r="O327" s="43">
        <f>VLOOKUP(F327,[5]Hárok1!$F$4:$S$93,10,0)</f>
        <v>6</v>
      </c>
      <c r="P327" s="44">
        <f>VLOOKUP(F327,[5]Hárok1!$F$4:$S$93,11,0)</f>
        <v>1</v>
      </c>
      <c r="Q327" s="42">
        <f>VLOOKUP(F327,[5]Hárok1!$F$4:$S$93,12,0)</f>
        <v>0</v>
      </c>
      <c r="R327" s="43">
        <f>VLOOKUP(F327,[5]Hárok1!$F$4:$S$93,13,0)</f>
        <v>132</v>
      </c>
      <c r="S327" s="44">
        <f>VLOOKUP(F327,[5]Hárok1!$F$4:$S$93,14,0)</f>
        <v>50</v>
      </c>
      <c r="T327" s="45">
        <f t="shared" si="30"/>
        <v>938</v>
      </c>
      <c r="U327" s="46">
        <f>VLOOKUP(F327,[5]Hárok1!$F$4:$U$93,16,0)</f>
        <v>211.47</v>
      </c>
      <c r="V327" s="47">
        <f t="shared" ref="V327:V391" si="31">$U$1*N327+$V$1*Q327</f>
        <v>0</v>
      </c>
      <c r="W327" s="47">
        <f t="shared" ref="W327:W391" si="32">$U$1*O327+$W$1*R327</f>
        <v>345</v>
      </c>
      <c r="X327" s="48">
        <f t="shared" ref="X327:X391" si="33">$X$1*P327+$V$1*S327</f>
        <v>102</v>
      </c>
      <c r="Y327" s="49">
        <f t="shared" ref="Y327:Y391" si="34">T327+U327+V327+W327+X327</f>
        <v>1596.47</v>
      </c>
      <c r="Z327" s="50">
        <f t="shared" ref="Z327:Z391" si="35">ROUND(Y327,0)</f>
        <v>1596</v>
      </c>
    </row>
    <row r="328" spans="1:26" x14ac:dyDescent="0.25">
      <c r="A328" s="29" t="s">
        <v>634</v>
      </c>
      <c r="B328" s="29" t="s">
        <v>79</v>
      </c>
      <c r="C328" s="29" t="s">
        <v>652</v>
      </c>
      <c r="D328" s="29">
        <v>37861298</v>
      </c>
      <c r="E328" s="32" t="s">
        <v>653</v>
      </c>
      <c r="F328" s="29">
        <v>159093</v>
      </c>
      <c r="G328" s="32" t="s">
        <v>754</v>
      </c>
      <c r="H328" s="32" t="s">
        <v>650</v>
      </c>
      <c r="I328" s="33" t="s">
        <v>755</v>
      </c>
      <c r="J328" s="42">
        <f>VLOOKUP(F328,[5]Hárok1!$F$4:$S$93,5,0)</f>
        <v>13</v>
      </c>
      <c r="K328" s="43">
        <f>VLOOKUP(F328,[5]Hárok1!$F$4:$S$93,6,0)</f>
        <v>5</v>
      </c>
      <c r="L328" s="43">
        <f>VLOOKUP(F328,[5]Hárok1!$F$4:$S$93,7,0)</f>
        <v>66</v>
      </c>
      <c r="M328" s="43">
        <f>VLOOKUP(F328,[5]Hárok1!$F$4:$S$93,8,0)</f>
        <v>12</v>
      </c>
      <c r="N328" s="43">
        <f>VLOOKUP(F328,[5]Hárok1!$F$4:$S$93,9,0)</f>
        <v>12</v>
      </c>
      <c r="O328" s="43">
        <f>VLOOKUP(F328,[5]Hárok1!$F$4:$S$93,10,0)</f>
        <v>18</v>
      </c>
      <c r="P328" s="44">
        <f>VLOOKUP(F328,[5]Hárok1!$F$4:$S$93,11,0)</f>
        <v>2</v>
      </c>
      <c r="Q328" s="42">
        <f>VLOOKUP(F328,[5]Hárok1!$F$4:$S$93,12,0)</f>
        <v>91</v>
      </c>
      <c r="R328" s="43">
        <f>VLOOKUP(F328,[5]Hárok1!$F$4:$S$93,13,0)</f>
        <v>345</v>
      </c>
      <c r="S328" s="44">
        <f>VLOOKUP(F328,[5]Hárok1!$F$4:$S$93,14,0)</f>
        <v>96</v>
      </c>
      <c r="T328" s="45">
        <f t="shared" si="30"/>
        <v>2211</v>
      </c>
      <c r="U328" s="46">
        <f>VLOOKUP(F328,[5]Hárok1!$F$4:$U$93,16,0)</f>
        <v>519.83000000000004</v>
      </c>
      <c r="V328" s="47">
        <f t="shared" si="31"/>
        <v>298.5</v>
      </c>
      <c r="W328" s="47">
        <f t="shared" si="32"/>
        <v>933</v>
      </c>
      <c r="X328" s="48">
        <f t="shared" si="33"/>
        <v>198</v>
      </c>
      <c r="Y328" s="49">
        <f t="shared" si="34"/>
        <v>4160.33</v>
      </c>
      <c r="Z328" s="50">
        <f t="shared" si="35"/>
        <v>4160</v>
      </c>
    </row>
    <row r="329" spans="1:26" x14ac:dyDescent="0.25">
      <c r="A329" s="29" t="s">
        <v>634</v>
      </c>
      <c r="B329" s="29" t="s">
        <v>79</v>
      </c>
      <c r="C329" s="29" t="s">
        <v>652</v>
      </c>
      <c r="D329" s="29">
        <v>37861298</v>
      </c>
      <c r="E329" s="32" t="s">
        <v>653</v>
      </c>
      <c r="F329" s="29">
        <v>893129</v>
      </c>
      <c r="G329" s="32" t="s">
        <v>154</v>
      </c>
      <c r="H329" s="32" t="s">
        <v>650</v>
      </c>
      <c r="I329" s="33" t="s">
        <v>756</v>
      </c>
      <c r="J329" s="42">
        <f>VLOOKUP(F329,[5]Hárok1!$F$4:$S$93,5,0)</f>
        <v>7</v>
      </c>
      <c r="K329" s="43">
        <f>VLOOKUP(F329,[5]Hárok1!$F$4:$S$93,6,0)</f>
        <v>0</v>
      </c>
      <c r="L329" s="43">
        <f>VLOOKUP(F329,[5]Hárok1!$F$4:$S$93,7,0)</f>
        <v>19</v>
      </c>
      <c r="M329" s="43">
        <f>VLOOKUP(F329,[5]Hárok1!$F$4:$S$93,8,0)</f>
        <v>0</v>
      </c>
      <c r="N329" s="43">
        <f>VLOOKUP(F329,[5]Hárok1!$F$4:$S$93,9,0)</f>
        <v>0</v>
      </c>
      <c r="O329" s="43">
        <f>VLOOKUP(F329,[5]Hárok1!$F$4:$S$93,10,0)</f>
        <v>11</v>
      </c>
      <c r="P329" s="44">
        <f>VLOOKUP(F329,[5]Hárok1!$F$4:$S$93,11,0)</f>
        <v>0</v>
      </c>
      <c r="Q329" s="42">
        <f>VLOOKUP(F329,[5]Hárok1!$F$4:$S$93,12,0)</f>
        <v>0</v>
      </c>
      <c r="R329" s="43">
        <f>VLOOKUP(F329,[5]Hárok1!$F$4:$S$93,13,0)</f>
        <v>89</v>
      </c>
      <c r="S329" s="44">
        <f>VLOOKUP(F329,[5]Hárok1!$F$4:$S$93,14,0)</f>
        <v>0</v>
      </c>
      <c r="T329" s="45">
        <f t="shared" si="30"/>
        <v>636.5</v>
      </c>
      <c r="U329" s="46">
        <f>VLOOKUP(F329,[5]Hárok1!$F$4:$U$93,16,0)</f>
        <v>6.8</v>
      </c>
      <c r="V329" s="47">
        <f t="shared" si="31"/>
        <v>0</v>
      </c>
      <c r="W329" s="47">
        <f t="shared" si="32"/>
        <v>326.5</v>
      </c>
      <c r="X329" s="48">
        <f t="shared" si="33"/>
        <v>0</v>
      </c>
      <c r="Y329" s="49">
        <f t="shared" si="34"/>
        <v>969.8</v>
      </c>
      <c r="Z329" s="50">
        <f t="shared" si="35"/>
        <v>970</v>
      </c>
    </row>
    <row r="330" spans="1:26" x14ac:dyDescent="0.25">
      <c r="A330" s="78" t="s">
        <v>634</v>
      </c>
      <c r="B330" s="79" t="s">
        <v>177</v>
      </c>
      <c r="C330" s="79" t="s">
        <v>757</v>
      </c>
      <c r="D330" s="79">
        <v>308994</v>
      </c>
      <c r="E330" s="80" t="s">
        <v>758</v>
      </c>
      <c r="F330" s="79">
        <v>37863932</v>
      </c>
      <c r="G330" s="80" t="s">
        <v>759</v>
      </c>
      <c r="H330" s="80" t="s">
        <v>760</v>
      </c>
      <c r="I330" s="81" t="s">
        <v>761</v>
      </c>
      <c r="J330" s="42">
        <f>VLOOKUP(F330,[5]Hárok1!$F$4:$S$93,5,0)</f>
        <v>1</v>
      </c>
      <c r="K330" s="43">
        <f>VLOOKUP(F330,[5]Hárok1!$F$4:$S$93,6,0)</f>
        <v>0</v>
      </c>
      <c r="L330" s="43">
        <f>VLOOKUP(F330,[5]Hárok1!$F$4:$S$93,7,0)</f>
        <v>2</v>
      </c>
      <c r="M330" s="43">
        <f>VLOOKUP(F330,[5]Hárok1!$F$4:$S$93,8,0)</f>
        <v>0</v>
      </c>
      <c r="N330" s="43">
        <f>VLOOKUP(F330,[5]Hárok1!$F$4:$S$93,9,0)</f>
        <v>1</v>
      </c>
      <c r="O330" s="43">
        <f>VLOOKUP(F330,[5]Hárok1!$F$4:$S$93,10,0)</f>
        <v>0</v>
      </c>
      <c r="P330" s="44">
        <f>VLOOKUP(F330,[5]Hárok1!$F$4:$S$93,11,0)</f>
        <v>0</v>
      </c>
      <c r="Q330" s="42">
        <f>VLOOKUP(F330,[5]Hárok1!$F$4:$S$93,12,0)</f>
        <v>19</v>
      </c>
      <c r="R330" s="43">
        <f>VLOOKUP(F330,[5]Hárok1!$F$4:$S$93,13,0)</f>
        <v>0</v>
      </c>
      <c r="S330" s="44">
        <f>VLOOKUP(F330,[5]Hárok1!$F$4:$S$93,14,0)</f>
        <v>0</v>
      </c>
      <c r="T330" s="45">
        <f t="shared" si="30"/>
        <v>67</v>
      </c>
      <c r="U330" s="46">
        <f>VLOOKUP(F330,[5]Hárok1!$F$4:$U$93,16,0)</f>
        <v>0</v>
      </c>
      <c r="V330" s="47">
        <f t="shared" si="31"/>
        <v>42</v>
      </c>
      <c r="W330" s="47">
        <f t="shared" si="32"/>
        <v>0</v>
      </c>
      <c r="X330" s="48">
        <f t="shared" si="33"/>
        <v>0</v>
      </c>
      <c r="Y330" s="49">
        <f t="shared" si="34"/>
        <v>109</v>
      </c>
      <c r="Z330" s="50">
        <f t="shared" si="35"/>
        <v>109</v>
      </c>
    </row>
    <row r="331" spans="1:26" x14ac:dyDescent="0.25">
      <c r="A331" s="29" t="s">
        <v>634</v>
      </c>
      <c r="B331" s="29" t="s">
        <v>181</v>
      </c>
      <c r="C331" s="29" t="s">
        <v>762</v>
      </c>
      <c r="D331" s="29">
        <v>35593008</v>
      </c>
      <c r="E331" s="32" t="s">
        <v>763</v>
      </c>
      <c r="F331" s="29">
        <v>52089291</v>
      </c>
      <c r="G331" s="32" t="s">
        <v>764</v>
      </c>
      <c r="H331" s="32" t="s">
        <v>568</v>
      </c>
      <c r="I331" s="33" t="s">
        <v>765</v>
      </c>
      <c r="J331" s="42">
        <f>VLOOKUP(F331,[5]Hárok1!$F$4:$S$93,5,0)</f>
        <v>1</v>
      </c>
      <c r="K331" s="43">
        <f>VLOOKUP(F331,[5]Hárok1!$F$4:$S$93,6,0)</f>
        <v>0</v>
      </c>
      <c r="L331" s="43">
        <f>VLOOKUP(F331,[5]Hárok1!$F$4:$S$93,7,0)</f>
        <v>7</v>
      </c>
      <c r="M331" s="43">
        <f>VLOOKUP(F331,[5]Hárok1!$F$4:$S$93,8,0)</f>
        <v>0</v>
      </c>
      <c r="N331" s="43">
        <f>VLOOKUP(F331,[5]Hárok1!$F$4:$S$93,9,0)</f>
        <v>0</v>
      </c>
      <c r="O331" s="43">
        <f>VLOOKUP(F331,[5]Hárok1!$F$4:$S$93,10,0)</f>
        <v>2</v>
      </c>
      <c r="P331" s="44">
        <f>VLOOKUP(F331,[5]Hárok1!$F$4:$S$93,11,0)</f>
        <v>0</v>
      </c>
      <c r="Q331" s="42">
        <f>VLOOKUP(F331,[5]Hárok1!$F$4:$S$93,12,0)</f>
        <v>0</v>
      </c>
      <c r="R331" s="43">
        <f>VLOOKUP(F331,[5]Hárok1!$F$4:$S$93,13,0)</f>
        <v>80</v>
      </c>
      <c r="S331" s="44">
        <f>VLOOKUP(F331,[5]Hárok1!$F$4:$S$93,14,0)</f>
        <v>0</v>
      </c>
      <c r="T331" s="45">
        <f t="shared" si="30"/>
        <v>234.5</v>
      </c>
      <c r="U331" s="46">
        <f>VLOOKUP(F331,[5]Hárok1!$F$4:$U$93,16,0)</f>
        <v>0</v>
      </c>
      <c r="V331" s="47">
        <f t="shared" si="31"/>
        <v>0</v>
      </c>
      <c r="W331" s="47">
        <f t="shared" si="32"/>
        <v>187</v>
      </c>
      <c r="X331" s="48">
        <f t="shared" si="33"/>
        <v>0</v>
      </c>
      <c r="Y331" s="49">
        <f t="shared" si="34"/>
        <v>421.5</v>
      </c>
      <c r="Z331" s="50">
        <f t="shared" si="35"/>
        <v>422</v>
      </c>
    </row>
    <row r="332" spans="1:26" x14ac:dyDescent="0.25">
      <c r="A332" s="29" t="s">
        <v>634</v>
      </c>
      <c r="B332" s="29" t="s">
        <v>181</v>
      </c>
      <c r="C332" s="29" t="s">
        <v>766</v>
      </c>
      <c r="D332" s="29">
        <v>586315</v>
      </c>
      <c r="E332" s="32" t="s">
        <v>767</v>
      </c>
      <c r="F332" s="29">
        <v>31824986</v>
      </c>
      <c r="G332" s="32" t="s">
        <v>768</v>
      </c>
      <c r="H332" s="32" t="s">
        <v>643</v>
      </c>
      <c r="I332" s="33" t="s">
        <v>769</v>
      </c>
      <c r="J332" s="42">
        <f>VLOOKUP(F332,[5]Hárok1!$F$4:$S$93,5,0)</f>
        <v>18</v>
      </c>
      <c r="K332" s="43">
        <f>VLOOKUP(F332,[5]Hárok1!$F$4:$S$93,6,0)</f>
        <v>0</v>
      </c>
      <c r="L332" s="43">
        <f>VLOOKUP(F332,[5]Hárok1!$F$4:$S$93,7,0)</f>
        <v>53</v>
      </c>
      <c r="M332" s="43">
        <f>VLOOKUP(F332,[5]Hárok1!$F$4:$S$93,8,0)</f>
        <v>0</v>
      </c>
      <c r="N332" s="43">
        <f>VLOOKUP(F332,[5]Hárok1!$F$4:$S$93,9,0)</f>
        <v>0</v>
      </c>
      <c r="O332" s="43">
        <f>VLOOKUP(F332,[5]Hárok1!$F$4:$S$93,10,0)</f>
        <v>20</v>
      </c>
      <c r="P332" s="44">
        <f>VLOOKUP(F332,[5]Hárok1!$F$4:$S$93,11,0)</f>
        <v>1</v>
      </c>
      <c r="Q332" s="42">
        <f>VLOOKUP(F332,[5]Hárok1!$F$4:$S$93,12,0)</f>
        <v>0</v>
      </c>
      <c r="R332" s="43">
        <f>VLOOKUP(F332,[5]Hárok1!$F$4:$S$93,13,0)</f>
        <v>471</v>
      </c>
      <c r="S332" s="44">
        <f>VLOOKUP(F332,[5]Hárok1!$F$4:$S$93,14,0)</f>
        <v>122</v>
      </c>
      <c r="T332" s="45">
        <f t="shared" si="30"/>
        <v>1775.5</v>
      </c>
      <c r="U332" s="46">
        <f>VLOOKUP(F332,[5]Hárok1!$F$4:$U$93,16,0)</f>
        <v>0</v>
      </c>
      <c r="V332" s="47">
        <f t="shared" si="31"/>
        <v>0</v>
      </c>
      <c r="W332" s="47">
        <f t="shared" si="32"/>
        <v>1212</v>
      </c>
      <c r="X332" s="48">
        <f t="shared" si="33"/>
        <v>210</v>
      </c>
      <c r="Y332" s="49">
        <f t="shared" si="34"/>
        <v>3197.5</v>
      </c>
      <c r="Z332" s="50">
        <f t="shared" si="35"/>
        <v>3198</v>
      </c>
    </row>
    <row r="333" spans="1:26" x14ac:dyDescent="0.25">
      <c r="A333" s="29" t="s">
        <v>634</v>
      </c>
      <c r="B333" s="29" t="s">
        <v>181</v>
      </c>
      <c r="C333" s="29" t="s">
        <v>762</v>
      </c>
      <c r="D333" s="29">
        <v>35593008</v>
      </c>
      <c r="E333" s="32" t="s">
        <v>763</v>
      </c>
      <c r="F333" s="29">
        <v>17055351</v>
      </c>
      <c r="G333" s="32" t="s">
        <v>770</v>
      </c>
      <c r="H333" s="32" t="s">
        <v>643</v>
      </c>
      <c r="I333" s="33" t="s">
        <v>771</v>
      </c>
      <c r="J333" s="42">
        <f>VLOOKUP(F333,[5]Hárok1!$F$4:$S$93,5,0)</f>
        <v>14</v>
      </c>
      <c r="K333" s="43">
        <f>VLOOKUP(F333,[5]Hárok1!$F$4:$S$93,6,0)</f>
        <v>0</v>
      </c>
      <c r="L333" s="43">
        <f>VLOOKUP(F333,[5]Hárok1!$F$4:$S$93,7,0)</f>
        <v>49</v>
      </c>
      <c r="M333" s="43">
        <f>VLOOKUP(F333,[5]Hárok1!$F$4:$S$93,8,0)</f>
        <v>0</v>
      </c>
      <c r="N333" s="43">
        <f>VLOOKUP(F333,[5]Hárok1!$F$4:$S$93,9,0)</f>
        <v>1</v>
      </c>
      <c r="O333" s="43">
        <f>VLOOKUP(F333,[5]Hárok1!$F$4:$S$93,10,0)</f>
        <v>15</v>
      </c>
      <c r="P333" s="44">
        <f>VLOOKUP(F333,[5]Hárok1!$F$4:$S$93,11,0)</f>
        <v>1</v>
      </c>
      <c r="Q333" s="42">
        <f>VLOOKUP(F333,[5]Hárok1!$F$4:$S$93,12,0)</f>
        <v>7</v>
      </c>
      <c r="R333" s="43">
        <f>VLOOKUP(F333,[5]Hárok1!$F$4:$S$93,13,0)</f>
        <v>597</v>
      </c>
      <c r="S333" s="44">
        <f>VLOOKUP(F333,[5]Hárok1!$F$4:$S$93,14,0)</f>
        <v>160</v>
      </c>
      <c r="T333" s="45">
        <f t="shared" si="30"/>
        <v>1641.5</v>
      </c>
      <c r="U333" s="46">
        <f>VLOOKUP(F333,[5]Hárok1!$F$4:$U$93,16,0)</f>
        <v>0</v>
      </c>
      <c r="V333" s="47">
        <f t="shared" si="31"/>
        <v>24</v>
      </c>
      <c r="W333" s="47">
        <f t="shared" si="32"/>
        <v>1396.5</v>
      </c>
      <c r="X333" s="48">
        <f t="shared" si="33"/>
        <v>267</v>
      </c>
      <c r="Y333" s="49">
        <f t="shared" si="34"/>
        <v>3329</v>
      </c>
      <c r="Z333" s="50">
        <f t="shared" si="35"/>
        <v>3329</v>
      </c>
    </row>
    <row r="334" spans="1:26" x14ac:dyDescent="0.25">
      <c r="A334" s="29" t="s">
        <v>634</v>
      </c>
      <c r="B334" s="29" t="s">
        <v>181</v>
      </c>
      <c r="C334" s="29" t="s">
        <v>766</v>
      </c>
      <c r="D334" s="29">
        <v>586315</v>
      </c>
      <c r="E334" s="32" t="s">
        <v>767</v>
      </c>
      <c r="F334" s="29">
        <v>35662867</v>
      </c>
      <c r="G334" s="32" t="s">
        <v>772</v>
      </c>
      <c r="H334" s="32" t="s">
        <v>549</v>
      </c>
      <c r="I334" s="33" t="s">
        <v>773</v>
      </c>
      <c r="J334" s="42">
        <f>VLOOKUP(F334,[5]Hárok1!$F$4:$S$93,5,0)</f>
        <v>16</v>
      </c>
      <c r="K334" s="43">
        <f>VLOOKUP(F334,[5]Hárok1!$F$4:$S$93,6,0)</f>
        <v>0</v>
      </c>
      <c r="L334" s="43">
        <f>VLOOKUP(F334,[5]Hárok1!$F$4:$S$93,7,0)</f>
        <v>48</v>
      </c>
      <c r="M334" s="43">
        <f>VLOOKUP(F334,[5]Hárok1!$F$4:$S$93,8,0)</f>
        <v>0</v>
      </c>
      <c r="N334" s="43">
        <f>VLOOKUP(F334,[5]Hárok1!$F$4:$S$93,9,0)</f>
        <v>1</v>
      </c>
      <c r="O334" s="43">
        <f>VLOOKUP(F334,[5]Hárok1!$F$4:$S$93,10,0)</f>
        <v>16</v>
      </c>
      <c r="P334" s="44">
        <f>VLOOKUP(F334,[5]Hárok1!$F$4:$S$93,11,0)</f>
        <v>0</v>
      </c>
      <c r="Q334" s="42">
        <f>VLOOKUP(F334,[5]Hárok1!$F$4:$S$93,12,0)</f>
        <v>2</v>
      </c>
      <c r="R334" s="43">
        <f>VLOOKUP(F334,[5]Hárok1!$F$4:$S$93,13,0)</f>
        <v>475</v>
      </c>
      <c r="S334" s="44">
        <f>VLOOKUP(F334,[5]Hárok1!$F$4:$S$93,14,0)</f>
        <v>0</v>
      </c>
      <c r="T334" s="45">
        <f t="shared" si="30"/>
        <v>1608</v>
      </c>
      <c r="U334" s="46">
        <f>VLOOKUP(F334,[5]Hárok1!$F$4:$U$93,16,0)</f>
        <v>309.5</v>
      </c>
      <c r="V334" s="47">
        <f t="shared" si="31"/>
        <v>16.5</v>
      </c>
      <c r="W334" s="47">
        <f t="shared" si="32"/>
        <v>1166</v>
      </c>
      <c r="X334" s="48">
        <f t="shared" si="33"/>
        <v>0</v>
      </c>
      <c r="Y334" s="49">
        <f t="shared" si="34"/>
        <v>3100</v>
      </c>
      <c r="Z334" s="50">
        <f t="shared" si="35"/>
        <v>3100</v>
      </c>
    </row>
    <row r="335" spans="1:26" x14ac:dyDescent="0.25">
      <c r="A335" s="29" t="s">
        <v>634</v>
      </c>
      <c r="B335" s="29" t="s">
        <v>181</v>
      </c>
      <c r="C335" s="29" t="s">
        <v>774</v>
      </c>
      <c r="D335" s="29">
        <v>179191</v>
      </c>
      <c r="E335" s="32" t="s">
        <v>775</v>
      </c>
      <c r="F335" s="29">
        <v>54023998</v>
      </c>
      <c r="G335" s="32" t="s">
        <v>776</v>
      </c>
      <c r="H335" s="32" t="s">
        <v>777</v>
      </c>
      <c r="I335" s="33" t="s">
        <v>778</v>
      </c>
      <c r="J335" s="42">
        <f>VLOOKUP(F335,[5]Hárok1!$F$4:$S$93,5,0)</f>
        <v>6</v>
      </c>
      <c r="K335" s="43">
        <f>VLOOKUP(F335,[5]Hárok1!$F$4:$S$93,6,0)</f>
        <v>0</v>
      </c>
      <c r="L335" s="43">
        <f>VLOOKUP(F335,[5]Hárok1!$F$4:$S$93,7,0)</f>
        <v>9</v>
      </c>
      <c r="M335" s="43">
        <f>VLOOKUP(F335,[5]Hárok1!$F$4:$S$93,8,0)</f>
        <v>0</v>
      </c>
      <c r="N335" s="43">
        <f>VLOOKUP(F335,[5]Hárok1!$F$4:$S$93,9,0)</f>
        <v>2</v>
      </c>
      <c r="O335" s="43">
        <f>VLOOKUP(F335,[5]Hárok1!$F$4:$S$93,10,0)</f>
        <v>7</v>
      </c>
      <c r="P335" s="44">
        <f>VLOOKUP(F335,[5]Hárok1!$F$4:$S$93,11,0)</f>
        <v>0</v>
      </c>
      <c r="Q335" s="42">
        <f>VLOOKUP(F335,[5]Hárok1!$F$4:$S$93,12,0)</f>
        <v>22</v>
      </c>
      <c r="R335" s="43">
        <f>VLOOKUP(F335,[5]Hárok1!$F$4:$S$93,13,0)</f>
        <v>47</v>
      </c>
      <c r="S335" s="44">
        <f>VLOOKUP(F335,[5]Hárok1!$F$4:$S$93,14,0)</f>
        <v>0</v>
      </c>
      <c r="T335" s="45">
        <f t="shared" si="30"/>
        <v>301.5</v>
      </c>
      <c r="U335" s="46">
        <f>VLOOKUP(F335,[5]Hárok1!$F$4:$U$93,16,0)</f>
        <v>40.4</v>
      </c>
      <c r="V335" s="47">
        <f t="shared" si="31"/>
        <v>60</v>
      </c>
      <c r="W335" s="47">
        <f t="shared" si="32"/>
        <v>188.5</v>
      </c>
      <c r="X335" s="48">
        <f t="shared" si="33"/>
        <v>0</v>
      </c>
      <c r="Y335" s="49">
        <f t="shared" si="34"/>
        <v>590.4</v>
      </c>
      <c r="Z335" s="50">
        <f t="shared" si="35"/>
        <v>590</v>
      </c>
    </row>
    <row r="336" spans="1:26" x14ac:dyDescent="0.25">
      <c r="A336" s="29" t="s">
        <v>634</v>
      </c>
      <c r="B336" s="29" t="s">
        <v>181</v>
      </c>
      <c r="C336" s="29" t="s">
        <v>762</v>
      </c>
      <c r="D336" s="29">
        <v>35593008</v>
      </c>
      <c r="E336" s="32" t="s">
        <v>763</v>
      </c>
      <c r="F336" s="29">
        <v>607355</v>
      </c>
      <c r="G336" s="32" t="s">
        <v>779</v>
      </c>
      <c r="H336" s="32" t="s">
        <v>648</v>
      </c>
      <c r="I336" s="33" t="s">
        <v>780</v>
      </c>
      <c r="J336" s="42">
        <f>VLOOKUP(F336,[5]Hárok1!$F$4:$S$93,5,0)</f>
        <v>4</v>
      </c>
      <c r="K336" s="43">
        <f>VLOOKUP(F336,[5]Hárok1!$F$4:$S$93,6,0)</f>
        <v>0</v>
      </c>
      <c r="L336" s="43">
        <f>VLOOKUP(F336,[5]Hárok1!$F$4:$S$93,7,0)</f>
        <v>22</v>
      </c>
      <c r="M336" s="43">
        <f>VLOOKUP(F336,[5]Hárok1!$F$4:$S$93,8,0)</f>
        <v>0</v>
      </c>
      <c r="N336" s="43">
        <f>VLOOKUP(F336,[5]Hárok1!$F$4:$S$93,9,0)</f>
        <v>0</v>
      </c>
      <c r="O336" s="43">
        <f>VLOOKUP(F336,[5]Hárok1!$F$4:$S$93,10,0)</f>
        <v>7</v>
      </c>
      <c r="P336" s="44">
        <f>VLOOKUP(F336,[5]Hárok1!$F$4:$S$93,11,0)</f>
        <v>0</v>
      </c>
      <c r="Q336" s="42">
        <f>VLOOKUP(F336,[5]Hárok1!$F$4:$S$93,12,0)</f>
        <v>0</v>
      </c>
      <c r="R336" s="43">
        <f>VLOOKUP(F336,[5]Hárok1!$F$4:$S$93,13,0)</f>
        <v>203</v>
      </c>
      <c r="S336" s="44">
        <f>VLOOKUP(F336,[5]Hárok1!$F$4:$S$93,14,0)</f>
        <v>0</v>
      </c>
      <c r="T336" s="45">
        <f t="shared" si="30"/>
        <v>737</v>
      </c>
      <c r="U336" s="46">
        <f>VLOOKUP(F336,[5]Hárok1!$F$4:$U$93,16,0)</f>
        <v>1386.96</v>
      </c>
      <c r="V336" s="47">
        <f t="shared" si="31"/>
        <v>0</v>
      </c>
      <c r="W336" s="47">
        <f t="shared" si="32"/>
        <v>500.5</v>
      </c>
      <c r="X336" s="48">
        <f t="shared" si="33"/>
        <v>0</v>
      </c>
      <c r="Y336" s="49">
        <f t="shared" si="34"/>
        <v>2624.46</v>
      </c>
      <c r="Z336" s="50">
        <f t="shared" si="35"/>
        <v>2624</v>
      </c>
    </row>
    <row r="337" spans="1:26" x14ac:dyDescent="0.25">
      <c r="A337" s="29" t="s">
        <v>634</v>
      </c>
      <c r="B337" s="29" t="s">
        <v>181</v>
      </c>
      <c r="C337" s="29" t="s">
        <v>766</v>
      </c>
      <c r="D337" s="29">
        <v>586315</v>
      </c>
      <c r="E337" s="32" t="s">
        <v>767</v>
      </c>
      <c r="F337" s="29">
        <v>588024</v>
      </c>
      <c r="G337" s="32" t="s">
        <v>781</v>
      </c>
      <c r="H337" s="32" t="s">
        <v>556</v>
      </c>
      <c r="I337" s="33" t="s">
        <v>782</v>
      </c>
      <c r="J337" s="42">
        <f>VLOOKUP(F337,[5]Hárok1!$F$4:$S$93,5,0)</f>
        <v>13</v>
      </c>
      <c r="K337" s="43">
        <f>VLOOKUP(F337,[5]Hárok1!$F$4:$S$93,6,0)</f>
        <v>0</v>
      </c>
      <c r="L337" s="43">
        <f>VLOOKUP(F337,[5]Hárok1!$F$4:$S$93,7,0)</f>
        <v>38</v>
      </c>
      <c r="M337" s="43">
        <f>VLOOKUP(F337,[5]Hárok1!$F$4:$S$93,8,0)</f>
        <v>0</v>
      </c>
      <c r="N337" s="43">
        <f>VLOOKUP(F337,[5]Hárok1!$F$4:$S$93,9,0)</f>
        <v>0</v>
      </c>
      <c r="O337" s="43">
        <f>VLOOKUP(F337,[5]Hárok1!$F$4:$S$93,10,0)</f>
        <v>12</v>
      </c>
      <c r="P337" s="44">
        <f>VLOOKUP(F337,[5]Hárok1!$F$4:$S$93,11,0)</f>
        <v>1</v>
      </c>
      <c r="Q337" s="42">
        <f>VLOOKUP(F337,[5]Hárok1!$F$4:$S$93,12,0)</f>
        <v>0</v>
      </c>
      <c r="R337" s="43">
        <f>VLOOKUP(F337,[5]Hárok1!$F$4:$S$93,13,0)</f>
        <v>334</v>
      </c>
      <c r="S337" s="44">
        <f>VLOOKUP(F337,[5]Hárok1!$F$4:$S$93,14,0)</f>
        <v>103</v>
      </c>
      <c r="T337" s="45">
        <f t="shared" si="30"/>
        <v>1273</v>
      </c>
      <c r="U337" s="46">
        <f>VLOOKUP(F337,[5]Hárok1!$F$4:$U$93,16,0)</f>
        <v>262.89999999999998</v>
      </c>
      <c r="V337" s="47">
        <f t="shared" si="31"/>
        <v>0</v>
      </c>
      <c r="W337" s="47">
        <f t="shared" si="32"/>
        <v>830</v>
      </c>
      <c r="X337" s="48">
        <f t="shared" si="33"/>
        <v>181.5</v>
      </c>
      <c r="Y337" s="49">
        <f t="shared" si="34"/>
        <v>2547.4</v>
      </c>
      <c r="Z337" s="50">
        <f t="shared" si="35"/>
        <v>2547</v>
      </c>
    </row>
    <row r="338" spans="1:26" x14ac:dyDescent="0.25">
      <c r="A338" s="29" t="s">
        <v>634</v>
      </c>
      <c r="B338" s="29" t="s">
        <v>181</v>
      </c>
      <c r="C338" s="29" t="s">
        <v>762</v>
      </c>
      <c r="D338" s="29">
        <v>35593008</v>
      </c>
      <c r="E338" s="32" t="s">
        <v>763</v>
      </c>
      <c r="F338" s="29">
        <v>42014891</v>
      </c>
      <c r="G338" s="32" t="s">
        <v>783</v>
      </c>
      <c r="H338" s="32" t="s">
        <v>556</v>
      </c>
      <c r="I338" s="33" t="s">
        <v>784</v>
      </c>
      <c r="J338" s="42">
        <f>VLOOKUP(F338,[5]Hárok1!$F$4:$S$93,5,0)</f>
        <v>5</v>
      </c>
      <c r="K338" s="43">
        <f>VLOOKUP(F338,[5]Hárok1!$F$4:$S$93,6,0)</f>
        <v>0</v>
      </c>
      <c r="L338" s="43">
        <f>VLOOKUP(F338,[5]Hárok1!$F$4:$S$93,7,0)</f>
        <v>22</v>
      </c>
      <c r="M338" s="43">
        <f>VLOOKUP(F338,[5]Hárok1!$F$4:$S$93,8,0)</f>
        <v>0</v>
      </c>
      <c r="N338" s="43">
        <f>VLOOKUP(F338,[5]Hárok1!$F$4:$S$93,9,0)</f>
        <v>0</v>
      </c>
      <c r="O338" s="43">
        <f>VLOOKUP(F338,[5]Hárok1!$F$4:$S$93,10,0)</f>
        <v>6</v>
      </c>
      <c r="P338" s="44">
        <f>VLOOKUP(F338,[5]Hárok1!$F$4:$S$93,11,0)</f>
        <v>1</v>
      </c>
      <c r="Q338" s="42">
        <f>VLOOKUP(F338,[5]Hárok1!$F$4:$S$93,12,0)</f>
        <v>0</v>
      </c>
      <c r="R338" s="43">
        <f>VLOOKUP(F338,[5]Hárok1!$F$4:$S$93,13,0)</f>
        <v>177</v>
      </c>
      <c r="S338" s="44">
        <f>VLOOKUP(F338,[5]Hárok1!$F$4:$S$93,14,0)</f>
        <v>84</v>
      </c>
      <c r="T338" s="45">
        <f t="shared" si="30"/>
        <v>737</v>
      </c>
      <c r="U338" s="46">
        <f>VLOOKUP(F338,[5]Hárok1!$F$4:$U$93,16,0)</f>
        <v>0</v>
      </c>
      <c r="V338" s="47">
        <f t="shared" si="31"/>
        <v>0</v>
      </c>
      <c r="W338" s="47">
        <f t="shared" si="32"/>
        <v>435</v>
      </c>
      <c r="X338" s="48">
        <f t="shared" si="33"/>
        <v>153</v>
      </c>
      <c r="Y338" s="49">
        <f t="shared" si="34"/>
        <v>1325</v>
      </c>
      <c r="Z338" s="50">
        <f t="shared" si="35"/>
        <v>1325</v>
      </c>
    </row>
    <row r="339" spans="1:26" x14ac:dyDescent="0.25">
      <c r="A339" s="82" t="s">
        <v>634</v>
      </c>
      <c r="B339" s="83" t="s">
        <v>226</v>
      </c>
      <c r="C339" s="83" t="s">
        <v>785</v>
      </c>
      <c r="D339" s="83">
        <v>44364652</v>
      </c>
      <c r="E339" s="32" t="s">
        <v>786</v>
      </c>
      <c r="F339" s="83">
        <v>37858131</v>
      </c>
      <c r="G339" s="75" t="s">
        <v>787</v>
      </c>
      <c r="H339" s="75" t="s">
        <v>788</v>
      </c>
      <c r="I339" s="75" t="s">
        <v>789</v>
      </c>
      <c r="J339" s="42">
        <f>VLOOKUP(F339,[5]Hárok1!$F$4:$S$93,5,0)</f>
        <v>0</v>
      </c>
      <c r="K339" s="43">
        <f>VLOOKUP(F339,[5]Hárok1!$F$4:$S$93,6,0)</f>
        <v>6</v>
      </c>
      <c r="L339" s="43">
        <f>VLOOKUP(F339,[5]Hárok1!$F$4:$S$93,7,0)</f>
        <v>0</v>
      </c>
      <c r="M339" s="43">
        <f>VLOOKUP(F339,[5]Hárok1!$F$4:$S$93,8,0)</f>
        <v>13</v>
      </c>
      <c r="N339" s="43">
        <f>VLOOKUP(F339,[5]Hárok1!$F$4:$S$93,9,0)</f>
        <v>4</v>
      </c>
      <c r="O339" s="43">
        <f>VLOOKUP(F339,[5]Hárok1!$F$4:$S$93,10,0)</f>
        <v>6</v>
      </c>
      <c r="P339" s="44">
        <f>VLOOKUP(F339,[5]Hárok1!$F$4:$S$93,11,0)</f>
        <v>1</v>
      </c>
      <c r="Q339" s="42">
        <f>VLOOKUP(F339,[5]Hárok1!$F$4:$S$93,12,0)</f>
        <v>40</v>
      </c>
      <c r="R339" s="43">
        <f>VLOOKUP(F339,[5]Hárok1!$F$4:$S$93,13,0)</f>
        <v>28</v>
      </c>
      <c r="S339" s="44">
        <f>VLOOKUP(F339,[5]Hárok1!$F$4:$S$93,14,0)</f>
        <v>12</v>
      </c>
      <c r="T339" s="45">
        <f t="shared" si="30"/>
        <v>0</v>
      </c>
      <c r="U339" s="46">
        <f>VLOOKUP(F339,[5]Hárok1!$F$4:$U$93,16,0)</f>
        <v>0</v>
      </c>
      <c r="V339" s="47">
        <f t="shared" si="31"/>
        <v>114</v>
      </c>
      <c r="W339" s="47">
        <f t="shared" si="32"/>
        <v>137</v>
      </c>
      <c r="X339" s="48">
        <f t="shared" si="33"/>
        <v>45</v>
      </c>
      <c r="Y339" s="49">
        <f t="shared" si="34"/>
        <v>296</v>
      </c>
      <c r="Z339" s="50">
        <f t="shared" si="35"/>
        <v>296</v>
      </c>
    </row>
    <row r="340" spans="1:26" x14ac:dyDescent="0.25">
      <c r="A340" s="29" t="s">
        <v>634</v>
      </c>
      <c r="B340" s="29" t="s">
        <v>226</v>
      </c>
      <c r="C340" s="29" t="s">
        <v>790</v>
      </c>
      <c r="D340" s="29">
        <v>90000342</v>
      </c>
      <c r="E340" s="32" t="s">
        <v>791</v>
      </c>
      <c r="F340" s="29">
        <v>30022754</v>
      </c>
      <c r="G340" s="32" t="s">
        <v>792</v>
      </c>
      <c r="H340" s="32" t="s">
        <v>399</v>
      </c>
      <c r="I340" s="33" t="s">
        <v>793</v>
      </c>
      <c r="J340" s="42">
        <f>VLOOKUP(F340,[5]Hárok1!$F$4:$S$93,5,0)</f>
        <v>2</v>
      </c>
      <c r="K340" s="43">
        <f>VLOOKUP(F340,[5]Hárok1!$F$4:$S$93,6,0)</f>
        <v>0</v>
      </c>
      <c r="L340" s="43">
        <f>VLOOKUP(F340,[5]Hárok1!$F$4:$S$93,7,0)</f>
        <v>2</v>
      </c>
      <c r="M340" s="43">
        <f>VLOOKUP(F340,[5]Hárok1!$F$4:$S$93,8,0)</f>
        <v>0</v>
      </c>
      <c r="N340" s="43">
        <f>VLOOKUP(F340,[5]Hárok1!$F$4:$S$93,9,0)</f>
        <v>1</v>
      </c>
      <c r="O340" s="43">
        <f>VLOOKUP(F340,[5]Hárok1!$F$4:$S$93,10,0)</f>
        <v>1</v>
      </c>
      <c r="P340" s="44">
        <f>VLOOKUP(F340,[5]Hárok1!$F$4:$S$93,11,0)</f>
        <v>0</v>
      </c>
      <c r="Q340" s="42">
        <f>VLOOKUP(F340,[5]Hárok1!$F$4:$S$93,12,0)</f>
        <v>2</v>
      </c>
      <c r="R340" s="43">
        <f>VLOOKUP(F340,[5]Hárok1!$F$4:$S$93,13,0)</f>
        <v>5</v>
      </c>
      <c r="S340" s="44">
        <f>VLOOKUP(F340,[5]Hárok1!$F$4:$S$93,14,0)</f>
        <v>0</v>
      </c>
      <c r="T340" s="45">
        <f t="shared" si="30"/>
        <v>67</v>
      </c>
      <c r="U340" s="46">
        <f>VLOOKUP(F340,[5]Hárok1!$F$4:$U$93,16,0)</f>
        <v>31.4</v>
      </c>
      <c r="V340" s="47">
        <f t="shared" si="31"/>
        <v>16.5</v>
      </c>
      <c r="W340" s="47">
        <f t="shared" si="32"/>
        <v>23.5</v>
      </c>
      <c r="X340" s="48">
        <f t="shared" si="33"/>
        <v>0</v>
      </c>
      <c r="Y340" s="49">
        <f t="shared" si="34"/>
        <v>138.4</v>
      </c>
      <c r="Z340" s="50">
        <f t="shared" si="35"/>
        <v>138</v>
      </c>
    </row>
    <row r="341" spans="1:26" x14ac:dyDescent="0.25">
      <c r="A341" s="51" t="s">
        <v>634</v>
      </c>
      <c r="B341" s="51" t="s">
        <v>226</v>
      </c>
      <c r="C341" s="51" t="s">
        <v>794</v>
      </c>
      <c r="D341" s="51">
        <v>90000176</v>
      </c>
      <c r="E341" s="32" t="s">
        <v>795</v>
      </c>
      <c r="F341" s="51">
        <v>37966081</v>
      </c>
      <c r="G341" s="32" t="s">
        <v>796</v>
      </c>
      <c r="H341" s="32" t="s">
        <v>797</v>
      </c>
      <c r="I341" s="33" t="s">
        <v>798</v>
      </c>
      <c r="J341" s="42">
        <f>VLOOKUP(F341,[5]Hárok1!$F$4:$S$93,5,0)</f>
        <v>15</v>
      </c>
      <c r="K341" s="43">
        <f>VLOOKUP(F341,[5]Hárok1!$F$4:$S$93,6,0)</f>
        <v>0</v>
      </c>
      <c r="L341" s="43">
        <f>VLOOKUP(F341,[5]Hárok1!$F$4:$S$93,7,0)</f>
        <v>42</v>
      </c>
      <c r="M341" s="43">
        <f>VLOOKUP(F341,[5]Hárok1!$F$4:$S$93,8,0)</f>
        <v>0</v>
      </c>
      <c r="N341" s="43">
        <f>VLOOKUP(F341,[5]Hárok1!$F$4:$S$93,9,0)</f>
        <v>0</v>
      </c>
      <c r="O341" s="43">
        <f>VLOOKUP(F341,[5]Hárok1!$F$4:$S$93,10,0)</f>
        <v>21</v>
      </c>
      <c r="P341" s="44">
        <f>VLOOKUP(F341,[5]Hárok1!$F$4:$S$93,11,0)</f>
        <v>2</v>
      </c>
      <c r="Q341" s="42">
        <f>VLOOKUP(F341,[5]Hárok1!$F$4:$S$93,12,0)</f>
        <v>0</v>
      </c>
      <c r="R341" s="43">
        <f>VLOOKUP(F341,[5]Hárok1!$F$4:$S$93,13,0)</f>
        <v>277</v>
      </c>
      <c r="S341" s="44">
        <f>VLOOKUP(F341,[5]Hárok1!$F$4:$S$93,14,0)</f>
        <v>40</v>
      </c>
      <c r="T341" s="45">
        <f t="shared" si="30"/>
        <v>1407</v>
      </c>
      <c r="U341" s="46">
        <f>VLOOKUP(F341,[5]Hárok1!$F$4:$U$93,16,0)</f>
        <v>443.4</v>
      </c>
      <c r="V341" s="47">
        <f t="shared" si="31"/>
        <v>0</v>
      </c>
      <c r="W341" s="47">
        <f t="shared" si="32"/>
        <v>837.5</v>
      </c>
      <c r="X341" s="48">
        <f t="shared" si="33"/>
        <v>114</v>
      </c>
      <c r="Y341" s="49">
        <f t="shared" si="34"/>
        <v>2801.9</v>
      </c>
      <c r="Z341" s="50">
        <f t="shared" si="35"/>
        <v>2802</v>
      </c>
    </row>
    <row r="342" spans="1:26" x14ac:dyDescent="0.25">
      <c r="A342" s="29" t="s">
        <v>634</v>
      </c>
      <c r="B342" s="29" t="s">
        <v>226</v>
      </c>
      <c r="C342" s="29" t="s">
        <v>794</v>
      </c>
      <c r="D342" s="29">
        <v>90000176</v>
      </c>
      <c r="E342" s="32" t="s">
        <v>795</v>
      </c>
      <c r="F342" s="29">
        <v>52829871</v>
      </c>
      <c r="G342" s="32" t="s">
        <v>799</v>
      </c>
      <c r="H342" s="32" t="s">
        <v>797</v>
      </c>
      <c r="I342" s="33" t="s">
        <v>798</v>
      </c>
      <c r="J342" s="42">
        <f>VLOOKUP(F342,[5]Hárok1!$F$4:$S$93,5,0)</f>
        <v>0</v>
      </c>
      <c r="K342" s="43">
        <f>VLOOKUP(F342,[5]Hárok1!$F$4:$S$93,6,0)</f>
        <v>0</v>
      </c>
      <c r="L342" s="43">
        <f>VLOOKUP(F342,[5]Hárok1!$F$4:$S$93,7,0)</f>
        <v>0</v>
      </c>
      <c r="M342" s="43">
        <f>VLOOKUP(F342,[5]Hárok1!$F$4:$S$93,8,0)</f>
        <v>0</v>
      </c>
      <c r="N342" s="43">
        <f>VLOOKUP(F342,[5]Hárok1!$F$4:$S$93,9,0)</f>
        <v>0</v>
      </c>
      <c r="O342" s="43">
        <f>VLOOKUP(F342,[5]Hárok1!$F$4:$S$93,10,0)</f>
        <v>0</v>
      </c>
      <c r="P342" s="44">
        <f>VLOOKUP(F342,[5]Hárok1!$F$4:$S$93,11,0)</f>
        <v>0</v>
      </c>
      <c r="Q342" s="42">
        <f>VLOOKUP(F342,[5]Hárok1!$F$4:$S$93,12,0)</f>
        <v>0</v>
      </c>
      <c r="R342" s="43">
        <f>VLOOKUP(F342,[5]Hárok1!$F$4:$S$93,13,0)</f>
        <v>0</v>
      </c>
      <c r="S342" s="44">
        <f>VLOOKUP(F342,[5]Hárok1!$F$4:$S$93,14,0)</f>
        <v>0</v>
      </c>
      <c r="T342" s="45">
        <f t="shared" si="30"/>
        <v>0</v>
      </c>
      <c r="U342" s="46">
        <f>VLOOKUP(F342,[5]Hárok1!$F$4:$U$93,16,0)</f>
        <v>0</v>
      </c>
      <c r="V342" s="47">
        <f t="shared" si="31"/>
        <v>0</v>
      </c>
      <c r="W342" s="47">
        <f t="shared" si="32"/>
        <v>0</v>
      </c>
      <c r="X342" s="48">
        <f t="shared" si="33"/>
        <v>0</v>
      </c>
      <c r="Y342" s="49">
        <f t="shared" si="34"/>
        <v>0</v>
      </c>
      <c r="Z342" s="50">
        <f t="shared" si="35"/>
        <v>0</v>
      </c>
    </row>
    <row r="343" spans="1:26" x14ac:dyDescent="0.25">
      <c r="A343" s="29" t="s">
        <v>634</v>
      </c>
      <c r="B343" s="29" t="s">
        <v>226</v>
      </c>
      <c r="C343" s="29" t="s">
        <v>800</v>
      </c>
      <c r="D343" s="29">
        <v>34104691</v>
      </c>
      <c r="E343" s="32" t="s">
        <v>801</v>
      </c>
      <c r="F343" s="29">
        <v>37854950</v>
      </c>
      <c r="G343" s="32" t="s">
        <v>802</v>
      </c>
      <c r="H343" s="32" t="s">
        <v>643</v>
      </c>
      <c r="I343" s="33" t="s">
        <v>803</v>
      </c>
      <c r="J343" s="42">
        <f>VLOOKUP(F343,[5]Hárok1!$F$4:$S$93,5,0)</f>
        <v>3</v>
      </c>
      <c r="K343" s="43">
        <f>VLOOKUP(F343,[5]Hárok1!$F$4:$S$93,6,0)</f>
        <v>0</v>
      </c>
      <c r="L343" s="43">
        <f>VLOOKUP(F343,[5]Hárok1!$F$4:$S$93,7,0)</f>
        <v>10</v>
      </c>
      <c r="M343" s="43">
        <f>VLOOKUP(F343,[5]Hárok1!$F$4:$S$93,8,0)</f>
        <v>0</v>
      </c>
      <c r="N343" s="43">
        <f>VLOOKUP(F343,[5]Hárok1!$F$4:$S$93,9,0)</f>
        <v>0</v>
      </c>
      <c r="O343" s="43">
        <f>VLOOKUP(F343,[5]Hárok1!$F$4:$S$93,10,0)</f>
        <v>6</v>
      </c>
      <c r="P343" s="44">
        <f>VLOOKUP(F343,[5]Hárok1!$F$4:$S$93,11,0)</f>
        <v>0</v>
      </c>
      <c r="Q343" s="42">
        <f>VLOOKUP(F343,[5]Hárok1!$F$4:$S$93,12,0)</f>
        <v>0</v>
      </c>
      <c r="R343" s="43">
        <f>VLOOKUP(F343,[5]Hárok1!$F$4:$S$93,13,0)</f>
        <v>101</v>
      </c>
      <c r="S343" s="44">
        <f>VLOOKUP(F343,[5]Hárok1!$F$4:$S$93,14,0)</f>
        <v>0</v>
      </c>
      <c r="T343" s="45">
        <f t="shared" si="30"/>
        <v>335</v>
      </c>
      <c r="U343" s="46">
        <f>VLOOKUP(F343,[5]Hárok1!$F$4:$U$93,16,0)</f>
        <v>0</v>
      </c>
      <c r="V343" s="47">
        <f t="shared" si="31"/>
        <v>0</v>
      </c>
      <c r="W343" s="47">
        <f t="shared" si="32"/>
        <v>283</v>
      </c>
      <c r="X343" s="48">
        <f t="shared" si="33"/>
        <v>0</v>
      </c>
      <c r="Y343" s="49">
        <f t="shared" si="34"/>
        <v>618</v>
      </c>
      <c r="Z343" s="50">
        <f t="shared" si="35"/>
        <v>618</v>
      </c>
    </row>
    <row r="344" spans="1:26" x14ac:dyDescent="0.25">
      <c r="A344" s="29" t="s">
        <v>634</v>
      </c>
      <c r="B344" s="29" t="s">
        <v>226</v>
      </c>
      <c r="C344" s="29" t="s">
        <v>804</v>
      </c>
      <c r="D344" s="29">
        <v>50172891</v>
      </c>
      <c r="E344" s="32" t="s">
        <v>805</v>
      </c>
      <c r="F344" s="29">
        <v>42124956</v>
      </c>
      <c r="G344" s="32" t="s">
        <v>806</v>
      </c>
      <c r="H344" s="32" t="s">
        <v>643</v>
      </c>
      <c r="I344" s="33" t="s">
        <v>807</v>
      </c>
      <c r="J344" s="42">
        <f>VLOOKUP(F344,[5]Hárok1!$F$4:$S$93,5,0)</f>
        <v>3</v>
      </c>
      <c r="K344" s="43">
        <f>VLOOKUP(F344,[5]Hárok1!$F$4:$S$93,6,0)</f>
        <v>2</v>
      </c>
      <c r="L344" s="43">
        <f>VLOOKUP(F344,[5]Hárok1!$F$4:$S$93,7,0)</f>
        <v>7</v>
      </c>
      <c r="M344" s="43">
        <f>VLOOKUP(F344,[5]Hárok1!$F$4:$S$93,8,0)</f>
        <v>9</v>
      </c>
      <c r="N344" s="43">
        <f>VLOOKUP(F344,[5]Hárok1!$F$4:$S$93,9,0)</f>
        <v>1</v>
      </c>
      <c r="O344" s="43">
        <f>VLOOKUP(F344,[5]Hárok1!$F$4:$S$93,10,0)</f>
        <v>4</v>
      </c>
      <c r="P344" s="44">
        <f>VLOOKUP(F344,[5]Hárok1!$F$4:$S$93,11,0)</f>
        <v>1</v>
      </c>
      <c r="Q344" s="42">
        <f>VLOOKUP(F344,[5]Hárok1!$F$4:$S$93,12,0)</f>
        <v>38</v>
      </c>
      <c r="R344" s="43">
        <f>VLOOKUP(F344,[5]Hárok1!$F$4:$S$93,13,0)</f>
        <v>81</v>
      </c>
      <c r="S344" s="44">
        <f>VLOOKUP(F344,[5]Hárok1!$F$4:$S$93,14,0)</f>
        <v>38</v>
      </c>
      <c r="T344" s="45">
        <f t="shared" si="30"/>
        <v>234.5</v>
      </c>
      <c r="U344" s="46">
        <f>VLOOKUP(F344,[5]Hárok1!$F$4:$U$93,16,0)</f>
        <v>0</v>
      </c>
      <c r="V344" s="47">
        <f t="shared" si="31"/>
        <v>70.5</v>
      </c>
      <c r="W344" s="47">
        <f t="shared" si="32"/>
        <v>216</v>
      </c>
      <c r="X344" s="48">
        <f t="shared" si="33"/>
        <v>84</v>
      </c>
      <c r="Y344" s="49">
        <f t="shared" si="34"/>
        <v>605</v>
      </c>
      <c r="Z344" s="50">
        <f t="shared" si="35"/>
        <v>605</v>
      </c>
    </row>
    <row r="345" spans="1:26" x14ac:dyDescent="0.25">
      <c r="A345" s="29" t="s">
        <v>634</v>
      </c>
      <c r="B345" s="29" t="s">
        <v>226</v>
      </c>
      <c r="C345" s="29" t="s">
        <v>808</v>
      </c>
      <c r="D345" s="29">
        <v>50320840</v>
      </c>
      <c r="E345" s="32" t="s">
        <v>809</v>
      </c>
      <c r="F345" s="29">
        <v>37857134</v>
      </c>
      <c r="G345" s="32" t="s">
        <v>810</v>
      </c>
      <c r="H345" s="32" t="s">
        <v>643</v>
      </c>
      <c r="I345" s="33" t="s">
        <v>811</v>
      </c>
      <c r="J345" s="42">
        <f>VLOOKUP(F345,[5]Hárok1!$F$4:$S$93,5,0)</f>
        <v>5</v>
      </c>
      <c r="K345" s="43">
        <f>VLOOKUP(F345,[5]Hárok1!$F$4:$S$93,6,0)</f>
        <v>0</v>
      </c>
      <c r="L345" s="43">
        <f>VLOOKUP(F345,[5]Hárok1!$F$4:$S$93,7,0)</f>
        <v>32</v>
      </c>
      <c r="M345" s="43">
        <f>VLOOKUP(F345,[5]Hárok1!$F$4:$S$93,8,0)</f>
        <v>0</v>
      </c>
      <c r="N345" s="43">
        <f>VLOOKUP(F345,[5]Hárok1!$F$4:$S$93,9,0)</f>
        <v>0</v>
      </c>
      <c r="O345" s="43">
        <f>VLOOKUP(F345,[5]Hárok1!$F$4:$S$93,10,0)</f>
        <v>10</v>
      </c>
      <c r="P345" s="44">
        <f>VLOOKUP(F345,[5]Hárok1!$F$4:$S$93,11,0)</f>
        <v>3</v>
      </c>
      <c r="Q345" s="42">
        <f>VLOOKUP(F345,[5]Hárok1!$F$4:$S$93,12,0)</f>
        <v>0</v>
      </c>
      <c r="R345" s="43">
        <f>VLOOKUP(F345,[5]Hárok1!$F$4:$S$93,13,0)</f>
        <v>133</v>
      </c>
      <c r="S345" s="44">
        <f>VLOOKUP(F345,[5]Hárok1!$F$4:$S$93,14,0)</f>
        <v>37</v>
      </c>
      <c r="T345" s="45">
        <f t="shared" si="30"/>
        <v>1072</v>
      </c>
      <c r="U345" s="46">
        <f>VLOOKUP(F345,[5]Hárok1!$F$4:$U$93,16,0)</f>
        <v>0</v>
      </c>
      <c r="V345" s="47">
        <f t="shared" si="31"/>
        <v>0</v>
      </c>
      <c r="W345" s="47">
        <f t="shared" si="32"/>
        <v>401</v>
      </c>
      <c r="X345" s="48">
        <f t="shared" si="33"/>
        <v>136.5</v>
      </c>
      <c r="Y345" s="49">
        <f t="shared" si="34"/>
        <v>1609.5</v>
      </c>
      <c r="Z345" s="50">
        <f t="shared" si="35"/>
        <v>1610</v>
      </c>
    </row>
    <row r="346" spans="1:26" x14ac:dyDescent="0.25">
      <c r="A346" s="29" t="s">
        <v>634</v>
      </c>
      <c r="B346" s="29" t="s">
        <v>226</v>
      </c>
      <c r="C346" s="29" t="s">
        <v>812</v>
      </c>
      <c r="D346" s="29">
        <v>35973820</v>
      </c>
      <c r="E346" s="32" t="s">
        <v>813</v>
      </c>
      <c r="F346" s="29">
        <v>37853163</v>
      </c>
      <c r="G346" s="32" t="s">
        <v>814</v>
      </c>
      <c r="H346" s="32" t="s">
        <v>726</v>
      </c>
      <c r="I346" s="33" t="s">
        <v>815</v>
      </c>
      <c r="J346" s="42">
        <f>VLOOKUP(F346,[5]Hárok1!$F$4:$S$93,5,0)</f>
        <v>8</v>
      </c>
      <c r="K346" s="43">
        <f>VLOOKUP(F346,[5]Hárok1!$F$4:$S$93,6,0)</f>
        <v>0</v>
      </c>
      <c r="L346" s="43">
        <f>VLOOKUP(F346,[5]Hárok1!$F$4:$S$93,7,0)</f>
        <v>25</v>
      </c>
      <c r="M346" s="43">
        <f>VLOOKUP(F346,[5]Hárok1!$F$4:$S$93,8,0)</f>
        <v>0</v>
      </c>
      <c r="N346" s="43">
        <f>VLOOKUP(F346,[5]Hárok1!$F$4:$S$93,9,0)</f>
        <v>4</v>
      </c>
      <c r="O346" s="43">
        <f>VLOOKUP(F346,[5]Hárok1!$F$4:$S$93,10,0)</f>
        <v>10</v>
      </c>
      <c r="P346" s="44">
        <f>VLOOKUP(F346,[5]Hárok1!$F$4:$S$93,11,0)</f>
        <v>1</v>
      </c>
      <c r="Q346" s="42">
        <f>VLOOKUP(F346,[5]Hárok1!$F$4:$S$93,12,0)</f>
        <v>90</v>
      </c>
      <c r="R346" s="43">
        <f>VLOOKUP(F346,[5]Hárok1!$F$4:$S$93,13,0)</f>
        <v>159</v>
      </c>
      <c r="S346" s="44">
        <f>VLOOKUP(F346,[5]Hárok1!$F$4:$S$93,14,0)</f>
        <v>26</v>
      </c>
      <c r="T346" s="45">
        <f t="shared" si="30"/>
        <v>837.5</v>
      </c>
      <c r="U346" s="46">
        <f>VLOOKUP(F346,[5]Hárok1!$F$4:$U$93,16,0)</f>
        <v>0</v>
      </c>
      <c r="V346" s="47">
        <f t="shared" si="31"/>
        <v>189</v>
      </c>
      <c r="W346" s="47">
        <f t="shared" si="32"/>
        <v>453</v>
      </c>
      <c r="X346" s="48">
        <f t="shared" si="33"/>
        <v>66</v>
      </c>
      <c r="Y346" s="49">
        <f t="shared" si="34"/>
        <v>1545.5</v>
      </c>
      <c r="Z346" s="50">
        <f t="shared" si="35"/>
        <v>1546</v>
      </c>
    </row>
    <row r="347" spans="1:26" x14ac:dyDescent="0.25">
      <c r="A347" s="51" t="s">
        <v>634</v>
      </c>
      <c r="B347" s="51" t="s">
        <v>226</v>
      </c>
      <c r="C347" s="51" t="s">
        <v>816</v>
      </c>
      <c r="D347" s="51">
        <v>90000195</v>
      </c>
      <c r="E347" s="32" t="s">
        <v>817</v>
      </c>
      <c r="F347" s="51">
        <v>37853899</v>
      </c>
      <c r="G347" s="32" t="s">
        <v>250</v>
      </c>
      <c r="H347" s="32" t="s">
        <v>648</v>
      </c>
      <c r="I347" s="33" t="s">
        <v>818</v>
      </c>
      <c r="J347" s="42">
        <f>VLOOKUP(F347,[5]Hárok1!$F$4:$S$93,5,0)</f>
        <v>4</v>
      </c>
      <c r="K347" s="43">
        <f>VLOOKUP(F347,[5]Hárok1!$F$4:$S$93,6,0)</f>
        <v>0</v>
      </c>
      <c r="L347" s="43">
        <f>VLOOKUP(F347,[5]Hárok1!$F$4:$S$93,7,0)</f>
        <v>15</v>
      </c>
      <c r="M347" s="43">
        <f>VLOOKUP(F347,[5]Hárok1!$F$4:$S$93,8,0)</f>
        <v>0</v>
      </c>
      <c r="N347" s="43">
        <f>VLOOKUP(F347,[5]Hárok1!$F$4:$S$93,9,0)</f>
        <v>0</v>
      </c>
      <c r="O347" s="43">
        <f>VLOOKUP(F347,[5]Hárok1!$F$4:$S$93,10,0)</f>
        <v>5</v>
      </c>
      <c r="P347" s="44">
        <f>VLOOKUP(F347,[5]Hárok1!$F$4:$S$93,11,0)</f>
        <v>0</v>
      </c>
      <c r="Q347" s="42">
        <f>VLOOKUP(F347,[5]Hárok1!$F$4:$S$93,12,0)</f>
        <v>0</v>
      </c>
      <c r="R347" s="43">
        <f>VLOOKUP(F347,[5]Hárok1!$F$4:$S$93,13,0)</f>
        <v>201</v>
      </c>
      <c r="S347" s="44">
        <f>VLOOKUP(F347,[5]Hárok1!$F$4:$S$93,14,0)</f>
        <v>0</v>
      </c>
      <c r="T347" s="45">
        <f t="shared" si="30"/>
        <v>502.5</v>
      </c>
      <c r="U347" s="46">
        <f>VLOOKUP(F347,[5]Hárok1!$F$4:$U$93,16,0)</f>
        <v>0</v>
      </c>
      <c r="V347" s="47">
        <f t="shared" si="31"/>
        <v>0</v>
      </c>
      <c r="W347" s="47">
        <f t="shared" si="32"/>
        <v>469.5</v>
      </c>
      <c r="X347" s="48">
        <f t="shared" si="33"/>
        <v>0</v>
      </c>
      <c r="Y347" s="49">
        <f t="shared" si="34"/>
        <v>972</v>
      </c>
      <c r="Z347" s="50">
        <f t="shared" si="35"/>
        <v>972</v>
      </c>
    </row>
    <row r="348" spans="1:26" x14ac:dyDescent="0.25">
      <c r="A348" s="29" t="s">
        <v>634</v>
      </c>
      <c r="B348" s="29" t="s">
        <v>226</v>
      </c>
      <c r="C348" s="29" t="s">
        <v>819</v>
      </c>
      <c r="D348" s="29">
        <v>45691908</v>
      </c>
      <c r="E348" s="32" t="s">
        <v>820</v>
      </c>
      <c r="F348" s="29">
        <v>42120411</v>
      </c>
      <c r="G348" s="32" t="s">
        <v>806</v>
      </c>
      <c r="H348" s="32" t="s">
        <v>648</v>
      </c>
      <c r="I348" s="33" t="s">
        <v>818</v>
      </c>
      <c r="J348" s="42">
        <f>VLOOKUP(F348,[5]Hárok1!$F$4:$S$93,5,0)</f>
        <v>2</v>
      </c>
      <c r="K348" s="43">
        <f>VLOOKUP(F348,[5]Hárok1!$F$4:$S$93,6,0)</f>
        <v>0</v>
      </c>
      <c r="L348" s="43">
        <f>VLOOKUP(F348,[5]Hárok1!$F$4:$S$93,7,0)</f>
        <v>3</v>
      </c>
      <c r="M348" s="43">
        <f>VLOOKUP(F348,[5]Hárok1!$F$4:$S$93,8,0)</f>
        <v>0</v>
      </c>
      <c r="N348" s="43">
        <f>VLOOKUP(F348,[5]Hárok1!$F$4:$S$93,9,0)</f>
        <v>0</v>
      </c>
      <c r="O348" s="43">
        <f>VLOOKUP(F348,[5]Hárok1!$F$4:$S$93,10,0)</f>
        <v>2</v>
      </c>
      <c r="P348" s="44">
        <f>VLOOKUP(F348,[5]Hárok1!$F$4:$S$93,11,0)</f>
        <v>0</v>
      </c>
      <c r="Q348" s="42">
        <f>VLOOKUP(F348,[5]Hárok1!$F$4:$S$93,12,0)</f>
        <v>0</v>
      </c>
      <c r="R348" s="43">
        <f>VLOOKUP(F348,[5]Hárok1!$F$4:$S$93,13,0)</f>
        <v>9</v>
      </c>
      <c r="S348" s="44">
        <f>VLOOKUP(F348,[5]Hárok1!$F$4:$S$93,14,0)</f>
        <v>0</v>
      </c>
      <c r="T348" s="45">
        <f t="shared" si="30"/>
        <v>100.5</v>
      </c>
      <c r="U348" s="46">
        <f>VLOOKUP(F348,[5]Hárok1!$F$4:$U$93,16,0)</f>
        <v>0</v>
      </c>
      <c r="V348" s="47">
        <f t="shared" si="31"/>
        <v>0</v>
      </c>
      <c r="W348" s="47">
        <f t="shared" si="32"/>
        <v>45</v>
      </c>
      <c r="X348" s="48">
        <f t="shared" si="33"/>
        <v>0</v>
      </c>
      <c r="Y348" s="49">
        <f t="shared" si="34"/>
        <v>145.5</v>
      </c>
      <c r="Z348" s="50">
        <f t="shared" si="35"/>
        <v>146</v>
      </c>
    </row>
    <row r="349" spans="1:26" x14ac:dyDescent="0.25">
      <c r="A349" s="29" t="s">
        <v>634</v>
      </c>
      <c r="B349" s="29" t="s">
        <v>226</v>
      </c>
      <c r="C349" s="29" t="s">
        <v>819</v>
      </c>
      <c r="D349" s="29">
        <v>45691908</v>
      </c>
      <c r="E349" s="32" t="s">
        <v>820</v>
      </c>
      <c r="F349" s="29">
        <v>42120420</v>
      </c>
      <c r="G349" s="32" t="s">
        <v>821</v>
      </c>
      <c r="H349" s="32" t="s">
        <v>648</v>
      </c>
      <c r="I349" s="33" t="s">
        <v>818</v>
      </c>
      <c r="J349" s="42">
        <f>VLOOKUP(F349,[5]Hárok1!$F$4:$S$93,5,0)</f>
        <v>6</v>
      </c>
      <c r="K349" s="43">
        <f>VLOOKUP(F349,[5]Hárok1!$F$4:$S$93,6,0)</f>
        <v>0</v>
      </c>
      <c r="L349" s="43">
        <f>VLOOKUP(F349,[5]Hárok1!$F$4:$S$93,7,0)</f>
        <v>24</v>
      </c>
      <c r="M349" s="43">
        <f>VLOOKUP(F349,[5]Hárok1!$F$4:$S$93,8,0)</f>
        <v>0</v>
      </c>
      <c r="N349" s="43">
        <f>VLOOKUP(F349,[5]Hárok1!$F$4:$S$93,9,0)</f>
        <v>0</v>
      </c>
      <c r="O349" s="43">
        <f>VLOOKUP(F349,[5]Hárok1!$F$4:$S$93,10,0)</f>
        <v>10</v>
      </c>
      <c r="P349" s="44">
        <f>VLOOKUP(F349,[5]Hárok1!$F$4:$S$93,11,0)</f>
        <v>0</v>
      </c>
      <c r="Q349" s="42">
        <f>VLOOKUP(F349,[5]Hárok1!$F$4:$S$93,12,0)</f>
        <v>0</v>
      </c>
      <c r="R349" s="43">
        <f>VLOOKUP(F349,[5]Hárok1!$F$4:$S$93,13,0)</f>
        <v>228</v>
      </c>
      <c r="S349" s="44">
        <f>VLOOKUP(F349,[5]Hárok1!$F$4:$S$93,14,0)</f>
        <v>0</v>
      </c>
      <c r="T349" s="45">
        <f t="shared" si="30"/>
        <v>804</v>
      </c>
      <c r="U349" s="46">
        <f>VLOOKUP(F349,[5]Hárok1!$F$4:$U$93,16,0)</f>
        <v>0</v>
      </c>
      <c r="V349" s="47">
        <f t="shared" si="31"/>
        <v>0</v>
      </c>
      <c r="W349" s="47">
        <f t="shared" si="32"/>
        <v>591</v>
      </c>
      <c r="X349" s="48">
        <f t="shared" si="33"/>
        <v>0</v>
      </c>
      <c r="Y349" s="49">
        <f t="shared" si="34"/>
        <v>1395</v>
      </c>
      <c r="Z349" s="50">
        <f t="shared" si="35"/>
        <v>1395</v>
      </c>
    </row>
    <row r="350" spans="1:26" x14ac:dyDescent="0.25">
      <c r="A350" s="29" t="s">
        <v>822</v>
      </c>
      <c r="B350" s="29" t="s">
        <v>43</v>
      </c>
      <c r="C350" s="29" t="s">
        <v>823</v>
      </c>
      <c r="D350" s="30">
        <v>54132975</v>
      </c>
      <c r="E350" s="31" t="s">
        <v>824</v>
      </c>
      <c r="F350" s="29">
        <v>50593030</v>
      </c>
      <c r="G350" s="32" t="s">
        <v>64</v>
      </c>
      <c r="H350" s="32" t="s">
        <v>825</v>
      </c>
      <c r="I350" s="33" t="s">
        <v>826</v>
      </c>
      <c r="J350" s="42">
        <f>VLOOKUP($F$350,[6]Hárok1!$F$344:$S$436,5,0)</f>
        <v>0</v>
      </c>
      <c r="K350" s="43">
        <f>VLOOKUP($F$350,[6]Hárok1!$F$344:$S$436,6,0)</f>
        <v>0</v>
      </c>
      <c r="L350" s="43">
        <f>VLOOKUP($F$350,[6]Hárok1!$F$344:$S$436,7,0)</f>
        <v>0</v>
      </c>
      <c r="M350" s="43">
        <f>VLOOKUP($F$350,[6]Hárok1!$F$344:$S$436,8,0)</f>
        <v>0</v>
      </c>
      <c r="N350" s="43">
        <f>VLOOKUP($F$350,[6]Hárok1!$F$344:$S$436,9,0)</f>
        <v>0</v>
      </c>
      <c r="O350" s="43">
        <f>VLOOKUP($F$350,[6]Hárok1!$F$344:$S$436,10,0)</f>
        <v>0</v>
      </c>
      <c r="P350" s="44">
        <f>VLOOKUP($F$350,[6]Hárok1!$F$344:$S$436,11,0)</f>
        <v>0</v>
      </c>
      <c r="Q350" s="42">
        <f>VLOOKUP($F$350,[6]Hárok1!$F$344:$S$436,12,0)</f>
        <v>0</v>
      </c>
      <c r="R350" s="43">
        <f>VLOOKUP($F$350,[6]Hárok1!$F$344:$S$436,13,0)</f>
        <v>0</v>
      </c>
      <c r="S350" s="44">
        <f>VLOOKUP($F$350,[6]Hárok1!$F$344:$S$436,14,0)</f>
        <v>0</v>
      </c>
      <c r="T350" s="45">
        <f t="shared" si="30"/>
        <v>0</v>
      </c>
      <c r="U350" s="46">
        <f>VLOOKUP(F350,[6]Hárok1!$F$344:$U$436,16,0)</f>
        <v>0</v>
      </c>
      <c r="V350" s="47">
        <f t="shared" si="31"/>
        <v>0</v>
      </c>
      <c r="W350" s="47">
        <f t="shared" si="32"/>
        <v>0</v>
      </c>
      <c r="X350" s="48">
        <f t="shared" si="33"/>
        <v>0</v>
      </c>
      <c r="Y350" s="49">
        <f t="shared" si="34"/>
        <v>0</v>
      </c>
      <c r="Z350" s="50">
        <f t="shared" si="35"/>
        <v>0</v>
      </c>
    </row>
    <row r="351" spans="1:26" x14ac:dyDescent="0.25">
      <c r="A351" s="51" t="s">
        <v>822</v>
      </c>
      <c r="B351" s="51" t="s">
        <v>43</v>
      </c>
      <c r="C351" s="51" t="s">
        <v>823</v>
      </c>
      <c r="D351" s="30">
        <v>54132975</v>
      </c>
      <c r="E351" s="31" t="s">
        <v>824</v>
      </c>
      <c r="F351" s="51">
        <v>160563</v>
      </c>
      <c r="G351" s="32" t="s">
        <v>827</v>
      </c>
      <c r="H351" s="32" t="s">
        <v>828</v>
      </c>
      <c r="I351" s="33" t="s">
        <v>829</v>
      </c>
      <c r="J351" s="42">
        <f>VLOOKUP(F351,[6]Hárok1!$F$345:$S$436,5,0)</f>
        <v>29</v>
      </c>
      <c r="K351" s="43">
        <f>VLOOKUP(F351,[6]Hárok1!$F$345:$S$436,6,0)</f>
        <v>0</v>
      </c>
      <c r="L351" s="43">
        <f>VLOOKUP(F351,[6]Hárok1!$F$345:$S$436,7,0)</f>
        <v>70</v>
      </c>
      <c r="M351" s="43">
        <f>VLOOKUP(F351,[6]Hárok1!$F$345:$S$436,8,0)</f>
        <v>0</v>
      </c>
      <c r="N351" s="43">
        <f>VLOOKUP(F351,[6]Hárok1!$F$345:$S$436,9,0)</f>
        <v>6</v>
      </c>
      <c r="O351" s="43">
        <f>VLOOKUP(F351,[6]Hárok1!$F$345:$S$436,10,0)</f>
        <v>27</v>
      </c>
      <c r="P351" s="44">
        <f>VLOOKUP(F351,[6]Hárok1!$F$345:$S$436,11,0)</f>
        <v>3</v>
      </c>
      <c r="Q351" s="42">
        <f>VLOOKUP(F351,[6]Hárok1!$F$345:$S$436,12,0)</f>
        <v>82</v>
      </c>
      <c r="R351" s="43">
        <f>VLOOKUP(F351,[6]Hárok1!$F$345:$S$436,13,0)</f>
        <v>491</v>
      </c>
      <c r="S351" s="44">
        <f>VLOOKUP(F351,[6]Hárok1!$F$345:$S$436,14,0)</f>
        <v>131</v>
      </c>
      <c r="T351" s="45">
        <f t="shared" si="30"/>
        <v>2345</v>
      </c>
      <c r="U351" s="46">
        <f>VLOOKUP(F351,[6]Hárok1!$F$344:$U$436,16,0)</f>
        <v>652.22</v>
      </c>
      <c r="V351" s="47">
        <f t="shared" si="31"/>
        <v>204</v>
      </c>
      <c r="W351" s="47">
        <f t="shared" si="32"/>
        <v>1346.5</v>
      </c>
      <c r="X351" s="48">
        <f t="shared" si="33"/>
        <v>277.5</v>
      </c>
      <c r="Y351" s="49">
        <f t="shared" si="34"/>
        <v>4825.22</v>
      </c>
      <c r="Z351" s="50">
        <f t="shared" si="35"/>
        <v>4825</v>
      </c>
    </row>
    <row r="352" spans="1:26" x14ac:dyDescent="0.25">
      <c r="A352" s="51" t="s">
        <v>822</v>
      </c>
      <c r="B352" s="51" t="s">
        <v>43</v>
      </c>
      <c r="C352" s="51" t="s">
        <v>823</v>
      </c>
      <c r="D352" s="30">
        <v>54132975</v>
      </c>
      <c r="E352" s="31" t="s">
        <v>824</v>
      </c>
      <c r="F352" s="51">
        <v>37982567</v>
      </c>
      <c r="G352" s="32" t="s">
        <v>52</v>
      </c>
      <c r="H352" s="32" t="s">
        <v>828</v>
      </c>
      <c r="I352" s="33" t="s">
        <v>830</v>
      </c>
      <c r="J352" s="42">
        <f>VLOOKUP(F352,[6]Hárok1!$F$345:$S$436,5,0)</f>
        <v>0</v>
      </c>
      <c r="K352" s="43">
        <f>VLOOKUP(F352,[6]Hárok1!$F$345:$S$436,6,0)</f>
        <v>0</v>
      </c>
      <c r="L352" s="43">
        <f>VLOOKUP(F352,[6]Hárok1!$F$345:$S$436,7,0)</f>
        <v>0</v>
      </c>
      <c r="M352" s="43">
        <f>VLOOKUP(F352,[6]Hárok1!$F$345:$S$436,8,0)</f>
        <v>0</v>
      </c>
      <c r="N352" s="43">
        <f>VLOOKUP(F352,[6]Hárok1!$F$345:$S$436,9,0)</f>
        <v>0</v>
      </c>
      <c r="O352" s="43">
        <f>VLOOKUP(F352,[6]Hárok1!$F$345:$S$436,10,0)</f>
        <v>0</v>
      </c>
      <c r="P352" s="44">
        <f>VLOOKUP(F352,[6]Hárok1!$F$345:$S$436,11,0)</f>
        <v>0</v>
      </c>
      <c r="Q352" s="42">
        <f>VLOOKUP(F352,[6]Hárok1!$F$345:$S$436,12,0)</f>
        <v>0</v>
      </c>
      <c r="R352" s="43">
        <f>VLOOKUP(F352,[6]Hárok1!$F$345:$S$436,13,0)</f>
        <v>0</v>
      </c>
      <c r="S352" s="44">
        <f>VLOOKUP(F352,[6]Hárok1!$F$345:$S$436,14,0)</f>
        <v>0</v>
      </c>
      <c r="T352" s="45">
        <f t="shared" si="30"/>
        <v>0</v>
      </c>
      <c r="U352" s="46">
        <f>VLOOKUP(F352,[6]Hárok1!$F$344:$U$436,16,0)</f>
        <v>0</v>
      </c>
      <c r="V352" s="47">
        <f t="shared" si="31"/>
        <v>0</v>
      </c>
      <c r="W352" s="47">
        <f t="shared" si="32"/>
        <v>0</v>
      </c>
      <c r="X352" s="48">
        <f t="shared" si="33"/>
        <v>0</v>
      </c>
      <c r="Y352" s="49">
        <f t="shared" si="34"/>
        <v>0</v>
      </c>
      <c r="Z352" s="50">
        <f t="shared" si="35"/>
        <v>0</v>
      </c>
    </row>
    <row r="353" spans="1:26" x14ac:dyDescent="0.25">
      <c r="A353" s="29" t="s">
        <v>822</v>
      </c>
      <c r="B353" s="29" t="s">
        <v>43</v>
      </c>
      <c r="C353" s="29" t="s">
        <v>823</v>
      </c>
      <c r="D353" s="30">
        <v>54132975</v>
      </c>
      <c r="E353" s="31" t="s">
        <v>824</v>
      </c>
      <c r="F353" s="29">
        <v>593125</v>
      </c>
      <c r="G353" s="32" t="s">
        <v>64</v>
      </c>
      <c r="H353" s="32" t="s">
        <v>831</v>
      </c>
      <c r="I353" s="33" t="s">
        <v>832</v>
      </c>
      <c r="J353" s="42">
        <f>VLOOKUP(F353,[6]Hárok1!$F$345:$S$436,5,0)</f>
        <v>2</v>
      </c>
      <c r="K353" s="43">
        <f>VLOOKUP(F353,[6]Hárok1!$F$345:$S$436,6,0)</f>
        <v>0</v>
      </c>
      <c r="L353" s="43">
        <f>VLOOKUP(F353,[6]Hárok1!$F$345:$S$436,7,0)</f>
        <v>7</v>
      </c>
      <c r="M353" s="43">
        <f>VLOOKUP(F353,[6]Hárok1!$F$345:$S$436,8,0)</f>
        <v>0</v>
      </c>
      <c r="N353" s="43">
        <f>VLOOKUP(F353,[6]Hárok1!$F$345:$S$436,9,0)</f>
        <v>0</v>
      </c>
      <c r="O353" s="43">
        <f>VLOOKUP(F353,[6]Hárok1!$F$345:$S$436,10,0)</f>
        <v>6</v>
      </c>
      <c r="P353" s="44">
        <f>VLOOKUP(F353,[6]Hárok1!$F$345:$S$436,11,0)</f>
        <v>0</v>
      </c>
      <c r="Q353" s="42">
        <f>VLOOKUP(F353,[6]Hárok1!$F$345:$S$436,12,0)</f>
        <v>0</v>
      </c>
      <c r="R353" s="43">
        <f>VLOOKUP(F353,[6]Hárok1!$F$345:$S$436,13,0)</f>
        <v>94</v>
      </c>
      <c r="S353" s="44">
        <f>VLOOKUP(F353,[6]Hárok1!$F$345:$S$436,14,0)</f>
        <v>0</v>
      </c>
      <c r="T353" s="45">
        <f t="shared" si="30"/>
        <v>234.5</v>
      </c>
      <c r="U353" s="46">
        <f>VLOOKUP(F353,[6]Hárok1!$F$344:$U$436,16,0)</f>
        <v>48.6</v>
      </c>
      <c r="V353" s="47">
        <f t="shared" si="31"/>
        <v>0</v>
      </c>
      <c r="W353" s="47">
        <f t="shared" si="32"/>
        <v>269</v>
      </c>
      <c r="X353" s="48">
        <f t="shared" si="33"/>
        <v>0</v>
      </c>
      <c r="Y353" s="49">
        <f t="shared" si="34"/>
        <v>552.1</v>
      </c>
      <c r="Z353" s="50">
        <f t="shared" si="35"/>
        <v>552</v>
      </c>
    </row>
    <row r="354" spans="1:26" x14ac:dyDescent="0.25">
      <c r="A354" s="29" t="s">
        <v>822</v>
      </c>
      <c r="B354" s="29" t="s">
        <v>43</v>
      </c>
      <c r="C354" s="29" t="s">
        <v>823</v>
      </c>
      <c r="D354" s="30">
        <v>54132975</v>
      </c>
      <c r="E354" s="31" t="s">
        <v>824</v>
      </c>
      <c r="F354" s="29">
        <v>493775</v>
      </c>
      <c r="G354" s="32" t="s">
        <v>536</v>
      </c>
      <c r="H354" s="32" t="s">
        <v>833</v>
      </c>
      <c r="I354" s="33" t="s">
        <v>834</v>
      </c>
      <c r="J354" s="42">
        <f>VLOOKUP(F354,[6]Hárok1!$F$345:$S$436,5,0)</f>
        <v>1</v>
      </c>
      <c r="K354" s="43">
        <f>VLOOKUP(F354,[6]Hárok1!$F$345:$S$436,6,0)</f>
        <v>0</v>
      </c>
      <c r="L354" s="43">
        <f>VLOOKUP(F354,[6]Hárok1!$F$345:$S$436,7,0)</f>
        <v>3</v>
      </c>
      <c r="M354" s="43">
        <f>VLOOKUP(F354,[6]Hárok1!$F$345:$S$436,8,0)</f>
        <v>0</v>
      </c>
      <c r="N354" s="43">
        <f>VLOOKUP(F354,[6]Hárok1!$F$345:$S$436,9,0)</f>
        <v>0</v>
      </c>
      <c r="O354" s="43">
        <f>VLOOKUP(F354,[6]Hárok1!$F$345:$S$436,10,0)</f>
        <v>1</v>
      </c>
      <c r="P354" s="44">
        <f>VLOOKUP(F354,[6]Hárok1!$F$345:$S$436,11,0)</f>
        <v>0</v>
      </c>
      <c r="Q354" s="42">
        <f>VLOOKUP(F354,[6]Hárok1!$F$345:$S$436,12,0)</f>
        <v>0</v>
      </c>
      <c r="R354" s="43">
        <f>VLOOKUP(F354,[6]Hárok1!$F$345:$S$436,13,0)</f>
        <v>3</v>
      </c>
      <c r="S354" s="44">
        <f>VLOOKUP(F354,[6]Hárok1!$F$345:$S$436,14,0)</f>
        <v>0</v>
      </c>
      <c r="T354" s="45">
        <f t="shared" si="30"/>
        <v>100.5</v>
      </c>
      <c r="U354" s="46">
        <f>VLOOKUP(F354,[6]Hárok1!$F$344:$U$436,16,0)</f>
        <v>0</v>
      </c>
      <c r="V354" s="47">
        <f t="shared" si="31"/>
        <v>0</v>
      </c>
      <c r="W354" s="47">
        <f t="shared" si="32"/>
        <v>19.5</v>
      </c>
      <c r="X354" s="48">
        <f t="shared" si="33"/>
        <v>0</v>
      </c>
      <c r="Y354" s="49">
        <f t="shared" si="34"/>
        <v>120</v>
      </c>
      <c r="Z354" s="50">
        <f t="shared" si="35"/>
        <v>120</v>
      </c>
    </row>
    <row r="355" spans="1:26" x14ac:dyDescent="0.25">
      <c r="A355" s="29" t="s">
        <v>822</v>
      </c>
      <c r="B355" s="29" t="s">
        <v>43</v>
      </c>
      <c r="C355" s="29" t="s">
        <v>823</v>
      </c>
      <c r="D355" s="30">
        <v>54132975</v>
      </c>
      <c r="E355" s="31" t="s">
        <v>824</v>
      </c>
      <c r="F355" s="29">
        <v>36133442</v>
      </c>
      <c r="G355" s="32" t="s">
        <v>835</v>
      </c>
      <c r="H355" s="32" t="s">
        <v>836</v>
      </c>
      <c r="I355" s="33" t="s">
        <v>837</v>
      </c>
      <c r="J355" s="42">
        <f>VLOOKUP(F355,[6]Hárok1!$F$345:$S$436,5,0)</f>
        <v>0</v>
      </c>
      <c r="K355" s="43">
        <f>VLOOKUP(F355,[6]Hárok1!$F$345:$S$436,6,0)</f>
        <v>0</v>
      </c>
      <c r="L355" s="43">
        <f>VLOOKUP(F355,[6]Hárok1!$F$345:$S$436,7,0)</f>
        <v>0</v>
      </c>
      <c r="M355" s="43">
        <f>VLOOKUP(F355,[6]Hárok1!$F$345:$S$436,8,0)</f>
        <v>0</v>
      </c>
      <c r="N355" s="43">
        <f>VLOOKUP(F355,[6]Hárok1!$F$345:$S$436,9,0)</f>
        <v>0</v>
      </c>
      <c r="O355" s="43">
        <f>VLOOKUP(F355,[6]Hárok1!$F$345:$S$436,10,0)</f>
        <v>0</v>
      </c>
      <c r="P355" s="44">
        <f>VLOOKUP(F355,[6]Hárok1!$F$345:$S$436,11,0)</f>
        <v>0</v>
      </c>
      <c r="Q355" s="42">
        <f>VLOOKUP(F355,[6]Hárok1!$F$345:$S$436,12,0)</f>
        <v>0</v>
      </c>
      <c r="R355" s="43">
        <f>VLOOKUP(F355,[6]Hárok1!$F$345:$S$436,13,0)</f>
        <v>0</v>
      </c>
      <c r="S355" s="44">
        <f>VLOOKUP(F355,[6]Hárok1!$F$345:$S$436,14,0)</f>
        <v>0</v>
      </c>
      <c r="T355" s="45">
        <f t="shared" si="30"/>
        <v>0</v>
      </c>
      <c r="U355" s="46">
        <f>VLOOKUP(F355,[6]Hárok1!$F$344:$U$436,16,0)</f>
        <v>0</v>
      </c>
      <c r="V355" s="47">
        <f t="shared" si="31"/>
        <v>0</v>
      </c>
      <c r="W355" s="47">
        <f t="shared" si="32"/>
        <v>0</v>
      </c>
      <c r="X355" s="48">
        <f t="shared" si="33"/>
        <v>0</v>
      </c>
      <c r="Y355" s="49">
        <f t="shared" si="34"/>
        <v>0</v>
      </c>
      <c r="Z355" s="50">
        <f t="shared" si="35"/>
        <v>0</v>
      </c>
    </row>
    <row r="356" spans="1:26" x14ac:dyDescent="0.25">
      <c r="A356" s="29" t="s">
        <v>822</v>
      </c>
      <c r="B356" s="29" t="s">
        <v>43</v>
      </c>
      <c r="C356" s="29" t="s">
        <v>823</v>
      </c>
      <c r="D356" s="30">
        <v>54132975</v>
      </c>
      <c r="E356" s="31" t="s">
        <v>824</v>
      </c>
      <c r="F356" s="29">
        <v>36134252</v>
      </c>
      <c r="G356" s="32" t="s">
        <v>562</v>
      </c>
      <c r="H356" s="32" t="s">
        <v>836</v>
      </c>
      <c r="I356" s="33" t="s">
        <v>838</v>
      </c>
      <c r="J356" s="42">
        <f>VLOOKUP(F356,[6]Hárok1!$F$345:$S$436,5,0)</f>
        <v>0</v>
      </c>
      <c r="K356" s="43">
        <f>VLOOKUP(F356,[6]Hárok1!$F$345:$S$436,6,0)</f>
        <v>0</v>
      </c>
      <c r="L356" s="43">
        <f>VLOOKUP(F356,[6]Hárok1!$F$345:$S$436,7,0)</f>
        <v>0</v>
      </c>
      <c r="M356" s="43">
        <f>VLOOKUP(F356,[6]Hárok1!$F$345:$S$436,8,0)</f>
        <v>0</v>
      </c>
      <c r="N356" s="43">
        <f>VLOOKUP(F356,[6]Hárok1!$F$345:$S$436,9,0)</f>
        <v>0</v>
      </c>
      <c r="O356" s="43">
        <f>VLOOKUP(F356,[6]Hárok1!$F$345:$S$436,10,0)</f>
        <v>0</v>
      </c>
      <c r="P356" s="44">
        <f>VLOOKUP(F356,[6]Hárok1!$F$345:$S$436,11,0)</f>
        <v>0</v>
      </c>
      <c r="Q356" s="42">
        <f>VLOOKUP(F356,[6]Hárok1!$F$345:$S$436,12,0)</f>
        <v>0</v>
      </c>
      <c r="R356" s="43">
        <f>VLOOKUP(F356,[6]Hárok1!$F$345:$S$436,13,0)</f>
        <v>0</v>
      </c>
      <c r="S356" s="44">
        <f>VLOOKUP(F356,[6]Hárok1!$F$345:$S$436,14,0)</f>
        <v>0</v>
      </c>
      <c r="T356" s="45">
        <f t="shared" si="30"/>
        <v>0</v>
      </c>
      <c r="U356" s="46">
        <f>VLOOKUP(F356,[6]Hárok1!$F$344:$U$436,16,0)</f>
        <v>0</v>
      </c>
      <c r="V356" s="47">
        <f t="shared" si="31"/>
        <v>0</v>
      </c>
      <c r="W356" s="47">
        <f t="shared" si="32"/>
        <v>0</v>
      </c>
      <c r="X356" s="48">
        <f t="shared" si="33"/>
        <v>0</v>
      </c>
      <c r="Y356" s="49">
        <f t="shared" si="34"/>
        <v>0</v>
      </c>
      <c r="Z356" s="50">
        <f t="shared" si="35"/>
        <v>0</v>
      </c>
    </row>
    <row r="357" spans="1:26" x14ac:dyDescent="0.25">
      <c r="A357" s="29" t="s">
        <v>822</v>
      </c>
      <c r="B357" s="29" t="s">
        <v>43</v>
      </c>
      <c r="C357" s="29" t="s">
        <v>823</v>
      </c>
      <c r="D357" s="30">
        <v>54132975</v>
      </c>
      <c r="E357" s="31" t="s">
        <v>824</v>
      </c>
      <c r="F357" s="29">
        <v>627844</v>
      </c>
      <c r="G357" s="32" t="s">
        <v>839</v>
      </c>
      <c r="H357" s="32" t="s">
        <v>840</v>
      </c>
      <c r="I357" s="33" t="s">
        <v>841</v>
      </c>
      <c r="J357" s="42">
        <f>VLOOKUP(F357,[6]Hárok1!$F$345:$S$436,5,0)</f>
        <v>17</v>
      </c>
      <c r="K357" s="43">
        <f>VLOOKUP(F357,[6]Hárok1!$F$345:$S$436,6,0)</f>
        <v>0</v>
      </c>
      <c r="L357" s="43">
        <f>VLOOKUP(F357,[6]Hárok1!$F$345:$S$436,7,0)</f>
        <v>37</v>
      </c>
      <c r="M357" s="43">
        <f>VLOOKUP(F357,[6]Hárok1!$F$345:$S$436,8,0)</f>
        <v>0</v>
      </c>
      <c r="N357" s="43">
        <f>VLOOKUP(F357,[6]Hárok1!$F$345:$S$436,9,0)</f>
        <v>3</v>
      </c>
      <c r="O357" s="43">
        <f>VLOOKUP(F357,[6]Hárok1!$F$345:$S$436,10,0)</f>
        <v>14</v>
      </c>
      <c r="P357" s="44">
        <f>VLOOKUP(F357,[6]Hárok1!$F$345:$S$436,11,0)</f>
        <v>1</v>
      </c>
      <c r="Q357" s="42">
        <f>VLOOKUP(F357,[6]Hárok1!$F$345:$S$436,12,0)</f>
        <v>18</v>
      </c>
      <c r="R357" s="43">
        <f>VLOOKUP(F357,[6]Hárok1!$F$345:$S$436,13,0)</f>
        <v>335</v>
      </c>
      <c r="S357" s="44">
        <f>VLOOKUP(F357,[6]Hárok1!$F$345:$S$436,14,0)</f>
        <v>135</v>
      </c>
      <c r="T357" s="45">
        <f t="shared" si="30"/>
        <v>1239.5</v>
      </c>
      <c r="U357" s="46">
        <f>VLOOKUP(F357,[6]Hárok1!$F$344:$U$436,16,0)</f>
        <v>68.510000000000005</v>
      </c>
      <c r="V357" s="47">
        <f t="shared" si="31"/>
        <v>67.5</v>
      </c>
      <c r="W357" s="47">
        <f t="shared" si="32"/>
        <v>859</v>
      </c>
      <c r="X357" s="48">
        <f t="shared" si="33"/>
        <v>229.5</v>
      </c>
      <c r="Y357" s="49">
        <f t="shared" si="34"/>
        <v>2464.0100000000002</v>
      </c>
      <c r="Z357" s="50">
        <f t="shared" si="35"/>
        <v>2464</v>
      </c>
    </row>
    <row r="358" spans="1:26" x14ac:dyDescent="0.25">
      <c r="A358" s="29" t="s">
        <v>822</v>
      </c>
      <c r="B358" s="29" t="s">
        <v>43</v>
      </c>
      <c r="C358" s="29" t="s">
        <v>823</v>
      </c>
      <c r="D358" s="30">
        <v>54132975</v>
      </c>
      <c r="E358" s="31" t="s">
        <v>824</v>
      </c>
      <c r="F358" s="29">
        <v>37982702</v>
      </c>
      <c r="G358" s="32" t="s">
        <v>64</v>
      </c>
      <c r="H358" s="32" t="s">
        <v>842</v>
      </c>
      <c r="I358" s="33" t="s">
        <v>843</v>
      </c>
      <c r="J358" s="42">
        <f>VLOOKUP(F358,[6]Hárok1!$F$345:$S$436,5,0)</f>
        <v>0</v>
      </c>
      <c r="K358" s="43">
        <f>VLOOKUP(F358,[6]Hárok1!$F$345:$S$436,6,0)</f>
        <v>0</v>
      </c>
      <c r="L358" s="43">
        <f>VLOOKUP(F358,[6]Hárok1!$F$345:$S$436,7,0)</f>
        <v>0</v>
      </c>
      <c r="M358" s="43">
        <f>VLOOKUP(F358,[6]Hárok1!$F$345:$S$436,8,0)</f>
        <v>0</v>
      </c>
      <c r="N358" s="43">
        <f>VLOOKUP(F358,[6]Hárok1!$F$345:$S$436,9,0)</f>
        <v>0</v>
      </c>
      <c r="O358" s="43">
        <f>VLOOKUP(F358,[6]Hárok1!$F$345:$S$436,10,0)</f>
        <v>0</v>
      </c>
      <c r="P358" s="44">
        <f>VLOOKUP(F358,[6]Hárok1!$F$345:$S$436,11,0)</f>
        <v>0</v>
      </c>
      <c r="Q358" s="42">
        <f>VLOOKUP(F358,[6]Hárok1!$F$345:$S$436,12,0)</f>
        <v>0</v>
      </c>
      <c r="R358" s="43">
        <f>VLOOKUP(F358,[6]Hárok1!$F$345:$S$436,13,0)</f>
        <v>0</v>
      </c>
      <c r="S358" s="44">
        <f>VLOOKUP(F358,[6]Hárok1!$F$345:$S$436,14,0)</f>
        <v>0</v>
      </c>
      <c r="T358" s="45">
        <f t="shared" si="30"/>
        <v>0</v>
      </c>
      <c r="U358" s="46">
        <f>VLOOKUP(F358,[6]Hárok1!$F$344:$U$436,16,0)</f>
        <v>0</v>
      </c>
      <c r="V358" s="47">
        <f t="shared" si="31"/>
        <v>0</v>
      </c>
      <c r="W358" s="47">
        <f t="shared" si="32"/>
        <v>0</v>
      </c>
      <c r="X358" s="48">
        <f t="shared" si="33"/>
        <v>0</v>
      </c>
      <c r="Y358" s="49">
        <f t="shared" si="34"/>
        <v>0</v>
      </c>
      <c r="Z358" s="50">
        <f t="shared" si="35"/>
        <v>0</v>
      </c>
    </row>
    <row r="359" spans="1:26" x14ac:dyDescent="0.25">
      <c r="A359" s="29" t="s">
        <v>822</v>
      </c>
      <c r="B359" s="29" t="s">
        <v>43</v>
      </c>
      <c r="C359" s="29" t="s">
        <v>823</v>
      </c>
      <c r="D359" s="30">
        <v>54132975</v>
      </c>
      <c r="E359" s="31" t="s">
        <v>824</v>
      </c>
      <c r="F359" s="29">
        <v>160822</v>
      </c>
      <c r="G359" s="32" t="s">
        <v>844</v>
      </c>
      <c r="H359" s="32" t="s">
        <v>845</v>
      </c>
      <c r="I359" s="33" t="s">
        <v>846</v>
      </c>
      <c r="J359" s="42">
        <f>VLOOKUP(F359,[6]Hárok1!$F$345:$S$436,5,0)</f>
        <v>17</v>
      </c>
      <c r="K359" s="43">
        <f>VLOOKUP(F359,[6]Hárok1!$F$345:$S$436,6,0)</f>
        <v>0</v>
      </c>
      <c r="L359" s="43">
        <f>VLOOKUP(F359,[6]Hárok1!$F$345:$S$436,7,0)</f>
        <v>36</v>
      </c>
      <c r="M359" s="43">
        <f>VLOOKUP(F359,[6]Hárok1!$F$345:$S$436,8,0)</f>
        <v>0</v>
      </c>
      <c r="N359" s="43">
        <f>VLOOKUP(F359,[6]Hárok1!$F$345:$S$436,9,0)</f>
        <v>1</v>
      </c>
      <c r="O359" s="43">
        <f>VLOOKUP(F359,[6]Hárok1!$F$345:$S$436,10,0)</f>
        <v>17</v>
      </c>
      <c r="P359" s="44">
        <f>VLOOKUP(F359,[6]Hárok1!$F$345:$S$436,11,0)</f>
        <v>1</v>
      </c>
      <c r="Q359" s="42">
        <f>VLOOKUP(F359,[6]Hárok1!$F$345:$S$436,12,0)</f>
        <v>1</v>
      </c>
      <c r="R359" s="43">
        <f>VLOOKUP(F359,[6]Hárok1!$F$345:$S$436,13,0)</f>
        <v>338</v>
      </c>
      <c r="S359" s="44">
        <f>VLOOKUP(F359,[6]Hárok1!$F$345:$S$436,14,0)</f>
        <v>95</v>
      </c>
      <c r="T359" s="45">
        <f t="shared" si="30"/>
        <v>1206</v>
      </c>
      <c r="U359" s="46">
        <f>VLOOKUP(F359,[6]Hárok1!$F$344:$U$436,16,0)</f>
        <v>34.1</v>
      </c>
      <c r="V359" s="47">
        <f t="shared" si="31"/>
        <v>15</v>
      </c>
      <c r="W359" s="47">
        <f t="shared" si="32"/>
        <v>905.5</v>
      </c>
      <c r="X359" s="48">
        <f t="shared" si="33"/>
        <v>169.5</v>
      </c>
      <c r="Y359" s="49">
        <f t="shared" si="34"/>
        <v>2330.1</v>
      </c>
      <c r="Z359" s="50">
        <f t="shared" si="35"/>
        <v>2330</v>
      </c>
    </row>
    <row r="360" spans="1:26" x14ac:dyDescent="0.25">
      <c r="A360" s="29" t="s">
        <v>822</v>
      </c>
      <c r="B360" s="29" t="s">
        <v>43</v>
      </c>
      <c r="C360" s="29" t="s">
        <v>823</v>
      </c>
      <c r="D360" s="30">
        <v>54132975</v>
      </c>
      <c r="E360" s="31" t="s">
        <v>824</v>
      </c>
      <c r="F360" s="29">
        <v>36148563</v>
      </c>
      <c r="G360" s="32" t="s">
        <v>847</v>
      </c>
      <c r="H360" s="32" t="s">
        <v>224</v>
      </c>
      <c r="I360" s="33" t="s">
        <v>848</v>
      </c>
      <c r="J360" s="42">
        <f>VLOOKUP(F360,[6]Hárok1!$F$345:$S$436,5,0)</f>
        <v>13</v>
      </c>
      <c r="K360" s="43">
        <f>VLOOKUP(F360,[6]Hárok1!$F$345:$S$436,6,0)</f>
        <v>0</v>
      </c>
      <c r="L360" s="43">
        <f>VLOOKUP(F360,[6]Hárok1!$F$345:$S$436,7,0)</f>
        <v>33</v>
      </c>
      <c r="M360" s="43">
        <f>VLOOKUP(F360,[6]Hárok1!$F$345:$S$436,8,0)</f>
        <v>0</v>
      </c>
      <c r="N360" s="43">
        <f>VLOOKUP(F360,[6]Hárok1!$F$345:$S$436,9,0)</f>
        <v>0</v>
      </c>
      <c r="O360" s="43">
        <f>VLOOKUP(F360,[6]Hárok1!$F$345:$S$436,10,0)</f>
        <v>14</v>
      </c>
      <c r="P360" s="44">
        <f>VLOOKUP(F360,[6]Hárok1!$F$345:$S$436,11,0)</f>
        <v>1</v>
      </c>
      <c r="Q360" s="42">
        <f>VLOOKUP(F360,[6]Hárok1!$F$345:$S$436,12,0)</f>
        <v>0</v>
      </c>
      <c r="R360" s="43">
        <f>VLOOKUP(F360,[6]Hárok1!$F$345:$S$436,13,0)</f>
        <v>260</v>
      </c>
      <c r="S360" s="44">
        <f>VLOOKUP(F360,[6]Hárok1!$F$345:$S$436,14,0)</f>
        <v>27</v>
      </c>
      <c r="T360" s="45">
        <f t="shared" si="30"/>
        <v>1105.5</v>
      </c>
      <c r="U360" s="46">
        <f>VLOOKUP(F360,[6]Hárok1!$F$344:$U$436,16,0)</f>
        <v>61.2</v>
      </c>
      <c r="V360" s="47">
        <f t="shared" si="31"/>
        <v>0</v>
      </c>
      <c r="W360" s="47">
        <f t="shared" si="32"/>
        <v>709</v>
      </c>
      <c r="X360" s="48">
        <f t="shared" si="33"/>
        <v>67.5</v>
      </c>
      <c r="Y360" s="49">
        <f t="shared" si="34"/>
        <v>1943.2</v>
      </c>
      <c r="Z360" s="50">
        <f t="shared" si="35"/>
        <v>1943</v>
      </c>
    </row>
    <row r="361" spans="1:26" x14ac:dyDescent="0.25">
      <c r="A361" s="29" t="s">
        <v>822</v>
      </c>
      <c r="B361" s="29" t="s">
        <v>43</v>
      </c>
      <c r="C361" s="29" t="s">
        <v>823</v>
      </c>
      <c r="D361" s="30">
        <v>54132975</v>
      </c>
      <c r="E361" s="31" t="s">
        <v>824</v>
      </c>
      <c r="F361" s="29">
        <v>36142131</v>
      </c>
      <c r="G361" s="32" t="s">
        <v>64</v>
      </c>
      <c r="H361" s="32" t="s">
        <v>224</v>
      </c>
      <c r="I361" s="33" t="s">
        <v>849</v>
      </c>
      <c r="J361" s="42">
        <f>VLOOKUP(F361,[6]Hárok1!$F$345:$S$436,5,0)</f>
        <v>4</v>
      </c>
      <c r="K361" s="43">
        <f>VLOOKUP(F361,[6]Hárok1!$F$345:$S$436,6,0)</f>
        <v>0</v>
      </c>
      <c r="L361" s="43">
        <f>VLOOKUP(F361,[6]Hárok1!$F$345:$S$436,7,0)</f>
        <v>9</v>
      </c>
      <c r="M361" s="43">
        <f>VLOOKUP(F361,[6]Hárok1!$F$345:$S$436,8,0)</f>
        <v>0</v>
      </c>
      <c r="N361" s="43">
        <f>VLOOKUP(F361,[6]Hárok1!$F$345:$S$436,9,0)</f>
        <v>0</v>
      </c>
      <c r="O361" s="43">
        <f>VLOOKUP(F361,[6]Hárok1!$F$345:$S$436,10,0)</f>
        <v>8</v>
      </c>
      <c r="P361" s="44">
        <f>VLOOKUP(F361,[6]Hárok1!$F$345:$S$436,11,0)</f>
        <v>0</v>
      </c>
      <c r="Q361" s="42">
        <f>VLOOKUP(F361,[6]Hárok1!$F$345:$S$436,12,0)</f>
        <v>0</v>
      </c>
      <c r="R361" s="43">
        <f>VLOOKUP(F361,[6]Hárok1!$F$345:$S$436,13,0)</f>
        <v>38</v>
      </c>
      <c r="S361" s="44">
        <f>VLOOKUP(F361,[6]Hárok1!$F$345:$S$436,14,0)</f>
        <v>0</v>
      </c>
      <c r="T361" s="45">
        <f t="shared" si="30"/>
        <v>301.5</v>
      </c>
      <c r="U361" s="46">
        <f>VLOOKUP(F361,[6]Hárok1!$F$344:$U$436,16,0)</f>
        <v>47.7</v>
      </c>
      <c r="V361" s="47">
        <f t="shared" si="31"/>
        <v>0</v>
      </c>
      <c r="W361" s="47">
        <f t="shared" si="32"/>
        <v>184</v>
      </c>
      <c r="X361" s="48">
        <f t="shared" si="33"/>
        <v>0</v>
      </c>
      <c r="Y361" s="49">
        <f t="shared" si="34"/>
        <v>533.20000000000005</v>
      </c>
      <c r="Z361" s="50">
        <f t="shared" si="35"/>
        <v>533</v>
      </c>
    </row>
    <row r="362" spans="1:26" x14ac:dyDescent="0.25">
      <c r="A362" s="51" t="s">
        <v>822</v>
      </c>
      <c r="B362" s="51" t="s">
        <v>79</v>
      </c>
      <c r="C362" s="51" t="s">
        <v>850</v>
      </c>
      <c r="D362" s="51">
        <v>37808427</v>
      </c>
      <c r="E362" s="32" t="s">
        <v>851</v>
      </c>
      <c r="F362" s="51">
        <v>160555</v>
      </c>
      <c r="G362" s="32" t="s">
        <v>49</v>
      </c>
      <c r="H362" s="32" t="s">
        <v>825</v>
      </c>
      <c r="I362" s="33" t="s">
        <v>852</v>
      </c>
      <c r="J362" s="42">
        <f>VLOOKUP(F362,[6]Hárok1!$F$345:$S$436,5,0)</f>
        <v>0</v>
      </c>
      <c r="K362" s="43">
        <f>VLOOKUP(F362,[6]Hárok1!$F$345:$S$436,6,0)</f>
        <v>0</v>
      </c>
      <c r="L362" s="43">
        <f>VLOOKUP(F362,[6]Hárok1!$F$345:$S$436,7,0)</f>
        <v>0</v>
      </c>
      <c r="M362" s="43">
        <f>VLOOKUP(F362,[6]Hárok1!$F$345:$S$436,8,0)</f>
        <v>0</v>
      </c>
      <c r="N362" s="43">
        <f>VLOOKUP(F362,[6]Hárok1!$F$345:$S$436,9,0)</f>
        <v>0</v>
      </c>
      <c r="O362" s="43">
        <f>VLOOKUP(F362,[6]Hárok1!$F$345:$S$436,10,0)</f>
        <v>0</v>
      </c>
      <c r="P362" s="44">
        <f>VLOOKUP(F362,[6]Hárok1!$F$345:$S$436,11,0)</f>
        <v>0</v>
      </c>
      <c r="Q362" s="42">
        <f>VLOOKUP(F362,[6]Hárok1!$F$345:$S$436,12,0)</f>
        <v>0</v>
      </c>
      <c r="R362" s="43">
        <f>VLOOKUP(F362,[6]Hárok1!$F$345:$S$436,13,0)</f>
        <v>0</v>
      </c>
      <c r="S362" s="44">
        <f>VLOOKUP(F362,[6]Hárok1!$F$345:$S$436,14,0)</f>
        <v>0</v>
      </c>
      <c r="T362" s="45">
        <f t="shared" si="30"/>
        <v>0</v>
      </c>
      <c r="U362" s="46">
        <f>VLOOKUP(F362,[6]Hárok1!$F$344:$U$436,16,0)</f>
        <v>0</v>
      </c>
      <c r="V362" s="47">
        <f t="shared" si="31"/>
        <v>0</v>
      </c>
      <c r="W362" s="47">
        <f t="shared" si="32"/>
        <v>0</v>
      </c>
      <c r="X362" s="48">
        <f t="shared" si="33"/>
        <v>0</v>
      </c>
      <c r="Y362" s="49">
        <f t="shared" si="34"/>
        <v>0</v>
      </c>
      <c r="Z362" s="50">
        <f t="shared" si="35"/>
        <v>0</v>
      </c>
    </row>
    <row r="363" spans="1:26" x14ac:dyDescent="0.25">
      <c r="A363" s="29" t="s">
        <v>822</v>
      </c>
      <c r="B363" s="29" t="s">
        <v>79</v>
      </c>
      <c r="C363" s="29" t="s">
        <v>850</v>
      </c>
      <c r="D363" s="29">
        <v>37808427</v>
      </c>
      <c r="E363" s="32" t="s">
        <v>851</v>
      </c>
      <c r="F363" s="29">
        <v>162043</v>
      </c>
      <c r="G363" s="32" t="s">
        <v>853</v>
      </c>
      <c r="H363" s="32" t="s">
        <v>828</v>
      </c>
      <c r="I363" s="33" t="s">
        <v>854</v>
      </c>
      <c r="J363" s="42">
        <f>VLOOKUP(F363,[6]Hárok1!$F$345:$S$436,5,0)</f>
        <v>0</v>
      </c>
      <c r="K363" s="43">
        <f>VLOOKUP(F363,[6]Hárok1!$F$345:$S$436,6,0)</f>
        <v>0</v>
      </c>
      <c r="L363" s="43">
        <f>VLOOKUP(F363,[6]Hárok1!$F$345:$S$436,7,0)</f>
        <v>0</v>
      </c>
      <c r="M363" s="43">
        <f>VLOOKUP(F363,[6]Hárok1!$F$345:$S$436,8,0)</f>
        <v>0</v>
      </c>
      <c r="N363" s="43">
        <f>VLOOKUP(F363,[6]Hárok1!$F$345:$S$436,9,0)</f>
        <v>0</v>
      </c>
      <c r="O363" s="43">
        <f>VLOOKUP(F363,[6]Hárok1!$F$345:$S$436,10,0)</f>
        <v>0</v>
      </c>
      <c r="P363" s="44">
        <f>VLOOKUP(F363,[6]Hárok1!$F$345:$S$436,11,0)</f>
        <v>0</v>
      </c>
      <c r="Q363" s="42">
        <f>VLOOKUP(F363,[6]Hárok1!$F$345:$S$436,12,0)</f>
        <v>0</v>
      </c>
      <c r="R363" s="43">
        <f>VLOOKUP(F363,[6]Hárok1!$F$345:$S$436,13,0)</f>
        <v>0</v>
      </c>
      <c r="S363" s="44">
        <f>VLOOKUP(F363,[6]Hárok1!$F$345:$S$436,14,0)</f>
        <v>0</v>
      </c>
      <c r="T363" s="45">
        <f t="shared" si="30"/>
        <v>0</v>
      </c>
      <c r="U363" s="46">
        <f>VLOOKUP(F363,[6]Hárok1!$F$344:$U$436,16,0)</f>
        <v>0</v>
      </c>
      <c r="V363" s="47">
        <f t="shared" si="31"/>
        <v>0</v>
      </c>
      <c r="W363" s="47">
        <f t="shared" si="32"/>
        <v>0</v>
      </c>
      <c r="X363" s="48">
        <f t="shared" si="33"/>
        <v>0</v>
      </c>
      <c r="Y363" s="49">
        <f t="shared" si="34"/>
        <v>0</v>
      </c>
      <c r="Z363" s="50">
        <f t="shared" si="35"/>
        <v>0</v>
      </c>
    </row>
    <row r="364" spans="1:26" x14ac:dyDescent="0.25">
      <c r="A364" s="29" t="s">
        <v>822</v>
      </c>
      <c r="B364" s="29" t="s">
        <v>79</v>
      </c>
      <c r="C364" s="29" t="s">
        <v>850</v>
      </c>
      <c r="D364" s="29">
        <v>37808427</v>
      </c>
      <c r="E364" s="32" t="s">
        <v>851</v>
      </c>
      <c r="F364" s="29">
        <v>695041</v>
      </c>
      <c r="G364" s="32" t="s">
        <v>402</v>
      </c>
      <c r="H364" s="32" t="s">
        <v>828</v>
      </c>
      <c r="I364" s="33" t="s">
        <v>855</v>
      </c>
      <c r="J364" s="42">
        <f>VLOOKUP(F364,[6]Hárok1!$F$345:$S$436,5,0)</f>
        <v>0</v>
      </c>
      <c r="K364" s="43">
        <f>VLOOKUP(F364,[6]Hárok1!$F$345:$S$436,6,0)</f>
        <v>0</v>
      </c>
      <c r="L364" s="43">
        <f>VLOOKUP(F364,[6]Hárok1!$F$345:$S$436,7,0)</f>
        <v>0</v>
      </c>
      <c r="M364" s="43">
        <f>VLOOKUP(F364,[6]Hárok1!$F$345:$S$436,8,0)</f>
        <v>0</v>
      </c>
      <c r="N364" s="43">
        <f>VLOOKUP(F364,[6]Hárok1!$F$345:$S$436,9,0)</f>
        <v>0</v>
      </c>
      <c r="O364" s="43">
        <f>VLOOKUP(F364,[6]Hárok1!$F$345:$S$436,10,0)</f>
        <v>0</v>
      </c>
      <c r="P364" s="44">
        <f>VLOOKUP(F364,[6]Hárok1!$F$345:$S$436,11,0)</f>
        <v>0</v>
      </c>
      <c r="Q364" s="42">
        <f>VLOOKUP(F364,[6]Hárok1!$F$345:$S$436,12,0)</f>
        <v>0</v>
      </c>
      <c r="R364" s="43">
        <f>VLOOKUP(F364,[6]Hárok1!$F$345:$S$436,13,0)</f>
        <v>0</v>
      </c>
      <c r="S364" s="44">
        <f>VLOOKUP(F364,[6]Hárok1!$F$345:$S$436,14,0)</f>
        <v>0</v>
      </c>
      <c r="T364" s="45">
        <f t="shared" si="30"/>
        <v>0</v>
      </c>
      <c r="U364" s="46">
        <f>VLOOKUP(F364,[6]Hárok1!$F$344:$U$436,16,0)</f>
        <v>0</v>
      </c>
      <c r="V364" s="47">
        <f t="shared" si="31"/>
        <v>0</v>
      </c>
      <c r="W364" s="47">
        <f t="shared" si="32"/>
        <v>0</v>
      </c>
      <c r="X364" s="48">
        <f t="shared" si="33"/>
        <v>0</v>
      </c>
      <c r="Y364" s="49">
        <f t="shared" si="34"/>
        <v>0</v>
      </c>
      <c r="Z364" s="50">
        <f t="shared" si="35"/>
        <v>0</v>
      </c>
    </row>
    <row r="365" spans="1:26" x14ac:dyDescent="0.25">
      <c r="A365" s="29" t="s">
        <v>822</v>
      </c>
      <c r="B365" s="29" t="s">
        <v>79</v>
      </c>
      <c r="C365" s="29" t="s">
        <v>850</v>
      </c>
      <c r="D365" s="29">
        <v>37808427</v>
      </c>
      <c r="E365" s="32" t="s">
        <v>851</v>
      </c>
      <c r="F365" s="29">
        <v>891452</v>
      </c>
      <c r="G365" s="32" t="s">
        <v>154</v>
      </c>
      <c r="H365" s="32" t="s">
        <v>828</v>
      </c>
      <c r="I365" s="33" t="s">
        <v>856</v>
      </c>
      <c r="J365" s="42">
        <f>VLOOKUP(F365,[6]Hárok1!$F$345:$S$436,5,0)</f>
        <v>0</v>
      </c>
      <c r="K365" s="43">
        <f>VLOOKUP(F365,[6]Hárok1!$F$345:$S$436,6,0)</f>
        <v>0</v>
      </c>
      <c r="L365" s="43">
        <f>VLOOKUP(F365,[6]Hárok1!$F$345:$S$436,7,0)</f>
        <v>0</v>
      </c>
      <c r="M365" s="43">
        <f>VLOOKUP(F365,[6]Hárok1!$F$345:$S$436,8,0)</f>
        <v>0</v>
      </c>
      <c r="N365" s="43">
        <f>VLOOKUP(F365,[6]Hárok1!$F$345:$S$436,9,0)</f>
        <v>0</v>
      </c>
      <c r="O365" s="43">
        <f>VLOOKUP(F365,[6]Hárok1!$F$345:$S$436,10,0)</f>
        <v>0</v>
      </c>
      <c r="P365" s="44">
        <f>VLOOKUP(F365,[6]Hárok1!$F$345:$S$436,11,0)</f>
        <v>0</v>
      </c>
      <c r="Q365" s="42">
        <f>VLOOKUP(F365,[6]Hárok1!$F$345:$S$436,12,0)</f>
        <v>0</v>
      </c>
      <c r="R365" s="43">
        <f>VLOOKUP(F365,[6]Hárok1!$F$345:$S$436,13,0)</f>
        <v>0</v>
      </c>
      <c r="S365" s="44">
        <f>VLOOKUP(F365,[6]Hárok1!$F$345:$S$436,14,0)</f>
        <v>0</v>
      </c>
      <c r="T365" s="45">
        <f t="shared" si="30"/>
        <v>0</v>
      </c>
      <c r="U365" s="46">
        <f>VLOOKUP(F365,[6]Hárok1!$F$344:$U$436,16,0)</f>
        <v>0</v>
      </c>
      <c r="V365" s="47">
        <f t="shared" si="31"/>
        <v>0</v>
      </c>
      <c r="W365" s="47">
        <f t="shared" si="32"/>
        <v>0</v>
      </c>
      <c r="X365" s="48">
        <f t="shared" si="33"/>
        <v>0</v>
      </c>
      <c r="Y365" s="49">
        <f t="shared" si="34"/>
        <v>0</v>
      </c>
      <c r="Z365" s="50">
        <f t="shared" si="35"/>
        <v>0</v>
      </c>
    </row>
    <row r="366" spans="1:26" x14ac:dyDescent="0.25">
      <c r="A366" s="29" t="s">
        <v>822</v>
      </c>
      <c r="B366" s="29" t="s">
        <v>79</v>
      </c>
      <c r="C366" s="29" t="s">
        <v>850</v>
      </c>
      <c r="D366" s="29">
        <v>37808427</v>
      </c>
      <c r="E366" s="32" t="s">
        <v>851</v>
      </c>
      <c r="F366" s="29">
        <v>891835</v>
      </c>
      <c r="G366" s="32" t="s">
        <v>857</v>
      </c>
      <c r="H366" s="32" t="s">
        <v>858</v>
      </c>
      <c r="I366" s="33" t="s">
        <v>859</v>
      </c>
      <c r="J366" s="42">
        <f>VLOOKUP(F366,[6]Hárok1!$F$345:$S$436,5,0)</f>
        <v>0</v>
      </c>
      <c r="K366" s="43">
        <f>VLOOKUP(F366,[6]Hárok1!$F$345:$S$436,6,0)</f>
        <v>0</v>
      </c>
      <c r="L366" s="43">
        <f>VLOOKUP(F366,[6]Hárok1!$F$345:$S$436,7,0)</f>
        <v>0</v>
      </c>
      <c r="M366" s="43">
        <f>VLOOKUP(F366,[6]Hárok1!$F$345:$S$436,8,0)</f>
        <v>0</v>
      </c>
      <c r="N366" s="43">
        <f>VLOOKUP(F366,[6]Hárok1!$F$345:$S$436,9,0)</f>
        <v>0</v>
      </c>
      <c r="O366" s="43">
        <f>VLOOKUP(F366,[6]Hárok1!$F$345:$S$436,10,0)</f>
        <v>0</v>
      </c>
      <c r="P366" s="44">
        <f>VLOOKUP(F366,[6]Hárok1!$F$345:$S$436,11,0)</f>
        <v>0</v>
      </c>
      <c r="Q366" s="42">
        <f>VLOOKUP(F366,[6]Hárok1!$F$345:$S$436,12,0)</f>
        <v>0</v>
      </c>
      <c r="R366" s="43">
        <f>VLOOKUP(F366,[6]Hárok1!$F$345:$S$436,13,0)</f>
        <v>0</v>
      </c>
      <c r="S366" s="44">
        <f>VLOOKUP(F366,[6]Hárok1!$F$345:$S$436,14,0)</f>
        <v>0</v>
      </c>
      <c r="T366" s="45">
        <f t="shared" si="30"/>
        <v>0</v>
      </c>
      <c r="U366" s="46">
        <f>VLOOKUP(F366,[6]Hárok1!$F$344:$U$436,16,0)</f>
        <v>0</v>
      </c>
      <c r="V366" s="47">
        <f t="shared" si="31"/>
        <v>0</v>
      </c>
      <c r="W366" s="47">
        <f t="shared" si="32"/>
        <v>0</v>
      </c>
      <c r="X366" s="48">
        <f t="shared" si="33"/>
        <v>0</v>
      </c>
      <c r="Y366" s="49">
        <f t="shared" si="34"/>
        <v>0</v>
      </c>
      <c r="Z366" s="50">
        <f t="shared" si="35"/>
        <v>0</v>
      </c>
    </row>
    <row r="367" spans="1:26" x14ac:dyDescent="0.25">
      <c r="A367" s="29" t="s">
        <v>822</v>
      </c>
      <c r="B367" s="29" t="s">
        <v>79</v>
      </c>
      <c r="C367" s="29" t="s">
        <v>850</v>
      </c>
      <c r="D367" s="29">
        <v>37808427</v>
      </c>
      <c r="E367" s="32" t="s">
        <v>851</v>
      </c>
      <c r="F367" s="29">
        <v>160849</v>
      </c>
      <c r="G367" s="32" t="s">
        <v>49</v>
      </c>
      <c r="H367" s="32" t="s">
        <v>860</v>
      </c>
      <c r="I367" s="33" t="s">
        <v>861</v>
      </c>
      <c r="J367" s="42">
        <f>VLOOKUP(F367,[6]Hárok1!$F$345:$S$436,5,0)</f>
        <v>0</v>
      </c>
      <c r="K367" s="43">
        <f>VLOOKUP(F367,[6]Hárok1!$F$345:$S$436,6,0)</f>
        <v>0</v>
      </c>
      <c r="L367" s="43">
        <f>VLOOKUP(F367,[6]Hárok1!$F$345:$S$436,7,0)</f>
        <v>0</v>
      </c>
      <c r="M367" s="43">
        <f>VLOOKUP(F367,[6]Hárok1!$F$345:$S$436,8,0)</f>
        <v>0</v>
      </c>
      <c r="N367" s="43">
        <f>VLOOKUP(F367,[6]Hárok1!$F$345:$S$436,9,0)</f>
        <v>0</v>
      </c>
      <c r="O367" s="43">
        <f>VLOOKUP(F367,[6]Hárok1!$F$345:$S$436,10,0)</f>
        <v>0</v>
      </c>
      <c r="P367" s="44">
        <f>VLOOKUP(F367,[6]Hárok1!$F$345:$S$436,11,0)</f>
        <v>0</v>
      </c>
      <c r="Q367" s="42">
        <f>VLOOKUP(F367,[6]Hárok1!$F$345:$S$436,12,0)</f>
        <v>0</v>
      </c>
      <c r="R367" s="43">
        <f>VLOOKUP(F367,[6]Hárok1!$F$345:$S$436,13,0)</f>
        <v>0</v>
      </c>
      <c r="S367" s="44">
        <f>VLOOKUP(F367,[6]Hárok1!$F$345:$S$436,14,0)</f>
        <v>0</v>
      </c>
      <c r="T367" s="45">
        <f t="shared" si="30"/>
        <v>0</v>
      </c>
      <c r="U367" s="46">
        <f>VLOOKUP(F367,[6]Hárok1!$F$344:$U$436,16,0)</f>
        <v>0</v>
      </c>
      <c r="V367" s="47">
        <f t="shared" si="31"/>
        <v>0</v>
      </c>
      <c r="W367" s="47">
        <f t="shared" si="32"/>
        <v>0</v>
      </c>
      <c r="X367" s="48">
        <f t="shared" si="33"/>
        <v>0</v>
      </c>
      <c r="Y367" s="49">
        <f t="shared" si="34"/>
        <v>0</v>
      </c>
      <c r="Z367" s="50">
        <f t="shared" si="35"/>
        <v>0</v>
      </c>
    </row>
    <row r="368" spans="1:26" x14ac:dyDescent="0.25">
      <c r="A368" s="29" t="s">
        <v>822</v>
      </c>
      <c r="B368" s="29" t="s">
        <v>79</v>
      </c>
      <c r="C368" s="29" t="s">
        <v>850</v>
      </c>
      <c r="D368" s="29">
        <v>37808427</v>
      </c>
      <c r="E368" s="32" t="s">
        <v>851</v>
      </c>
      <c r="F368" s="29">
        <v>160571</v>
      </c>
      <c r="G368" s="32" t="s">
        <v>862</v>
      </c>
      <c r="H368" s="32" t="s">
        <v>863</v>
      </c>
      <c r="I368" s="33" t="s">
        <v>864</v>
      </c>
      <c r="J368" s="42">
        <f>VLOOKUP(F368,[6]Hárok1!$F$345:$S$436,5,0)</f>
        <v>0</v>
      </c>
      <c r="K368" s="43">
        <f>VLOOKUP(F368,[6]Hárok1!$F$345:$S$436,6,0)</f>
        <v>0</v>
      </c>
      <c r="L368" s="43">
        <f>VLOOKUP(F368,[6]Hárok1!$F$345:$S$436,7,0)</f>
        <v>0</v>
      </c>
      <c r="M368" s="43">
        <f>VLOOKUP(F368,[6]Hárok1!$F$345:$S$436,8,0)</f>
        <v>0</v>
      </c>
      <c r="N368" s="43">
        <f>VLOOKUP(F368,[6]Hárok1!$F$345:$S$436,9,0)</f>
        <v>0</v>
      </c>
      <c r="O368" s="43">
        <f>VLOOKUP(F368,[6]Hárok1!$F$345:$S$436,10,0)</f>
        <v>0</v>
      </c>
      <c r="P368" s="44">
        <f>VLOOKUP(F368,[6]Hárok1!$F$345:$S$436,11,0)</f>
        <v>0</v>
      </c>
      <c r="Q368" s="42">
        <f>VLOOKUP(F368,[6]Hárok1!$F$345:$S$436,12,0)</f>
        <v>0</v>
      </c>
      <c r="R368" s="43">
        <f>VLOOKUP(F368,[6]Hárok1!$F$345:$S$436,13,0)</f>
        <v>0</v>
      </c>
      <c r="S368" s="44">
        <f>VLOOKUP(F368,[6]Hárok1!$F$345:$S$436,14,0)</f>
        <v>0</v>
      </c>
      <c r="T368" s="45">
        <f t="shared" si="30"/>
        <v>0</v>
      </c>
      <c r="U368" s="46">
        <f>VLOOKUP(F368,[6]Hárok1!$F$344:$U$436,16,0)</f>
        <v>0</v>
      </c>
      <c r="V368" s="47">
        <f t="shared" si="31"/>
        <v>0</v>
      </c>
      <c r="W368" s="47">
        <f t="shared" si="32"/>
        <v>0</v>
      </c>
      <c r="X368" s="48">
        <f t="shared" si="33"/>
        <v>0</v>
      </c>
      <c r="Y368" s="49">
        <f t="shared" si="34"/>
        <v>0</v>
      </c>
      <c r="Z368" s="50">
        <f t="shared" si="35"/>
        <v>0</v>
      </c>
    </row>
    <row r="369" spans="1:26" x14ac:dyDescent="0.25">
      <c r="A369" s="29" t="s">
        <v>822</v>
      </c>
      <c r="B369" s="29" t="s">
        <v>79</v>
      </c>
      <c r="C369" s="29" t="s">
        <v>850</v>
      </c>
      <c r="D369" s="29">
        <v>37808427</v>
      </c>
      <c r="E369" s="32" t="s">
        <v>851</v>
      </c>
      <c r="F369" s="29">
        <v>162051</v>
      </c>
      <c r="G369" s="32" t="s">
        <v>100</v>
      </c>
      <c r="H369" s="32" t="s">
        <v>863</v>
      </c>
      <c r="I369" s="33" t="s">
        <v>865</v>
      </c>
      <c r="J369" s="42">
        <f>VLOOKUP(F369,[6]Hárok1!$F$345:$S$436,5,0)</f>
        <v>0</v>
      </c>
      <c r="K369" s="43">
        <f>VLOOKUP(F369,[6]Hárok1!$F$345:$S$436,6,0)</f>
        <v>0</v>
      </c>
      <c r="L369" s="43">
        <f>VLOOKUP(F369,[6]Hárok1!$F$345:$S$436,7,0)</f>
        <v>0</v>
      </c>
      <c r="M369" s="43">
        <f>VLOOKUP(F369,[6]Hárok1!$F$345:$S$436,8,0)</f>
        <v>0</v>
      </c>
      <c r="N369" s="43">
        <f>VLOOKUP(F369,[6]Hárok1!$F$345:$S$436,9,0)</f>
        <v>0</v>
      </c>
      <c r="O369" s="43">
        <f>VLOOKUP(F369,[6]Hárok1!$F$345:$S$436,10,0)</f>
        <v>0</v>
      </c>
      <c r="P369" s="44">
        <f>VLOOKUP(F369,[6]Hárok1!$F$345:$S$436,11,0)</f>
        <v>0</v>
      </c>
      <c r="Q369" s="42">
        <f>VLOOKUP(F369,[6]Hárok1!$F$345:$S$436,12,0)</f>
        <v>0</v>
      </c>
      <c r="R369" s="43">
        <f>VLOOKUP(F369,[6]Hárok1!$F$345:$S$436,13,0)</f>
        <v>0</v>
      </c>
      <c r="S369" s="44">
        <f>VLOOKUP(F369,[6]Hárok1!$F$345:$S$436,14,0)</f>
        <v>0</v>
      </c>
      <c r="T369" s="45">
        <f t="shared" si="30"/>
        <v>0</v>
      </c>
      <c r="U369" s="46">
        <f>VLOOKUP(F369,[6]Hárok1!$F$344:$U$436,16,0)</f>
        <v>0</v>
      </c>
      <c r="V369" s="47">
        <f t="shared" si="31"/>
        <v>0</v>
      </c>
      <c r="W369" s="47">
        <f t="shared" si="32"/>
        <v>0</v>
      </c>
      <c r="X369" s="48">
        <f t="shared" si="33"/>
        <v>0</v>
      </c>
      <c r="Y369" s="49">
        <f t="shared" si="34"/>
        <v>0</v>
      </c>
      <c r="Z369" s="50">
        <f t="shared" si="35"/>
        <v>0</v>
      </c>
    </row>
    <row r="370" spans="1:26" x14ac:dyDescent="0.25">
      <c r="A370" s="29" t="s">
        <v>822</v>
      </c>
      <c r="B370" s="29" t="s">
        <v>79</v>
      </c>
      <c r="C370" s="29" t="s">
        <v>850</v>
      </c>
      <c r="D370" s="29">
        <v>37808427</v>
      </c>
      <c r="E370" s="32" t="s">
        <v>851</v>
      </c>
      <c r="F370" s="29">
        <v>158518</v>
      </c>
      <c r="G370" s="32" t="s">
        <v>402</v>
      </c>
      <c r="H370" s="32" t="s">
        <v>863</v>
      </c>
      <c r="I370" s="33" t="s">
        <v>866</v>
      </c>
      <c r="J370" s="42">
        <f>VLOOKUP(F370,[6]Hárok1!$F$345:$S$436,5,0)</f>
        <v>0</v>
      </c>
      <c r="K370" s="43">
        <f>VLOOKUP(F370,[6]Hárok1!$F$345:$S$436,6,0)</f>
        <v>0</v>
      </c>
      <c r="L370" s="43">
        <f>VLOOKUP(F370,[6]Hárok1!$F$345:$S$436,7,0)</f>
        <v>0</v>
      </c>
      <c r="M370" s="43">
        <f>VLOOKUP(F370,[6]Hárok1!$F$345:$S$436,8,0)</f>
        <v>0</v>
      </c>
      <c r="N370" s="43">
        <f>VLOOKUP(F370,[6]Hárok1!$F$345:$S$436,9,0)</f>
        <v>0</v>
      </c>
      <c r="O370" s="43">
        <f>VLOOKUP(F370,[6]Hárok1!$F$345:$S$436,10,0)</f>
        <v>0</v>
      </c>
      <c r="P370" s="44">
        <f>VLOOKUP(F370,[6]Hárok1!$F$345:$S$436,11,0)</f>
        <v>0</v>
      </c>
      <c r="Q370" s="42">
        <f>VLOOKUP(F370,[6]Hárok1!$F$345:$S$436,12,0)</f>
        <v>0</v>
      </c>
      <c r="R370" s="43">
        <f>VLOOKUP(F370,[6]Hárok1!$F$345:$S$436,13,0)</f>
        <v>0</v>
      </c>
      <c r="S370" s="44">
        <f>VLOOKUP(F370,[6]Hárok1!$F$345:$S$436,14,0)</f>
        <v>0</v>
      </c>
      <c r="T370" s="45">
        <f t="shared" si="30"/>
        <v>0</v>
      </c>
      <c r="U370" s="46">
        <f>VLOOKUP(F370,[6]Hárok1!$F$344:$U$436,16,0)</f>
        <v>0</v>
      </c>
      <c r="V370" s="47">
        <f t="shared" si="31"/>
        <v>0</v>
      </c>
      <c r="W370" s="47">
        <f t="shared" si="32"/>
        <v>0</v>
      </c>
      <c r="X370" s="48">
        <f t="shared" si="33"/>
        <v>0</v>
      </c>
      <c r="Y370" s="49">
        <f t="shared" si="34"/>
        <v>0</v>
      </c>
      <c r="Z370" s="50">
        <f t="shared" si="35"/>
        <v>0</v>
      </c>
    </row>
    <row r="371" spans="1:26" x14ac:dyDescent="0.25">
      <c r="A371" s="29" t="s">
        <v>822</v>
      </c>
      <c r="B371" s="29" t="s">
        <v>79</v>
      </c>
      <c r="C371" s="29" t="s">
        <v>850</v>
      </c>
      <c r="D371" s="29">
        <v>37808427</v>
      </c>
      <c r="E371" s="32" t="s">
        <v>851</v>
      </c>
      <c r="F371" s="29">
        <v>891479</v>
      </c>
      <c r="G371" s="32" t="s">
        <v>754</v>
      </c>
      <c r="H371" s="32" t="s">
        <v>863</v>
      </c>
      <c r="I371" s="33" t="s">
        <v>867</v>
      </c>
      <c r="J371" s="42">
        <f>VLOOKUP(F371,[6]Hárok1!$F$345:$S$436,5,0)</f>
        <v>0</v>
      </c>
      <c r="K371" s="43">
        <f>VLOOKUP(F371,[6]Hárok1!$F$345:$S$436,6,0)</f>
        <v>0</v>
      </c>
      <c r="L371" s="43">
        <f>VLOOKUP(F371,[6]Hárok1!$F$345:$S$436,7,0)</f>
        <v>0</v>
      </c>
      <c r="M371" s="43">
        <f>VLOOKUP(F371,[6]Hárok1!$F$345:$S$436,8,0)</f>
        <v>0</v>
      </c>
      <c r="N371" s="43">
        <f>VLOOKUP(F371,[6]Hárok1!$F$345:$S$436,9,0)</f>
        <v>0</v>
      </c>
      <c r="O371" s="43">
        <f>VLOOKUP(F371,[6]Hárok1!$F$345:$S$436,10,0)</f>
        <v>0</v>
      </c>
      <c r="P371" s="44">
        <f>VLOOKUP(F371,[6]Hárok1!$F$345:$S$436,11,0)</f>
        <v>0</v>
      </c>
      <c r="Q371" s="42">
        <f>VLOOKUP(F371,[6]Hárok1!$F$345:$S$436,12,0)</f>
        <v>0</v>
      </c>
      <c r="R371" s="43">
        <f>VLOOKUP(F371,[6]Hárok1!$F$345:$S$436,13,0)</f>
        <v>0</v>
      </c>
      <c r="S371" s="44">
        <f>VLOOKUP(F371,[6]Hárok1!$F$345:$S$436,14,0)</f>
        <v>0</v>
      </c>
      <c r="T371" s="45">
        <f t="shared" si="30"/>
        <v>0</v>
      </c>
      <c r="U371" s="46">
        <f>VLOOKUP(F371,[6]Hárok1!$F$344:$U$436,16,0)</f>
        <v>0</v>
      </c>
      <c r="V371" s="47">
        <f t="shared" si="31"/>
        <v>0</v>
      </c>
      <c r="W371" s="47">
        <f t="shared" si="32"/>
        <v>0</v>
      </c>
      <c r="X371" s="48">
        <f t="shared" si="33"/>
        <v>0</v>
      </c>
      <c r="Y371" s="49">
        <f t="shared" si="34"/>
        <v>0</v>
      </c>
      <c r="Z371" s="50">
        <f t="shared" si="35"/>
        <v>0</v>
      </c>
    </row>
    <row r="372" spans="1:26" x14ac:dyDescent="0.25">
      <c r="A372" s="29" t="s">
        <v>822</v>
      </c>
      <c r="B372" s="29" t="s">
        <v>79</v>
      </c>
      <c r="C372" s="29" t="s">
        <v>850</v>
      </c>
      <c r="D372" s="29">
        <v>37808427</v>
      </c>
      <c r="E372" s="32" t="s">
        <v>851</v>
      </c>
      <c r="F372" s="29">
        <v>607045</v>
      </c>
      <c r="G372" s="32" t="s">
        <v>117</v>
      </c>
      <c r="H372" s="32" t="s">
        <v>863</v>
      </c>
      <c r="I372" s="33" t="s">
        <v>868</v>
      </c>
      <c r="J372" s="42">
        <f>VLOOKUP(F372,[6]Hárok1!$F$345:$S$436,5,0)</f>
        <v>0</v>
      </c>
      <c r="K372" s="43">
        <f>VLOOKUP(F372,[6]Hárok1!$F$345:$S$436,6,0)</f>
        <v>0</v>
      </c>
      <c r="L372" s="43">
        <f>VLOOKUP(F372,[6]Hárok1!$F$345:$S$436,7,0)</f>
        <v>0</v>
      </c>
      <c r="M372" s="43">
        <f>VLOOKUP(F372,[6]Hárok1!$F$345:$S$436,8,0)</f>
        <v>0</v>
      </c>
      <c r="N372" s="43">
        <f>VLOOKUP(F372,[6]Hárok1!$F$345:$S$436,9,0)</f>
        <v>0</v>
      </c>
      <c r="O372" s="43">
        <f>VLOOKUP(F372,[6]Hárok1!$F$345:$S$436,10,0)</f>
        <v>0</v>
      </c>
      <c r="P372" s="44">
        <f>VLOOKUP(F372,[6]Hárok1!$F$345:$S$436,11,0)</f>
        <v>0</v>
      </c>
      <c r="Q372" s="42">
        <f>VLOOKUP(F372,[6]Hárok1!$F$345:$S$436,12,0)</f>
        <v>0</v>
      </c>
      <c r="R372" s="43">
        <f>VLOOKUP(F372,[6]Hárok1!$F$345:$S$436,13,0)</f>
        <v>0</v>
      </c>
      <c r="S372" s="44">
        <f>VLOOKUP(F372,[6]Hárok1!$F$345:$S$436,14,0)</f>
        <v>0</v>
      </c>
      <c r="T372" s="45">
        <f t="shared" si="30"/>
        <v>0</v>
      </c>
      <c r="U372" s="46">
        <f>VLOOKUP(F372,[6]Hárok1!$F$344:$U$436,16,0)</f>
        <v>0</v>
      </c>
      <c r="V372" s="47">
        <f t="shared" si="31"/>
        <v>0</v>
      </c>
      <c r="W372" s="47">
        <f t="shared" si="32"/>
        <v>0</v>
      </c>
      <c r="X372" s="48">
        <f t="shared" si="33"/>
        <v>0</v>
      </c>
      <c r="Y372" s="49">
        <f t="shared" si="34"/>
        <v>0</v>
      </c>
      <c r="Z372" s="50">
        <f t="shared" si="35"/>
        <v>0</v>
      </c>
    </row>
    <row r="373" spans="1:26" x14ac:dyDescent="0.25">
      <c r="A373" s="29" t="s">
        <v>822</v>
      </c>
      <c r="B373" s="29" t="s">
        <v>79</v>
      </c>
      <c r="C373" s="29" t="s">
        <v>850</v>
      </c>
      <c r="D373" s="29">
        <v>37808427</v>
      </c>
      <c r="E373" s="32" t="s">
        <v>851</v>
      </c>
      <c r="F373" s="29">
        <v>160652</v>
      </c>
      <c r="G373" s="32" t="s">
        <v>49</v>
      </c>
      <c r="H373" s="32" t="s">
        <v>831</v>
      </c>
      <c r="I373" s="33" t="s">
        <v>869</v>
      </c>
      <c r="J373" s="42">
        <f>VLOOKUP(F373,[6]Hárok1!$F$345:$S$436,5,0)</f>
        <v>0</v>
      </c>
      <c r="K373" s="43">
        <f>VLOOKUP(F373,[6]Hárok1!$F$345:$S$436,6,0)</f>
        <v>0</v>
      </c>
      <c r="L373" s="43">
        <f>VLOOKUP(F373,[6]Hárok1!$F$345:$S$436,7,0)</f>
        <v>0</v>
      </c>
      <c r="M373" s="43">
        <f>VLOOKUP(F373,[6]Hárok1!$F$345:$S$436,8,0)</f>
        <v>0</v>
      </c>
      <c r="N373" s="43">
        <f>VLOOKUP(F373,[6]Hárok1!$F$345:$S$436,9,0)</f>
        <v>0</v>
      </c>
      <c r="O373" s="43">
        <f>VLOOKUP(F373,[6]Hárok1!$F$345:$S$436,10,0)</f>
        <v>0</v>
      </c>
      <c r="P373" s="44">
        <f>VLOOKUP(F373,[6]Hárok1!$F$345:$S$436,11,0)</f>
        <v>0</v>
      </c>
      <c r="Q373" s="42">
        <f>VLOOKUP(F373,[6]Hárok1!$F$345:$S$436,12,0)</f>
        <v>0</v>
      </c>
      <c r="R373" s="43">
        <f>VLOOKUP(F373,[6]Hárok1!$F$345:$S$436,13,0)</f>
        <v>0</v>
      </c>
      <c r="S373" s="44">
        <f>VLOOKUP(F373,[6]Hárok1!$F$345:$S$436,14,0)</f>
        <v>0</v>
      </c>
      <c r="T373" s="45">
        <f t="shared" si="30"/>
        <v>0</v>
      </c>
      <c r="U373" s="46">
        <f>VLOOKUP(F373,[6]Hárok1!$F$344:$U$436,16,0)</f>
        <v>0</v>
      </c>
      <c r="V373" s="47">
        <f t="shared" si="31"/>
        <v>0</v>
      </c>
      <c r="W373" s="47">
        <f t="shared" si="32"/>
        <v>0</v>
      </c>
      <c r="X373" s="48">
        <f t="shared" si="33"/>
        <v>0</v>
      </c>
      <c r="Y373" s="49">
        <f t="shared" si="34"/>
        <v>0</v>
      </c>
      <c r="Z373" s="50">
        <f t="shared" si="35"/>
        <v>0</v>
      </c>
    </row>
    <row r="374" spans="1:26" x14ac:dyDescent="0.25">
      <c r="A374" s="29" t="s">
        <v>822</v>
      </c>
      <c r="B374" s="29" t="s">
        <v>79</v>
      </c>
      <c r="C374" s="29" t="s">
        <v>850</v>
      </c>
      <c r="D374" s="29">
        <v>37808427</v>
      </c>
      <c r="E374" s="32" t="s">
        <v>851</v>
      </c>
      <c r="F374" s="29">
        <v>17053722</v>
      </c>
      <c r="G374" s="32" t="s">
        <v>435</v>
      </c>
      <c r="H374" s="32" t="s">
        <v>831</v>
      </c>
      <c r="I374" s="33" t="s">
        <v>870</v>
      </c>
      <c r="J374" s="42">
        <f>VLOOKUP(F374,[6]Hárok1!$F$345:$S$436,5,0)</f>
        <v>0</v>
      </c>
      <c r="K374" s="43">
        <f>VLOOKUP(F374,[6]Hárok1!$F$345:$S$436,6,0)</f>
        <v>0</v>
      </c>
      <c r="L374" s="43">
        <f>VLOOKUP(F374,[6]Hárok1!$F$345:$S$436,7,0)</f>
        <v>0</v>
      </c>
      <c r="M374" s="43">
        <f>VLOOKUP(F374,[6]Hárok1!$F$345:$S$436,8,0)</f>
        <v>0</v>
      </c>
      <c r="N374" s="43">
        <f>VLOOKUP(F374,[6]Hárok1!$F$345:$S$436,9,0)</f>
        <v>0</v>
      </c>
      <c r="O374" s="43">
        <f>VLOOKUP(F374,[6]Hárok1!$F$345:$S$436,10,0)</f>
        <v>0</v>
      </c>
      <c r="P374" s="44">
        <f>VLOOKUP(F374,[6]Hárok1!$F$345:$S$436,11,0)</f>
        <v>0</v>
      </c>
      <c r="Q374" s="42">
        <f>VLOOKUP(F374,[6]Hárok1!$F$345:$S$436,12,0)</f>
        <v>0</v>
      </c>
      <c r="R374" s="43">
        <f>VLOOKUP(F374,[6]Hárok1!$F$345:$S$436,13,0)</f>
        <v>0</v>
      </c>
      <c r="S374" s="44">
        <f>VLOOKUP(F374,[6]Hárok1!$F$345:$S$436,14,0)</f>
        <v>0</v>
      </c>
      <c r="T374" s="45">
        <f t="shared" si="30"/>
        <v>0</v>
      </c>
      <c r="U374" s="46">
        <f>VLOOKUP(F374,[6]Hárok1!$F$344:$U$436,16,0)</f>
        <v>0</v>
      </c>
      <c r="V374" s="47">
        <f t="shared" si="31"/>
        <v>0</v>
      </c>
      <c r="W374" s="47">
        <f t="shared" si="32"/>
        <v>0</v>
      </c>
      <c r="X374" s="48">
        <f t="shared" si="33"/>
        <v>0</v>
      </c>
      <c r="Y374" s="49">
        <f t="shared" si="34"/>
        <v>0</v>
      </c>
      <c r="Z374" s="50">
        <f t="shared" si="35"/>
        <v>0</v>
      </c>
    </row>
    <row r="375" spans="1:26" x14ac:dyDescent="0.25">
      <c r="A375" s="29" t="s">
        <v>822</v>
      </c>
      <c r="B375" s="29" t="s">
        <v>79</v>
      </c>
      <c r="C375" s="29" t="s">
        <v>850</v>
      </c>
      <c r="D375" s="29">
        <v>37808427</v>
      </c>
      <c r="E375" s="32" t="s">
        <v>851</v>
      </c>
      <c r="F375" s="29">
        <v>51906201</v>
      </c>
      <c r="G375" s="32" t="s">
        <v>871</v>
      </c>
      <c r="H375" s="32" t="s">
        <v>831</v>
      </c>
      <c r="I375" s="33" t="s">
        <v>872</v>
      </c>
      <c r="J375" s="42">
        <f>VLOOKUP(F375,[6]Hárok1!$F$345:$S$436,5,0)</f>
        <v>0</v>
      </c>
      <c r="K375" s="43">
        <f>VLOOKUP(F375,[6]Hárok1!$F$345:$S$436,6,0)</f>
        <v>0</v>
      </c>
      <c r="L375" s="43">
        <f>VLOOKUP(F375,[6]Hárok1!$F$345:$S$436,7,0)</f>
        <v>0</v>
      </c>
      <c r="M375" s="43">
        <f>VLOOKUP(F375,[6]Hárok1!$F$345:$S$436,8,0)</f>
        <v>0</v>
      </c>
      <c r="N375" s="43">
        <f>VLOOKUP(F375,[6]Hárok1!$F$345:$S$436,9,0)</f>
        <v>0</v>
      </c>
      <c r="O375" s="43">
        <f>VLOOKUP(F375,[6]Hárok1!$F$345:$S$436,10,0)</f>
        <v>0</v>
      </c>
      <c r="P375" s="44">
        <f>VLOOKUP(F375,[6]Hárok1!$F$345:$S$436,11,0)</f>
        <v>0</v>
      </c>
      <c r="Q375" s="42">
        <f>VLOOKUP(F375,[6]Hárok1!$F$345:$S$436,12,0)</f>
        <v>0</v>
      </c>
      <c r="R375" s="43">
        <f>VLOOKUP(F375,[6]Hárok1!$F$345:$S$436,13,0)</f>
        <v>0</v>
      </c>
      <c r="S375" s="44">
        <f>VLOOKUP(F375,[6]Hárok1!$F$345:$S$436,14,0)</f>
        <v>0</v>
      </c>
      <c r="T375" s="45">
        <f t="shared" si="30"/>
        <v>0</v>
      </c>
      <c r="U375" s="46">
        <f>VLOOKUP(F375,[6]Hárok1!$F$344:$U$436,16,0)</f>
        <v>0</v>
      </c>
      <c r="V375" s="47">
        <f t="shared" si="31"/>
        <v>0</v>
      </c>
      <c r="W375" s="47">
        <f t="shared" si="32"/>
        <v>0</v>
      </c>
      <c r="X375" s="48">
        <f t="shared" si="33"/>
        <v>0</v>
      </c>
      <c r="Y375" s="49">
        <f t="shared" si="34"/>
        <v>0</v>
      </c>
      <c r="Z375" s="50">
        <f t="shared" si="35"/>
        <v>0</v>
      </c>
    </row>
    <row r="376" spans="1:26" x14ac:dyDescent="0.25">
      <c r="A376" s="29" t="s">
        <v>822</v>
      </c>
      <c r="B376" s="29" t="s">
        <v>79</v>
      </c>
      <c r="C376" s="29" t="s">
        <v>850</v>
      </c>
      <c r="D376" s="29">
        <v>37808427</v>
      </c>
      <c r="E376" s="32" t="s">
        <v>851</v>
      </c>
      <c r="F376" s="29">
        <v>160661</v>
      </c>
      <c r="G376" s="32" t="s">
        <v>49</v>
      </c>
      <c r="H376" s="32" t="s">
        <v>873</v>
      </c>
      <c r="I376" s="33" t="s">
        <v>874</v>
      </c>
      <c r="J376" s="42">
        <f>VLOOKUP(F376,[6]Hárok1!$F$345:$S$436,5,0)</f>
        <v>0</v>
      </c>
      <c r="K376" s="43">
        <f>VLOOKUP(F376,[6]Hárok1!$F$345:$S$436,6,0)</f>
        <v>0</v>
      </c>
      <c r="L376" s="43">
        <f>VLOOKUP(F376,[6]Hárok1!$F$345:$S$436,7,0)</f>
        <v>0</v>
      </c>
      <c r="M376" s="43">
        <f>VLOOKUP(F376,[6]Hárok1!$F$345:$S$436,8,0)</f>
        <v>0</v>
      </c>
      <c r="N376" s="43">
        <f>VLOOKUP(F376,[6]Hárok1!$F$345:$S$436,9,0)</f>
        <v>0</v>
      </c>
      <c r="O376" s="43">
        <f>VLOOKUP(F376,[6]Hárok1!$F$345:$S$436,10,0)</f>
        <v>0</v>
      </c>
      <c r="P376" s="44">
        <f>VLOOKUP(F376,[6]Hárok1!$F$345:$S$436,11,0)</f>
        <v>0</v>
      </c>
      <c r="Q376" s="42">
        <f>VLOOKUP(F376,[6]Hárok1!$F$345:$S$436,12,0)</f>
        <v>0</v>
      </c>
      <c r="R376" s="43">
        <f>VLOOKUP(F376,[6]Hárok1!$F$345:$S$436,13,0)</f>
        <v>0</v>
      </c>
      <c r="S376" s="44">
        <f>VLOOKUP(F376,[6]Hárok1!$F$345:$S$436,14,0)</f>
        <v>0</v>
      </c>
      <c r="T376" s="45">
        <f t="shared" si="30"/>
        <v>0</v>
      </c>
      <c r="U376" s="46">
        <f>VLOOKUP(F376,[6]Hárok1!$F$344:$U$436,16,0)</f>
        <v>0</v>
      </c>
      <c r="V376" s="47">
        <f t="shared" si="31"/>
        <v>0</v>
      </c>
      <c r="W376" s="47">
        <f t="shared" si="32"/>
        <v>0</v>
      </c>
      <c r="X376" s="48">
        <f t="shared" si="33"/>
        <v>0</v>
      </c>
      <c r="Y376" s="49">
        <f t="shared" si="34"/>
        <v>0</v>
      </c>
      <c r="Z376" s="50">
        <f t="shared" si="35"/>
        <v>0</v>
      </c>
    </row>
    <row r="377" spans="1:26" x14ac:dyDescent="0.25">
      <c r="A377" s="29" t="s">
        <v>822</v>
      </c>
      <c r="B377" s="29" t="s">
        <v>79</v>
      </c>
      <c r="C377" s="29" t="s">
        <v>850</v>
      </c>
      <c r="D377" s="29">
        <v>37808427</v>
      </c>
      <c r="E377" s="32" t="s">
        <v>851</v>
      </c>
      <c r="F377" s="29">
        <v>893170</v>
      </c>
      <c r="G377" s="32" t="s">
        <v>138</v>
      </c>
      <c r="H377" s="32" t="s">
        <v>873</v>
      </c>
      <c r="I377" s="33" t="s">
        <v>875</v>
      </c>
      <c r="J377" s="42">
        <f>VLOOKUP(F377,[6]Hárok1!$F$345:$S$436,5,0)</f>
        <v>0</v>
      </c>
      <c r="K377" s="43">
        <f>VLOOKUP(F377,[6]Hárok1!$F$345:$S$436,6,0)</f>
        <v>0</v>
      </c>
      <c r="L377" s="43">
        <f>VLOOKUP(F377,[6]Hárok1!$F$345:$S$436,7,0)</f>
        <v>0</v>
      </c>
      <c r="M377" s="43">
        <f>VLOOKUP(F377,[6]Hárok1!$F$345:$S$436,8,0)</f>
        <v>0</v>
      </c>
      <c r="N377" s="43">
        <f>VLOOKUP(F377,[6]Hárok1!$F$345:$S$436,9,0)</f>
        <v>0</v>
      </c>
      <c r="O377" s="43">
        <f>VLOOKUP(F377,[6]Hárok1!$F$345:$S$436,10,0)</f>
        <v>0</v>
      </c>
      <c r="P377" s="44">
        <f>VLOOKUP(F377,[6]Hárok1!$F$345:$S$436,11,0)</f>
        <v>0</v>
      </c>
      <c r="Q377" s="42">
        <f>VLOOKUP(F377,[6]Hárok1!$F$345:$S$436,12,0)</f>
        <v>0</v>
      </c>
      <c r="R377" s="43">
        <f>VLOOKUP(F377,[6]Hárok1!$F$345:$S$436,13,0)</f>
        <v>0</v>
      </c>
      <c r="S377" s="44">
        <f>VLOOKUP(F377,[6]Hárok1!$F$345:$S$436,14,0)</f>
        <v>0</v>
      </c>
      <c r="T377" s="45">
        <f t="shared" si="30"/>
        <v>0</v>
      </c>
      <c r="U377" s="46">
        <f>VLOOKUP(F377,[6]Hárok1!$F$344:$U$436,16,0)</f>
        <v>0</v>
      </c>
      <c r="V377" s="47">
        <f t="shared" si="31"/>
        <v>0</v>
      </c>
      <c r="W377" s="47">
        <f t="shared" si="32"/>
        <v>0</v>
      </c>
      <c r="X377" s="48">
        <f t="shared" si="33"/>
        <v>0</v>
      </c>
      <c r="Y377" s="49">
        <f t="shared" si="34"/>
        <v>0</v>
      </c>
      <c r="Z377" s="50">
        <f t="shared" si="35"/>
        <v>0</v>
      </c>
    </row>
    <row r="378" spans="1:26" x14ac:dyDescent="0.25">
      <c r="A378" s="29" t="s">
        <v>822</v>
      </c>
      <c r="B378" s="29" t="s">
        <v>79</v>
      </c>
      <c r="C378" s="29" t="s">
        <v>850</v>
      </c>
      <c r="D378" s="29">
        <v>37808427</v>
      </c>
      <c r="E378" s="32" t="s">
        <v>851</v>
      </c>
      <c r="F378" s="29">
        <v>162701</v>
      </c>
      <c r="G378" s="32" t="s">
        <v>876</v>
      </c>
      <c r="H378" s="32" t="s">
        <v>873</v>
      </c>
      <c r="I378" s="33" t="s">
        <v>877</v>
      </c>
      <c r="J378" s="42">
        <f>VLOOKUP(F378,[6]Hárok1!$F$345:$S$436,5,0)</f>
        <v>0</v>
      </c>
      <c r="K378" s="43">
        <f>VLOOKUP(F378,[6]Hárok1!$F$345:$S$436,6,0)</f>
        <v>0</v>
      </c>
      <c r="L378" s="43">
        <f>VLOOKUP(F378,[6]Hárok1!$F$345:$S$436,7,0)</f>
        <v>0</v>
      </c>
      <c r="M378" s="43">
        <f>VLOOKUP(F378,[6]Hárok1!$F$345:$S$436,8,0)</f>
        <v>0</v>
      </c>
      <c r="N378" s="43">
        <f>VLOOKUP(F378,[6]Hárok1!$F$345:$S$436,9,0)</f>
        <v>0</v>
      </c>
      <c r="O378" s="43">
        <f>VLOOKUP(F378,[6]Hárok1!$F$345:$S$436,10,0)</f>
        <v>0</v>
      </c>
      <c r="P378" s="44">
        <f>VLOOKUP(F378,[6]Hárok1!$F$345:$S$436,11,0)</f>
        <v>0</v>
      </c>
      <c r="Q378" s="42">
        <f>VLOOKUP(F378,[6]Hárok1!$F$345:$S$436,12,0)</f>
        <v>0</v>
      </c>
      <c r="R378" s="43">
        <f>VLOOKUP(F378,[6]Hárok1!$F$345:$S$436,13,0)</f>
        <v>0</v>
      </c>
      <c r="S378" s="44">
        <f>VLOOKUP(F378,[6]Hárok1!$F$345:$S$436,14,0)</f>
        <v>0</v>
      </c>
      <c r="T378" s="45">
        <f t="shared" si="30"/>
        <v>0</v>
      </c>
      <c r="U378" s="46">
        <f>VLOOKUP(F378,[6]Hárok1!$F$344:$U$436,16,0)</f>
        <v>0</v>
      </c>
      <c r="V378" s="47">
        <f t="shared" si="31"/>
        <v>0</v>
      </c>
      <c r="W378" s="47">
        <f t="shared" si="32"/>
        <v>0</v>
      </c>
      <c r="X378" s="48">
        <f t="shared" si="33"/>
        <v>0</v>
      </c>
      <c r="Y378" s="49">
        <f t="shared" si="34"/>
        <v>0</v>
      </c>
      <c r="Z378" s="50">
        <f t="shared" si="35"/>
        <v>0</v>
      </c>
    </row>
    <row r="379" spans="1:26" x14ac:dyDescent="0.25">
      <c r="A379" s="29" t="s">
        <v>822</v>
      </c>
      <c r="B379" s="29" t="s">
        <v>79</v>
      </c>
      <c r="C379" s="29" t="s">
        <v>850</v>
      </c>
      <c r="D379" s="29">
        <v>37808427</v>
      </c>
      <c r="E379" s="32" t="s">
        <v>851</v>
      </c>
      <c r="F379" s="29">
        <v>160679</v>
      </c>
      <c r="G379" s="32" t="s">
        <v>878</v>
      </c>
      <c r="H379" s="32" t="s">
        <v>833</v>
      </c>
      <c r="I379" s="33" t="s">
        <v>879</v>
      </c>
      <c r="J379" s="42">
        <f>VLOOKUP(F379,[6]Hárok1!$F$345:$S$436,5,0)</f>
        <v>0</v>
      </c>
      <c r="K379" s="43">
        <f>VLOOKUP(F379,[6]Hárok1!$F$345:$S$436,6,0)</f>
        <v>0</v>
      </c>
      <c r="L379" s="43">
        <f>VLOOKUP(F379,[6]Hárok1!$F$345:$S$436,7,0)</f>
        <v>0</v>
      </c>
      <c r="M379" s="43">
        <f>VLOOKUP(F379,[6]Hárok1!$F$345:$S$436,8,0)</f>
        <v>0</v>
      </c>
      <c r="N379" s="43">
        <f>VLOOKUP(F379,[6]Hárok1!$F$345:$S$436,9,0)</f>
        <v>0</v>
      </c>
      <c r="O379" s="43">
        <f>VLOOKUP(F379,[6]Hárok1!$F$345:$S$436,10,0)</f>
        <v>0</v>
      </c>
      <c r="P379" s="44">
        <f>VLOOKUP(F379,[6]Hárok1!$F$345:$S$436,11,0)</f>
        <v>0</v>
      </c>
      <c r="Q379" s="42">
        <f>VLOOKUP(F379,[6]Hárok1!$F$345:$S$436,12,0)</f>
        <v>0</v>
      </c>
      <c r="R379" s="43">
        <f>VLOOKUP(F379,[6]Hárok1!$F$345:$S$436,13,0)</f>
        <v>0</v>
      </c>
      <c r="S379" s="44">
        <f>VLOOKUP(F379,[6]Hárok1!$F$345:$S$436,14,0)</f>
        <v>0</v>
      </c>
      <c r="T379" s="45">
        <f t="shared" si="30"/>
        <v>0</v>
      </c>
      <c r="U379" s="46">
        <f>VLOOKUP(F379,[6]Hárok1!$F$344:$U$436,16,0)</f>
        <v>0</v>
      </c>
      <c r="V379" s="47">
        <f t="shared" si="31"/>
        <v>0</v>
      </c>
      <c r="W379" s="47">
        <f t="shared" si="32"/>
        <v>0</v>
      </c>
      <c r="X379" s="48">
        <f t="shared" si="33"/>
        <v>0</v>
      </c>
      <c r="Y379" s="49">
        <f t="shared" si="34"/>
        <v>0</v>
      </c>
      <c r="Z379" s="50">
        <f t="shared" si="35"/>
        <v>0</v>
      </c>
    </row>
    <row r="380" spans="1:26" x14ac:dyDescent="0.25">
      <c r="A380" s="29" t="s">
        <v>822</v>
      </c>
      <c r="B380" s="29" t="s">
        <v>79</v>
      </c>
      <c r="C380" s="29" t="s">
        <v>850</v>
      </c>
      <c r="D380" s="29">
        <v>37808427</v>
      </c>
      <c r="E380" s="32" t="s">
        <v>851</v>
      </c>
      <c r="F380" s="29">
        <v>893528</v>
      </c>
      <c r="G380" s="32" t="s">
        <v>121</v>
      </c>
      <c r="H380" s="32" t="s">
        <v>833</v>
      </c>
      <c r="I380" s="33" t="s">
        <v>880</v>
      </c>
      <c r="J380" s="42">
        <f>VLOOKUP(F380,[6]Hárok1!$F$345:$S$436,5,0)</f>
        <v>0</v>
      </c>
      <c r="K380" s="43">
        <f>VLOOKUP(F380,[6]Hárok1!$F$345:$S$436,6,0)</f>
        <v>0</v>
      </c>
      <c r="L380" s="43">
        <f>VLOOKUP(F380,[6]Hárok1!$F$345:$S$436,7,0)</f>
        <v>0</v>
      </c>
      <c r="M380" s="43">
        <f>VLOOKUP(F380,[6]Hárok1!$F$345:$S$436,8,0)</f>
        <v>0</v>
      </c>
      <c r="N380" s="43">
        <f>VLOOKUP(F380,[6]Hárok1!$F$345:$S$436,9,0)</f>
        <v>0</v>
      </c>
      <c r="O380" s="43">
        <f>VLOOKUP(F380,[6]Hárok1!$F$345:$S$436,10,0)</f>
        <v>0</v>
      </c>
      <c r="P380" s="44">
        <f>VLOOKUP(F380,[6]Hárok1!$F$345:$S$436,11,0)</f>
        <v>0</v>
      </c>
      <c r="Q380" s="42">
        <f>VLOOKUP(F380,[6]Hárok1!$F$345:$S$436,12,0)</f>
        <v>0</v>
      </c>
      <c r="R380" s="43">
        <f>VLOOKUP(F380,[6]Hárok1!$F$345:$S$436,13,0)</f>
        <v>0</v>
      </c>
      <c r="S380" s="44">
        <f>VLOOKUP(F380,[6]Hárok1!$F$345:$S$436,14,0)</f>
        <v>0</v>
      </c>
      <c r="T380" s="45">
        <f t="shared" si="30"/>
        <v>0</v>
      </c>
      <c r="U380" s="46">
        <f>VLOOKUP(F380,[6]Hárok1!$F$344:$U$436,16,0)</f>
        <v>0</v>
      </c>
      <c r="V380" s="47">
        <f t="shared" si="31"/>
        <v>0</v>
      </c>
      <c r="W380" s="47">
        <f t="shared" si="32"/>
        <v>0</v>
      </c>
      <c r="X380" s="48">
        <f t="shared" si="33"/>
        <v>0</v>
      </c>
      <c r="Y380" s="49">
        <f t="shared" si="34"/>
        <v>0</v>
      </c>
      <c r="Z380" s="50">
        <f t="shared" si="35"/>
        <v>0</v>
      </c>
    </row>
    <row r="381" spans="1:26" x14ac:dyDescent="0.25">
      <c r="A381" s="29" t="s">
        <v>822</v>
      </c>
      <c r="B381" s="29" t="s">
        <v>79</v>
      </c>
      <c r="C381" s="29" t="s">
        <v>850</v>
      </c>
      <c r="D381" s="29">
        <v>37808427</v>
      </c>
      <c r="E381" s="32" t="s">
        <v>851</v>
      </c>
      <c r="F381" s="29">
        <v>31926754</v>
      </c>
      <c r="G381" s="32" t="s">
        <v>100</v>
      </c>
      <c r="H381" s="32" t="s">
        <v>833</v>
      </c>
      <c r="I381" s="33" t="s">
        <v>881</v>
      </c>
      <c r="J381" s="42">
        <f>VLOOKUP(F381,[6]Hárok1!$F$345:$S$436,5,0)</f>
        <v>0</v>
      </c>
      <c r="K381" s="43">
        <f>VLOOKUP(F381,[6]Hárok1!$F$345:$S$436,6,0)</f>
        <v>0</v>
      </c>
      <c r="L381" s="43">
        <f>VLOOKUP(F381,[6]Hárok1!$F$345:$S$436,7,0)</f>
        <v>0</v>
      </c>
      <c r="M381" s="43">
        <f>VLOOKUP(F381,[6]Hárok1!$F$345:$S$436,8,0)</f>
        <v>0</v>
      </c>
      <c r="N381" s="43">
        <f>VLOOKUP(F381,[6]Hárok1!$F$345:$S$436,9,0)</f>
        <v>0</v>
      </c>
      <c r="O381" s="43">
        <f>VLOOKUP(F381,[6]Hárok1!$F$345:$S$436,10,0)</f>
        <v>0</v>
      </c>
      <c r="P381" s="44">
        <f>VLOOKUP(F381,[6]Hárok1!$F$345:$S$436,11,0)</f>
        <v>0</v>
      </c>
      <c r="Q381" s="42">
        <f>VLOOKUP(F381,[6]Hárok1!$F$345:$S$436,12,0)</f>
        <v>0</v>
      </c>
      <c r="R381" s="43">
        <f>VLOOKUP(F381,[6]Hárok1!$F$345:$S$436,13,0)</f>
        <v>0</v>
      </c>
      <c r="S381" s="44">
        <f>VLOOKUP(F381,[6]Hárok1!$F$345:$S$436,14,0)</f>
        <v>0</v>
      </c>
      <c r="T381" s="45">
        <f t="shared" si="30"/>
        <v>0</v>
      </c>
      <c r="U381" s="46">
        <f>VLOOKUP(F381,[6]Hárok1!$F$344:$U$436,16,0)</f>
        <v>0</v>
      </c>
      <c r="V381" s="47">
        <f t="shared" si="31"/>
        <v>0</v>
      </c>
      <c r="W381" s="47">
        <f t="shared" si="32"/>
        <v>0</v>
      </c>
      <c r="X381" s="48">
        <f t="shared" si="33"/>
        <v>0</v>
      </c>
      <c r="Y381" s="49">
        <f t="shared" si="34"/>
        <v>0</v>
      </c>
      <c r="Z381" s="50">
        <f t="shared" si="35"/>
        <v>0</v>
      </c>
    </row>
    <row r="382" spans="1:26" x14ac:dyDescent="0.25">
      <c r="A382" s="29" t="s">
        <v>822</v>
      </c>
      <c r="B382" s="29" t="s">
        <v>79</v>
      </c>
      <c r="C382" s="29" t="s">
        <v>850</v>
      </c>
      <c r="D382" s="29">
        <v>37808427</v>
      </c>
      <c r="E382" s="32" t="s">
        <v>851</v>
      </c>
      <c r="F382" s="29">
        <v>491942</v>
      </c>
      <c r="G382" s="32" t="s">
        <v>754</v>
      </c>
      <c r="H382" s="32" t="s">
        <v>833</v>
      </c>
      <c r="I382" s="33" t="s">
        <v>882</v>
      </c>
      <c r="J382" s="42">
        <f>VLOOKUP(F382,[6]Hárok1!$F$345:$S$436,5,0)</f>
        <v>0</v>
      </c>
      <c r="K382" s="43">
        <f>VLOOKUP(F382,[6]Hárok1!$F$345:$S$436,6,0)</f>
        <v>0</v>
      </c>
      <c r="L382" s="43">
        <f>VLOOKUP(F382,[6]Hárok1!$F$345:$S$436,7,0)</f>
        <v>0</v>
      </c>
      <c r="M382" s="43">
        <f>VLOOKUP(F382,[6]Hárok1!$F$345:$S$436,8,0)</f>
        <v>0</v>
      </c>
      <c r="N382" s="43">
        <f>VLOOKUP(F382,[6]Hárok1!$F$345:$S$436,9,0)</f>
        <v>0</v>
      </c>
      <c r="O382" s="43">
        <f>VLOOKUP(F382,[6]Hárok1!$F$345:$S$436,10,0)</f>
        <v>0</v>
      </c>
      <c r="P382" s="44">
        <f>VLOOKUP(F382,[6]Hárok1!$F$345:$S$436,11,0)</f>
        <v>0</v>
      </c>
      <c r="Q382" s="42">
        <f>VLOOKUP(F382,[6]Hárok1!$F$345:$S$436,12,0)</f>
        <v>0</v>
      </c>
      <c r="R382" s="43">
        <f>VLOOKUP(F382,[6]Hárok1!$F$345:$S$436,13,0)</f>
        <v>0</v>
      </c>
      <c r="S382" s="44">
        <f>VLOOKUP(F382,[6]Hárok1!$F$345:$S$436,14,0)</f>
        <v>0</v>
      </c>
      <c r="T382" s="45">
        <f t="shared" si="30"/>
        <v>0</v>
      </c>
      <c r="U382" s="46">
        <f>VLOOKUP(F382,[6]Hárok1!$F$344:$U$436,16,0)</f>
        <v>0</v>
      </c>
      <c r="V382" s="47">
        <f t="shared" si="31"/>
        <v>0</v>
      </c>
      <c r="W382" s="47">
        <f t="shared" si="32"/>
        <v>0</v>
      </c>
      <c r="X382" s="48">
        <f t="shared" si="33"/>
        <v>0</v>
      </c>
      <c r="Y382" s="49">
        <f t="shared" si="34"/>
        <v>0</v>
      </c>
      <c r="Z382" s="50">
        <f t="shared" si="35"/>
        <v>0</v>
      </c>
    </row>
    <row r="383" spans="1:26" x14ac:dyDescent="0.25">
      <c r="A383" s="29" t="s">
        <v>822</v>
      </c>
      <c r="B383" s="29" t="s">
        <v>79</v>
      </c>
      <c r="C383" s="29" t="s">
        <v>850</v>
      </c>
      <c r="D383" s="29">
        <v>37808427</v>
      </c>
      <c r="E383" s="32" t="s">
        <v>851</v>
      </c>
      <c r="F383" s="29">
        <v>695092</v>
      </c>
      <c r="G383" s="32" t="s">
        <v>701</v>
      </c>
      <c r="H383" s="32" t="s">
        <v>833</v>
      </c>
      <c r="I383" s="33" t="s">
        <v>883</v>
      </c>
      <c r="J383" s="42">
        <f>VLOOKUP(F383,[6]Hárok1!$F$345:$S$436,5,0)</f>
        <v>0</v>
      </c>
      <c r="K383" s="43">
        <f>VLOOKUP(F383,[6]Hárok1!$F$345:$S$436,6,0)</f>
        <v>0</v>
      </c>
      <c r="L383" s="43">
        <f>VLOOKUP(F383,[6]Hárok1!$F$345:$S$436,7,0)</f>
        <v>0</v>
      </c>
      <c r="M383" s="43">
        <f>VLOOKUP(F383,[6]Hárok1!$F$345:$S$436,8,0)</f>
        <v>0</v>
      </c>
      <c r="N383" s="43">
        <f>VLOOKUP(F383,[6]Hárok1!$F$345:$S$436,9,0)</f>
        <v>0</v>
      </c>
      <c r="O383" s="43">
        <f>VLOOKUP(F383,[6]Hárok1!$F$345:$S$436,10,0)</f>
        <v>0</v>
      </c>
      <c r="P383" s="44">
        <f>VLOOKUP(F383,[6]Hárok1!$F$345:$S$436,11,0)</f>
        <v>0</v>
      </c>
      <c r="Q383" s="42">
        <f>VLOOKUP(F383,[6]Hárok1!$F$345:$S$436,12,0)</f>
        <v>0</v>
      </c>
      <c r="R383" s="43">
        <f>VLOOKUP(F383,[6]Hárok1!$F$345:$S$436,13,0)</f>
        <v>0</v>
      </c>
      <c r="S383" s="44">
        <f>VLOOKUP(F383,[6]Hárok1!$F$345:$S$436,14,0)</f>
        <v>0</v>
      </c>
      <c r="T383" s="45">
        <f t="shared" si="30"/>
        <v>0</v>
      </c>
      <c r="U383" s="46">
        <f>VLOOKUP(F383,[6]Hárok1!$F$344:$U$436,16,0)</f>
        <v>0</v>
      </c>
      <c r="V383" s="47">
        <f t="shared" si="31"/>
        <v>0</v>
      </c>
      <c r="W383" s="47">
        <f t="shared" si="32"/>
        <v>0</v>
      </c>
      <c r="X383" s="48">
        <f t="shared" si="33"/>
        <v>0</v>
      </c>
      <c r="Y383" s="49">
        <f t="shared" si="34"/>
        <v>0</v>
      </c>
      <c r="Z383" s="50">
        <f t="shared" si="35"/>
        <v>0</v>
      </c>
    </row>
    <row r="384" spans="1:26" x14ac:dyDescent="0.25">
      <c r="A384" s="29" t="s">
        <v>822</v>
      </c>
      <c r="B384" s="29" t="s">
        <v>79</v>
      </c>
      <c r="C384" s="29" t="s">
        <v>850</v>
      </c>
      <c r="D384" s="29">
        <v>37808427</v>
      </c>
      <c r="E384" s="32" t="s">
        <v>851</v>
      </c>
      <c r="F384" s="29">
        <v>607037</v>
      </c>
      <c r="G384" s="32" t="s">
        <v>117</v>
      </c>
      <c r="H384" s="32" t="s">
        <v>833</v>
      </c>
      <c r="I384" s="33" t="s">
        <v>884</v>
      </c>
      <c r="J384" s="42">
        <f>VLOOKUP(F384,[6]Hárok1!$F$345:$S$436,5,0)</f>
        <v>0</v>
      </c>
      <c r="K384" s="43">
        <f>VLOOKUP(F384,[6]Hárok1!$F$345:$S$436,6,0)</f>
        <v>0</v>
      </c>
      <c r="L384" s="43">
        <f>VLOOKUP(F384,[6]Hárok1!$F$345:$S$436,7,0)</f>
        <v>0</v>
      </c>
      <c r="M384" s="43">
        <f>VLOOKUP(F384,[6]Hárok1!$F$345:$S$436,8,0)</f>
        <v>0</v>
      </c>
      <c r="N384" s="43">
        <f>VLOOKUP(F384,[6]Hárok1!$F$345:$S$436,9,0)</f>
        <v>0</v>
      </c>
      <c r="O384" s="43">
        <f>VLOOKUP(F384,[6]Hárok1!$F$345:$S$436,10,0)</f>
        <v>0</v>
      </c>
      <c r="P384" s="44">
        <f>VLOOKUP(F384,[6]Hárok1!$F$345:$S$436,11,0)</f>
        <v>0</v>
      </c>
      <c r="Q384" s="42">
        <f>VLOOKUP(F384,[6]Hárok1!$F$345:$S$436,12,0)</f>
        <v>0</v>
      </c>
      <c r="R384" s="43">
        <f>VLOOKUP(F384,[6]Hárok1!$F$345:$S$436,13,0)</f>
        <v>0</v>
      </c>
      <c r="S384" s="44">
        <f>VLOOKUP(F384,[6]Hárok1!$F$345:$S$436,14,0)</f>
        <v>0</v>
      </c>
      <c r="T384" s="45">
        <f t="shared" si="30"/>
        <v>0</v>
      </c>
      <c r="U384" s="46">
        <f>VLOOKUP(F384,[6]Hárok1!$F$344:$U$436,16,0)</f>
        <v>0</v>
      </c>
      <c r="V384" s="47">
        <f t="shared" si="31"/>
        <v>0</v>
      </c>
      <c r="W384" s="47">
        <f t="shared" si="32"/>
        <v>0</v>
      </c>
      <c r="X384" s="48">
        <f t="shared" si="33"/>
        <v>0</v>
      </c>
      <c r="Y384" s="49">
        <f t="shared" si="34"/>
        <v>0</v>
      </c>
      <c r="Z384" s="50">
        <f t="shared" si="35"/>
        <v>0</v>
      </c>
    </row>
    <row r="385" spans="1:26" x14ac:dyDescent="0.25">
      <c r="A385" s="29" t="s">
        <v>822</v>
      </c>
      <c r="B385" s="29" t="s">
        <v>79</v>
      </c>
      <c r="C385" s="29" t="s">
        <v>850</v>
      </c>
      <c r="D385" s="29">
        <v>37808427</v>
      </c>
      <c r="E385" s="32" t="s">
        <v>851</v>
      </c>
      <c r="F385" s="29">
        <v>626261</v>
      </c>
      <c r="G385" s="32" t="s">
        <v>885</v>
      </c>
      <c r="H385" s="32" t="s">
        <v>836</v>
      </c>
      <c r="I385" s="33" t="s">
        <v>886</v>
      </c>
      <c r="J385" s="42">
        <f>VLOOKUP(F385,[6]Hárok1!$F$345:$S$436,5,0)</f>
        <v>0</v>
      </c>
      <c r="K385" s="43">
        <f>VLOOKUP(F385,[6]Hárok1!$F$345:$S$436,6,0)</f>
        <v>0</v>
      </c>
      <c r="L385" s="43">
        <f>VLOOKUP(F385,[6]Hárok1!$F$345:$S$436,7,0)</f>
        <v>0</v>
      </c>
      <c r="M385" s="43">
        <f>VLOOKUP(F385,[6]Hárok1!$F$345:$S$436,8,0)</f>
        <v>0</v>
      </c>
      <c r="N385" s="43">
        <f>VLOOKUP(F385,[6]Hárok1!$F$345:$S$436,9,0)</f>
        <v>0</v>
      </c>
      <c r="O385" s="43">
        <f>VLOOKUP(F385,[6]Hárok1!$F$345:$S$436,10,0)</f>
        <v>0</v>
      </c>
      <c r="P385" s="44">
        <f>VLOOKUP(F385,[6]Hárok1!$F$345:$S$436,11,0)</f>
        <v>0</v>
      </c>
      <c r="Q385" s="42">
        <f>VLOOKUP(F385,[6]Hárok1!$F$345:$S$436,12,0)</f>
        <v>0</v>
      </c>
      <c r="R385" s="43">
        <f>VLOOKUP(F385,[6]Hárok1!$F$345:$S$436,13,0)</f>
        <v>0</v>
      </c>
      <c r="S385" s="44">
        <f>VLOOKUP(F385,[6]Hárok1!$F$345:$S$436,14,0)</f>
        <v>0</v>
      </c>
      <c r="T385" s="45">
        <f t="shared" si="30"/>
        <v>0</v>
      </c>
      <c r="U385" s="46">
        <f>VLOOKUP(F385,[6]Hárok1!$F$344:$U$436,16,0)</f>
        <v>0</v>
      </c>
      <c r="V385" s="47">
        <f t="shared" si="31"/>
        <v>0</v>
      </c>
      <c r="W385" s="47">
        <f t="shared" si="32"/>
        <v>0</v>
      </c>
      <c r="X385" s="48">
        <f t="shared" si="33"/>
        <v>0</v>
      </c>
      <c r="Y385" s="49">
        <f t="shared" si="34"/>
        <v>0</v>
      </c>
      <c r="Z385" s="50">
        <f t="shared" si="35"/>
        <v>0</v>
      </c>
    </row>
    <row r="386" spans="1:26" x14ac:dyDescent="0.25">
      <c r="A386" s="29" t="s">
        <v>822</v>
      </c>
      <c r="B386" s="29" t="s">
        <v>79</v>
      </c>
      <c r="C386" s="29" t="s">
        <v>850</v>
      </c>
      <c r="D386" s="29">
        <v>37808427</v>
      </c>
      <c r="E386" s="32" t="s">
        <v>851</v>
      </c>
      <c r="F386" s="29">
        <v>160695</v>
      </c>
      <c r="G386" s="32" t="s">
        <v>887</v>
      </c>
      <c r="H386" s="32" t="s">
        <v>836</v>
      </c>
      <c r="I386" s="33" t="s">
        <v>888</v>
      </c>
      <c r="J386" s="42">
        <f>VLOOKUP(F386,[6]Hárok1!$F$345:$S$436,5,0)</f>
        <v>0</v>
      </c>
      <c r="K386" s="43">
        <f>VLOOKUP(F386,[6]Hárok1!$F$345:$S$436,6,0)</f>
        <v>0</v>
      </c>
      <c r="L386" s="43">
        <f>VLOOKUP(F386,[6]Hárok1!$F$345:$S$436,7,0)</f>
        <v>0</v>
      </c>
      <c r="M386" s="43">
        <f>VLOOKUP(F386,[6]Hárok1!$F$345:$S$436,8,0)</f>
        <v>0</v>
      </c>
      <c r="N386" s="43">
        <f>VLOOKUP(F386,[6]Hárok1!$F$345:$S$436,9,0)</f>
        <v>0</v>
      </c>
      <c r="O386" s="43">
        <f>VLOOKUP(F386,[6]Hárok1!$F$345:$S$436,10,0)</f>
        <v>0</v>
      </c>
      <c r="P386" s="44">
        <f>VLOOKUP(F386,[6]Hárok1!$F$345:$S$436,11,0)</f>
        <v>0</v>
      </c>
      <c r="Q386" s="42">
        <f>VLOOKUP(F386,[6]Hárok1!$F$345:$S$436,12,0)</f>
        <v>0</v>
      </c>
      <c r="R386" s="43">
        <f>VLOOKUP(F386,[6]Hárok1!$F$345:$S$436,13,0)</f>
        <v>0</v>
      </c>
      <c r="S386" s="44">
        <f>VLOOKUP(F386,[6]Hárok1!$F$345:$S$436,14,0)</f>
        <v>0</v>
      </c>
      <c r="T386" s="45">
        <f t="shared" si="30"/>
        <v>0</v>
      </c>
      <c r="U386" s="46">
        <f>VLOOKUP(F386,[6]Hárok1!$F$344:$U$436,16,0)</f>
        <v>0</v>
      </c>
      <c r="V386" s="47">
        <f t="shared" si="31"/>
        <v>0</v>
      </c>
      <c r="W386" s="47">
        <f t="shared" si="32"/>
        <v>0</v>
      </c>
      <c r="X386" s="48">
        <f t="shared" si="33"/>
        <v>0</v>
      </c>
      <c r="Y386" s="49">
        <f t="shared" si="34"/>
        <v>0</v>
      </c>
      <c r="Z386" s="50">
        <f t="shared" si="35"/>
        <v>0</v>
      </c>
    </row>
    <row r="387" spans="1:26" x14ac:dyDescent="0.25">
      <c r="A387" s="29" t="s">
        <v>822</v>
      </c>
      <c r="B387" s="29" t="s">
        <v>79</v>
      </c>
      <c r="C387" s="29" t="s">
        <v>850</v>
      </c>
      <c r="D387" s="29">
        <v>37808427</v>
      </c>
      <c r="E387" s="32" t="s">
        <v>851</v>
      </c>
      <c r="F387" s="29">
        <v>162078</v>
      </c>
      <c r="G387" s="32" t="s">
        <v>100</v>
      </c>
      <c r="H387" s="32" t="s">
        <v>836</v>
      </c>
      <c r="I387" s="33" t="s">
        <v>889</v>
      </c>
      <c r="J387" s="42">
        <f>VLOOKUP(F387,[6]Hárok1!$F$345:$S$436,5,0)</f>
        <v>0</v>
      </c>
      <c r="K387" s="43">
        <f>VLOOKUP(F387,[6]Hárok1!$F$345:$S$436,6,0)</f>
        <v>0</v>
      </c>
      <c r="L387" s="43">
        <f>VLOOKUP(F387,[6]Hárok1!$F$345:$S$436,7,0)</f>
        <v>0</v>
      </c>
      <c r="M387" s="43">
        <f>VLOOKUP(F387,[6]Hárok1!$F$345:$S$436,8,0)</f>
        <v>0</v>
      </c>
      <c r="N387" s="43">
        <f>VLOOKUP(F387,[6]Hárok1!$F$345:$S$436,9,0)</f>
        <v>0</v>
      </c>
      <c r="O387" s="43">
        <f>VLOOKUP(F387,[6]Hárok1!$F$345:$S$436,10,0)</f>
        <v>0</v>
      </c>
      <c r="P387" s="44">
        <f>VLOOKUP(F387,[6]Hárok1!$F$345:$S$436,11,0)</f>
        <v>0</v>
      </c>
      <c r="Q387" s="42">
        <f>VLOOKUP(F387,[6]Hárok1!$F$345:$S$436,12,0)</f>
        <v>0</v>
      </c>
      <c r="R387" s="43">
        <f>VLOOKUP(F387,[6]Hárok1!$F$345:$S$436,13,0)</f>
        <v>0</v>
      </c>
      <c r="S387" s="44">
        <f>VLOOKUP(F387,[6]Hárok1!$F$345:$S$436,14,0)</f>
        <v>0</v>
      </c>
      <c r="T387" s="45">
        <f t="shared" si="30"/>
        <v>0</v>
      </c>
      <c r="U387" s="46">
        <f>VLOOKUP(F387,[6]Hárok1!$F$344:$U$436,16,0)</f>
        <v>0</v>
      </c>
      <c r="V387" s="47">
        <f t="shared" si="31"/>
        <v>0</v>
      </c>
      <c r="W387" s="47">
        <f t="shared" si="32"/>
        <v>0</v>
      </c>
      <c r="X387" s="48">
        <f t="shared" si="33"/>
        <v>0</v>
      </c>
      <c r="Y387" s="49">
        <f t="shared" si="34"/>
        <v>0</v>
      </c>
      <c r="Z387" s="50">
        <f t="shared" si="35"/>
        <v>0</v>
      </c>
    </row>
    <row r="388" spans="1:26" x14ac:dyDescent="0.25">
      <c r="A388" s="29" t="s">
        <v>822</v>
      </c>
      <c r="B388" s="29" t="s">
        <v>79</v>
      </c>
      <c r="C388" s="29" t="s">
        <v>850</v>
      </c>
      <c r="D388" s="29">
        <v>37808427</v>
      </c>
      <c r="E388" s="32" t="s">
        <v>851</v>
      </c>
      <c r="F388" s="29">
        <v>17050499</v>
      </c>
      <c r="G388" s="32" t="s">
        <v>52</v>
      </c>
      <c r="H388" s="32" t="s">
        <v>836</v>
      </c>
      <c r="I388" s="33" t="s">
        <v>890</v>
      </c>
      <c r="J388" s="42">
        <f>VLOOKUP(F388,[6]Hárok1!$F$345:$S$436,5,0)</f>
        <v>0</v>
      </c>
      <c r="K388" s="43">
        <f>VLOOKUP(F388,[6]Hárok1!$F$345:$S$436,6,0)</f>
        <v>0</v>
      </c>
      <c r="L388" s="43">
        <f>VLOOKUP(F388,[6]Hárok1!$F$345:$S$436,7,0)</f>
        <v>0</v>
      </c>
      <c r="M388" s="43">
        <f>VLOOKUP(F388,[6]Hárok1!$F$345:$S$436,8,0)</f>
        <v>0</v>
      </c>
      <c r="N388" s="43">
        <f>VLOOKUP(F388,[6]Hárok1!$F$345:$S$436,9,0)</f>
        <v>0</v>
      </c>
      <c r="O388" s="43">
        <f>VLOOKUP(F388,[6]Hárok1!$F$345:$S$436,10,0)</f>
        <v>0</v>
      </c>
      <c r="P388" s="44">
        <f>VLOOKUP(F388,[6]Hárok1!$F$345:$S$436,11,0)</f>
        <v>0</v>
      </c>
      <c r="Q388" s="42">
        <f>VLOOKUP(F388,[6]Hárok1!$F$345:$S$436,12,0)</f>
        <v>0</v>
      </c>
      <c r="R388" s="43">
        <f>VLOOKUP(F388,[6]Hárok1!$F$345:$S$436,13,0)</f>
        <v>0</v>
      </c>
      <c r="S388" s="44">
        <f>VLOOKUP(F388,[6]Hárok1!$F$345:$S$436,14,0)</f>
        <v>0</v>
      </c>
      <c r="T388" s="45">
        <f t="shared" si="30"/>
        <v>0</v>
      </c>
      <c r="U388" s="46">
        <f>VLOOKUP(F388,[6]Hárok1!$F$344:$U$436,16,0)</f>
        <v>0</v>
      </c>
      <c r="V388" s="47">
        <f t="shared" si="31"/>
        <v>0</v>
      </c>
      <c r="W388" s="47">
        <f t="shared" si="32"/>
        <v>0</v>
      </c>
      <c r="X388" s="48">
        <f t="shared" si="33"/>
        <v>0</v>
      </c>
      <c r="Y388" s="49">
        <f t="shared" si="34"/>
        <v>0</v>
      </c>
      <c r="Z388" s="50">
        <f t="shared" si="35"/>
        <v>0</v>
      </c>
    </row>
    <row r="389" spans="1:26" x14ac:dyDescent="0.25">
      <c r="A389" s="29" t="s">
        <v>822</v>
      </c>
      <c r="B389" s="29" t="s">
        <v>79</v>
      </c>
      <c r="C389" s="29" t="s">
        <v>850</v>
      </c>
      <c r="D389" s="29">
        <v>37808427</v>
      </c>
      <c r="E389" s="32" t="s">
        <v>851</v>
      </c>
      <c r="F389" s="29">
        <v>17055211</v>
      </c>
      <c r="G389" s="32" t="s">
        <v>104</v>
      </c>
      <c r="H389" s="32" t="s">
        <v>836</v>
      </c>
      <c r="I389" s="33" t="s">
        <v>891</v>
      </c>
      <c r="J389" s="42">
        <f>VLOOKUP(F389,[6]Hárok1!$F$345:$S$436,5,0)</f>
        <v>0</v>
      </c>
      <c r="K389" s="43">
        <f>VLOOKUP(F389,[6]Hárok1!$F$345:$S$436,6,0)</f>
        <v>0</v>
      </c>
      <c r="L389" s="43">
        <f>VLOOKUP(F389,[6]Hárok1!$F$345:$S$436,7,0)</f>
        <v>0</v>
      </c>
      <c r="M389" s="43">
        <f>VLOOKUP(F389,[6]Hárok1!$F$345:$S$436,8,0)</f>
        <v>0</v>
      </c>
      <c r="N389" s="43">
        <f>VLOOKUP(F389,[6]Hárok1!$F$345:$S$436,9,0)</f>
        <v>0</v>
      </c>
      <c r="O389" s="43">
        <f>VLOOKUP(F389,[6]Hárok1!$F$345:$S$436,10,0)</f>
        <v>0</v>
      </c>
      <c r="P389" s="44">
        <f>VLOOKUP(F389,[6]Hárok1!$F$345:$S$436,11,0)</f>
        <v>0</v>
      </c>
      <c r="Q389" s="42">
        <f>VLOOKUP(F389,[6]Hárok1!$F$345:$S$436,12,0)</f>
        <v>0</v>
      </c>
      <c r="R389" s="43">
        <f>VLOOKUP(F389,[6]Hárok1!$F$345:$S$436,13,0)</f>
        <v>0</v>
      </c>
      <c r="S389" s="44">
        <f>VLOOKUP(F389,[6]Hárok1!$F$345:$S$436,14,0)</f>
        <v>0</v>
      </c>
      <c r="T389" s="45">
        <f t="shared" si="30"/>
        <v>0</v>
      </c>
      <c r="U389" s="46">
        <f>VLOOKUP(F389,[6]Hárok1!$F$344:$U$436,16,0)</f>
        <v>0</v>
      </c>
      <c r="V389" s="47">
        <f t="shared" si="31"/>
        <v>0</v>
      </c>
      <c r="W389" s="47">
        <f t="shared" si="32"/>
        <v>0</v>
      </c>
      <c r="X389" s="48">
        <f t="shared" si="33"/>
        <v>0</v>
      </c>
      <c r="Y389" s="49">
        <f t="shared" si="34"/>
        <v>0</v>
      </c>
      <c r="Z389" s="50">
        <f t="shared" si="35"/>
        <v>0</v>
      </c>
    </row>
    <row r="390" spans="1:26" x14ac:dyDescent="0.25">
      <c r="A390" s="29" t="s">
        <v>822</v>
      </c>
      <c r="B390" s="29" t="s">
        <v>79</v>
      </c>
      <c r="C390" s="29" t="s">
        <v>850</v>
      </c>
      <c r="D390" s="29">
        <v>37808427</v>
      </c>
      <c r="E390" s="32" t="s">
        <v>851</v>
      </c>
      <c r="F390" s="29">
        <v>158551</v>
      </c>
      <c r="G390" s="32" t="s">
        <v>402</v>
      </c>
      <c r="H390" s="32" t="s">
        <v>836</v>
      </c>
      <c r="I390" s="33" t="s">
        <v>837</v>
      </c>
      <c r="J390" s="42">
        <f>VLOOKUP(F390,[6]Hárok1!$F$345:$S$436,5,0)</f>
        <v>0</v>
      </c>
      <c r="K390" s="43">
        <f>VLOOKUP(F390,[6]Hárok1!$F$345:$S$436,6,0)</f>
        <v>0</v>
      </c>
      <c r="L390" s="43">
        <f>VLOOKUP(F390,[6]Hárok1!$F$345:$S$436,7,0)</f>
        <v>0</v>
      </c>
      <c r="M390" s="43">
        <f>VLOOKUP(F390,[6]Hárok1!$F$345:$S$436,8,0)</f>
        <v>0</v>
      </c>
      <c r="N390" s="43">
        <f>VLOOKUP(F390,[6]Hárok1!$F$345:$S$436,9,0)</f>
        <v>0</v>
      </c>
      <c r="O390" s="43">
        <f>VLOOKUP(F390,[6]Hárok1!$F$345:$S$436,10,0)</f>
        <v>0</v>
      </c>
      <c r="P390" s="44">
        <f>VLOOKUP(F390,[6]Hárok1!$F$345:$S$436,11,0)</f>
        <v>0</v>
      </c>
      <c r="Q390" s="42">
        <f>VLOOKUP(F390,[6]Hárok1!$F$345:$S$436,12,0)</f>
        <v>0</v>
      </c>
      <c r="R390" s="43">
        <f>VLOOKUP(F390,[6]Hárok1!$F$345:$S$436,13,0)</f>
        <v>0</v>
      </c>
      <c r="S390" s="44">
        <f>VLOOKUP(F390,[6]Hárok1!$F$345:$S$436,14,0)</f>
        <v>0</v>
      </c>
      <c r="T390" s="45">
        <f t="shared" ref="T390:T455" si="36">$T$1*L390</f>
        <v>0</v>
      </c>
      <c r="U390" s="46">
        <f>VLOOKUP(F390,[6]Hárok1!$F$344:$U$436,16,0)</f>
        <v>0</v>
      </c>
      <c r="V390" s="47">
        <f t="shared" si="31"/>
        <v>0</v>
      </c>
      <c r="W390" s="47">
        <f t="shared" si="32"/>
        <v>0</v>
      </c>
      <c r="X390" s="48">
        <f t="shared" si="33"/>
        <v>0</v>
      </c>
      <c r="Y390" s="49">
        <f t="shared" si="34"/>
        <v>0</v>
      </c>
      <c r="Z390" s="50">
        <f t="shared" si="35"/>
        <v>0</v>
      </c>
    </row>
    <row r="391" spans="1:26" x14ac:dyDescent="0.25">
      <c r="A391" s="29" t="s">
        <v>822</v>
      </c>
      <c r="B391" s="29" t="s">
        <v>79</v>
      </c>
      <c r="C391" s="29" t="s">
        <v>850</v>
      </c>
      <c r="D391" s="29">
        <v>37808427</v>
      </c>
      <c r="E391" s="32" t="s">
        <v>851</v>
      </c>
      <c r="F391" s="29">
        <v>161578</v>
      </c>
      <c r="G391" s="32" t="s">
        <v>451</v>
      </c>
      <c r="H391" s="32" t="s">
        <v>836</v>
      </c>
      <c r="I391" s="33" t="s">
        <v>892</v>
      </c>
      <c r="J391" s="42">
        <f>VLOOKUP(F391,[6]Hárok1!$F$345:$S$436,5,0)</f>
        <v>0</v>
      </c>
      <c r="K391" s="43">
        <f>VLOOKUP(F391,[6]Hárok1!$F$345:$S$436,6,0)</f>
        <v>0</v>
      </c>
      <c r="L391" s="43">
        <f>VLOOKUP(F391,[6]Hárok1!$F$345:$S$436,7,0)</f>
        <v>0</v>
      </c>
      <c r="M391" s="43">
        <f>VLOOKUP(F391,[6]Hárok1!$F$345:$S$436,8,0)</f>
        <v>0</v>
      </c>
      <c r="N391" s="43">
        <f>VLOOKUP(F391,[6]Hárok1!$F$345:$S$436,9,0)</f>
        <v>0</v>
      </c>
      <c r="O391" s="43">
        <f>VLOOKUP(F391,[6]Hárok1!$F$345:$S$436,10,0)</f>
        <v>0</v>
      </c>
      <c r="P391" s="44">
        <f>VLOOKUP(F391,[6]Hárok1!$F$345:$S$436,11,0)</f>
        <v>0</v>
      </c>
      <c r="Q391" s="42">
        <f>VLOOKUP(F391,[6]Hárok1!$F$345:$S$436,12,0)</f>
        <v>0</v>
      </c>
      <c r="R391" s="43">
        <f>VLOOKUP(F391,[6]Hárok1!$F$345:$S$436,13,0)</f>
        <v>0</v>
      </c>
      <c r="S391" s="44">
        <f>VLOOKUP(F391,[6]Hárok1!$F$345:$S$436,14,0)</f>
        <v>0</v>
      </c>
      <c r="T391" s="45">
        <f t="shared" si="36"/>
        <v>0</v>
      </c>
      <c r="U391" s="46">
        <f>VLOOKUP(F391,[6]Hárok1!$F$344:$U$436,16,0)</f>
        <v>0</v>
      </c>
      <c r="V391" s="47">
        <f t="shared" si="31"/>
        <v>0</v>
      </c>
      <c r="W391" s="47">
        <f t="shared" si="32"/>
        <v>0</v>
      </c>
      <c r="X391" s="48">
        <f t="shared" si="33"/>
        <v>0</v>
      </c>
      <c r="Y391" s="49">
        <f t="shared" si="34"/>
        <v>0</v>
      </c>
      <c r="Z391" s="50">
        <f t="shared" si="35"/>
        <v>0</v>
      </c>
    </row>
    <row r="392" spans="1:26" x14ac:dyDescent="0.25">
      <c r="A392" s="29" t="s">
        <v>822</v>
      </c>
      <c r="B392" s="29" t="s">
        <v>79</v>
      </c>
      <c r="C392" s="29" t="s">
        <v>850</v>
      </c>
      <c r="D392" s="29">
        <v>37808427</v>
      </c>
      <c r="E392" s="32" t="s">
        <v>851</v>
      </c>
      <c r="F392" s="29">
        <v>160717</v>
      </c>
      <c r="G392" s="32" t="s">
        <v>171</v>
      </c>
      <c r="H392" s="32" t="s">
        <v>842</v>
      </c>
      <c r="I392" s="33" t="s">
        <v>893</v>
      </c>
      <c r="J392" s="42">
        <f>VLOOKUP(F392,[6]Hárok1!$F$345:$S$436,5,0)</f>
        <v>0</v>
      </c>
      <c r="K392" s="43">
        <f>VLOOKUP(F392,[6]Hárok1!$F$345:$S$436,6,0)</f>
        <v>0</v>
      </c>
      <c r="L392" s="43">
        <f>VLOOKUP(F392,[6]Hárok1!$F$345:$S$436,7,0)</f>
        <v>0</v>
      </c>
      <c r="M392" s="43">
        <f>VLOOKUP(F392,[6]Hárok1!$F$345:$S$436,8,0)</f>
        <v>0</v>
      </c>
      <c r="N392" s="43">
        <f>VLOOKUP(F392,[6]Hárok1!$F$345:$S$436,9,0)</f>
        <v>0</v>
      </c>
      <c r="O392" s="43">
        <f>VLOOKUP(F392,[6]Hárok1!$F$345:$S$436,10,0)</f>
        <v>0</v>
      </c>
      <c r="P392" s="44">
        <f>VLOOKUP(F392,[6]Hárok1!$F$345:$S$436,11,0)</f>
        <v>0</v>
      </c>
      <c r="Q392" s="42">
        <f>VLOOKUP(F392,[6]Hárok1!$F$345:$S$436,12,0)</f>
        <v>0</v>
      </c>
      <c r="R392" s="43">
        <f>VLOOKUP(F392,[6]Hárok1!$F$345:$S$436,13,0)</f>
        <v>0</v>
      </c>
      <c r="S392" s="44">
        <f>VLOOKUP(F392,[6]Hárok1!$F$345:$S$436,14,0)</f>
        <v>0</v>
      </c>
      <c r="T392" s="45">
        <f t="shared" si="36"/>
        <v>0</v>
      </c>
      <c r="U392" s="46">
        <f>VLOOKUP(F392,[6]Hárok1!$F$344:$U$436,16,0)</f>
        <v>0</v>
      </c>
      <c r="V392" s="47">
        <f t="shared" ref="V392:V455" si="37">$U$1*N392+$V$1*Q392</f>
        <v>0</v>
      </c>
      <c r="W392" s="47">
        <f t="shared" ref="W392:W455" si="38">$U$1*O392+$W$1*R392</f>
        <v>0</v>
      </c>
      <c r="X392" s="48">
        <f t="shared" ref="X392:X455" si="39">$X$1*P392+$V$1*S392</f>
        <v>0</v>
      </c>
      <c r="Y392" s="49">
        <f t="shared" ref="Y392:Y456" si="40">T392+U392+V392+W392+X392</f>
        <v>0</v>
      </c>
      <c r="Z392" s="50">
        <f t="shared" ref="Z392:Z455" si="41">ROUND(Y392,0)</f>
        <v>0</v>
      </c>
    </row>
    <row r="393" spans="1:26" x14ac:dyDescent="0.25">
      <c r="A393" s="29" t="s">
        <v>822</v>
      </c>
      <c r="B393" s="29" t="s">
        <v>79</v>
      </c>
      <c r="C393" s="29" t="s">
        <v>850</v>
      </c>
      <c r="D393" s="29">
        <v>37808427</v>
      </c>
      <c r="E393" s="32" t="s">
        <v>851</v>
      </c>
      <c r="F393" s="29">
        <v>17053846</v>
      </c>
      <c r="G393" s="32" t="s">
        <v>166</v>
      </c>
      <c r="H393" s="32" t="s">
        <v>842</v>
      </c>
      <c r="I393" s="33" t="s">
        <v>894</v>
      </c>
      <c r="J393" s="42">
        <f>VLOOKUP(F393,[6]Hárok1!$F$345:$S$436,5,0)</f>
        <v>0</v>
      </c>
      <c r="K393" s="43">
        <f>VLOOKUP(F393,[6]Hárok1!$F$345:$S$436,6,0)</f>
        <v>0</v>
      </c>
      <c r="L393" s="43">
        <f>VLOOKUP(F393,[6]Hárok1!$F$345:$S$436,7,0)</f>
        <v>0</v>
      </c>
      <c r="M393" s="43">
        <f>VLOOKUP(F393,[6]Hárok1!$F$345:$S$436,8,0)</f>
        <v>0</v>
      </c>
      <c r="N393" s="43">
        <f>VLOOKUP(F393,[6]Hárok1!$F$345:$S$436,9,0)</f>
        <v>0</v>
      </c>
      <c r="O393" s="43">
        <f>VLOOKUP(F393,[6]Hárok1!$F$345:$S$436,10,0)</f>
        <v>0</v>
      </c>
      <c r="P393" s="44">
        <f>VLOOKUP(F393,[6]Hárok1!$F$345:$S$436,11,0)</f>
        <v>0</v>
      </c>
      <c r="Q393" s="42">
        <f>VLOOKUP(F393,[6]Hárok1!$F$345:$S$436,12,0)</f>
        <v>0</v>
      </c>
      <c r="R393" s="43">
        <f>VLOOKUP(F393,[6]Hárok1!$F$345:$S$436,13,0)</f>
        <v>0</v>
      </c>
      <c r="S393" s="44">
        <f>VLOOKUP(F393,[6]Hárok1!$F$345:$S$436,14,0)</f>
        <v>0</v>
      </c>
      <c r="T393" s="45">
        <f t="shared" si="36"/>
        <v>0</v>
      </c>
      <c r="U393" s="46">
        <f>VLOOKUP(F393,[6]Hárok1!$F$344:$U$436,16,0)</f>
        <v>0</v>
      </c>
      <c r="V393" s="47">
        <f t="shared" si="37"/>
        <v>0</v>
      </c>
      <c r="W393" s="47">
        <f t="shared" si="38"/>
        <v>0</v>
      </c>
      <c r="X393" s="48">
        <f t="shared" si="39"/>
        <v>0</v>
      </c>
      <c r="Y393" s="49">
        <f t="shared" si="40"/>
        <v>0</v>
      </c>
      <c r="Z393" s="50">
        <f t="shared" si="41"/>
        <v>0</v>
      </c>
    </row>
    <row r="394" spans="1:26" x14ac:dyDescent="0.25">
      <c r="A394" s="29" t="s">
        <v>822</v>
      </c>
      <c r="B394" s="29" t="s">
        <v>79</v>
      </c>
      <c r="C394" s="29" t="s">
        <v>850</v>
      </c>
      <c r="D394" s="29">
        <v>37808427</v>
      </c>
      <c r="E394" s="32" t="s">
        <v>851</v>
      </c>
      <c r="F394" s="29">
        <v>17050502</v>
      </c>
      <c r="G394" s="32" t="s">
        <v>154</v>
      </c>
      <c r="H394" s="32" t="s">
        <v>842</v>
      </c>
      <c r="I394" s="33" t="s">
        <v>895</v>
      </c>
      <c r="J394" s="42">
        <f>VLOOKUP(F394,[6]Hárok1!$F$345:$S$436,5,0)</f>
        <v>0</v>
      </c>
      <c r="K394" s="43">
        <f>VLOOKUP(F394,[6]Hárok1!$F$345:$S$436,6,0)</f>
        <v>0</v>
      </c>
      <c r="L394" s="43">
        <f>VLOOKUP(F394,[6]Hárok1!$F$345:$S$436,7,0)</f>
        <v>0</v>
      </c>
      <c r="M394" s="43">
        <f>VLOOKUP(F394,[6]Hárok1!$F$345:$S$436,8,0)</f>
        <v>0</v>
      </c>
      <c r="N394" s="43">
        <f>VLOOKUP(F394,[6]Hárok1!$F$345:$S$436,9,0)</f>
        <v>0</v>
      </c>
      <c r="O394" s="43">
        <f>VLOOKUP(F394,[6]Hárok1!$F$345:$S$436,10,0)</f>
        <v>0</v>
      </c>
      <c r="P394" s="44">
        <f>VLOOKUP(F394,[6]Hárok1!$F$345:$S$436,11,0)</f>
        <v>0</v>
      </c>
      <c r="Q394" s="42">
        <f>VLOOKUP(F394,[6]Hárok1!$F$345:$S$436,12,0)</f>
        <v>0</v>
      </c>
      <c r="R394" s="43">
        <f>VLOOKUP(F394,[6]Hárok1!$F$345:$S$436,13,0)</f>
        <v>0</v>
      </c>
      <c r="S394" s="44">
        <f>VLOOKUP(F394,[6]Hárok1!$F$345:$S$436,14,0)</f>
        <v>0</v>
      </c>
      <c r="T394" s="45">
        <f t="shared" si="36"/>
        <v>0</v>
      </c>
      <c r="U394" s="46">
        <f>VLOOKUP(F394,[6]Hárok1!$F$344:$U$436,16,0)</f>
        <v>0</v>
      </c>
      <c r="V394" s="47">
        <f t="shared" si="37"/>
        <v>0</v>
      </c>
      <c r="W394" s="47">
        <f t="shared" si="38"/>
        <v>0</v>
      </c>
      <c r="X394" s="48">
        <f t="shared" si="39"/>
        <v>0</v>
      </c>
      <c r="Y394" s="49">
        <f t="shared" si="40"/>
        <v>0</v>
      </c>
      <c r="Z394" s="50">
        <f t="shared" si="41"/>
        <v>0</v>
      </c>
    </row>
    <row r="395" spans="1:26" x14ac:dyDescent="0.25">
      <c r="A395" s="29" t="s">
        <v>822</v>
      </c>
      <c r="B395" s="29" t="s">
        <v>79</v>
      </c>
      <c r="C395" s="29" t="s">
        <v>850</v>
      </c>
      <c r="D395" s="29">
        <v>37808427</v>
      </c>
      <c r="E395" s="32" t="s">
        <v>851</v>
      </c>
      <c r="F395" s="29">
        <v>160792</v>
      </c>
      <c r="G395" s="32" t="s">
        <v>49</v>
      </c>
      <c r="H395" s="32" t="s">
        <v>462</v>
      </c>
      <c r="I395" s="33" t="s">
        <v>896</v>
      </c>
      <c r="J395" s="42">
        <f>VLOOKUP(F395,[6]Hárok1!$F$345:$S$436,5,0)</f>
        <v>0</v>
      </c>
      <c r="K395" s="43">
        <f>VLOOKUP(F395,[6]Hárok1!$F$345:$S$436,6,0)</f>
        <v>0</v>
      </c>
      <c r="L395" s="43">
        <f>VLOOKUP(F395,[6]Hárok1!$F$345:$S$436,7,0)</f>
        <v>0</v>
      </c>
      <c r="M395" s="43">
        <f>VLOOKUP(F395,[6]Hárok1!$F$345:$S$436,8,0)</f>
        <v>0</v>
      </c>
      <c r="N395" s="43">
        <f>VLOOKUP(F395,[6]Hárok1!$F$345:$S$436,9,0)</f>
        <v>0</v>
      </c>
      <c r="O395" s="43">
        <f>VLOOKUP(F395,[6]Hárok1!$F$345:$S$436,10,0)</f>
        <v>0</v>
      </c>
      <c r="P395" s="44">
        <f>VLOOKUP(F395,[6]Hárok1!$F$345:$S$436,11,0)</f>
        <v>0</v>
      </c>
      <c r="Q395" s="42">
        <f>VLOOKUP(F395,[6]Hárok1!$F$345:$S$436,12,0)</f>
        <v>0</v>
      </c>
      <c r="R395" s="43">
        <f>VLOOKUP(F395,[6]Hárok1!$F$345:$S$436,13,0)</f>
        <v>0</v>
      </c>
      <c r="S395" s="44">
        <f>VLOOKUP(F395,[6]Hárok1!$F$345:$S$436,14,0)</f>
        <v>0</v>
      </c>
      <c r="T395" s="45">
        <f t="shared" si="36"/>
        <v>0</v>
      </c>
      <c r="U395" s="46">
        <f>VLOOKUP(F395,[6]Hárok1!$F$344:$U$436,16,0)</f>
        <v>0</v>
      </c>
      <c r="V395" s="47">
        <f t="shared" si="37"/>
        <v>0</v>
      </c>
      <c r="W395" s="47">
        <f t="shared" si="38"/>
        <v>0</v>
      </c>
      <c r="X395" s="48">
        <f t="shared" si="39"/>
        <v>0</v>
      </c>
      <c r="Y395" s="49">
        <f t="shared" si="40"/>
        <v>0</v>
      </c>
      <c r="Z395" s="50">
        <f t="shared" si="41"/>
        <v>0</v>
      </c>
    </row>
    <row r="396" spans="1:26" x14ac:dyDescent="0.25">
      <c r="A396" s="29" t="s">
        <v>822</v>
      </c>
      <c r="B396" s="29" t="s">
        <v>79</v>
      </c>
      <c r="C396" s="29" t="s">
        <v>850</v>
      </c>
      <c r="D396" s="29">
        <v>37808427</v>
      </c>
      <c r="E396" s="32" t="s">
        <v>851</v>
      </c>
      <c r="F396" s="29">
        <v>30232953</v>
      </c>
      <c r="G396" s="32" t="s">
        <v>100</v>
      </c>
      <c r="H396" s="32" t="s">
        <v>462</v>
      </c>
      <c r="I396" s="33" t="s">
        <v>897</v>
      </c>
      <c r="J396" s="42">
        <f>VLOOKUP(F396,[6]Hárok1!$F$345:$S$436,5,0)</f>
        <v>0</v>
      </c>
      <c r="K396" s="43">
        <f>VLOOKUP(F396,[6]Hárok1!$F$345:$S$436,6,0)</f>
        <v>0</v>
      </c>
      <c r="L396" s="43">
        <f>VLOOKUP(F396,[6]Hárok1!$F$345:$S$436,7,0)</f>
        <v>0</v>
      </c>
      <c r="M396" s="43">
        <f>VLOOKUP(F396,[6]Hárok1!$F$345:$S$436,8,0)</f>
        <v>0</v>
      </c>
      <c r="N396" s="43">
        <f>VLOOKUP(F396,[6]Hárok1!$F$345:$S$436,9,0)</f>
        <v>0</v>
      </c>
      <c r="O396" s="43">
        <f>VLOOKUP(F396,[6]Hárok1!$F$345:$S$436,10,0)</f>
        <v>0</v>
      </c>
      <c r="P396" s="44">
        <f>VLOOKUP(F396,[6]Hárok1!$F$345:$S$436,11,0)</f>
        <v>0</v>
      </c>
      <c r="Q396" s="42">
        <f>VLOOKUP(F396,[6]Hárok1!$F$345:$S$436,12,0)</f>
        <v>0</v>
      </c>
      <c r="R396" s="43">
        <f>VLOOKUP(F396,[6]Hárok1!$F$345:$S$436,13,0)</f>
        <v>0</v>
      </c>
      <c r="S396" s="44">
        <f>VLOOKUP(F396,[6]Hárok1!$F$345:$S$436,14,0)</f>
        <v>0</v>
      </c>
      <c r="T396" s="45">
        <f t="shared" si="36"/>
        <v>0</v>
      </c>
      <c r="U396" s="46">
        <f>VLOOKUP(F396,[6]Hárok1!$F$344:$U$436,16,0)</f>
        <v>0</v>
      </c>
      <c r="V396" s="47">
        <f t="shared" si="37"/>
        <v>0</v>
      </c>
      <c r="W396" s="47">
        <f t="shared" si="38"/>
        <v>0</v>
      </c>
      <c r="X396" s="48">
        <f t="shared" si="39"/>
        <v>0</v>
      </c>
      <c r="Y396" s="49">
        <f t="shared" si="40"/>
        <v>0</v>
      </c>
      <c r="Z396" s="50">
        <f t="shared" si="41"/>
        <v>0</v>
      </c>
    </row>
    <row r="397" spans="1:26" x14ac:dyDescent="0.25">
      <c r="A397" s="29" t="s">
        <v>822</v>
      </c>
      <c r="B397" s="29" t="s">
        <v>79</v>
      </c>
      <c r="C397" s="29" t="s">
        <v>850</v>
      </c>
      <c r="D397" s="29">
        <v>37808427</v>
      </c>
      <c r="E397" s="32" t="s">
        <v>851</v>
      </c>
      <c r="F397" s="29">
        <v>894826</v>
      </c>
      <c r="G397" s="32" t="s">
        <v>52</v>
      </c>
      <c r="H397" s="32" t="s">
        <v>462</v>
      </c>
      <c r="I397" s="33" t="s">
        <v>898</v>
      </c>
      <c r="J397" s="42">
        <f>VLOOKUP(F397,[6]Hárok1!$F$345:$S$436,5,0)</f>
        <v>0</v>
      </c>
      <c r="K397" s="43">
        <f>VLOOKUP(F397,[6]Hárok1!$F$345:$S$436,6,0)</f>
        <v>0</v>
      </c>
      <c r="L397" s="43">
        <f>VLOOKUP(F397,[6]Hárok1!$F$345:$S$436,7,0)</f>
        <v>0</v>
      </c>
      <c r="M397" s="43">
        <f>VLOOKUP(F397,[6]Hárok1!$F$345:$S$436,8,0)</f>
        <v>0</v>
      </c>
      <c r="N397" s="43">
        <f>VLOOKUP(F397,[6]Hárok1!$F$345:$S$436,9,0)</f>
        <v>0</v>
      </c>
      <c r="O397" s="43">
        <f>VLOOKUP(F397,[6]Hárok1!$F$345:$S$436,10,0)</f>
        <v>0</v>
      </c>
      <c r="P397" s="44">
        <f>VLOOKUP(F397,[6]Hárok1!$F$345:$S$436,11,0)</f>
        <v>0</v>
      </c>
      <c r="Q397" s="42">
        <f>VLOOKUP(F397,[6]Hárok1!$F$345:$S$436,12,0)</f>
        <v>0</v>
      </c>
      <c r="R397" s="43">
        <f>VLOOKUP(F397,[6]Hárok1!$F$345:$S$436,13,0)</f>
        <v>0</v>
      </c>
      <c r="S397" s="44">
        <f>VLOOKUP(F397,[6]Hárok1!$F$345:$S$436,14,0)</f>
        <v>0</v>
      </c>
      <c r="T397" s="45">
        <f t="shared" si="36"/>
        <v>0</v>
      </c>
      <c r="U397" s="46">
        <f>VLOOKUP(F397,[6]Hárok1!$F$344:$U$436,16,0)</f>
        <v>0</v>
      </c>
      <c r="V397" s="47">
        <f t="shared" si="37"/>
        <v>0</v>
      </c>
      <c r="W397" s="47">
        <f t="shared" si="38"/>
        <v>0</v>
      </c>
      <c r="X397" s="48">
        <f t="shared" si="39"/>
        <v>0</v>
      </c>
      <c r="Y397" s="49">
        <f t="shared" si="40"/>
        <v>0</v>
      </c>
      <c r="Z397" s="50">
        <f t="shared" si="41"/>
        <v>0</v>
      </c>
    </row>
    <row r="398" spans="1:26" x14ac:dyDescent="0.25">
      <c r="A398" s="29" t="s">
        <v>822</v>
      </c>
      <c r="B398" s="29" t="s">
        <v>79</v>
      </c>
      <c r="C398" s="29" t="s">
        <v>850</v>
      </c>
      <c r="D398" s="29">
        <v>37808427</v>
      </c>
      <c r="E398" s="32" t="s">
        <v>851</v>
      </c>
      <c r="F398" s="29">
        <v>891894</v>
      </c>
      <c r="G398" s="32" t="s">
        <v>754</v>
      </c>
      <c r="H398" s="32" t="s">
        <v>462</v>
      </c>
      <c r="I398" s="33" t="s">
        <v>899</v>
      </c>
      <c r="J398" s="42">
        <f>VLOOKUP(F398,[6]Hárok1!$F$345:$S$436,5,0)</f>
        <v>0</v>
      </c>
      <c r="K398" s="43">
        <f>VLOOKUP(F398,[6]Hárok1!$F$345:$S$436,6,0)</f>
        <v>0</v>
      </c>
      <c r="L398" s="43">
        <f>VLOOKUP(F398,[6]Hárok1!$F$345:$S$436,7,0)</f>
        <v>0</v>
      </c>
      <c r="M398" s="43">
        <f>VLOOKUP(F398,[6]Hárok1!$F$345:$S$436,8,0)</f>
        <v>0</v>
      </c>
      <c r="N398" s="43">
        <f>VLOOKUP(F398,[6]Hárok1!$F$345:$S$436,9,0)</f>
        <v>0</v>
      </c>
      <c r="O398" s="43">
        <f>VLOOKUP(F398,[6]Hárok1!$F$345:$S$436,10,0)</f>
        <v>0</v>
      </c>
      <c r="P398" s="44">
        <f>VLOOKUP(F398,[6]Hárok1!$F$345:$S$436,11,0)</f>
        <v>0</v>
      </c>
      <c r="Q398" s="42">
        <f>VLOOKUP(F398,[6]Hárok1!$F$345:$S$436,12,0)</f>
        <v>0</v>
      </c>
      <c r="R398" s="43">
        <f>VLOOKUP(F398,[6]Hárok1!$F$345:$S$436,13,0)</f>
        <v>0</v>
      </c>
      <c r="S398" s="44">
        <f>VLOOKUP(F398,[6]Hárok1!$F$345:$S$436,14,0)</f>
        <v>0</v>
      </c>
      <c r="T398" s="45">
        <f t="shared" si="36"/>
        <v>0</v>
      </c>
      <c r="U398" s="46">
        <f>VLOOKUP(F398,[6]Hárok1!$F$344:$U$436,16,0)</f>
        <v>0</v>
      </c>
      <c r="V398" s="47">
        <f t="shared" si="37"/>
        <v>0</v>
      </c>
      <c r="W398" s="47">
        <f t="shared" si="38"/>
        <v>0</v>
      </c>
      <c r="X398" s="48">
        <f t="shared" si="39"/>
        <v>0</v>
      </c>
      <c r="Y398" s="49">
        <f t="shared" si="40"/>
        <v>0</v>
      </c>
      <c r="Z398" s="50">
        <f t="shared" si="41"/>
        <v>0</v>
      </c>
    </row>
    <row r="399" spans="1:26" x14ac:dyDescent="0.25">
      <c r="A399" s="29" t="s">
        <v>822</v>
      </c>
      <c r="B399" s="29" t="s">
        <v>79</v>
      </c>
      <c r="C399" s="29" t="s">
        <v>850</v>
      </c>
      <c r="D399" s="29">
        <v>37808427</v>
      </c>
      <c r="E399" s="32" t="s">
        <v>851</v>
      </c>
      <c r="F399" s="29">
        <v>161551</v>
      </c>
      <c r="G399" s="32" t="s">
        <v>119</v>
      </c>
      <c r="H399" s="32" t="s">
        <v>462</v>
      </c>
      <c r="I399" s="33" t="s">
        <v>900</v>
      </c>
      <c r="J399" s="42">
        <f>VLOOKUP(F399,[6]Hárok1!$F$345:$S$436,5,0)</f>
        <v>0</v>
      </c>
      <c r="K399" s="43">
        <f>VLOOKUP(F399,[6]Hárok1!$F$345:$S$436,6,0)</f>
        <v>0</v>
      </c>
      <c r="L399" s="43">
        <f>VLOOKUP(F399,[6]Hárok1!$F$345:$S$436,7,0)</f>
        <v>0</v>
      </c>
      <c r="M399" s="43">
        <f>VLOOKUP(F399,[6]Hárok1!$F$345:$S$436,8,0)</f>
        <v>0</v>
      </c>
      <c r="N399" s="43">
        <f>VLOOKUP(F399,[6]Hárok1!$F$345:$S$436,9,0)</f>
        <v>0</v>
      </c>
      <c r="O399" s="43">
        <f>VLOOKUP(F399,[6]Hárok1!$F$345:$S$436,10,0)</f>
        <v>0</v>
      </c>
      <c r="P399" s="44">
        <f>VLOOKUP(F399,[6]Hárok1!$F$345:$S$436,11,0)</f>
        <v>0</v>
      </c>
      <c r="Q399" s="42">
        <f>VLOOKUP(F399,[6]Hárok1!$F$345:$S$436,12,0)</f>
        <v>0</v>
      </c>
      <c r="R399" s="43">
        <f>VLOOKUP(F399,[6]Hárok1!$F$345:$S$436,13,0)</f>
        <v>0</v>
      </c>
      <c r="S399" s="44">
        <f>VLOOKUP(F399,[6]Hárok1!$F$345:$S$436,14,0)</f>
        <v>0</v>
      </c>
      <c r="T399" s="45">
        <f t="shared" si="36"/>
        <v>0</v>
      </c>
      <c r="U399" s="46">
        <f>VLOOKUP(F399,[6]Hárok1!$F$344:$U$436,16,0)</f>
        <v>0</v>
      </c>
      <c r="V399" s="47">
        <f t="shared" si="37"/>
        <v>0</v>
      </c>
      <c r="W399" s="47">
        <f t="shared" si="38"/>
        <v>0</v>
      </c>
      <c r="X399" s="48">
        <f t="shared" si="39"/>
        <v>0</v>
      </c>
      <c r="Y399" s="49">
        <f t="shared" si="40"/>
        <v>0</v>
      </c>
      <c r="Z399" s="50">
        <f t="shared" si="41"/>
        <v>0</v>
      </c>
    </row>
    <row r="400" spans="1:26" x14ac:dyDescent="0.25">
      <c r="A400" s="29" t="s">
        <v>822</v>
      </c>
      <c r="B400" s="29" t="s">
        <v>79</v>
      </c>
      <c r="C400" s="29" t="s">
        <v>850</v>
      </c>
      <c r="D400" s="29">
        <v>37808427</v>
      </c>
      <c r="E400" s="32" t="s">
        <v>851</v>
      </c>
      <c r="F400" s="29">
        <v>162817</v>
      </c>
      <c r="G400" s="32" t="s">
        <v>141</v>
      </c>
      <c r="H400" s="32" t="s">
        <v>901</v>
      </c>
      <c r="I400" s="33" t="s">
        <v>902</v>
      </c>
      <c r="J400" s="42">
        <f>VLOOKUP(F400,[6]Hárok1!$F$345:$S$436,5,0)</f>
        <v>0</v>
      </c>
      <c r="K400" s="43">
        <f>VLOOKUP(F400,[6]Hárok1!$F$345:$S$436,6,0)</f>
        <v>0</v>
      </c>
      <c r="L400" s="43">
        <f>VLOOKUP(F400,[6]Hárok1!$F$345:$S$436,7,0)</f>
        <v>0</v>
      </c>
      <c r="M400" s="43">
        <f>VLOOKUP(F400,[6]Hárok1!$F$345:$S$436,8,0)</f>
        <v>0</v>
      </c>
      <c r="N400" s="43">
        <f>VLOOKUP(F400,[6]Hárok1!$F$345:$S$436,9,0)</f>
        <v>0</v>
      </c>
      <c r="O400" s="43">
        <f>VLOOKUP(F400,[6]Hárok1!$F$345:$S$436,10,0)</f>
        <v>0</v>
      </c>
      <c r="P400" s="44">
        <f>VLOOKUP(F400,[6]Hárok1!$F$345:$S$436,11,0)</f>
        <v>0</v>
      </c>
      <c r="Q400" s="42">
        <f>VLOOKUP(F400,[6]Hárok1!$F$345:$S$436,12,0)</f>
        <v>0</v>
      </c>
      <c r="R400" s="43">
        <f>VLOOKUP(F400,[6]Hárok1!$F$345:$S$436,13,0)</f>
        <v>0</v>
      </c>
      <c r="S400" s="44">
        <f>VLOOKUP(F400,[6]Hárok1!$F$345:$S$436,14,0)</f>
        <v>0</v>
      </c>
      <c r="T400" s="45">
        <f t="shared" si="36"/>
        <v>0</v>
      </c>
      <c r="U400" s="46">
        <f>VLOOKUP(F400,[6]Hárok1!$F$344:$U$436,16,0)</f>
        <v>0</v>
      </c>
      <c r="V400" s="47">
        <f t="shared" si="37"/>
        <v>0</v>
      </c>
      <c r="W400" s="47">
        <f t="shared" si="38"/>
        <v>0</v>
      </c>
      <c r="X400" s="48">
        <f t="shared" si="39"/>
        <v>0</v>
      </c>
      <c r="Y400" s="49">
        <f t="shared" si="40"/>
        <v>0</v>
      </c>
      <c r="Z400" s="50">
        <f t="shared" si="41"/>
        <v>0</v>
      </c>
    </row>
    <row r="401" spans="1:26" x14ac:dyDescent="0.25">
      <c r="A401" s="29" t="s">
        <v>822</v>
      </c>
      <c r="B401" s="29" t="s">
        <v>79</v>
      </c>
      <c r="C401" s="29" t="s">
        <v>850</v>
      </c>
      <c r="D401" s="29">
        <v>37808427</v>
      </c>
      <c r="E401" s="32" t="s">
        <v>851</v>
      </c>
      <c r="F401" s="29">
        <v>17050448</v>
      </c>
      <c r="G401" s="32" t="s">
        <v>52</v>
      </c>
      <c r="H401" s="32" t="s">
        <v>903</v>
      </c>
      <c r="I401" s="33" t="s">
        <v>904</v>
      </c>
      <c r="J401" s="42">
        <f>VLOOKUP(F401,[6]Hárok1!$F$345:$S$436,5,0)</f>
        <v>0</v>
      </c>
      <c r="K401" s="43">
        <f>VLOOKUP(F401,[6]Hárok1!$F$345:$S$436,6,0)</f>
        <v>0</v>
      </c>
      <c r="L401" s="43">
        <f>VLOOKUP(F401,[6]Hárok1!$F$345:$S$436,7,0)</f>
        <v>0</v>
      </c>
      <c r="M401" s="43">
        <f>VLOOKUP(F401,[6]Hárok1!$F$345:$S$436,8,0)</f>
        <v>0</v>
      </c>
      <c r="N401" s="43">
        <f>VLOOKUP(F401,[6]Hárok1!$F$345:$S$436,9,0)</f>
        <v>0</v>
      </c>
      <c r="O401" s="43">
        <f>VLOOKUP(F401,[6]Hárok1!$F$345:$S$436,10,0)</f>
        <v>0</v>
      </c>
      <c r="P401" s="44">
        <f>VLOOKUP(F401,[6]Hárok1!$F$345:$S$436,11,0)</f>
        <v>0</v>
      </c>
      <c r="Q401" s="42">
        <f>VLOOKUP(F401,[6]Hárok1!$F$345:$S$436,12,0)</f>
        <v>0</v>
      </c>
      <c r="R401" s="43">
        <f>VLOOKUP(F401,[6]Hárok1!$F$345:$S$436,13,0)</f>
        <v>0</v>
      </c>
      <c r="S401" s="44">
        <f>VLOOKUP(F401,[6]Hárok1!$F$345:$S$436,14,0)</f>
        <v>0</v>
      </c>
      <c r="T401" s="45">
        <f t="shared" si="36"/>
        <v>0</v>
      </c>
      <c r="U401" s="46">
        <f>VLOOKUP(F401,[6]Hárok1!$F$344:$U$436,16,0)</f>
        <v>0</v>
      </c>
      <c r="V401" s="47">
        <f t="shared" si="37"/>
        <v>0</v>
      </c>
      <c r="W401" s="47">
        <f t="shared" si="38"/>
        <v>0</v>
      </c>
      <c r="X401" s="48">
        <f t="shared" si="39"/>
        <v>0</v>
      </c>
      <c r="Y401" s="49">
        <f t="shared" si="40"/>
        <v>0</v>
      </c>
      <c r="Z401" s="50">
        <f t="shared" si="41"/>
        <v>0</v>
      </c>
    </row>
    <row r="402" spans="1:26" x14ac:dyDescent="0.25">
      <c r="A402" s="51" t="s">
        <v>822</v>
      </c>
      <c r="B402" s="51" t="s">
        <v>79</v>
      </c>
      <c r="C402" s="51" t="s">
        <v>850</v>
      </c>
      <c r="D402" s="51">
        <v>37808427</v>
      </c>
      <c r="E402" s="32" t="s">
        <v>851</v>
      </c>
      <c r="F402" s="51">
        <v>626848</v>
      </c>
      <c r="G402" s="32" t="s">
        <v>49</v>
      </c>
      <c r="H402" s="32" t="s">
        <v>905</v>
      </c>
      <c r="I402" s="33" t="s">
        <v>906</v>
      </c>
      <c r="J402" s="42">
        <f>VLOOKUP(F402,[6]Hárok1!$F$345:$S$436,5,0)</f>
        <v>0</v>
      </c>
      <c r="K402" s="43">
        <f>VLOOKUP(F402,[6]Hárok1!$F$345:$S$436,6,0)</f>
        <v>0</v>
      </c>
      <c r="L402" s="43">
        <f>VLOOKUP(F402,[6]Hárok1!$F$345:$S$436,7,0)</f>
        <v>0</v>
      </c>
      <c r="M402" s="43">
        <f>VLOOKUP(F402,[6]Hárok1!$F$345:$S$436,8,0)</f>
        <v>0</v>
      </c>
      <c r="N402" s="43">
        <f>VLOOKUP(F402,[6]Hárok1!$F$345:$S$436,9,0)</f>
        <v>0</v>
      </c>
      <c r="O402" s="43">
        <f>VLOOKUP(F402,[6]Hárok1!$F$345:$S$436,10,0)</f>
        <v>0</v>
      </c>
      <c r="P402" s="44">
        <f>VLOOKUP(F402,[6]Hárok1!$F$345:$S$436,11,0)</f>
        <v>0</v>
      </c>
      <c r="Q402" s="42">
        <f>VLOOKUP(F402,[6]Hárok1!$F$345:$S$436,12,0)</f>
        <v>0</v>
      </c>
      <c r="R402" s="43">
        <f>VLOOKUP(F402,[6]Hárok1!$F$345:$S$436,13,0)</f>
        <v>0</v>
      </c>
      <c r="S402" s="44">
        <f>VLOOKUP(F402,[6]Hárok1!$F$345:$S$436,14,0)</f>
        <v>0</v>
      </c>
      <c r="T402" s="45">
        <f t="shared" si="36"/>
        <v>0</v>
      </c>
      <c r="U402" s="46">
        <f>VLOOKUP(F402,[6]Hárok1!$F$344:$U$436,16,0)</f>
        <v>0</v>
      </c>
      <c r="V402" s="47">
        <f t="shared" si="37"/>
        <v>0</v>
      </c>
      <c r="W402" s="47">
        <f t="shared" si="38"/>
        <v>0</v>
      </c>
      <c r="X402" s="48">
        <f t="shared" si="39"/>
        <v>0</v>
      </c>
      <c r="Y402" s="49">
        <f t="shared" si="40"/>
        <v>0</v>
      </c>
      <c r="Z402" s="50">
        <f t="shared" si="41"/>
        <v>0</v>
      </c>
    </row>
    <row r="403" spans="1:26" x14ac:dyDescent="0.25">
      <c r="A403" s="29" t="s">
        <v>822</v>
      </c>
      <c r="B403" s="29" t="s">
        <v>79</v>
      </c>
      <c r="C403" s="29" t="s">
        <v>850</v>
      </c>
      <c r="D403" s="29">
        <v>37808427</v>
      </c>
      <c r="E403" s="32" t="s">
        <v>851</v>
      </c>
      <c r="F403" s="29">
        <v>517801</v>
      </c>
      <c r="G403" s="32" t="s">
        <v>907</v>
      </c>
      <c r="H403" s="32" t="s">
        <v>905</v>
      </c>
      <c r="I403" s="33" t="s">
        <v>908</v>
      </c>
      <c r="J403" s="42">
        <f>VLOOKUP(F403,[6]Hárok1!$F$345:$S$436,5,0)</f>
        <v>0</v>
      </c>
      <c r="K403" s="43">
        <f>VLOOKUP(F403,[6]Hárok1!$F$345:$S$436,6,0)</f>
        <v>0</v>
      </c>
      <c r="L403" s="43">
        <f>VLOOKUP(F403,[6]Hárok1!$F$345:$S$436,7,0)</f>
        <v>0</v>
      </c>
      <c r="M403" s="43">
        <f>VLOOKUP(F403,[6]Hárok1!$F$345:$S$436,8,0)</f>
        <v>0</v>
      </c>
      <c r="N403" s="43">
        <f>VLOOKUP(F403,[6]Hárok1!$F$345:$S$436,9,0)</f>
        <v>0</v>
      </c>
      <c r="O403" s="43">
        <f>VLOOKUP(F403,[6]Hárok1!$F$345:$S$436,10,0)</f>
        <v>0</v>
      </c>
      <c r="P403" s="44">
        <f>VLOOKUP(F403,[6]Hárok1!$F$345:$S$436,11,0)</f>
        <v>0</v>
      </c>
      <c r="Q403" s="42">
        <f>VLOOKUP(F403,[6]Hárok1!$F$345:$S$436,12,0)</f>
        <v>0</v>
      </c>
      <c r="R403" s="43">
        <f>VLOOKUP(F403,[6]Hárok1!$F$345:$S$436,13,0)</f>
        <v>0</v>
      </c>
      <c r="S403" s="44">
        <f>VLOOKUP(F403,[6]Hárok1!$F$345:$S$436,14,0)</f>
        <v>0</v>
      </c>
      <c r="T403" s="45">
        <f t="shared" si="36"/>
        <v>0</v>
      </c>
      <c r="U403" s="46">
        <f>VLOOKUP(F403,[6]Hárok1!$F$344:$U$436,16,0)</f>
        <v>0</v>
      </c>
      <c r="V403" s="47">
        <f t="shared" si="37"/>
        <v>0</v>
      </c>
      <c r="W403" s="47">
        <f t="shared" si="38"/>
        <v>0</v>
      </c>
      <c r="X403" s="48">
        <f t="shared" si="39"/>
        <v>0</v>
      </c>
      <c r="Y403" s="49">
        <f t="shared" si="40"/>
        <v>0</v>
      </c>
      <c r="Z403" s="50">
        <f t="shared" si="41"/>
        <v>0</v>
      </c>
    </row>
    <row r="404" spans="1:26" x14ac:dyDescent="0.25">
      <c r="A404" s="29" t="s">
        <v>822</v>
      </c>
      <c r="B404" s="29" t="s">
        <v>79</v>
      </c>
      <c r="C404" s="29" t="s">
        <v>850</v>
      </c>
      <c r="D404" s="29">
        <v>37808427</v>
      </c>
      <c r="E404" s="32" t="s">
        <v>851</v>
      </c>
      <c r="F404" s="29">
        <v>53948998</v>
      </c>
      <c r="G404" s="32" t="s">
        <v>909</v>
      </c>
      <c r="H404" s="32" t="s">
        <v>905</v>
      </c>
      <c r="I404" s="33" t="s">
        <v>910</v>
      </c>
      <c r="J404" s="42">
        <f>VLOOKUP(F404,[6]Hárok1!$F$345:$S$436,5,0)</f>
        <v>0</v>
      </c>
      <c r="K404" s="43">
        <f>VLOOKUP(F404,[6]Hárok1!$F$345:$S$436,6,0)</f>
        <v>0</v>
      </c>
      <c r="L404" s="43">
        <f>VLOOKUP(F404,[6]Hárok1!$F$345:$S$436,7,0)</f>
        <v>0</v>
      </c>
      <c r="M404" s="43">
        <f>VLOOKUP(F404,[6]Hárok1!$F$345:$S$436,8,0)</f>
        <v>0</v>
      </c>
      <c r="N404" s="43">
        <f>VLOOKUP(F404,[6]Hárok1!$F$345:$S$436,9,0)</f>
        <v>0</v>
      </c>
      <c r="O404" s="43">
        <f>VLOOKUP(F404,[6]Hárok1!$F$345:$S$436,10,0)</f>
        <v>0</v>
      </c>
      <c r="P404" s="44">
        <f>VLOOKUP(F404,[6]Hárok1!$F$345:$S$436,11,0)</f>
        <v>0</v>
      </c>
      <c r="Q404" s="42">
        <f>VLOOKUP(F404,[6]Hárok1!$F$345:$S$436,12,0)</f>
        <v>0</v>
      </c>
      <c r="R404" s="43">
        <f>VLOOKUP(F404,[6]Hárok1!$F$345:$S$436,13,0)</f>
        <v>0</v>
      </c>
      <c r="S404" s="44">
        <f>VLOOKUP(F404,[6]Hárok1!$F$345:$S$436,14,0)</f>
        <v>0</v>
      </c>
      <c r="T404" s="45">
        <f t="shared" si="36"/>
        <v>0</v>
      </c>
      <c r="U404" s="46">
        <f>VLOOKUP(F404,[6]Hárok1!$F$344:$U$436,16,0)</f>
        <v>0</v>
      </c>
      <c r="V404" s="47">
        <f t="shared" si="37"/>
        <v>0</v>
      </c>
      <c r="W404" s="47">
        <f t="shared" si="38"/>
        <v>0</v>
      </c>
      <c r="X404" s="48">
        <f t="shared" si="39"/>
        <v>0</v>
      </c>
      <c r="Y404" s="49">
        <f t="shared" si="40"/>
        <v>0</v>
      </c>
      <c r="Z404" s="50">
        <f t="shared" si="41"/>
        <v>0</v>
      </c>
    </row>
    <row r="405" spans="1:26" x14ac:dyDescent="0.25">
      <c r="A405" s="29" t="s">
        <v>822</v>
      </c>
      <c r="B405" s="29" t="s">
        <v>79</v>
      </c>
      <c r="C405" s="29" t="s">
        <v>850</v>
      </c>
      <c r="D405" s="29">
        <v>37808427</v>
      </c>
      <c r="E405" s="32" t="s">
        <v>851</v>
      </c>
      <c r="F405" s="29">
        <v>160776</v>
      </c>
      <c r="G405" s="32" t="s">
        <v>49</v>
      </c>
      <c r="H405" s="32" t="s">
        <v>911</v>
      </c>
      <c r="I405" s="33" t="s">
        <v>912</v>
      </c>
      <c r="J405" s="42">
        <f>VLOOKUP(F405,[6]Hárok1!$F$345:$S$436,5,0)</f>
        <v>0</v>
      </c>
      <c r="K405" s="43">
        <f>VLOOKUP(F405,[6]Hárok1!$F$345:$S$436,6,0)</f>
        <v>0</v>
      </c>
      <c r="L405" s="43">
        <f>VLOOKUP(F405,[6]Hárok1!$F$345:$S$436,7,0)</f>
        <v>0</v>
      </c>
      <c r="M405" s="43">
        <f>VLOOKUP(F405,[6]Hárok1!$F$345:$S$436,8,0)</f>
        <v>0</v>
      </c>
      <c r="N405" s="43">
        <f>VLOOKUP(F405,[6]Hárok1!$F$345:$S$436,9,0)</f>
        <v>0</v>
      </c>
      <c r="O405" s="43">
        <f>VLOOKUP(F405,[6]Hárok1!$F$345:$S$436,10,0)</f>
        <v>0</v>
      </c>
      <c r="P405" s="44">
        <f>VLOOKUP(F405,[6]Hárok1!$F$345:$S$436,11,0)</f>
        <v>0</v>
      </c>
      <c r="Q405" s="42">
        <f>VLOOKUP(F405,[6]Hárok1!$F$345:$S$436,12,0)</f>
        <v>0</v>
      </c>
      <c r="R405" s="43">
        <f>VLOOKUP(F405,[6]Hárok1!$F$345:$S$436,13,0)</f>
        <v>0</v>
      </c>
      <c r="S405" s="44">
        <f>VLOOKUP(F405,[6]Hárok1!$F$345:$S$436,14,0)</f>
        <v>0</v>
      </c>
      <c r="T405" s="45">
        <f t="shared" si="36"/>
        <v>0</v>
      </c>
      <c r="U405" s="46">
        <f>VLOOKUP(F405,[6]Hárok1!$F$344:$U$436,16,0)</f>
        <v>0</v>
      </c>
      <c r="V405" s="47">
        <f t="shared" si="37"/>
        <v>0</v>
      </c>
      <c r="W405" s="47">
        <f t="shared" si="38"/>
        <v>0</v>
      </c>
      <c r="X405" s="48">
        <f t="shared" si="39"/>
        <v>0</v>
      </c>
      <c r="Y405" s="49">
        <f t="shared" si="40"/>
        <v>0</v>
      </c>
      <c r="Z405" s="50">
        <f t="shared" si="41"/>
        <v>0</v>
      </c>
    </row>
    <row r="406" spans="1:26" x14ac:dyDescent="0.25">
      <c r="A406" s="29" t="s">
        <v>822</v>
      </c>
      <c r="B406" s="29" t="s">
        <v>79</v>
      </c>
      <c r="C406" s="29" t="s">
        <v>850</v>
      </c>
      <c r="D406" s="29">
        <v>37808427</v>
      </c>
      <c r="E406" s="32" t="s">
        <v>851</v>
      </c>
      <c r="F406" s="29">
        <v>160890</v>
      </c>
      <c r="G406" s="32" t="s">
        <v>49</v>
      </c>
      <c r="H406" s="32" t="s">
        <v>224</v>
      </c>
      <c r="I406" s="33" t="s">
        <v>913</v>
      </c>
      <c r="J406" s="42">
        <f>VLOOKUP(F406,[6]Hárok1!$F$345:$S$436,5,0)</f>
        <v>0</v>
      </c>
      <c r="K406" s="43">
        <f>VLOOKUP(F406,[6]Hárok1!$F$345:$S$436,6,0)</f>
        <v>0</v>
      </c>
      <c r="L406" s="43">
        <f>VLOOKUP(F406,[6]Hárok1!$F$345:$S$436,7,0)</f>
        <v>0</v>
      </c>
      <c r="M406" s="43">
        <f>VLOOKUP(F406,[6]Hárok1!$F$345:$S$436,8,0)</f>
        <v>0</v>
      </c>
      <c r="N406" s="43">
        <f>VLOOKUP(F406,[6]Hárok1!$F$345:$S$436,9,0)</f>
        <v>0</v>
      </c>
      <c r="O406" s="43">
        <f>VLOOKUP(F406,[6]Hárok1!$F$345:$S$436,10,0)</f>
        <v>0</v>
      </c>
      <c r="P406" s="44">
        <f>VLOOKUP(F406,[6]Hárok1!$F$345:$S$436,11,0)</f>
        <v>0</v>
      </c>
      <c r="Q406" s="42">
        <f>VLOOKUP(F406,[6]Hárok1!$F$345:$S$436,12,0)</f>
        <v>0</v>
      </c>
      <c r="R406" s="43">
        <f>VLOOKUP(F406,[6]Hárok1!$F$345:$S$436,13,0)</f>
        <v>0</v>
      </c>
      <c r="S406" s="44">
        <f>VLOOKUP(F406,[6]Hárok1!$F$345:$S$436,14,0)</f>
        <v>0</v>
      </c>
      <c r="T406" s="45">
        <f t="shared" si="36"/>
        <v>0</v>
      </c>
      <c r="U406" s="46">
        <f>VLOOKUP(F406,[6]Hárok1!$F$344:$U$436,16,0)</f>
        <v>0</v>
      </c>
      <c r="V406" s="47">
        <f t="shared" si="37"/>
        <v>0</v>
      </c>
      <c r="W406" s="47">
        <f t="shared" si="38"/>
        <v>0</v>
      </c>
      <c r="X406" s="48">
        <f t="shared" si="39"/>
        <v>0</v>
      </c>
      <c r="Y406" s="49">
        <f t="shared" si="40"/>
        <v>0</v>
      </c>
      <c r="Z406" s="50">
        <f t="shared" si="41"/>
        <v>0</v>
      </c>
    </row>
    <row r="407" spans="1:26" x14ac:dyDescent="0.25">
      <c r="A407" s="29" t="s">
        <v>822</v>
      </c>
      <c r="B407" s="29" t="s">
        <v>79</v>
      </c>
      <c r="C407" s="29" t="s">
        <v>850</v>
      </c>
      <c r="D407" s="29">
        <v>37808427</v>
      </c>
      <c r="E407" s="32" t="s">
        <v>851</v>
      </c>
      <c r="F407" s="29">
        <v>160903</v>
      </c>
      <c r="G407" s="32" t="s">
        <v>49</v>
      </c>
      <c r="H407" s="32" t="s">
        <v>224</v>
      </c>
      <c r="I407" s="33" t="s">
        <v>914</v>
      </c>
      <c r="J407" s="42">
        <f>VLOOKUP(F407,[6]Hárok1!$F$345:$S$436,5,0)</f>
        <v>0</v>
      </c>
      <c r="K407" s="43">
        <f>VLOOKUP(F407,[6]Hárok1!$F$345:$S$436,6,0)</f>
        <v>0</v>
      </c>
      <c r="L407" s="43">
        <f>VLOOKUP(F407,[6]Hárok1!$F$345:$S$436,7,0)</f>
        <v>0</v>
      </c>
      <c r="M407" s="43">
        <f>VLOOKUP(F407,[6]Hárok1!$F$345:$S$436,8,0)</f>
        <v>0</v>
      </c>
      <c r="N407" s="43">
        <f>VLOOKUP(F407,[6]Hárok1!$F$345:$S$436,9,0)</f>
        <v>0</v>
      </c>
      <c r="O407" s="43">
        <f>VLOOKUP(F407,[6]Hárok1!$F$345:$S$436,10,0)</f>
        <v>0</v>
      </c>
      <c r="P407" s="44">
        <f>VLOOKUP(F407,[6]Hárok1!$F$345:$S$436,11,0)</f>
        <v>0</v>
      </c>
      <c r="Q407" s="42">
        <f>VLOOKUP(F407,[6]Hárok1!$F$345:$S$436,12,0)</f>
        <v>0</v>
      </c>
      <c r="R407" s="43">
        <f>VLOOKUP(F407,[6]Hárok1!$F$345:$S$436,13,0)</f>
        <v>0</v>
      </c>
      <c r="S407" s="44">
        <f>VLOOKUP(F407,[6]Hárok1!$F$345:$S$436,14,0)</f>
        <v>0</v>
      </c>
      <c r="T407" s="45">
        <f t="shared" si="36"/>
        <v>0</v>
      </c>
      <c r="U407" s="46">
        <f>VLOOKUP(F407,[6]Hárok1!$F$344:$U$436,16,0)</f>
        <v>0</v>
      </c>
      <c r="V407" s="47">
        <f t="shared" si="37"/>
        <v>0</v>
      </c>
      <c r="W407" s="47">
        <f t="shared" si="38"/>
        <v>0</v>
      </c>
      <c r="X407" s="48">
        <f t="shared" si="39"/>
        <v>0</v>
      </c>
      <c r="Y407" s="49">
        <f t="shared" si="40"/>
        <v>0</v>
      </c>
      <c r="Z407" s="50">
        <f t="shared" si="41"/>
        <v>0</v>
      </c>
    </row>
    <row r="408" spans="1:26" x14ac:dyDescent="0.25">
      <c r="A408" s="29" t="s">
        <v>822</v>
      </c>
      <c r="B408" s="29" t="s">
        <v>79</v>
      </c>
      <c r="C408" s="29" t="s">
        <v>850</v>
      </c>
      <c r="D408" s="29">
        <v>37808427</v>
      </c>
      <c r="E408" s="32" t="s">
        <v>851</v>
      </c>
      <c r="F408" s="29">
        <v>31914551</v>
      </c>
      <c r="G408" s="32" t="s">
        <v>49</v>
      </c>
      <c r="H408" s="32" t="s">
        <v>224</v>
      </c>
      <c r="I408" s="33" t="s">
        <v>915</v>
      </c>
      <c r="J408" s="42">
        <f>VLOOKUP(F408,[6]Hárok1!$F$345:$S$436,5,0)</f>
        <v>0</v>
      </c>
      <c r="K408" s="43">
        <f>VLOOKUP(F408,[6]Hárok1!$F$345:$S$436,6,0)</f>
        <v>0</v>
      </c>
      <c r="L408" s="43">
        <f>VLOOKUP(F408,[6]Hárok1!$F$345:$S$436,7,0)</f>
        <v>0</v>
      </c>
      <c r="M408" s="43">
        <f>VLOOKUP(F408,[6]Hárok1!$F$345:$S$436,8,0)</f>
        <v>0</v>
      </c>
      <c r="N408" s="43">
        <f>VLOOKUP(F408,[6]Hárok1!$F$345:$S$436,9,0)</f>
        <v>0</v>
      </c>
      <c r="O408" s="43">
        <f>VLOOKUP(F408,[6]Hárok1!$F$345:$S$436,10,0)</f>
        <v>0</v>
      </c>
      <c r="P408" s="44">
        <f>VLOOKUP(F408,[6]Hárok1!$F$345:$S$436,11,0)</f>
        <v>0</v>
      </c>
      <c r="Q408" s="42">
        <f>VLOOKUP(F408,[6]Hárok1!$F$345:$S$436,12,0)</f>
        <v>0</v>
      </c>
      <c r="R408" s="43">
        <f>VLOOKUP(F408,[6]Hárok1!$F$345:$S$436,13,0)</f>
        <v>0</v>
      </c>
      <c r="S408" s="44">
        <f>VLOOKUP(F408,[6]Hárok1!$F$345:$S$436,14,0)</f>
        <v>0</v>
      </c>
      <c r="T408" s="45">
        <f t="shared" si="36"/>
        <v>0</v>
      </c>
      <c r="U408" s="46">
        <f>VLOOKUP(F408,[6]Hárok1!$F$344:$U$436,16,0)</f>
        <v>0</v>
      </c>
      <c r="V408" s="47">
        <f t="shared" si="37"/>
        <v>0</v>
      </c>
      <c r="W408" s="47">
        <f t="shared" si="38"/>
        <v>0</v>
      </c>
      <c r="X408" s="48">
        <f t="shared" si="39"/>
        <v>0</v>
      </c>
      <c r="Y408" s="49">
        <f t="shared" si="40"/>
        <v>0</v>
      </c>
      <c r="Z408" s="50">
        <f t="shared" si="41"/>
        <v>0</v>
      </c>
    </row>
    <row r="409" spans="1:26" x14ac:dyDescent="0.25">
      <c r="A409" s="29" t="s">
        <v>822</v>
      </c>
      <c r="B409" s="29" t="s">
        <v>79</v>
      </c>
      <c r="C409" s="29" t="s">
        <v>850</v>
      </c>
      <c r="D409" s="29">
        <v>37808427</v>
      </c>
      <c r="E409" s="32" t="s">
        <v>851</v>
      </c>
      <c r="F409" s="29">
        <v>158623</v>
      </c>
      <c r="G409" s="32" t="s">
        <v>121</v>
      </c>
      <c r="H409" s="32" t="s">
        <v>224</v>
      </c>
      <c r="I409" s="33" t="s">
        <v>916</v>
      </c>
      <c r="J409" s="42">
        <f>VLOOKUP(F409,[6]Hárok1!$F$345:$S$436,5,0)</f>
        <v>0</v>
      </c>
      <c r="K409" s="43">
        <f>VLOOKUP(F409,[6]Hárok1!$F$345:$S$436,6,0)</f>
        <v>0</v>
      </c>
      <c r="L409" s="43">
        <f>VLOOKUP(F409,[6]Hárok1!$F$345:$S$436,7,0)</f>
        <v>0</v>
      </c>
      <c r="M409" s="43">
        <f>VLOOKUP(F409,[6]Hárok1!$F$345:$S$436,8,0)</f>
        <v>0</v>
      </c>
      <c r="N409" s="43">
        <f>VLOOKUP(F409,[6]Hárok1!$F$345:$S$436,9,0)</f>
        <v>0</v>
      </c>
      <c r="O409" s="43">
        <f>VLOOKUP(F409,[6]Hárok1!$F$345:$S$436,10,0)</f>
        <v>0</v>
      </c>
      <c r="P409" s="44">
        <f>VLOOKUP(F409,[6]Hárok1!$F$345:$S$436,11,0)</f>
        <v>0</v>
      </c>
      <c r="Q409" s="42">
        <f>VLOOKUP(F409,[6]Hárok1!$F$345:$S$436,12,0)</f>
        <v>0</v>
      </c>
      <c r="R409" s="43">
        <f>VLOOKUP(F409,[6]Hárok1!$F$345:$S$436,13,0)</f>
        <v>0</v>
      </c>
      <c r="S409" s="44">
        <f>VLOOKUP(F409,[6]Hárok1!$F$345:$S$436,14,0)</f>
        <v>0</v>
      </c>
      <c r="T409" s="45">
        <f t="shared" si="36"/>
        <v>0</v>
      </c>
      <c r="U409" s="46">
        <f>VLOOKUP(F409,[6]Hárok1!$F$344:$U$436,16,0)</f>
        <v>0</v>
      </c>
      <c r="V409" s="47">
        <f t="shared" si="37"/>
        <v>0</v>
      </c>
      <c r="W409" s="47">
        <f t="shared" si="38"/>
        <v>0</v>
      </c>
      <c r="X409" s="48">
        <f t="shared" si="39"/>
        <v>0</v>
      </c>
      <c r="Y409" s="49">
        <f t="shared" si="40"/>
        <v>0</v>
      </c>
      <c r="Z409" s="50">
        <f t="shared" si="41"/>
        <v>0</v>
      </c>
    </row>
    <row r="410" spans="1:26" x14ac:dyDescent="0.25">
      <c r="A410" s="51" t="s">
        <v>822</v>
      </c>
      <c r="B410" s="51" t="s">
        <v>79</v>
      </c>
      <c r="C410" s="51" t="s">
        <v>850</v>
      </c>
      <c r="D410" s="51">
        <v>37808427</v>
      </c>
      <c r="E410" s="32" t="s">
        <v>851</v>
      </c>
      <c r="F410" s="51">
        <v>162752</v>
      </c>
      <c r="G410" s="32" t="s">
        <v>86</v>
      </c>
      <c r="H410" s="32" t="s">
        <v>224</v>
      </c>
      <c r="I410" s="33" t="s">
        <v>917</v>
      </c>
      <c r="J410" s="42">
        <f>VLOOKUP(F410,[6]Hárok1!$F$345:$S$436,5,0)</f>
        <v>0</v>
      </c>
      <c r="K410" s="43">
        <f>VLOOKUP(F410,[6]Hárok1!$F$345:$S$436,6,0)</f>
        <v>0</v>
      </c>
      <c r="L410" s="43">
        <f>VLOOKUP(F410,[6]Hárok1!$F$345:$S$436,7,0)</f>
        <v>0</v>
      </c>
      <c r="M410" s="43">
        <f>VLOOKUP(F410,[6]Hárok1!$F$345:$S$436,8,0)</f>
        <v>0</v>
      </c>
      <c r="N410" s="43">
        <f>VLOOKUP(F410,[6]Hárok1!$F$345:$S$436,9,0)</f>
        <v>0</v>
      </c>
      <c r="O410" s="43">
        <f>VLOOKUP(F410,[6]Hárok1!$F$345:$S$436,10,0)</f>
        <v>0</v>
      </c>
      <c r="P410" s="44">
        <f>VLOOKUP(F410,[6]Hárok1!$F$345:$S$436,11,0)</f>
        <v>0</v>
      </c>
      <c r="Q410" s="42">
        <f>VLOOKUP(F410,[6]Hárok1!$F$345:$S$436,12,0)</f>
        <v>0</v>
      </c>
      <c r="R410" s="43">
        <f>VLOOKUP(F410,[6]Hárok1!$F$345:$S$436,13,0)</f>
        <v>0</v>
      </c>
      <c r="S410" s="44">
        <f>VLOOKUP(F410,[6]Hárok1!$F$345:$S$436,14,0)</f>
        <v>0</v>
      </c>
      <c r="T410" s="45">
        <f t="shared" si="36"/>
        <v>0</v>
      </c>
      <c r="U410" s="46">
        <f>VLOOKUP(F410,[6]Hárok1!$F$344:$U$436,16,0)</f>
        <v>0</v>
      </c>
      <c r="V410" s="47">
        <f t="shared" si="37"/>
        <v>0</v>
      </c>
      <c r="W410" s="47">
        <f t="shared" si="38"/>
        <v>0</v>
      </c>
      <c r="X410" s="48">
        <f t="shared" si="39"/>
        <v>0</v>
      </c>
      <c r="Y410" s="49">
        <f t="shared" si="40"/>
        <v>0</v>
      </c>
      <c r="Z410" s="50">
        <f t="shared" si="41"/>
        <v>0</v>
      </c>
    </row>
    <row r="411" spans="1:26" x14ac:dyDescent="0.25">
      <c r="A411" s="51" t="s">
        <v>822</v>
      </c>
      <c r="B411" s="51" t="s">
        <v>79</v>
      </c>
      <c r="C411" s="51" t="s">
        <v>850</v>
      </c>
      <c r="D411" s="51">
        <v>37808427</v>
      </c>
      <c r="E411" s="32" t="s">
        <v>851</v>
      </c>
      <c r="F411" s="51">
        <v>162124</v>
      </c>
      <c r="G411" s="32" t="s">
        <v>100</v>
      </c>
      <c r="H411" s="32" t="s">
        <v>224</v>
      </c>
      <c r="I411" s="33" t="s">
        <v>918</v>
      </c>
      <c r="J411" s="42">
        <f>VLOOKUP(F411,[6]Hárok1!$F$345:$S$436,5,0)</f>
        <v>0</v>
      </c>
      <c r="K411" s="43">
        <f>VLOOKUP(F411,[6]Hárok1!$F$345:$S$436,6,0)</f>
        <v>0</v>
      </c>
      <c r="L411" s="43">
        <f>VLOOKUP(F411,[6]Hárok1!$F$345:$S$436,7,0)</f>
        <v>0</v>
      </c>
      <c r="M411" s="43">
        <f>VLOOKUP(F411,[6]Hárok1!$F$345:$S$436,8,0)</f>
        <v>0</v>
      </c>
      <c r="N411" s="43">
        <f>VLOOKUP(F411,[6]Hárok1!$F$345:$S$436,9,0)</f>
        <v>0</v>
      </c>
      <c r="O411" s="43">
        <f>VLOOKUP(F411,[6]Hárok1!$F$345:$S$436,10,0)</f>
        <v>0</v>
      </c>
      <c r="P411" s="44">
        <f>VLOOKUP(F411,[6]Hárok1!$F$345:$S$436,11,0)</f>
        <v>0</v>
      </c>
      <c r="Q411" s="42">
        <f>VLOOKUP(F411,[6]Hárok1!$F$345:$S$436,12,0)</f>
        <v>0</v>
      </c>
      <c r="R411" s="43">
        <f>VLOOKUP(F411,[6]Hárok1!$F$345:$S$436,13,0)</f>
        <v>0</v>
      </c>
      <c r="S411" s="44">
        <f>VLOOKUP(F411,[6]Hárok1!$F$345:$S$436,14,0)</f>
        <v>0</v>
      </c>
      <c r="T411" s="45">
        <f t="shared" si="36"/>
        <v>0</v>
      </c>
      <c r="U411" s="46">
        <f>VLOOKUP(F411,[6]Hárok1!$F$344:$U$436,16,0)</f>
        <v>0</v>
      </c>
      <c r="V411" s="47">
        <f t="shared" si="37"/>
        <v>0</v>
      </c>
      <c r="W411" s="47">
        <f t="shared" si="38"/>
        <v>0</v>
      </c>
      <c r="X411" s="48">
        <f t="shared" si="39"/>
        <v>0</v>
      </c>
      <c r="Y411" s="49">
        <f t="shared" si="40"/>
        <v>0</v>
      </c>
      <c r="Z411" s="50">
        <f t="shared" si="41"/>
        <v>0</v>
      </c>
    </row>
    <row r="412" spans="1:26" x14ac:dyDescent="0.25">
      <c r="A412" s="29" t="s">
        <v>822</v>
      </c>
      <c r="B412" s="29" t="s">
        <v>79</v>
      </c>
      <c r="C412" s="29" t="s">
        <v>850</v>
      </c>
      <c r="D412" s="29">
        <v>37808427</v>
      </c>
      <c r="E412" s="32" t="s">
        <v>851</v>
      </c>
      <c r="F412" s="29">
        <v>695106</v>
      </c>
      <c r="G412" s="32" t="s">
        <v>52</v>
      </c>
      <c r="H412" s="32" t="s">
        <v>224</v>
      </c>
      <c r="I412" s="33" t="s">
        <v>919</v>
      </c>
      <c r="J412" s="42">
        <f>VLOOKUP(F412,[6]Hárok1!$F$345:$S$436,5,0)</f>
        <v>0</v>
      </c>
      <c r="K412" s="43">
        <f>VLOOKUP(F412,[6]Hárok1!$F$345:$S$436,6,0)</f>
        <v>0</v>
      </c>
      <c r="L412" s="43">
        <f>VLOOKUP(F412,[6]Hárok1!$F$345:$S$436,7,0)</f>
        <v>0</v>
      </c>
      <c r="M412" s="43">
        <f>VLOOKUP(F412,[6]Hárok1!$F$345:$S$436,8,0)</f>
        <v>0</v>
      </c>
      <c r="N412" s="43">
        <f>VLOOKUP(F412,[6]Hárok1!$F$345:$S$436,9,0)</f>
        <v>0</v>
      </c>
      <c r="O412" s="43">
        <f>VLOOKUP(F412,[6]Hárok1!$F$345:$S$436,10,0)</f>
        <v>0</v>
      </c>
      <c r="P412" s="44">
        <f>VLOOKUP(F412,[6]Hárok1!$F$345:$S$436,11,0)</f>
        <v>0</v>
      </c>
      <c r="Q412" s="42">
        <f>VLOOKUP(F412,[6]Hárok1!$F$345:$S$436,12,0)</f>
        <v>0</v>
      </c>
      <c r="R412" s="43">
        <f>VLOOKUP(F412,[6]Hárok1!$F$345:$S$436,13,0)</f>
        <v>0</v>
      </c>
      <c r="S412" s="44">
        <f>VLOOKUP(F412,[6]Hárok1!$F$345:$S$436,14,0)</f>
        <v>0</v>
      </c>
      <c r="T412" s="45">
        <f t="shared" si="36"/>
        <v>0</v>
      </c>
      <c r="U412" s="46">
        <f>VLOOKUP(F412,[6]Hárok1!$F$344:$U$436,16,0)</f>
        <v>0</v>
      </c>
      <c r="V412" s="47">
        <f t="shared" si="37"/>
        <v>0</v>
      </c>
      <c r="W412" s="47">
        <f t="shared" si="38"/>
        <v>0</v>
      </c>
      <c r="X412" s="48">
        <f t="shared" si="39"/>
        <v>0</v>
      </c>
      <c r="Y412" s="49">
        <f t="shared" si="40"/>
        <v>0</v>
      </c>
      <c r="Z412" s="50">
        <f t="shared" si="41"/>
        <v>0</v>
      </c>
    </row>
    <row r="413" spans="1:26" x14ac:dyDescent="0.25">
      <c r="A413" s="29" t="s">
        <v>822</v>
      </c>
      <c r="B413" s="29" t="s">
        <v>79</v>
      </c>
      <c r="C413" s="29" t="s">
        <v>850</v>
      </c>
      <c r="D413" s="29">
        <v>37808427</v>
      </c>
      <c r="E413" s="32" t="s">
        <v>851</v>
      </c>
      <c r="F413" s="29">
        <v>158615</v>
      </c>
      <c r="G413" s="32" t="s">
        <v>52</v>
      </c>
      <c r="H413" s="32" t="s">
        <v>224</v>
      </c>
      <c r="I413" s="33" t="s">
        <v>920</v>
      </c>
      <c r="J413" s="42">
        <f>VLOOKUP(F413,[6]Hárok1!$F$345:$S$436,5,0)</f>
        <v>0</v>
      </c>
      <c r="K413" s="43">
        <f>VLOOKUP(F413,[6]Hárok1!$F$345:$S$436,6,0)</f>
        <v>0</v>
      </c>
      <c r="L413" s="43">
        <f>VLOOKUP(F413,[6]Hárok1!$F$345:$S$436,7,0)</f>
        <v>0</v>
      </c>
      <c r="M413" s="43">
        <f>VLOOKUP(F413,[6]Hárok1!$F$345:$S$436,8,0)</f>
        <v>0</v>
      </c>
      <c r="N413" s="43">
        <f>VLOOKUP(F413,[6]Hárok1!$F$345:$S$436,9,0)</f>
        <v>0</v>
      </c>
      <c r="O413" s="43">
        <f>VLOOKUP(F413,[6]Hárok1!$F$345:$S$436,10,0)</f>
        <v>0</v>
      </c>
      <c r="P413" s="44">
        <f>VLOOKUP(F413,[6]Hárok1!$F$345:$S$436,11,0)</f>
        <v>0</v>
      </c>
      <c r="Q413" s="42">
        <f>VLOOKUP(F413,[6]Hárok1!$F$345:$S$436,12,0)</f>
        <v>0</v>
      </c>
      <c r="R413" s="43">
        <f>VLOOKUP(F413,[6]Hárok1!$F$345:$S$436,13,0)</f>
        <v>0</v>
      </c>
      <c r="S413" s="44">
        <f>VLOOKUP(F413,[6]Hárok1!$F$345:$S$436,14,0)</f>
        <v>0</v>
      </c>
      <c r="T413" s="45">
        <f t="shared" si="36"/>
        <v>0</v>
      </c>
      <c r="U413" s="46">
        <f>VLOOKUP(F413,[6]Hárok1!$F$344:$U$436,16,0)</f>
        <v>0</v>
      </c>
      <c r="V413" s="47">
        <f t="shared" si="37"/>
        <v>0</v>
      </c>
      <c r="W413" s="47">
        <f t="shared" si="38"/>
        <v>0</v>
      </c>
      <c r="X413" s="48">
        <f t="shared" si="39"/>
        <v>0</v>
      </c>
      <c r="Y413" s="49">
        <f t="shared" si="40"/>
        <v>0</v>
      </c>
      <c r="Z413" s="50">
        <f t="shared" si="41"/>
        <v>0</v>
      </c>
    </row>
    <row r="414" spans="1:26" x14ac:dyDescent="0.25">
      <c r="A414" s="29" t="s">
        <v>822</v>
      </c>
      <c r="B414" s="29" t="s">
        <v>79</v>
      </c>
      <c r="C414" s="29" t="s">
        <v>850</v>
      </c>
      <c r="D414" s="29">
        <v>37808427</v>
      </c>
      <c r="E414" s="32" t="s">
        <v>851</v>
      </c>
      <c r="F414" s="29">
        <v>651117</v>
      </c>
      <c r="G414" s="32" t="s">
        <v>104</v>
      </c>
      <c r="H414" s="32" t="s">
        <v>224</v>
      </c>
      <c r="I414" s="33" t="s">
        <v>921</v>
      </c>
      <c r="J414" s="42">
        <f>VLOOKUP(F414,[6]Hárok1!$F$345:$S$436,5,0)</f>
        <v>0</v>
      </c>
      <c r="K414" s="43">
        <f>VLOOKUP(F414,[6]Hárok1!$F$345:$S$436,6,0)</f>
        <v>0</v>
      </c>
      <c r="L414" s="43">
        <f>VLOOKUP(F414,[6]Hárok1!$F$345:$S$436,7,0)</f>
        <v>0</v>
      </c>
      <c r="M414" s="43">
        <f>VLOOKUP(F414,[6]Hárok1!$F$345:$S$436,8,0)</f>
        <v>0</v>
      </c>
      <c r="N414" s="43">
        <f>VLOOKUP(F414,[6]Hárok1!$F$345:$S$436,9,0)</f>
        <v>0</v>
      </c>
      <c r="O414" s="43">
        <f>VLOOKUP(F414,[6]Hárok1!$F$345:$S$436,10,0)</f>
        <v>0</v>
      </c>
      <c r="P414" s="44">
        <f>VLOOKUP(F414,[6]Hárok1!$F$345:$S$436,11,0)</f>
        <v>0</v>
      </c>
      <c r="Q414" s="42">
        <f>VLOOKUP(F414,[6]Hárok1!$F$345:$S$436,12,0)</f>
        <v>0</v>
      </c>
      <c r="R414" s="43">
        <f>VLOOKUP(F414,[6]Hárok1!$F$345:$S$436,13,0)</f>
        <v>0</v>
      </c>
      <c r="S414" s="44">
        <f>VLOOKUP(F414,[6]Hárok1!$F$345:$S$436,14,0)</f>
        <v>0</v>
      </c>
      <c r="T414" s="45">
        <f t="shared" si="36"/>
        <v>0</v>
      </c>
      <c r="U414" s="46">
        <f>VLOOKUP(F414,[6]Hárok1!$F$344:$U$436,16,0)</f>
        <v>0</v>
      </c>
      <c r="V414" s="47">
        <f t="shared" si="37"/>
        <v>0</v>
      </c>
      <c r="W414" s="47">
        <f t="shared" si="38"/>
        <v>0</v>
      </c>
      <c r="X414" s="48">
        <f t="shared" si="39"/>
        <v>0</v>
      </c>
      <c r="Y414" s="49">
        <f t="shared" si="40"/>
        <v>0</v>
      </c>
      <c r="Z414" s="50">
        <f t="shared" si="41"/>
        <v>0</v>
      </c>
    </row>
    <row r="415" spans="1:26" x14ac:dyDescent="0.25">
      <c r="A415" s="29" t="s">
        <v>822</v>
      </c>
      <c r="B415" s="29" t="s">
        <v>79</v>
      </c>
      <c r="C415" s="29" t="s">
        <v>850</v>
      </c>
      <c r="D415" s="29">
        <v>37808427</v>
      </c>
      <c r="E415" s="32" t="s">
        <v>851</v>
      </c>
      <c r="F415" s="29">
        <v>17055377</v>
      </c>
      <c r="G415" s="32" t="s">
        <v>138</v>
      </c>
      <c r="H415" s="32" t="s">
        <v>224</v>
      </c>
      <c r="I415" s="33" t="s">
        <v>922</v>
      </c>
      <c r="J415" s="42">
        <f>VLOOKUP(F415,[6]Hárok1!$F$345:$S$436,5,0)</f>
        <v>0</v>
      </c>
      <c r="K415" s="43">
        <f>VLOOKUP(F415,[6]Hárok1!$F$345:$S$436,6,0)</f>
        <v>0</v>
      </c>
      <c r="L415" s="43">
        <f>VLOOKUP(F415,[6]Hárok1!$F$345:$S$436,7,0)</f>
        <v>0</v>
      </c>
      <c r="M415" s="43">
        <f>VLOOKUP(F415,[6]Hárok1!$F$345:$S$436,8,0)</f>
        <v>0</v>
      </c>
      <c r="N415" s="43">
        <f>VLOOKUP(F415,[6]Hárok1!$F$345:$S$436,9,0)</f>
        <v>0</v>
      </c>
      <c r="O415" s="43">
        <f>VLOOKUP(F415,[6]Hárok1!$F$345:$S$436,10,0)</f>
        <v>0</v>
      </c>
      <c r="P415" s="44">
        <f>VLOOKUP(F415,[6]Hárok1!$F$345:$S$436,11,0)</f>
        <v>0</v>
      </c>
      <c r="Q415" s="42">
        <f>VLOOKUP(F415,[6]Hárok1!$F$345:$S$436,12,0)</f>
        <v>0</v>
      </c>
      <c r="R415" s="43">
        <f>VLOOKUP(F415,[6]Hárok1!$F$345:$S$436,13,0)</f>
        <v>0</v>
      </c>
      <c r="S415" s="44">
        <f>VLOOKUP(F415,[6]Hárok1!$F$345:$S$436,14,0)</f>
        <v>0</v>
      </c>
      <c r="T415" s="45">
        <f t="shared" si="36"/>
        <v>0</v>
      </c>
      <c r="U415" s="46">
        <f>VLOOKUP(F415,[6]Hárok1!$F$344:$U$436,16,0)</f>
        <v>0</v>
      </c>
      <c r="V415" s="47">
        <f t="shared" si="37"/>
        <v>0</v>
      </c>
      <c r="W415" s="47">
        <f t="shared" si="38"/>
        <v>0</v>
      </c>
      <c r="X415" s="48">
        <f t="shared" si="39"/>
        <v>0</v>
      </c>
      <c r="Y415" s="49">
        <f t="shared" si="40"/>
        <v>0</v>
      </c>
      <c r="Z415" s="50">
        <f t="shared" si="41"/>
        <v>0</v>
      </c>
    </row>
    <row r="416" spans="1:26" x14ac:dyDescent="0.25">
      <c r="A416" s="29" t="s">
        <v>822</v>
      </c>
      <c r="B416" s="29" t="s">
        <v>79</v>
      </c>
      <c r="C416" s="29" t="s">
        <v>850</v>
      </c>
      <c r="D416" s="29">
        <v>37808427</v>
      </c>
      <c r="E416" s="32" t="s">
        <v>851</v>
      </c>
      <c r="F416" s="29">
        <v>893544</v>
      </c>
      <c r="G416" s="32" t="s">
        <v>152</v>
      </c>
      <c r="H416" s="32" t="s">
        <v>224</v>
      </c>
      <c r="I416" s="33" t="s">
        <v>923</v>
      </c>
      <c r="J416" s="42">
        <f>VLOOKUP(F416,[6]Hárok1!$F$345:$S$436,5,0)</f>
        <v>0</v>
      </c>
      <c r="K416" s="43">
        <f>VLOOKUP(F416,[6]Hárok1!$F$345:$S$436,6,0)</f>
        <v>0</v>
      </c>
      <c r="L416" s="43">
        <f>VLOOKUP(F416,[6]Hárok1!$F$345:$S$436,7,0)</f>
        <v>0</v>
      </c>
      <c r="M416" s="43">
        <f>VLOOKUP(F416,[6]Hárok1!$F$345:$S$436,8,0)</f>
        <v>0</v>
      </c>
      <c r="N416" s="43">
        <f>VLOOKUP(F416,[6]Hárok1!$F$345:$S$436,9,0)</f>
        <v>0</v>
      </c>
      <c r="O416" s="43">
        <f>VLOOKUP(F416,[6]Hárok1!$F$345:$S$436,10,0)</f>
        <v>0</v>
      </c>
      <c r="P416" s="44">
        <f>VLOOKUP(F416,[6]Hárok1!$F$345:$S$436,11,0)</f>
        <v>0</v>
      </c>
      <c r="Q416" s="42">
        <f>VLOOKUP(F416,[6]Hárok1!$F$345:$S$436,12,0)</f>
        <v>0</v>
      </c>
      <c r="R416" s="43">
        <f>VLOOKUP(F416,[6]Hárok1!$F$345:$S$436,13,0)</f>
        <v>0</v>
      </c>
      <c r="S416" s="44">
        <f>VLOOKUP(F416,[6]Hárok1!$F$345:$S$436,14,0)</f>
        <v>0</v>
      </c>
      <c r="T416" s="45">
        <f t="shared" si="36"/>
        <v>0</v>
      </c>
      <c r="U416" s="46">
        <f>VLOOKUP(F416,[6]Hárok1!$F$344:$U$436,16,0)</f>
        <v>0</v>
      </c>
      <c r="V416" s="47">
        <f t="shared" si="37"/>
        <v>0</v>
      </c>
      <c r="W416" s="47">
        <f t="shared" si="38"/>
        <v>0</v>
      </c>
      <c r="X416" s="48">
        <f t="shared" si="39"/>
        <v>0</v>
      </c>
      <c r="Y416" s="49">
        <f t="shared" si="40"/>
        <v>0</v>
      </c>
      <c r="Z416" s="50">
        <f t="shared" si="41"/>
        <v>0</v>
      </c>
    </row>
    <row r="417" spans="1:26" x14ac:dyDescent="0.25">
      <c r="A417" s="29" t="s">
        <v>822</v>
      </c>
      <c r="B417" s="29" t="s">
        <v>79</v>
      </c>
      <c r="C417" s="29" t="s">
        <v>850</v>
      </c>
      <c r="D417" s="29">
        <v>37808427</v>
      </c>
      <c r="E417" s="32" t="s">
        <v>851</v>
      </c>
      <c r="F417" s="29">
        <v>162558</v>
      </c>
      <c r="G417" s="32" t="s">
        <v>446</v>
      </c>
      <c r="H417" s="32" t="s">
        <v>224</v>
      </c>
      <c r="I417" s="33" t="s">
        <v>924</v>
      </c>
      <c r="J417" s="42">
        <f>VLOOKUP(F417,[6]Hárok1!$F$345:$S$436,5,0)</f>
        <v>0</v>
      </c>
      <c r="K417" s="43">
        <f>VLOOKUP(F417,[6]Hárok1!$F$345:$S$436,6,0)</f>
        <v>0</v>
      </c>
      <c r="L417" s="43">
        <f>VLOOKUP(F417,[6]Hárok1!$F$345:$S$436,7,0)</f>
        <v>0</v>
      </c>
      <c r="M417" s="43">
        <f>VLOOKUP(F417,[6]Hárok1!$F$345:$S$436,8,0)</f>
        <v>0</v>
      </c>
      <c r="N417" s="43">
        <f>VLOOKUP(F417,[6]Hárok1!$F$345:$S$436,9,0)</f>
        <v>0</v>
      </c>
      <c r="O417" s="43">
        <f>VLOOKUP(F417,[6]Hárok1!$F$345:$S$436,10,0)</f>
        <v>0</v>
      </c>
      <c r="P417" s="44">
        <f>VLOOKUP(F417,[6]Hárok1!$F$345:$S$436,11,0)</f>
        <v>0</v>
      </c>
      <c r="Q417" s="42">
        <f>VLOOKUP(F417,[6]Hárok1!$F$345:$S$436,12,0)</f>
        <v>0</v>
      </c>
      <c r="R417" s="43">
        <f>VLOOKUP(F417,[6]Hárok1!$F$345:$S$436,13,0)</f>
        <v>0</v>
      </c>
      <c r="S417" s="44">
        <f>VLOOKUP(F417,[6]Hárok1!$F$345:$S$436,14,0)</f>
        <v>0</v>
      </c>
      <c r="T417" s="45">
        <f t="shared" si="36"/>
        <v>0</v>
      </c>
      <c r="U417" s="46">
        <f>VLOOKUP(F417,[6]Hárok1!$F$344:$U$436,16,0)</f>
        <v>0</v>
      </c>
      <c r="V417" s="47">
        <f t="shared" si="37"/>
        <v>0</v>
      </c>
      <c r="W417" s="47">
        <f t="shared" si="38"/>
        <v>0</v>
      </c>
      <c r="X417" s="48">
        <f t="shared" si="39"/>
        <v>0</v>
      </c>
      <c r="Y417" s="49">
        <f t="shared" si="40"/>
        <v>0</v>
      </c>
      <c r="Z417" s="50">
        <f t="shared" si="41"/>
        <v>0</v>
      </c>
    </row>
    <row r="418" spans="1:26" x14ac:dyDescent="0.25">
      <c r="A418" s="29" t="s">
        <v>822</v>
      </c>
      <c r="B418" s="29" t="s">
        <v>79</v>
      </c>
      <c r="C418" s="29" t="s">
        <v>850</v>
      </c>
      <c r="D418" s="29">
        <v>37808427</v>
      </c>
      <c r="E418" s="32" t="s">
        <v>851</v>
      </c>
      <c r="F418" s="29">
        <v>893226</v>
      </c>
      <c r="G418" s="32" t="s">
        <v>701</v>
      </c>
      <c r="H418" s="32" t="s">
        <v>224</v>
      </c>
      <c r="I418" s="33" t="s">
        <v>925</v>
      </c>
      <c r="J418" s="42">
        <f>VLOOKUP(F418,[6]Hárok1!$F$345:$S$436,5,0)</f>
        <v>0</v>
      </c>
      <c r="K418" s="43">
        <f>VLOOKUP(F418,[6]Hárok1!$F$345:$S$436,6,0)</f>
        <v>0</v>
      </c>
      <c r="L418" s="43">
        <f>VLOOKUP(F418,[6]Hárok1!$F$345:$S$436,7,0)</f>
        <v>0</v>
      </c>
      <c r="M418" s="43">
        <f>VLOOKUP(F418,[6]Hárok1!$F$345:$S$436,8,0)</f>
        <v>0</v>
      </c>
      <c r="N418" s="43">
        <f>VLOOKUP(F418,[6]Hárok1!$F$345:$S$436,9,0)</f>
        <v>0</v>
      </c>
      <c r="O418" s="43">
        <f>VLOOKUP(F418,[6]Hárok1!$F$345:$S$436,10,0)</f>
        <v>0</v>
      </c>
      <c r="P418" s="44">
        <f>VLOOKUP(F418,[6]Hárok1!$F$345:$S$436,11,0)</f>
        <v>0</v>
      </c>
      <c r="Q418" s="42">
        <f>VLOOKUP(F418,[6]Hárok1!$F$345:$S$436,12,0)</f>
        <v>0</v>
      </c>
      <c r="R418" s="43">
        <f>VLOOKUP(F418,[6]Hárok1!$F$345:$S$436,13,0)</f>
        <v>0</v>
      </c>
      <c r="S418" s="44">
        <f>VLOOKUP(F418,[6]Hárok1!$F$345:$S$436,14,0)</f>
        <v>0</v>
      </c>
      <c r="T418" s="45">
        <f t="shared" si="36"/>
        <v>0</v>
      </c>
      <c r="U418" s="46">
        <f>VLOOKUP(F418,[6]Hárok1!$F$344:$U$436,16,0)</f>
        <v>0</v>
      </c>
      <c r="V418" s="47">
        <f t="shared" si="37"/>
        <v>0</v>
      </c>
      <c r="W418" s="47">
        <f t="shared" si="38"/>
        <v>0</v>
      </c>
      <c r="X418" s="48">
        <f t="shared" si="39"/>
        <v>0</v>
      </c>
      <c r="Y418" s="49">
        <f t="shared" si="40"/>
        <v>0</v>
      </c>
      <c r="Z418" s="50">
        <f t="shared" si="41"/>
        <v>0</v>
      </c>
    </row>
    <row r="419" spans="1:26" x14ac:dyDescent="0.25">
      <c r="A419" s="51" t="s">
        <v>822</v>
      </c>
      <c r="B419" s="51" t="s">
        <v>79</v>
      </c>
      <c r="C419" s="51" t="s">
        <v>850</v>
      </c>
      <c r="D419" s="51">
        <v>37808427</v>
      </c>
      <c r="E419" s="32" t="s">
        <v>851</v>
      </c>
      <c r="F419" s="51">
        <v>161691</v>
      </c>
      <c r="G419" s="32" t="s">
        <v>706</v>
      </c>
      <c r="H419" s="32" t="s">
        <v>224</v>
      </c>
      <c r="I419" s="33" t="s">
        <v>926</v>
      </c>
      <c r="J419" s="42">
        <f>VLOOKUP(F419,[6]Hárok1!$F$345:$S$436,5,0)</f>
        <v>0</v>
      </c>
      <c r="K419" s="43">
        <f>VLOOKUP(F419,[6]Hárok1!$F$345:$S$436,6,0)</f>
        <v>0</v>
      </c>
      <c r="L419" s="43">
        <f>VLOOKUP(F419,[6]Hárok1!$F$345:$S$436,7,0)</f>
        <v>0</v>
      </c>
      <c r="M419" s="43">
        <f>VLOOKUP(F419,[6]Hárok1!$F$345:$S$436,8,0)</f>
        <v>0</v>
      </c>
      <c r="N419" s="43">
        <f>VLOOKUP(F419,[6]Hárok1!$F$345:$S$436,9,0)</f>
        <v>0</v>
      </c>
      <c r="O419" s="43">
        <f>VLOOKUP(F419,[6]Hárok1!$F$345:$S$436,10,0)</f>
        <v>0</v>
      </c>
      <c r="P419" s="44">
        <f>VLOOKUP(F419,[6]Hárok1!$F$345:$S$436,11,0)</f>
        <v>0</v>
      </c>
      <c r="Q419" s="42">
        <f>VLOOKUP(F419,[6]Hárok1!$F$345:$S$436,12,0)</f>
        <v>0</v>
      </c>
      <c r="R419" s="43">
        <f>VLOOKUP(F419,[6]Hárok1!$F$345:$S$436,13,0)</f>
        <v>0</v>
      </c>
      <c r="S419" s="44">
        <f>VLOOKUP(F419,[6]Hárok1!$F$345:$S$436,14,0)</f>
        <v>0</v>
      </c>
      <c r="T419" s="45">
        <f t="shared" si="36"/>
        <v>0</v>
      </c>
      <c r="U419" s="46">
        <f>VLOOKUP(F419,[6]Hárok1!$F$344:$U$436,16,0)</f>
        <v>0</v>
      </c>
      <c r="V419" s="47">
        <f t="shared" si="37"/>
        <v>0</v>
      </c>
      <c r="W419" s="47">
        <f t="shared" si="38"/>
        <v>0</v>
      </c>
      <c r="X419" s="48">
        <f t="shared" si="39"/>
        <v>0</v>
      </c>
      <c r="Y419" s="49">
        <f t="shared" si="40"/>
        <v>0</v>
      </c>
      <c r="Z419" s="50">
        <f t="shared" si="41"/>
        <v>0</v>
      </c>
    </row>
    <row r="420" spans="1:26" x14ac:dyDescent="0.25">
      <c r="A420" s="29" t="s">
        <v>822</v>
      </c>
      <c r="B420" s="29" t="s">
        <v>79</v>
      </c>
      <c r="C420" s="29" t="s">
        <v>850</v>
      </c>
      <c r="D420" s="29">
        <v>37808427</v>
      </c>
      <c r="E420" s="32" t="s">
        <v>851</v>
      </c>
      <c r="F420" s="29">
        <v>607061</v>
      </c>
      <c r="G420" s="32" t="s">
        <v>117</v>
      </c>
      <c r="H420" s="32" t="s">
        <v>224</v>
      </c>
      <c r="I420" s="33" t="s">
        <v>927</v>
      </c>
      <c r="J420" s="42">
        <f>VLOOKUP(F420,[6]Hárok1!$F$345:$S$436,5,0)</f>
        <v>0</v>
      </c>
      <c r="K420" s="43">
        <f>VLOOKUP(F420,[6]Hárok1!$F$345:$S$436,6,0)</f>
        <v>0</v>
      </c>
      <c r="L420" s="43">
        <f>VLOOKUP(F420,[6]Hárok1!$F$345:$S$436,7,0)</f>
        <v>0</v>
      </c>
      <c r="M420" s="43">
        <f>VLOOKUP(F420,[6]Hárok1!$F$345:$S$436,8,0)</f>
        <v>0</v>
      </c>
      <c r="N420" s="43">
        <f>VLOOKUP(F420,[6]Hárok1!$F$345:$S$436,9,0)</f>
        <v>0</v>
      </c>
      <c r="O420" s="43">
        <f>VLOOKUP(F420,[6]Hárok1!$F$345:$S$436,10,0)</f>
        <v>0</v>
      </c>
      <c r="P420" s="44">
        <f>VLOOKUP(F420,[6]Hárok1!$F$345:$S$436,11,0)</f>
        <v>0</v>
      </c>
      <c r="Q420" s="42">
        <f>VLOOKUP(F420,[6]Hárok1!$F$345:$S$436,12,0)</f>
        <v>0</v>
      </c>
      <c r="R420" s="43">
        <f>VLOOKUP(F420,[6]Hárok1!$F$345:$S$436,13,0)</f>
        <v>0</v>
      </c>
      <c r="S420" s="44">
        <f>VLOOKUP(F420,[6]Hárok1!$F$345:$S$436,14,0)</f>
        <v>0</v>
      </c>
      <c r="T420" s="45">
        <f t="shared" si="36"/>
        <v>0</v>
      </c>
      <c r="U420" s="46">
        <f>VLOOKUP(F420,[6]Hárok1!$F$344:$U$436,16,0)</f>
        <v>0</v>
      </c>
      <c r="V420" s="47">
        <f t="shared" si="37"/>
        <v>0</v>
      </c>
      <c r="W420" s="47">
        <f t="shared" si="38"/>
        <v>0</v>
      </c>
      <c r="X420" s="48">
        <f t="shared" si="39"/>
        <v>0</v>
      </c>
      <c r="Y420" s="49">
        <f t="shared" si="40"/>
        <v>0</v>
      </c>
      <c r="Z420" s="50">
        <f t="shared" si="41"/>
        <v>0</v>
      </c>
    </row>
    <row r="421" spans="1:26" x14ac:dyDescent="0.25">
      <c r="A421" s="29" t="s">
        <v>822</v>
      </c>
      <c r="B421" s="29" t="s">
        <v>177</v>
      </c>
      <c r="C421" s="29" t="s">
        <v>928</v>
      </c>
      <c r="D421" s="29">
        <v>647209</v>
      </c>
      <c r="E421" s="32" t="s">
        <v>929</v>
      </c>
      <c r="F421" s="29">
        <v>42434718</v>
      </c>
      <c r="G421" s="32" t="s">
        <v>52</v>
      </c>
      <c r="H421" s="32" t="s">
        <v>930</v>
      </c>
      <c r="I421" s="33" t="s">
        <v>931</v>
      </c>
      <c r="J421" s="42">
        <f>VLOOKUP(F421,[6]Hárok1!$F$345:$S$436,5,0)</f>
        <v>5</v>
      </c>
      <c r="K421" s="43">
        <f>VLOOKUP(F421,[6]Hárok1!$F$345:$S$436,6,0)</f>
        <v>0</v>
      </c>
      <c r="L421" s="43">
        <f>VLOOKUP(F421,[6]Hárok1!$F$345:$S$436,7,0)</f>
        <v>16</v>
      </c>
      <c r="M421" s="43">
        <f>VLOOKUP(F421,[6]Hárok1!$F$345:$S$436,8,0)</f>
        <v>0</v>
      </c>
      <c r="N421" s="43">
        <f>VLOOKUP(F421,[6]Hárok1!$F$345:$S$436,9,0)</f>
        <v>0</v>
      </c>
      <c r="O421" s="43">
        <f>VLOOKUP(F421,[6]Hárok1!$F$345:$S$436,10,0)</f>
        <v>6</v>
      </c>
      <c r="P421" s="44">
        <f>VLOOKUP(F421,[6]Hárok1!$F$345:$S$436,11,0)</f>
        <v>1</v>
      </c>
      <c r="Q421" s="42">
        <f>VLOOKUP(F421,[6]Hárok1!$F$345:$S$436,12,0)</f>
        <v>0</v>
      </c>
      <c r="R421" s="43">
        <f>VLOOKUP(F421,[6]Hárok1!$F$345:$S$436,13,0)</f>
        <v>117</v>
      </c>
      <c r="S421" s="44">
        <f>VLOOKUP(F421,[6]Hárok1!$F$345:$S$436,14,0)</f>
        <v>28</v>
      </c>
      <c r="T421" s="45">
        <f t="shared" si="36"/>
        <v>536</v>
      </c>
      <c r="U421" s="46">
        <f>VLOOKUP(F421,[6]Hárok1!$F$344:$U$436,16,0)</f>
        <v>0</v>
      </c>
      <c r="V421" s="47">
        <f t="shared" si="37"/>
        <v>0</v>
      </c>
      <c r="W421" s="47">
        <f t="shared" si="38"/>
        <v>315</v>
      </c>
      <c r="X421" s="48">
        <f t="shared" si="39"/>
        <v>69</v>
      </c>
      <c r="Y421" s="49">
        <f t="shared" si="40"/>
        <v>920</v>
      </c>
      <c r="Z421" s="50">
        <f t="shared" si="41"/>
        <v>920</v>
      </c>
    </row>
    <row r="422" spans="1:26" x14ac:dyDescent="0.25">
      <c r="A422" s="29" t="s">
        <v>822</v>
      </c>
      <c r="B422" s="29" t="s">
        <v>177</v>
      </c>
      <c r="C422" s="29" t="s">
        <v>932</v>
      </c>
      <c r="D422" s="29">
        <v>317004</v>
      </c>
      <c r="E422" s="32" t="s">
        <v>933</v>
      </c>
      <c r="F422" s="29">
        <v>37906216</v>
      </c>
      <c r="G422" s="32" t="s">
        <v>52</v>
      </c>
      <c r="H422" s="32" t="s">
        <v>901</v>
      </c>
      <c r="I422" s="33" t="s">
        <v>934</v>
      </c>
      <c r="J422" s="42">
        <f>VLOOKUP(F422,[6]Hárok1!$F$345:$S$436,5,0)</f>
        <v>8</v>
      </c>
      <c r="K422" s="43">
        <f>VLOOKUP(F422,[6]Hárok1!$F$345:$S$436,6,0)</f>
        <v>0</v>
      </c>
      <c r="L422" s="43">
        <f>VLOOKUP(F422,[6]Hárok1!$F$345:$S$436,7,0)</f>
        <v>19</v>
      </c>
      <c r="M422" s="43">
        <f>VLOOKUP(F422,[6]Hárok1!$F$345:$S$436,8,0)</f>
        <v>0</v>
      </c>
      <c r="N422" s="43">
        <f>VLOOKUP(F422,[6]Hárok1!$F$345:$S$436,9,0)</f>
        <v>1</v>
      </c>
      <c r="O422" s="43">
        <f>VLOOKUP(F422,[6]Hárok1!$F$345:$S$436,10,0)</f>
        <v>9</v>
      </c>
      <c r="P422" s="44">
        <f>VLOOKUP(F422,[6]Hárok1!$F$345:$S$436,11,0)</f>
        <v>1</v>
      </c>
      <c r="Q422" s="42">
        <f>VLOOKUP(F422,[6]Hárok1!$F$345:$S$436,12,0)</f>
        <v>11</v>
      </c>
      <c r="R422" s="43">
        <f>VLOOKUP(F422,[6]Hárok1!$F$345:$S$436,13,0)</f>
        <v>89</v>
      </c>
      <c r="S422" s="44">
        <f>VLOOKUP(F422,[6]Hárok1!$F$345:$S$436,14,0)</f>
        <v>15</v>
      </c>
      <c r="T422" s="45">
        <f t="shared" si="36"/>
        <v>636.5</v>
      </c>
      <c r="U422" s="46">
        <f>VLOOKUP(F422,[6]Hárok1!$F$344:$U$436,16,0)</f>
        <v>59.65</v>
      </c>
      <c r="V422" s="47">
        <f t="shared" si="37"/>
        <v>30</v>
      </c>
      <c r="W422" s="47">
        <f t="shared" si="38"/>
        <v>299.5</v>
      </c>
      <c r="X422" s="48">
        <f t="shared" si="39"/>
        <v>49.5</v>
      </c>
      <c r="Y422" s="49">
        <f t="shared" si="40"/>
        <v>1075.1500000000001</v>
      </c>
      <c r="Z422" s="50">
        <f t="shared" si="41"/>
        <v>1075</v>
      </c>
    </row>
    <row r="423" spans="1:26" x14ac:dyDescent="0.25">
      <c r="A423" s="29" t="s">
        <v>822</v>
      </c>
      <c r="B423" s="29" t="s">
        <v>181</v>
      </c>
      <c r="C423" s="29" t="s">
        <v>935</v>
      </c>
      <c r="D423" s="29">
        <v>42063043</v>
      </c>
      <c r="E423" s="32" t="s">
        <v>936</v>
      </c>
      <c r="F423" s="29">
        <v>614866</v>
      </c>
      <c r="G423" s="32" t="s">
        <v>937</v>
      </c>
      <c r="H423" s="32" t="s">
        <v>828</v>
      </c>
      <c r="I423" s="33" t="s">
        <v>938</v>
      </c>
      <c r="J423" s="42">
        <f>VLOOKUP(F423,[6]Hárok1!$F$345:$S$436,5,0)</f>
        <v>10</v>
      </c>
      <c r="K423" s="43">
        <f>VLOOKUP(F423,[6]Hárok1!$F$345:$S$436,6,0)</f>
        <v>0</v>
      </c>
      <c r="L423" s="43">
        <f>VLOOKUP(F423,[6]Hárok1!$F$345:$S$436,7,0)</f>
        <v>26</v>
      </c>
      <c r="M423" s="43">
        <f>VLOOKUP(F423,[6]Hárok1!$F$345:$S$436,8,0)</f>
        <v>0</v>
      </c>
      <c r="N423" s="43">
        <f>VLOOKUP(F423,[6]Hárok1!$F$345:$S$436,9,0)</f>
        <v>1</v>
      </c>
      <c r="O423" s="43">
        <f>VLOOKUP(F423,[6]Hárok1!$F$345:$S$436,10,0)</f>
        <v>10</v>
      </c>
      <c r="P423" s="44">
        <f>VLOOKUP(F423,[6]Hárok1!$F$345:$S$436,11,0)</f>
        <v>0</v>
      </c>
      <c r="Q423" s="42">
        <f>VLOOKUP(F423,[6]Hárok1!$F$345:$S$436,12,0)</f>
        <v>19</v>
      </c>
      <c r="R423" s="43">
        <f>VLOOKUP(F423,[6]Hárok1!$F$345:$S$436,13,0)</f>
        <v>236</v>
      </c>
      <c r="S423" s="44">
        <f>VLOOKUP(F423,[6]Hárok1!$F$345:$S$436,14,0)</f>
        <v>0</v>
      </c>
      <c r="T423" s="45">
        <f t="shared" si="36"/>
        <v>871</v>
      </c>
      <c r="U423" s="46">
        <f>VLOOKUP(F423,[6]Hárok1!$F$344:$U$436,16,0)</f>
        <v>209.78</v>
      </c>
      <c r="V423" s="47">
        <f t="shared" si="37"/>
        <v>42</v>
      </c>
      <c r="W423" s="47">
        <f t="shared" si="38"/>
        <v>607</v>
      </c>
      <c r="X423" s="48">
        <f t="shared" si="39"/>
        <v>0</v>
      </c>
      <c r="Y423" s="49">
        <f t="shared" si="40"/>
        <v>1729.78</v>
      </c>
      <c r="Z423" s="50">
        <f t="shared" si="41"/>
        <v>1730</v>
      </c>
    </row>
    <row r="424" spans="1:26" x14ac:dyDescent="0.25">
      <c r="A424" s="29" t="s">
        <v>822</v>
      </c>
      <c r="B424" s="29" t="s">
        <v>181</v>
      </c>
      <c r="C424" s="29" t="s">
        <v>935</v>
      </c>
      <c r="D424" s="29">
        <v>42063043</v>
      </c>
      <c r="E424" s="32" t="s">
        <v>936</v>
      </c>
      <c r="F424" s="29">
        <v>17059852</v>
      </c>
      <c r="G424" s="32" t="s">
        <v>939</v>
      </c>
      <c r="H424" s="32" t="s">
        <v>828</v>
      </c>
      <c r="I424" s="33" t="s">
        <v>938</v>
      </c>
      <c r="J424" s="42">
        <f>VLOOKUP(F424,[6]Hárok1!$F$345:$S$436,5,0)</f>
        <v>8</v>
      </c>
      <c r="K424" s="43">
        <f>VLOOKUP(F424,[6]Hárok1!$F$345:$S$436,6,0)</f>
        <v>0</v>
      </c>
      <c r="L424" s="43">
        <f>VLOOKUP(F424,[6]Hárok1!$F$345:$S$436,7,0)</f>
        <v>33</v>
      </c>
      <c r="M424" s="43">
        <f>VLOOKUP(F424,[6]Hárok1!$F$345:$S$436,8,0)</f>
        <v>0</v>
      </c>
      <c r="N424" s="43">
        <f>VLOOKUP(F424,[6]Hárok1!$F$345:$S$436,9,0)</f>
        <v>1</v>
      </c>
      <c r="O424" s="43">
        <f>VLOOKUP(F424,[6]Hárok1!$F$345:$S$436,10,0)</f>
        <v>11</v>
      </c>
      <c r="P424" s="44">
        <f>VLOOKUP(F424,[6]Hárok1!$F$345:$S$436,11,0)</f>
        <v>0</v>
      </c>
      <c r="Q424" s="42">
        <f>VLOOKUP(F424,[6]Hárok1!$F$345:$S$436,12,0)</f>
        <v>21</v>
      </c>
      <c r="R424" s="43">
        <f>VLOOKUP(F424,[6]Hárok1!$F$345:$S$436,13,0)</f>
        <v>282</v>
      </c>
      <c r="S424" s="44">
        <f>VLOOKUP(F424,[6]Hárok1!$F$345:$S$436,14,0)</f>
        <v>0</v>
      </c>
      <c r="T424" s="45">
        <f t="shared" si="36"/>
        <v>1105.5</v>
      </c>
      <c r="U424" s="46">
        <f>VLOOKUP(F424,[6]Hárok1!$F$344:$U$436,16,0)</f>
        <v>680.37</v>
      </c>
      <c r="V424" s="47">
        <f t="shared" si="37"/>
        <v>45</v>
      </c>
      <c r="W424" s="47">
        <f t="shared" si="38"/>
        <v>712.5</v>
      </c>
      <c r="X424" s="48">
        <f t="shared" si="39"/>
        <v>0</v>
      </c>
      <c r="Y424" s="49">
        <f t="shared" si="40"/>
        <v>2543.37</v>
      </c>
      <c r="Z424" s="50">
        <f t="shared" si="41"/>
        <v>2543</v>
      </c>
    </row>
    <row r="425" spans="1:26" x14ac:dyDescent="0.25">
      <c r="A425" s="51" t="s">
        <v>822</v>
      </c>
      <c r="B425" s="51" t="s">
        <v>181</v>
      </c>
      <c r="C425" s="51" t="s">
        <v>940</v>
      </c>
      <c r="D425" s="51">
        <v>894125</v>
      </c>
      <c r="E425" s="32" t="s">
        <v>941</v>
      </c>
      <c r="F425" s="51">
        <v>30223423</v>
      </c>
      <c r="G425" s="32" t="s">
        <v>622</v>
      </c>
      <c r="H425" s="32" t="s">
        <v>860</v>
      </c>
      <c r="I425" s="33" t="s">
        <v>942</v>
      </c>
      <c r="J425" s="42">
        <f>VLOOKUP(F425,[6]Hárok1!$F$345:$S$436,5,0)</f>
        <v>0</v>
      </c>
      <c r="K425" s="43">
        <f>VLOOKUP(F425,[6]Hárok1!$F$345:$S$436,6,0)</f>
        <v>0</v>
      </c>
      <c r="L425" s="43">
        <f>VLOOKUP(F425,[6]Hárok1!$F$345:$S$436,7,0)</f>
        <v>0</v>
      </c>
      <c r="M425" s="43">
        <f>VLOOKUP(F425,[6]Hárok1!$F$345:$S$436,8,0)</f>
        <v>0</v>
      </c>
      <c r="N425" s="43">
        <f>VLOOKUP(F425,[6]Hárok1!$F$345:$S$436,9,0)</f>
        <v>0</v>
      </c>
      <c r="O425" s="43">
        <f>VLOOKUP(F425,[6]Hárok1!$F$345:$S$436,10,0)</f>
        <v>0</v>
      </c>
      <c r="P425" s="44">
        <f>VLOOKUP(F425,[6]Hárok1!$F$345:$S$436,11,0)</f>
        <v>0</v>
      </c>
      <c r="Q425" s="42">
        <f>VLOOKUP(F425,[6]Hárok1!$F$345:$S$436,12,0)</f>
        <v>0</v>
      </c>
      <c r="R425" s="43">
        <f>VLOOKUP(F425,[6]Hárok1!$F$345:$S$436,13,0)</f>
        <v>0</v>
      </c>
      <c r="S425" s="44">
        <f>VLOOKUP(F425,[6]Hárok1!$F$345:$S$436,14,0)</f>
        <v>0</v>
      </c>
      <c r="T425" s="45">
        <f t="shared" si="36"/>
        <v>0</v>
      </c>
      <c r="U425" s="46">
        <f>VLOOKUP(F425,[6]Hárok1!$F$344:$U$436,16,0)</f>
        <v>0</v>
      </c>
      <c r="V425" s="47">
        <f t="shared" si="37"/>
        <v>0</v>
      </c>
      <c r="W425" s="47">
        <f t="shared" si="38"/>
        <v>0</v>
      </c>
      <c r="X425" s="48">
        <f t="shared" si="39"/>
        <v>0</v>
      </c>
      <c r="Y425" s="49">
        <f t="shared" si="40"/>
        <v>0</v>
      </c>
      <c r="Z425" s="50">
        <f t="shared" si="41"/>
        <v>0</v>
      </c>
    </row>
    <row r="426" spans="1:26" x14ac:dyDescent="0.25">
      <c r="A426" s="51" t="s">
        <v>822</v>
      </c>
      <c r="B426" s="51" t="s">
        <v>181</v>
      </c>
      <c r="C426" s="51" t="s">
        <v>935</v>
      </c>
      <c r="D426" s="51">
        <v>42063043</v>
      </c>
      <c r="E426" s="32" t="s">
        <v>936</v>
      </c>
      <c r="F426" s="51">
        <v>30414164</v>
      </c>
      <c r="G426" s="32" t="s">
        <v>943</v>
      </c>
      <c r="H426" s="32" t="s">
        <v>944</v>
      </c>
      <c r="I426" s="33" t="s">
        <v>945</v>
      </c>
      <c r="J426" s="42">
        <f>VLOOKUP(F426,[6]Hárok1!$F$345:$S$436,5,0)</f>
        <v>6</v>
      </c>
      <c r="K426" s="43">
        <f>VLOOKUP(F426,[6]Hárok1!$F$345:$S$436,6,0)</f>
        <v>0</v>
      </c>
      <c r="L426" s="43">
        <f>VLOOKUP(F426,[6]Hárok1!$F$345:$S$436,7,0)</f>
        <v>18</v>
      </c>
      <c r="M426" s="43">
        <f>VLOOKUP(F426,[6]Hárok1!$F$345:$S$436,8,0)</f>
        <v>0</v>
      </c>
      <c r="N426" s="43">
        <f>VLOOKUP(F426,[6]Hárok1!$F$345:$S$436,9,0)</f>
        <v>0</v>
      </c>
      <c r="O426" s="43">
        <f>VLOOKUP(F426,[6]Hárok1!$F$345:$S$436,10,0)</f>
        <v>7</v>
      </c>
      <c r="P426" s="44">
        <f>VLOOKUP(F426,[6]Hárok1!$F$345:$S$436,11,0)</f>
        <v>0</v>
      </c>
      <c r="Q426" s="42">
        <f>VLOOKUP(F426,[6]Hárok1!$F$345:$S$436,12,0)</f>
        <v>0</v>
      </c>
      <c r="R426" s="43">
        <f>VLOOKUP(F426,[6]Hárok1!$F$345:$S$436,13,0)</f>
        <v>198</v>
      </c>
      <c r="S426" s="44">
        <f>VLOOKUP(F426,[6]Hárok1!$F$345:$S$436,14,0)</f>
        <v>0</v>
      </c>
      <c r="T426" s="45">
        <f t="shared" si="36"/>
        <v>603</v>
      </c>
      <c r="U426" s="46">
        <f>VLOOKUP(F426,[6]Hárok1!$F$344:$U$436,16,0)</f>
        <v>0</v>
      </c>
      <c r="V426" s="47">
        <f t="shared" si="37"/>
        <v>0</v>
      </c>
      <c r="W426" s="47">
        <f t="shared" si="38"/>
        <v>490.5</v>
      </c>
      <c r="X426" s="48">
        <f t="shared" si="39"/>
        <v>0</v>
      </c>
      <c r="Y426" s="49">
        <f t="shared" si="40"/>
        <v>1093.5</v>
      </c>
      <c r="Z426" s="50">
        <f t="shared" si="41"/>
        <v>1094</v>
      </c>
    </row>
    <row r="427" spans="1:26" x14ac:dyDescent="0.25">
      <c r="A427" s="29" t="s">
        <v>822</v>
      </c>
      <c r="B427" s="29" t="s">
        <v>181</v>
      </c>
      <c r="C427" s="29" t="s">
        <v>946</v>
      </c>
      <c r="D427" s="29">
        <v>586536</v>
      </c>
      <c r="E427" s="32" t="s">
        <v>947</v>
      </c>
      <c r="F427" s="29">
        <v>30222052</v>
      </c>
      <c r="G427" s="32" t="s">
        <v>948</v>
      </c>
      <c r="H427" s="32" t="s">
        <v>224</v>
      </c>
      <c r="I427" s="33" t="s">
        <v>949</v>
      </c>
      <c r="J427" s="42">
        <f>VLOOKUP(F427,[6]Hárok1!$F$345:$S$436,5,0)</f>
        <v>7</v>
      </c>
      <c r="K427" s="43">
        <f>VLOOKUP(F427,[6]Hárok1!$F$345:$S$436,6,0)</f>
        <v>0</v>
      </c>
      <c r="L427" s="43">
        <f>VLOOKUP(F427,[6]Hárok1!$F$345:$S$436,7,0)</f>
        <v>17</v>
      </c>
      <c r="M427" s="43">
        <f>VLOOKUP(F427,[6]Hárok1!$F$345:$S$436,8,0)</f>
        <v>0</v>
      </c>
      <c r="N427" s="43">
        <f>VLOOKUP(F427,[6]Hárok1!$F$345:$S$436,9,0)</f>
        <v>1</v>
      </c>
      <c r="O427" s="43">
        <f>VLOOKUP(F427,[6]Hárok1!$F$345:$S$436,10,0)</f>
        <v>6</v>
      </c>
      <c r="P427" s="44">
        <f>VLOOKUP(F427,[6]Hárok1!$F$345:$S$436,11,0)</f>
        <v>0</v>
      </c>
      <c r="Q427" s="42">
        <f>VLOOKUP(F427,[6]Hárok1!$F$345:$S$436,12,0)</f>
        <v>30</v>
      </c>
      <c r="R427" s="43">
        <f>VLOOKUP(F427,[6]Hárok1!$F$345:$S$436,13,0)</f>
        <v>143</v>
      </c>
      <c r="S427" s="44">
        <f>VLOOKUP(F427,[6]Hárok1!$F$345:$S$436,14,0)</f>
        <v>0</v>
      </c>
      <c r="T427" s="45">
        <f t="shared" si="36"/>
        <v>569.5</v>
      </c>
      <c r="U427" s="46">
        <f>VLOOKUP(F427,[6]Hárok1!$F$344:$U$436,16,0)</f>
        <v>42.85</v>
      </c>
      <c r="V427" s="47">
        <f t="shared" si="37"/>
        <v>58.5</v>
      </c>
      <c r="W427" s="47">
        <f t="shared" si="38"/>
        <v>367</v>
      </c>
      <c r="X427" s="48">
        <f t="shared" si="39"/>
        <v>0</v>
      </c>
      <c r="Y427" s="49">
        <f t="shared" si="40"/>
        <v>1037.8499999999999</v>
      </c>
      <c r="Z427" s="50">
        <f t="shared" si="41"/>
        <v>1038</v>
      </c>
    </row>
    <row r="428" spans="1:26" x14ac:dyDescent="0.25">
      <c r="A428" s="29" t="s">
        <v>822</v>
      </c>
      <c r="B428" s="29" t="s">
        <v>181</v>
      </c>
      <c r="C428" s="29" t="s">
        <v>935</v>
      </c>
      <c r="D428" s="29">
        <v>42063043</v>
      </c>
      <c r="E428" s="32" t="s">
        <v>936</v>
      </c>
      <c r="F428" s="29">
        <v>17059640</v>
      </c>
      <c r="G428" s="32" t="s">
        <v>950</v>
      </c>
      <c r="H428" s="32" t="s">
        <v>224</v>
      </c>
      <c r="I428" s="33" t="s">
        <v>951</v>
      </c>
      <c r="J428" s="42">
        <f>VLOOKUP(F428,[6]Hárok1!$F$345:$S$436,5,0)</f>
        <v>6</v>
      </c>
      <c r="K428" s="43">
        <f>VLOOKUP(F428,[6]Hárok1!$F$345:$S$436,6,0)</f>
        <v>1</v>
      </c>
      <c r="L428" s="43">
        <f>VLOOKUP(F428,[6]Hárok1!$F$345:$S$436,7,0)</f>
        <v>25</v>
      </c>
      <c r="M428" s="43">
        <f>VLOOKUP(F428,[6]Hárok1!$F$345:$S$436,8,0)</f>
        <v>2</v>
      </c>
      <c r="N428" s="43">
        <f>VLOOKUP(F428,[6]Hárok1!$F$345:$S$436,9,0)</f>
        <v>3</v>
      </c>
      <c r="O428" s="43">
        <f>VLOOKUP(F428,[6]Hárok1!$F$345:$S$436,10,0)</f>
        <v>5</v>
      </c>
      <c r="P428" s="44">
        <f>VLOOKUP(F428,[6]Hárok1!$F$345:$S$436,11,0)</f>
        <v>1</v>
      </c>
      <c r="Q428" s="42">
        <f>VLOOKUP(F428,[6]Hárok1!$F$345:$S$436,12,0)</f>
        <v>30</v>
      </c>
      <c r="R428" s="43">
        <f>VLOOKUP(F428,[6]Hárok1!$F$345:$S$436,13,0)</f>
        <v>175</v>
      </c>
      <c r="S428" s="44">
        <f>VLOOKUP(F428,[6]Hárok1!$F$345:$S$436,14,0)</f>
        <v>123</v>
      </c>
      <c r="T428" s="45">
        <f t="shared" si="36"/>
        <v>837.5</v>
      </c>
      <c r="U428" s="46">
        <f>VLOOKUP(F428,[6]Hárok1!$F$344:$U$436,16,0)</f>
        <v>149.6</v>
      </c>
      <c r="V428" s="47">
        <f t="shared" si="37"/>
        <v>85.5</v>
      </c>
      <c r="W428" s="47">
        <f t="shared" si="38"/>
        <v>417.5</v>
      </c>
      <c r="X428" s="48">
        <f t="shared" si="39"/>
        <v>211.5</v>
      </c>
      <c r="Y428" s="49">
        <f t="shared" si="40"/>
        <v>1701.6</v>
      </c>
      <c r="Z428" s="50">
        <f t="shared" si="41"/>
        <v>1702</v>
      </c>
    </row>
    <row r="429" spans="1:26" x14ac:dyDescent="0.25">
      <c r="A429" s="29" t="s">
        <v>822</v>
      </c>
      <c r="B429" s="29" t="s">
        <v>181</v>
      </c>
      <c r="C429" s="29" t="s">
        <v>935</v>
      </c>
      <c r="D429" s="29">
        <v>42063043</v>
      </c>
      <c r="E429" s="32" t="s">
        <v>936</v>
      </c>
      <c r="F429" s="29">
        <v>37909533</v>
      </c>
      <c r="G429" s="32" t="s">
        <v>952</v>
      </c>
      <c r="H429" s="32" t="s">
        <v>224</v>
      </c>
      <c r="I429" s="33" t="s">
        <v>953</v>
      </c>
      <c r="J429" s="42">
        <f>VLOOKUP(F429,[6]Hárok1!$F$345:$S$436,5,0)</f>
        <v>5</v>
      </c>
      <c r="K429" s="43">
        <f>VLOOKUP(F429,[6]Hárok1!$F$345:$S$436,6,0)</f>
        <v>0</v>
      </c>
      <c r="L429" s="43">
        <f>VLOOKUP(F429,[6]Hárok1!$F$345:$S$436,7,0)</f>
        <v>13</v>
      </c>
      <c r="M429" s="43">
        <f>VLOOKUP(F429,[6]Hárok1!$F$345:$S$436,8,0)</f>
        <v>0</v>
      </c>
      <c r="N429" s="43">
        <f>VLOOKUP(F429,[6]Hárok1!$F$345:$S$436,9,0)</f>
        <v>1</v>
      </c>
      <c r="O429" s="43">
        <f>VLOOKUP(F429,[6]Hárok1!$F$345:$S$436,10,0)</f>
        <v>6</v>
      </c>
      <c r="P429" s="44">
        <f>VLOOKUP(F429,[6]Hárok1!$F$345:$S$436,11,0)</f>
        <v>0</v>
      </c>
      <c r="Q429" s="42">
        <f>VLOOKUP(F429,[6]Hárok1!$F$345:$S$436,12,0)</f>
        <v>0</v>
      </c>
      <c r="R429" s="43">
        <f>VLOOKUP(F429,[6]Hárok1!$F$345:$S$436,13,0)</f>
        <v>135</v>
      </c>
      <c r="S429" s="44">
        <f>VLOOKUP(F429,[6]Hárok1!$F$345:$S$436,14,0)</f>
        <v>0</v>
      </c>
      <c r="T429" s="45">
        <f t="shared" si="36"/>
        <v>435.5</v>
      </c>
      <c r="U429" s="46">
        <f>VLOOKUP(F429,[6]Hárok1!$F$344:$U$436,16,0)</f>
        <v>0</v>
      </c>
      <c r="V429" s="47">
        <f t="shared" si="37"/>
        <v>13.5</v>
      </c>
      <c r="W429" s="47">
        <f t="shared" si="38"/>
        <v>351</v>
      </c>
      <c r="X429" s="48">
        <f t="shared" si="39"/>
        <v>0</v>
      </c>
      <c r="Y429" s="49">
        <f t="shared" si="40"/>
        <v>800</v>
      </c>
      <c r="Z429" s="50">
        <f t="shared" si="41"/>
        <v>800</v>
      </c>
    </row>
    <row r="430" spans="1:26" x14ac:dyDescent="0.25">
      <c r="A430" s="29" t="s">
        <v>822</v>
      </c>
      <c r="B430" s="29" t="s">
        <v>226</v>
      </c>
      <c r="C430" s="29" t="s">
        <v>954</v>
      </c>
      <c r="D430" s="29">
        <v>42144141</v>
      </c>
      <c r="E430" s="32" t="s">
        <v>955</v>
      </c>
      <c r="F430" s="29">
        <v>42071585</v>
      </c>
      <c r="G430" s="32" t="s">
        <v>229</v>
      </c>
      <c r="H430" s="32" t="s">
        <v>825</v>
      </c>
      <c r="I430" s="33" t="s">
        <v>956</v>
      </c>
      <c r="J430" s="42">
        <f>VLOOKUP(F430,[6]Hárok1!$F$345:$S$436,5,0)</f>
        <v>0</v>
      </c>
      <c r="K430" s="43">
        <f>VLOOKUP(F430,[6]Hárok1!$F$345:$S$436,6,0)</f>
        <v>0</v>
      </c>
      <c r="L430" s="43">
        <f>VLOOKUP(F430,[6]Hárok1!$F$345:$S$436,7,0)</f>
        <v>0</v>
      </c>
      <c r="M430" s="43">
        <f>VLOOKUP(F430,[6]Hárok1!$F$345:$S$436,8,0)</f>
        <v>0</v>
      </c>
      <c r="N430" s="43">
        <f>VLOOKUP(F430,[6]Hárok1!$F$345:$S$436,9,0)</f>
        <v>0</v>
      </c>
      <c r="O430" s="43">
        <f>VLOOKUP(F430,[6]Hárok1!$F$345:$S$436,10,0)</f>
        <v>0</v>
      </c>
      <c r="P430" s="44">
        <f>VLOOKUP(F430,[6]Hárok1!$F$345:$S$436,11,0)</f>
        <v>0</v>
      </c>
      <c r="Q430" s="42">
        <f>VLOOKUP(F430,[6]Hárok1!$F$345:$S$436,12,0)</f>
        <v>0</v>
      </c>
      <c r="R430" s="43">
        <f>VLOOKUP(F430,[6]Hárok1!$F$345:$S$436,13,0)</f>
        <v>0</v>
      </c>
      <c r="S430" s="44">
        <f>VLOOKUP(F430,[6]Hárok1!$F$345:$S$436,14,0)</f>
        <v>0</v>
      </c>
      <c r="T430" s="45">
        <f t="shared" si="36"/>
        <v>0</v>
      </c>
      <c r="U430" s="46">
        <f>VLOOKUP(F430,[6]Hárok1!$F$344:$U$436,16,0)</f>
        <v>0</v>
      </c>
      <c r="V430" s="47">
        <f t="shared" si="37"/>
        <v>0</v>
      </c>
      <c r="W430" s="47">
        <f t="shared" si="38"/>
        <v>0</v>
      </c>
      <c r="X430" s="48">
        <f t="shared" si="39"/>
        <v>0</v>
      </c>
      <c r="Y430" s="49">
        <f t="shared" si="40"/>
        <v>0</v>
      </c>
      <c r="Z430" s="50">
        <f t="shared" si="41"/>
        <v>0</v>
      </c>
    </row>
    <row r="431" spans="1:26" x14ac:dyDescent="0.25">
      <c r="A431" s="29" t="s">
        <v>822</v>
      </c>
      <c r="B431" s="29" t="s">
        <v>226</v>
      </c>
      <c r="C431" s="29" t="s">
        <v>957</v>
      </c>
      <c r="D431" s="29">
        <v>47365773</v>
      </c>
      <c r="E431" s="32" t="s">
        <v>958</v>
      </c>
      <c r="F431" s="29">
        <v>42070902</v>
      </c>
      <c r="G431" s="32" t="s">
        <v>229</v>
      </c>
      <c r="H431" s="32" t="s">
        <v>863</v>
      </c>
      <c r="I431" s="33" t="s">
        <v>959</v>
      </c>
      <c r="J431" s="42">
        <f>VLOOKUP(F431,[6]Hárok1!$F$345:$S$436,5,0)</f>
        <v>6</v>
      </c>
      <c r="K431" s="43">
        <f>VLOOKUP(F431,[6]Hárok1!$F$345:$S$436,6,0)</f>
        <v>0</v>
      </c>
      <c r="L431" s="43">
        <f>VLOOKUP(F431,[6]Hárok1!$F$345:$S$436,7,0)</f>
        <v>17</v>
      </c>
      <c r="M431" s="43">
        <f>VLOOKUP(F431,[6]Hárok1!$F$345:$S$436,8,0)</f>
        <v>0</v>
      </c>
      <c r="N431" s="43">
        <f>VLOOKUP(F431,[6]Hárok1!$F$345:$S$436,9,0)</f>
        <v>1</v>
      </c>
      <c r="O431" s="43">
        <f>VLOOKUP(F431,[6]Hárok1!$F$345:$S$436,10,0)</f>
        <v>5</v>
      </c>
      <c r="P431" s="44">
        <f>VLOOKUP(F431,[6]Hárok1!$F$345:$S$436,11,0)</f>
        <v>1</v>
      </c>
      <c r="Q431" s="42">
        <f>VLOOKUP(F431,[6]Hárok1!$F$345:$S$436,12,0)</f>
        <v>5</v>
      </c>
      <c r="R431" s="43">
        <f>VLOOKUP(F431,[6]Hárok1!$F$345:$S$436,13,0)</f>
        <v>138</v>
      </c>
      <c r="S431" s="44">
        <f>VLOOKUP(F431,[6]Hárok1!$F$345:$S$436,14,0)</f>
        <v>40</v>
      </c>
      <c r="T431" s="45">
        <f t="shared" si="36"/>
        <v>569.5</v>
      </c>
      <c r="U431" s="46">
        <f>VLOOKUP(F431,[6]Hárok1!$F$344:$U$436,16,0)</f>
        <v>0</v>
      </c>
      <c r="V431" s="47">
        <f t="shared" si="37"/>
        <v>21</v>
      </c>
      <c r="W431" s="47">
        <f t="shared" si="38"/>
        <v>343.5</v>
      </c>
      <c r="X431" s="48">
        <f t="shared" si="39"/>
        <v>87</v>
      </c>
      <c r="Y431" s="49">
        <f t="shared" si="40"/>
        <v>1021</v>
      </c>
      <c r="Z431" s="50">
        <f t="shared" si="41"/>
        <v>1021</v>
      </c>
    </row>
    <row r="432" spans="1:26" x14ac:dyDescent="0.25">
      <c r="A432" s="29" t="s">
        <v>822</v>
      </c>
      <c r="B432" s="29" t="s">
        <v>226</v>
      </c>
      <c r="C432" s="29" t="s">
        <v>960</v>
      </c>
      <c r="D432" s="29">
        <v>90000070</v>
      </c>
      <c r="E432" s="32" t="s">
        <v>961</v>
      </c>
      <c r="F432" s="29">
        <v>42216702</v>
      </c>
      <c r="G432" s="32" t="s">
        <v>962</v>
      </c>
      <c r="H432" s="32" t="s">
        <v>873</v>
      </c>
      <c r="I432" s="33" t="s">
        <v>963</v>
      </c>
      <c r="J432" s="42">
        <f>VLOOKUP(F432,[6]Hárok1!$F$345:$S$436,5,0)</f>
        <v>4</v>
      </c>
      <c r="K432" s="43">
        <f>VLOOKUP(F432,[6]Hárok1!$F$345:$S$436,6,0)</f>
        <v>0</v>
      </c>
      <c r="L432" s="43">
        <f>VLOOKUP(F432,[6]Hárok1!$F$345:$S$436,7,0)</f>
        <v>27</v>
      </c>
      <c r="M432" s="43">
        <f>VLOOKUP(F432,[6]Hárok1!$F$345:$S$436,8,0)</f>
        <v>0</v>
      </c>
      <c r="N432" s="43">
        <f>VLOOKUP(F432,[6]Hárok1!$F$345:$S$436,9,0)</f>
        <v>0</v>
      </c>
      <c r="O432" s="43">
        <f>VLOOKUP(F432,[6]Hárok1!$F$345:$S$436,10,0)</f>
        <v>5</v>
      </c>
      <c r="P432" s="44">
        <f>VLOOKUP(F432,[6]Hárok1!$F$345:$S$436,11,0)</f>
        <v>2</v>
      </c>
      <c r="Q432" s="42">
        <f>VLOOKUP(F432,[6]Hárok1!$F$345:$S$436,12,0)</f>
        <v>0</v>
      </c>
      <c r="R432" s="43">
        <f>VLOOKUP(F432,[6]Hárok1!$F$345:$S$436,13,0)</f>
        <v>154</v>
      </c>
      <c r="S432" s="44">
        <f>VLOOKUP(F432,[6]Hárok1!$F$345:$S$436,14,0)</f>
        <v>176</v>
      </c>
      <c r="T432" s="45">
        <f t="shared" si="36"/>
        <v>904.5</v>
      </c>
      <c r="U432" s="46">
        <f>VLOOKUP(F432,[6]Hárok1!$F$344:$U$436,16,0)</f>
        <v>0</v>
      </c>
      <c r="V432" s="47">
        <f t="shared" si="37"/>
        <v>0</v>
      </c>
      <c r="W432" s="47">
        <f t="shared" si="38"/>
        <v>375.5</v>
      </c>
      <c r="X432" s="48">
        <f t="shared" si="39"/>
        <v>318</v>
      </c>
      <c r="Y432" s="49">
        <f t="shared" si="40"/>
        <v>1598</v>
      </c>
      <c r="Z432" s="50">
        <f t="shared" si="41"/>
        <v>1598</v>
      </c>
    </row>
    <row r="433" spans="1:26" x14ac:dyDescent="0.25">
      <c r="A433" s="51" t="s">
        <v>822</v>
      </c>
      <c r="B433" s="51" t="s">
        <v>226</v>
      </c>
      <c r="C433" s="51" t="s">
        <v>964</v>
      </c>
      <c r="D433" s="51">
        <v>36431524</v>
      </c>
      <c r="E433" s="32" t="s">
        <v>965</v>
      </c>
      <c r="F433" s="51">
        <v>42347599</v>
      </c>
      <c r="G433" s="32" t="s">
        <v>814</v>
      </c>
      <c r="H433" s="32" t="s">
        <v>836</v>
      </c>
      <c r="I433" s="33" t="s">
        <v>966</v>
      </c>
      <c r="J433" s="42">
        <f>VLOOKUP(F433,[6]Hárok1!$F$345:$S$436,5,0)</f>
        <v>1</v>
      </c>
      <c r="K433" s="43">
        <f>VLOOKUP(F433,[6]Hárok1!$F$345:$S$436,6,0)</f>
        <v>0</v>
      </c>
      <c r="L433" s="43">
        <f>VLOOKUP(F433,[6]Hárok1!$F$345:$S$436,7,0)</f>
        <v>17</v>
      </c>
      <c r="M433" s="43">
        <f>VLOOKUP(F433,[6]Hárok1!$F$345:$S$436,8,0)</f>
        <v>0</v>
      </c>
      <c r="N433" s="43">
        <f>VLOOKUP(F433,[6]Hárok1!$F$345:$S$436,9,0)</f>
        <v>0</v>
      </c>
      <c r="O433" s="43">
        <f>VLOOKUP(F433,[6]Hárok1!$F$345:$S$436,10,0)</f>
        <v>0</v>
      </c>
      <c r="P433" s="44">
        <f>VLOOKUP(F433,[6]Hárok1!$F$345:$S$436,11,0)</f>
        <v>1</v>
      </c>
      <c r="Q433" s="42">
        <f>VLOOKUP(F433,[6]Hárok1!$F$345:$S$436,12,0)</f>
        <v>0</v>
      </c>
      <c r="R433" s="43">
        <f>VLOOKUP(F433,[6]Hárok1!$F$345:$S$436,13,0)</f>
        <v>0</v>
      </c>
      <c r="S433" s="44">
        <f>VLOOKUP(F433,[6]Hárok1!$F$345:$S$436,14,0)</f>
        <v>61</v>
      </c>
      <c r="T433" s="45">
        <f t="shared" si="36"/>
        <v>569.5</v>
      </c>
      <c r="U433" s="46">
        <f>VLOOKUP(F433,[6]Hárok1!$F$344:$U$436,16,0)</f>
        <v>11.8</v>
      </c>
      <c r="V433" s="47">
        <f t="shared" si="37"/>
        <v>0</v>
      </c>
      <c r="W433" s="47">
        <f t="shared" si="38"/>
        <v>0</v>
      </c>
      <c r="X433" s="48">
        <f t="shared" si="39"/>
        <v>118.5</v>
      </c>
      <c r="Y433" s="49">
        <f t="shared" si="40"/>
        <v>699.8</v>
      </c>
      <c r="Z433" s="50">
        <f t="shared" si="41"/>
        <v>700</v>
      </c>
    </row>
    <row r="434" spans="1:26" x14ac:dyDescent="0.25">
      <c r="A434" s="29" t="s">
        <v>822</v>
      </c>
      <c r="B434" s="29" t="s">
        <v>226</v>
      </c>
      <c r="C434" s="29" t="s">
        <v>967</v>
      </c>
      <c r="D434" s="29">
        <v>36433209</v>
      </c>
      <c r="E434" s="32" t="s">
        <v>968</v>
      </c>
      <c r="F434" s="29">
        <v>31897959</v>
      </c>
      <c r="G434" s="32" t="s">
        <v>969</v>
      </c>
      <c r="H434" s="32" t="s">
        <v>842</v>
      </c>
      <c r="I434" s="33" t="s">
        <v>970</v>
      </c>
      <c r="J434" s="42">
        <f>VLOOKUP(F434,[6]Hárok1!$F$345:$S$436,5,0)</f>
        <v>10</v>
      </c>
      <c r="K434" s="43">
        <f>VLOOKUP(F434,[6]Hárok1!$F$345:$S$436,6,0)</f>
        <v>0</v>
      </c>
      <c r="L434" s="43">
        <f>VLOOKUP(F434,[6]Hárok1!$F$345:$S$436,7,0)</f>
        <v>33</v>
      </c>
      <c r="M434" s="43">
        <f>VLOOKUP(F434,[6]Hárok1!$F$345:$S$436,8,0)</f>
        <v>0</v>
      </c>
      <c r="N434" s="43">
        <f>VLOOKUP(F434,[6]Hárok1!$F$345:$S$436,9,0)</f>
        <v>0</v>
      </c>
      <c r="O434" s="43">
        <f>VLOOKUP(F434,[6]Hárok1!$F$345:$S$436,10,0)</f>
        <v>19</v>
      </c>
      <c r="P434" s="44">
        <f>VLOOKUP(F434,[6]Hárok1!$F$345:$S$436,11,0)</f>
        <v>1</v>
      </c>
      <c r="Q434" s="42">
        <f>VLOOKUP(F434,[6]Hárok1!$F$345:$S$436,12,0)</f>
        <v>0</v>
      </c>
      <c r="R434" s="43">
        <f>VLOOKUP(F434,[6]Hárok1!$F$345:$S$436,13,0)</f>
        <v>188</v>
      </c>
      <c r="S434" s="44">
        <f>VLOOKUP(F434,[6]Hárok1!$F$345:$S$436,14,0)</f>
        <v>105</v>
      </c>
      <c r="T434" s="45">
        <f t="shared" si="36"/>
        <v>1105.5</v>
      </c>
      <c r="U434" s="46">
        <f>VLOOKUP(F434,[6]Hárok1!$F$344:$U$436,16,0)</f>
        <v>342.45</v>
      </c>
      <c r="V434" s="47">
        <f t="shared" si="37"/>
        <v>0</v>
      </c>
      <c r="W434" s="47">
        <f t="shared" si="38"/>
        <v>632.5</v>
      </c>
      <c r="X434" s="48">
        <f t="shared" si="39"/>
        <v>184.5</v>
      </c>
      <c r="Y434" s="49">
        <f t="shared" si="40"/>
        <v>2264.9499999999998</v>
      </c>
      <c r="Z434" s="50">
        <f t="shared" si="41"/>
        <v>2265</v>
      </c>
    </row>
    <row r="435" spans="1:26" x14ac:dyDescent="0.25">
      <c r="A435" s="29" t="s">
        <v>822</v>
      </c>
      <c r="B435" s="29" t="s">
        <v>226</v>
      </c>
      <c r="C435" s="29" t="s">
        <v>971</v>
      </c>
      <c r="D435" s="29">
        <v>90000079</v>
      </c>
      <c r="E435" s="32" t="s">
        <v>972</v>
      </c>
      <c r="F435" s="29">
        <v>37908057</v>
      </c>
      <c r="G435" s="32" t="s">
        <v>505</v>
      </c>
      <c r="H435" s="32" t="s">
        <v>462</v>
      </c>
      <c r="I435" s="33" t="s">
        <v>973</v>
      </c>
      <c r="J435" s="42">
        <f>VLOOKUP(F435,[6]Hárok1!$F$345:$S$436,5,0)</f>
        <v>0</v>
      </c>
      <c r="K435" s="43">
        <f>VLOOKUP(F435,[6]Hárok1!$F$345:$S$436,6,0)</f>
        <v>0</v>
      </c>
      <c r="L435" s="43">
        <f>VLOOKUP(F435,[6]Hárok1!$F$345:$S$436,7,0)</f>
        <v>0</v>
      </c>
      <c r="M435" s="43">
        <f>VLOOKUP(F435,[6]Hárok1!$F$345:$S$436,8,0)</f>
        <v>0</v>
      </c>
      <c r="N435" s="43">
        <f>VLOOKUP(F435,[6]Hárok1!$F$345:$S$436,9,0)</f>
        <v>0</v>
      </c>
      <c r="O435" s="43">
        <f>VLOOKUP(F435,[6]Hárok1!$F$345:$S$436,10,0)</f>
        <v>0</v>
      </c>
      <c r="P435" s="44">
        <f>VLOOKUP(F435,[6]Hárok1!$F$345:$S$436,11,0)</f>
        <v>0</v>
      </c>
      <c r="Q435" s="42">
        <f>VLOOKUP(F435,[6]Hárok1!$F$345:$S$436,12,0)</f>
        <v>0</v>
      </c>
      <c r="R435" s="43">
        <f>VLOOKUP(F435,[6]Hárok1!$F$345:$S$436,13,0)</f>
        <v>0</v>
      </c>
      <c r="S435" s="44">
        <f>VLOOKUP(F435,[6]Hárok1!$F$345:$S$436,14,0)</f>
        <v>0</v>
      </c>
      <c r="T435" s="45">
        <f t="shared" si="36"/>
        <v>0</v>
      </c>
      <c r="U435" s="46">
        <f>VLOOKUP(F435,[6]Hárok1!$F$344:$U$436,16,0)</f>
        <v>0</v>
      </c>
      <c r="V435" s="47">
        <f t="shared" si="37"/>
        <v>0</v>
      </c>
      <c r="W435" s="47">
        <f t="shared" si="38"/>
        <v>0</v>
      </c>
      <c r="X435" s="48">
        <f t="shared" si="39"/>
        <v>0</v>
      </c>
      <c r="Y435" s="49">
        <f t="shared" si="40"/>
        <v>0</v>
      </c>
      <c r="Z435" s="50">
        <f t="shared" si="41"/>
        <v>0</v>
      </c>
    </row>
    <row r="436" spans="1:26" x14ac:dyDescent="0.25">
      <c r="A436" s="29" t="s">
        <v>822</v>
      </c>
      <c r="B436" s="29" t="s">
        <v>226</v>
      </c>
      <c r="C436" s="29" t="s">
        <v>971</v>
      </c>
      <c r="D436" s="29">
        <v>90000079</v>
      </c>
      <c r="E436" s="32" t="s">
        <v>972</v>
      </c>
      <c r="F436" s="29">
        <v>42072042</v>
      </c>
      <c r="G436" s="32" t="s">
        <v>792</v>
      </c>
      <c r="H436" s="32" t="s">
        <v>462</v>
      </c>
      <c r="I436" s="33" t="s">
        <v>973</v>
      </c>
      <c r="J436" s="42">
        <f>VLOOKUP(F436,[6]Hárok1!$F$345:$S$436,5,0)</f>
        <v>2</v>
      </c>
      <c r="K436" s="43">
        <f>VLOOKUP(F436,[6]Hárok1!$F$345:$S$436,6,0)</f>
        <v>0</v>
      </c>
      <c r="L436" s="43">
        <f>VLOOKUP(F436,[6]Hárok1!$F$345:$S$436,7,0)</f>
        <v>11</v>
      </c>
      <c r="M436" s="43">
        <f>VLOOKUP(F436,[6]Hárok1!$F$345:$S$436,8,0)</f>
        <v>0</v>
      </c>
      <c r="N436" s="43">
        <f>VLOOKUP(F436,[6]Hárok1!$F$345:$S$436,9,0)</f>
        <v>0</v>
      </c>
      <c r="O436" s="43">
        <f>VLOOKUP(F436,[6]Hárok1!$F$345:$S$436,10,0)</f>
        <v>1</v>
      </c>
      <c r="P436" s="44">
        <f>VLOOKUP(F436,[6]Hárok1!$F$345:$S$436,11,0)</f>
        <v>1</v>
      </c>
      <c r="Q436" s="42">
        <f>VLOOKUP(F436,[6]Hárok1!$F$345:$S$436,12,0)</f>
        <v>0</v>
      </c>
      <c r="R436" s="43">
        <f>VLOOKUP(F436,[6]Hárok1!$F$345:$S$436,13,0)</f>
        <v>25</v>
      </c>
      <c r="S436" s="44">
        <f>VLOOKUP(F436,[6]Hárok1!$F$345:$S$436,14,0)</f>
        <v>91</v>
      </c>
      <c r="T436" s="45">
        <f t="shared" si="36"/>
        <v>368.5</v>
      </c>
      <c r="U436" s="46">
        <f>VLOOKUP(F436,[6]Hárok1!$F$344:$U$436,16,0)</f>
        <v>0</v>
      </c>
      <c r="V436" s="47">
        <f t="shared" si="37"/>
        <v>0</v>
      </c>
      <c r="W436" s="47">
        <f t="shared" si="38"/>
        <v>63.5</v>
      </c>
      <c r="X436" s="48">
        <f t="shared" si="39"/>
        <v>163.5</v>
      </c>
      <c r="Y436" s="49">
        <f t="shared" si="40"/>
        <v>595.5</v>
      </c>
      <c r="Z436" s="50">
        <f t="shared" si="41"/>
        <v>596</v>
      </c>
    </row>
    <row r="437" spans="1:26" x14ac:dyDescent="0.25">
      <c r="A437" s="29" t="s">
        <v>822</v>
      </c>
      <c r="B437" s="29" t="s">
        <v>226</v>
      </c>
      <c r="C437" s="29" t="s">
        <v>974</v>
      </c>
      <c r="D437" s="29">
        <v>36441406</v>
      </c>
      <c r="E437" s="32" t="s">
        <v>975</v>
      </c>
      <c r="F437" s="29">
        <v>42003784</v>
      </c>
      <c r="G437" s="32" t="s">
        <v>806</v>
      </c>
      <c r="H437" s="32" t="s">
        <v>976</v>
      </c>
      <c r="I437" s="33" t="s">
        <v>977</v>
      </c>
      <c r="J437" s="42">
        <f>VLOOKUP(F437,[6]Hárok1!$F$345:$S$436,5,0)</f>
        <v>4</v>
      </c>
      <c r="K437" s="43">
        <f>VLOOKUP(F437,[6]Hárok1!$F$345:$S$436,6,0)</f>
        <v>0</v>
      </c>
      <c r="L437" s="43">
        <f>VLOOKUP(F437,[6]Hárok1!$F$345:$S$436,7,0)</f>
        <v>14</v>
      </c>
      <c r="M437" s="43">
        <f>VLOOKUP(F437,[6]Hárok1!$F$345:$S$436,8,0)</f>
        <v>0</v>
      </c>
      <c r="N437" s="43">
        <f>VLOOKUP(F437,[6]Hárok1!$F$345:$S$436,9,0)</f>
        <v>0</v>
      </c>
      <c r="O437" s="43">
        <f>VLOOKUP(F437,[6]Hárok1!$F$345:$S$436,10,0)</f>
        <v>6</v>
      </c>
      <c r="P437" s="44">
        <f>VLOOKUP(F437,[6]Hárok1!$F$345:$S$436,11,0)</f>
        <v>1</v>
      </c>
      <c r="Q437" s="42">
        <f>VLOOKUP(F437,[6]Hárok1!$F$345:$S$436,12,0)</f>
        <v>0</v>
      </c>
      <c r="R437" s="43">
        <f>VLOOKUP(F437,[6]Hárok1!$F$345:$S$436,13,0)</f>
        <v>71</v>
      </c>
      <c r="S437" s="44">
        <f>VLOOKUP(F437,[6]Hárok1!$F$345:$S$436,14,0)</f>
        <v>27</v>
      </c>
      <c r="T437" s="45">
        <f t="shared" si="36"/>
        <v>469</v>
      </c>
      <c r="U437" s="46">
        <f>VLOOKUP(F437,[6]Hárok1!$F$344:$U$436,16,0)</f>
        <v>43.2</v>
      </c>
      <c r="V437" s="47">
        <f t="shared" si="37"/>
        <v>0</v>
      </c>
      <c r="W437" s="47">
        <f t="shared" si="38"/>
        <v>223</v>
      </c>
      <c r="X437" s="48">
        <f t="shared" si="39"/>
        <v>67.5</v>
      </c>
      <c r="Y437" s="49">
        <f t="shared" si="40"/>
        <v>802.7</v>
      </c>
      <c r="Z437" s="50">
        <f t="shared" si="41"/>
        <v>803</v>
      </c>
    </row>
    <row r="438" spans="1:26" x14ac:dyDescent="0.25">
      <c r="A438" s="29" t="s">
        <v>822</v>
      </c>
      <c r="B438" s="29" t="s">
        <v>226</v>
      </c>
      <c r="C438" s="29" t="s">
        <v>978</v>
      </c>
      <c r="D438" s="29">
        <v>90000134</v>
      </c>
      <c r="E438" s="32" t="s">
        <v>979</v>
      </c>
      <c r="F438" s="29">
        <v>42387841</v>
      </c>
      <c r="G438" s="32" t="s">
        <v>980</v>
      </c>
      <c r="H438" s="32" t="s">
        <v>224</v>
      </c>
      <c r="I438" s="33" t="s">
        <v>981</v>
      </c>
      <c r="J438" s="42">
        <f>VLOOKUP(F438,[6]Hárok1!$F$345:$S$436,5,0)</f>
        <v>0</v>
      </c>
      <c r="K438" s="43">
        <f>VLOOKUP(F438,[6]Hárok1!$F$345:$S$436,6,0)</f>
        <v>0</v>
      </c>
      <c r="L438" s="43">
        <f>VLOOKUP(F438,[6]Hárok1!$F$345:$S$436,7,0)</f>
        <v>0</v>
      </c>
      <c r="M438" s="43">
        <f>VLOOKUP(F438,[6]Hárok1!$F$345:$S$436,8,0)</f>
        <v>0</v>
      </c>
      <c r="N438" s="43">
        <f>VLOOKUP(F438,[6]Hárok1!$F$345:$S$436,9,0)</f>
        <v>0</v>
      </c>
      <c r="O438" s="43">
        <f>VLOOKUP(F438,[6]Hárok1!$F$345:$S$436,10,0)</f>
        <v>0</v>
      </c>
      <c r="P438" s="44">
        <f>VLOOKUP(F438,[6]Hárok1!$F$345:$S$436,11,0)</f>
        <v>0</v>
      </c>
      <c r="Q438" s="42">
        <f>VLOOKUP(F438,[6]Hárok1!$F$345:$S$436,12,0)</f>
        <v>0</v>
      </c>
      <c r="R438" s="43">
        <f>VLOOKUP(F438,[6]Hárok1!$F$345:$S$436,13,0)</f>
        <v>0</v>
      </c>
      <c r="S438" s="44">
        <f>VLOOKUP(F438,[6]Hárok1!$F$345:$S$436,14,0)</f>
        <v>0</v>
      </c>
      <c r="T438" s="45">
        <f t="shared" si="36"/>
        <v>0</v>
      </c>
      <c r="U438" s="46">
        <f>VLOOKUP(F438,[6]Hárok1!$F$344:$U$436,16,0)</f>
        <v>0</v>
      </c>
      <c r="V438" s="47">
        <f t="shared" si="37"/>
        <v>0</v>
      </c>
      <c r="W438" s="47">
        <f t="shared" si="38"/>
        <v>0</v>
      </c>
      <c r="X438" s="48">
        <f t="shared" si="39"/>
        <v>0</v>
      </c>
      <c r="Y438" s="49">
        <f t="shared" si="40"/>
        <v>0</v>
      </c>
      <c r="Z438" s="50">
        <f t="shared" si="41"/>
        <v>0</v>
      </c>
    </row>
    <row r="439" spans="1:26" x14ac:dyDescent="0.25">
      <c r="A439" s="29" t="s">
        <v>822</v>
      </c>
      <c r="B439" s="29" t="s">
        <v>226</v>
      </c>
      <c r="C439" s="29" t="s">
        <v>982</v>
      </c>
      <c r="D439" s="29">
        <v>90000133</v>
      </c>
      <c r="E439" s="32" t="s">
        <v>983</v>
      </c>
      <c r="F439" s="29">
        <v>37982354</v>
      </c>
      <c r="G439" s="32" t="s">
        <v>229</v>
      </c>
      <c r="H439" s="32" t="s">
        <v>224</v>
      </c>
      <c r="I439" s="33" t="s">
        <v>225</v>
      </c>
      <c r="J439" s="42">
        <f>VLOOKUP(F439,[6]Hárok1!$F$345:$S$436,5,0)</f>
        <v>3</v>
      </c>
      <c r="K439" s="43">
        <f>VLOOKUP(F439,[6]Hárok1!$F$345:$S$436,6,0)</f>
        <v>0</v>
      </c>
      <c r="L439" s="43">
        <f>VLOOKUP(F439,[6]Hárok1!$F$345:$S$436,7,0)</f>
        <v>7</v>
      </c>
      <c r="M439" s="43">
        <f>VLOOKUP(F439,[6]Hárok1!$F$345:$S$436,8,0)</f>
        <v>0</v>
      </c>
      <c r="N439" s="43">
        <f>VLOOKUP(F439,[6]Hárok1!$F$345:$S$436,9,0)</f>
        <v>0</v>
      </c>
      <c r="O439" s="43">
        <f>VLOOKUP(F439,[6]Hárok1!$F$345:$S$436,10,0)</f>
        <v>3</v>
      </c>
      <c r="P439" s="44">
        <f>VLOOKUP(F439,[6]Hárok1!$F$345:$S$436,11,0)</f>
        <v>0</v>
      </c>
      <c r="Q439" s="42">
        <f>VLOOKUP(F439,[6]Hárok1!$F$345:$S$436,12,0)</f>
        <v>0</v>
      </c>
      <c r="R439" s="43">
        <f>VLOOKUP(F439,[6]Hárok1!$F$345:$S$436,13,0)</f>
        <v>97</v>
      </c>
      <c r="S439" s="44">
        <f>VLOOKUP(F439,[6]Hárok1!$F$345:$S$436,14,0)</f>
        <v>0</v>
      </c>
      <c r="T439" s="45">
        <f t="shared" si="36"/>
        <v>234.5</v>
      </c>
      <c r="U439" s="46">
        <f>VLOOKUP(F439,[6]Hárok1!$F$344:$U$436,16,0)</f>
        <v>0</v>
      </c>
      <c r="V439" s="47">
        <f t="shared" si="37"/>
        <v>0</v>
      </c>
      <c r="W439" s="47">
        <f t="shared" si="38"/>
        <v>234.5</v>
      </c>
      <c r="X439" s="48">
        <f t="shared" si="39"/>
        <v>0</v>
      </c>
      <c r="Y439" s="49">
        <f t="shared" si="40"/>
        <v>469</v>
      </c>
      <c r="Z439" s="50">
        <f t="shared" si="41"/>
        <v>469</v>
      </c>
    </row>
    <row r="440" spans="1:26" x14ac:dyDescent="0.25">
      <c r="A440" s="29" t="s">
        <v>822</v>
      </c>
      <c r="B440" s="29" t="s">
        <v>226</v>
      </c>
      <c r="C440" s="29" t="s">
        <v>984</v>
      </c>
      <c r="D440" s="29">
        <v>42224187</v>
      </c>
      <c r="E440" s="32" t="s">
        <v>985</v>
      </c>
      <c r="F440" s="29">
        <v>36137430</v>
      </c>
      <c r="G440" s="32" t="s">
        <v>986</v>
      </c>
      <c r="H440" s="32" t="s">
        <v>224</v>
      </c>
      <c r="I440" s="33" t="s">
        <v>920</v>
      </c>
      <c r="J440" s="42">
        <f>VLOOKUP(F440,[6]Hárok1!$F$345:$S$436,5,0)</f>
        <v>4</v>
      </c>
      <c r="K440" s="43">
        <f>VLOOKUP(F440,[6]Hárok1!$F$345:$S$436,6,0)</f>
        <v>0</v>
      </c>
      <c r="L440" s="43">
        <f>VLOOKUP(F440,[6]Hárok1!$F$345:$S$436,7,0)</f>
        <v>13</v>
      </c>
      <c r="M440" s="43">
        <f>VLOOKUP(F440,[6]Hárok1!$F$345:$S$436,8,0)</f>
        <v>0</v>
      </c>
      <c r="N440" s="43">
        <f>VLOOKUP(F440,[6]Hárok1!$F$345:$S$436,9,0)</f>
        <v>1</v>
      </c>
      <c r="O440" s="43">
        <f>VLOOKUP(F440,[6]Hárok1!$F$345:$S$436,10,0)</f>
        <v>7</v>
      </c>
      <c r="P440" s="44">
        <f>VLOOKUP(F440,[6]Hárok1!$F$345:$S$436,11,0)</f>
        <v>2</v>
      </c>
      <c r="Q440" s="42">
        <f>VLOOKUP(F440,[6]Hárok1!$F$345:$S$436,12,0)</f>
        <v>8</v>
      </c>
      <c r="R440" s="43">
        <f>VLOOKUP(F440,[6]Hárok1!$F$345:$S$436,13,0)</f>
        <v>110</v>
      </c>
      <c r="S440" s="44">
        <f>VLOOKUP(F440,[6]Hárok1!$F$345:$S$436,14,0)</f>
        <v>63</v>
      </c>
      <c r="T440" s="45">
        <f t="shared" si="36"/>
        <v>435.5</v>
      </c>
      <c r="U440" s="46">
        <f>VLOOKUP(F440,[6]Hárok1!$F$344:$U$436,16,0)</f>
        <v>0</v>
      </c>
      <c r="V440" s="47">
        <f t="shared" si="37"/>
        <v>25.5</v>
      </c>
      <c r="W440" s="47">
        <f t="shared" si="38"/>
        <v>314.5</v>
      </c>
      <c r="X440" s="48">
        <f t="shared" si="39"/>
        <v>148.5</v>
      </c>
      <c r="Y440" s="49">
        <f t="shared" si="40"/>
        <v>924</v>
      </c>
      <c r="Z440" s="50">
        <f t="shared" si="41"/>
        <v>924</v>
      </c>
    </row>
    <row r="441" spans="1:26" x14ac:dyDescent="0.25">
      <c r="A441" s="29" t="s">
        <v>822</v>
      </c>
      <c r="B441" s="29" t="s">
        <v>226</v>
      </c>
      <c r="C441" s="29" t="s">
        <v>974</v>
      </c>
      <c r="D441" s="29">
        <v>36441406</v>
      </c>
      <c r="E441" s="32" t="s">
        <v>975</v>
      </c>
      <c r="F441" s="29">
        <v>42065739</v>
      </c>
      <c r="G441" s="32" t="s">
        <v>806</v>
      </c>
      <c r="H441" s="32" t="s">
        <v>224</v>
      </c>
      <c r="I441" s="33" t="s">
        <v>987</v>
      </c>
      <c r="J441" s="42">
        <f>VLOOKUP(F441,[6]Hárok1!$F$345:$S$436,5,0)</f>
        <v>7</v>
      </c>
      <c r="K441" s="43">
        <f>VLOOKUP(F441,[6]Hárok1!$F$345:$S$436,6,0)</f>
        <v>0</v>
      </c>
      <c r="L441" s="43">
        <f>VLOOKUP(F441,[6]Hárok1!$F$345:$S$436,7,0)</f>
        <v>23</v>
      </c>
      <c r="M441" s="43">
        <f>VLOOKUP(F441,[6]Hárok1!$F$345:$S$436,8,0)</f>
        <v>0</v>
      </c>
      <c r="N441" s="43">
        <f>VLOOKUP(F441,[6]Hárok1!$F$345:$S$436,9,0)</f>
        <v>0</v>
      </c>
      <c r="O441" s="43">
        <f>VLOOKUP(F441,[6]Hárok1!$F$345:$S$436,10,0)</f>
        <v>10</v>
      </c>
      <c r="P441" s="44">
        <f>VLOOKUP(F441,[6]Hárok1!$F$345:$S$436,11,0)</f>
        <v>1</v>
      </c>
      <c r="Q441" s="42">
        <f>VLOOKUP(F441,[6]Hárok1!$F$345:$S$436,12,0)</f>
        <v>0</v>
      </c>
      <c r="R441" s="43">
        <f>VLOOKUP(F441,[6]Hárok1!$F$345:$S$436,13,0)</f>
        <v>172</v>
      </c>
      <c r="S441" s="44">
        <f>VLOOKUP(F441,[6]Hárok1!$F$345:$S$436,14,0)</f>
        <v>41</v>
      </c>
      <c r="T441" s="45">
        <f t="shared" si="36"/>
        <v>770.5</v>
      </c>
      <c r="U441" s="46">
        <f>VLOOKUP(F441,[6]Hárok1!$F$344:$U$436,16,0)</f>
        <v>0</v>
      </c>
      <c r="V441" s="47">
        <f t="shared" si="37"/>
        <v>0</v>
      </c>
      <c r="W441" s="47">
        <f t="shared" si="38"/>
        <v>479</v>
      </c>
      <c r="X441" s="48">
        <f t="shared" si="39"/>
        <v>88.5</v>
      </c>
      <c r="Y441" s="49">
        <f t="shared" si="40"/>
        <v>1338</v>
      </c>
      <c r="Z441" s="50">
        <f t="shared" si="41"/>
        <v>1338</v>
      </c>
    </row>
    <row r="442" spans="1:26" x14ac:dyDescent="0.25">
      <c r="A442" s="29" t="s">
        <v>822</v>
      </c>
      <c r="B442" s="29" t="s">
        <v>226</v>
      </c>
      <c r="C442" s="29" t="s">
        <v>988</v>
      </c>
      <c r="D442" s="29">
        <v>37983121</v>
      </c>
      <c r="E442" s="32" t="s">
        <v>989</v>
      </c>
      <c r="F442" s="29">
        <v>37804324</v>
      </c>
      <c r="G442" s="32" t="s">
        <v>276</v>
      </c>
      <c r="H442" s="32" t="s">
        <v>224</v>
      </c>
      <c r="I442" s="33" t="s">
        <v>990</v>
      </c>
      <c r="J442" s="42">
        <f>VLOOKUP(F442,[6]Hárok1!$F$345:$S$436,5,0)</f>
        <v>5</v>
      </c>
      <c r="K442" s="43">
        <f>VLOOKUP(F442,[6]Hárok1!$F$345:$S$436,6,0)</f>
        <v>2</v>
      </c>
      <c r="L442" s="43">
        <f>VLOOKUP(F442,[6]Hárok1!$F$345:$S$436,7,0)</f>
        <v>18</v>
      </c>
      <c r="M442" s="43">
        <f>VLOOKUP(F442,[6]Hárok1!$F$345:$S$436,8,0)</f>
        <v>2</v>
      </c>
      <c r="N442" s="43">
        <f>VLOOKUP(F442,[6]Hárok1!$F$345:$S$436,9,0)</f>
        <v>3</v>
      </c>
      <c r="O442" s="43">
        <f>VLOOKUP(F442,[6]Hárok1!$F$345:$S$436,10,0)</f>
        <v>4</v>
      </c>
      <c r="P442" s="44">
        <f>VLOOKUP(F442,[6]Hárok1!$F$345:$S$436,11,0)</f>
        <v>0</v>
      </c>
      <c r="Q442" s="42">
        <f>VLOOKUP(F442,[6]Hárok1!$F$345:$S$436,12,0)</f>
        <v>8</v>
      </c>
      <c r="R442" s="43">
        <f>VLOOKUP(F442,[6]Hárok1!$F$345:$S$436,13,0)</f>
        <v>190</v>
      </c>
      <c r="S442" s="44">
        <f>VLOOKUP(F442,[6]Hárok1!$F$345:$S$436,14,0)</f>
        <v>0</v>
      </c>
      <c r="T442" s="45">
        <f t="shared" si="36"/>
        <v>603</v>
      </c>
      <c r="U442" s="46">
        <f>VLOOKUP(F442,[6]Hárok1!$F$344:$U$436,16,0)</f>
        <v>43.93</v>
      </c>
      <c r="V442" s="47">
        <f t="shared" si="37"/>
        <v>52.5</v>
      </c>
      <c r="W442" s="47">
        <f t="shared" si="38"/>
        <v>434</v>
      </c>
      <c r="X442" s="48">
        <f t="shared" si="39"/>
        <v>0</v>
      </c>
      <c r="Y442" s="49">
        <f t="shared" si="40"/>
        <v>1133.4299999999998</v>
      </c>
      <c r="Z442" s="50">
        <f t="shared" si="41"/>
        <v>1133</v>
      </c>
    </row>
    <row r="443" spans="1:26" x14ac:dyDescent="0.25">
      <c r="A443" s="29" t="s">
        <v>991</v>
      </c>
      <c r="B443" s="29" t="s">
        <v>43</v>
      </c>
      <c r="C443" s="29" t="s">
        <v>992</v>
      </c>
      <c r="D443" s="30">
        <v>54139937</v>
      </c>
      <c r="E443" s="31" t="s">
        <v>993</v>
      </c>
      <c r="F443" s="29">
        <v>396869</v>
      </c>
      <c r="G443" s="32" t="s">
        <v>994</v>
      </c>
      <c r="H443" s="32" t="s">
        <v>995</v>
      </c>
      <c r="I443" s="33" t="s">
        <v>996</v>
      </c>
      <c r="J443" s="42">
        <f>VLOOKUP($F$443,[7]Hárok1!$F$437:$S$548,5,0)</f>
        <v>23</v>
      </c>
      <c r="K443" s="43">
        <f>VLOOKUP($F$443,[7]Hárok1!$F$437:$S$548,6,0)</f>
        <v>3</v>
      </c>
      <c r="L443" s="43">
        <f>VLOOKUP($F$443,[7]Hárok1!$F$437:$S$548,7,0)</f>
        <v>66</v>
      </c>
      <c r="M443" s="43">
        <f>VLOOKUP($F$443,[7]Hárok1!$F$437:$S$548,8,0)</f>
        <v>10</v>
      </c>
      <c r="N443" s="43">
        <f>VLOOKUP($F$443,[7]Hárok1!$F$437:$S$548,9,0)</f>
        <v>7</v>
      </c>
      <c r="O443" s="43">
        <f>VLOOKUP($F$443,[7]Hárok1!$F$437:$S$548,10,0)</f>
        <v>28</v>
      </c>
      <c r="P443" s="44">
        <f>VLOOKUP($F$443,[7]Hárok1!$F$437:$S$548,11,0)</f>
        <v>4</v>
      </c>
      <c r="Q443" s="42">
        <f>VLOOKUP($F$443,[7]Hárok1!$F$437:$S$548,12,0)</f>
        <v>72</v>
      </c>
      <c r="R443" s="43">
        <f>VLOOKUP(F443,[7]Hárok1!$F$437:$S$548,13,0)</f>
        <v>584</v>
      </c>
      <c r="S443" s="44">
        <f>VLOOKUP(F443,[7]Hárok1!$F$437:$S$548,14,0)</f>
        <v>207</v>
      </c>
      <c r="T443" s="45">
        <f t="shared" si="36"/>
        <v>2211</v>
      </c>
      <c r="U443" s="46">
        <f>VLOOKUP(F443,[7]Hárok1!$F$437:$U$548,16,0)</f>
        <v>589.30999999999995</v>
      </c>
      <c r="V443" s="47">
        <f t="shared" si="37"/>
        <v>202.5</v>
      </c>
      <c r="W443" s="47">
        <f t="shared" si="38"/>
        <v>1546</v>
      </c>
      <c r="X443" s="48">
        <f t="shared" si="39"/>
        <v>418.5</v>
      </c>
      <c r="Y443" s="49">
        <f t="shared" si="40"/>
        <v>4967.3099999999995</v>
      </c>
      <c r="Z443" s="50">
        <f t="shared" si="41"/>
        <v>4967</v>
      </c>
    </row>
    <row r="444" spans="1:26" x14ac:dyDescent="0.25">
      <c r="A444" s="29" t="s">
        <v>991</v>
      </c>
      <c r="B444" s="29" t="s">
        <v>43</v>
      </c>
      <c r="C444" s="29" t="s">
        <v>992</v>
      </c>
      <c r="D444" s="30">
        <v>54139937</v>
      </c>
      <c r="E444" s="31" t="s">
        <v>993</v>
      </c>
      <c r="F444" s="29">
        <v>626317</v>
      </c>
      <c r="G444" s="32" t="s">
        <v>997</v>
      </c>
      <c r="H444" s="32" t="s">
        <v>995</v>
      </c>
      <c r="I444" s="33" t="s">
        <v>998</v>
      </c>
      <c r="J444" s="42">
        <f>VLOOKUP($F$444,[7]Hárok1!$F$438:$J$548,5,0)</f>
        <v>9</v>
      </c>
      <c r="K444" s="43">
        <f>VLOOKUP(F444,[7]Hárok1!$F$437:$S$548,6,0)</f>
        <v>0</v>
      </c>
      <c r="L444" s="43">
        <f>VLOOKUP(F444,[7]Hárok1!$F$437:$S$548,7,0)</f>
        <v>21</v>
      </c>
      <c r="M444" s="43">
        <f>VLOOKUP(F444,[7]Hárok1!$F$437:$S$548,8,0)</f>
        <v>0</v>
      </c>
      <c r="N444" s="43">
        <f>VLOOKUP(F444,[7]Hárok1!$F$437:$S$548,9,0)</f>
        <v>2</v>
      </c>
      <c r="O444" s="43">
        <f>VLOOKUP(F444,[7]Hárok1!$F$437:$S$548,10,0)</f>
        <v>13</v>
      </c>
      <c r="P444" s="44">
        <f>VLOOKUP(F444,[7]Hárok1!$F$437:$S$548,11,0)</f>
        <v>1</v>
      </c>
      <c r="Q444" s="42">
        <f>VLOOKUP(F444,[7]Hárok1!$F$437:$S$548,12,0)</f>
        <v>2</v>
      </c>
      <c r="R444" s="43">
        <f>VLOOKUP(F444,[7]Hárok1!$F$437:$S$548,13,0)</f>
        <v>180</v>
      </c>
      <c r="S444" s="44">
        <f>VLOOKUP(F444,[7]Hárok1!$F$437:$S$548,14,0)</f>
        <v>59</v>
      </c>
      <c r="T444" s="45">
        <f t="shared" si="36"/>
        <v>703.5</v>
      </c>
      <c r="U444" s="46">
        <f>VLOOKUP(F444,[7]Hárok1!$F$437:$U$548,16,0)</f>
        <v>17.649999999999999</v>
      </c>
      <c r="V444" s="47">
        <f t="shared" si="37"/>
        <v>30</v>
      </c>
      <c r="W444" s="47">
        <f t="shared" si="38"/>
        <v>535.5</v>
      </c>
      <c r="X444" s="48">
        <f t="shared" si="39"/>
        <v>115.5</v>
      </c>
      <c r="Y444" s="49">
        <f t="shared" si="40"/>
        <v>1402.15</v>
      </c>
      <c r="Z444" s="50">
        <f t="shared" si="41"/>
        <v>1402</v>
      </c>
    </row>
    <row r="445" spans="1:26" x14ac:dyDescent="0.25">
      <c r="A445" s="29" t="s">
        <v>991</v>
      </c>
      <c r="B445" s="29" t="s">
        <v>43</v>
      </c>
      <c r="C445" s="29" t="s">
        <v>992</v>
      </c>
      <c r="D445" s="30">
        <v>54139937</v>
      </c>
      <c r="E445" s="31" t="s">
        <v>993</v>
      </c>
      <c r="F445" s="29">
        <v>493767</v>
      </c>
      <c r="G445" s="32" t="s">
        <v>999</v>
      </c>
      <c r="H445" s="32" t="s">
        <v>995</v>
      </c>
      <c r="I445" s="33" t="s">
        <v>1000</v>
      </c>
      <c r="J445" s="42">
        <f>VLOOKUP(F445,[7]Hárok1!$F$438:$J$548,5,0)</f>
        <v>0</v>
      </c>
      <c r="K445" s="43">
        <f>VLOOKUP(F445,[7]Hárok1!$F$437:$S$548,6,0)</f>
        <v>0</v>
      </c>
      <c r="L445" s="43">
        <f>VLOOKUP(F445,[7]Hárok1!$F$437:$S$548,7,0)</f>
        <v>1</v>
      </c>
      <c r="M445" s="43">
        <f>VLOOKUP(F445,[7]Hárok1!$F$437:$S$548,8,0)</f>
        <v>0</v>
      </c>
      <c r="N445" s="43">
        <f>VLOOKUP(F445,[7]Hárok1!$F$437:$S$548,9,0)</f>
        <v>0</v>
      </c>
      <c r="O445" s="43">
        <f>VLOOKUP(F445,[7]Hárok1!$F$437:$S$548,10,0)</f>
        <v>3</v>
      </c>
      <c r="P445" s="44">
        <f>VLOOKUP(F445,[7]Hárok1!$F$437:$S$548,11,0)</f>
        <v>0</v>
      </c>
      <c r="Q445" s="42">
        <f>VLOOKUP(F445,[7]Hárok1!$F$437:$S$548,12,0)</f>
        <v>0</v>
      </c>
      <c r="R445" s="43">
        <f>VLOOKUP(F445,[7]Hárok1!$F$437:$S$548,13,0)</f>
        <v>5</v>
      </c>
      <c r="S445" s="44">
        <f>VLOOKUP(F445,[7]Hárok1!$F$437:$S$548,14,0)</f>
        <v>0</v>
      </c>
      <c r="T445" s="45">
        <f t="shared" si="36"/>
        <v>33.5</v>
      </c>
      <c r="U445" s="46">
        <f>VLOOKUP(F445,[7]Hárok1!$F$437:$U$548,16,0)</f>
        <v>11.3</v>
      </c>
      <c r="V445" s="47">
        <f t="shared" si="37"/>
        <v>0</v>
      </c>
      <c r="W445" s="47">
        <f t="shared" si="38"/>
        <v>50.5</v>
      </c>
      <c r="X445" s="48">
        <f t="shared" si="39"/>
        <v>0</v>
      </c>
      <c r="Y445" s="49">
        <f t="shared" si="40"/>
        <v>95.3</v>
      </c>
      <c r="Z445" s="50">
        <f t="shared" si="41"/>
        <v>95</v>
      </c>
    </row>
    <row r="446" spans="1:26" x14ac:dyDescent="0.25">
      <c r="A446" s="29" t="s">
        <v>991</v>
      </c>
      <c r="B446" s="29" t="s">
        <v>43</v>
      </c>
      <c r="C446" s="29" t="s">
        <v>992</v>
      </c>
      <c r="D446" s="30">
        <v>54139937</v>
      </c>
      <c r="E446" s="31" t="s">
        <v>993</v>
      </c>
      <c r="F446" s="29">
        <v>354252</v>
      </c>
      <c r="G446" s="32" t="s">
        <v>562</v>
      </c>
      <c r="H446" s="32" t="s">
        <v>995</v>
      </c>
      <c r="I446" s="33" t="s">
        <v>1001</v>
      </c>
      <c r="J446" s="42">
        <f>VLOOKUP(F446,[7]Hárok1!$F$438:$J$548,5,0)</f>
        <v>0</v>
      </c>
      <c r="K446" s="43">
        <f>VLOOKUP(F446,[7]Hárok1!$F$437:$S$548,6,0)</f>
        <v>0</v>
      </c>
      <c r="L446" s="43">
        <f>VLOOKUP(F446,[7]Hárok1!$F$437:$S$548,7,0)</f>
        <v>0</v>
      </c>
      <c r="M446" s="43">
        <f>VLOOKUP(F446,[7]Hárok1!$F$437:$S$548,8,0)</f>
        <v>0</v>
      </c>
      <c r="N446" s="43">
        <f>VLOOKUP(F446,[7]Hárok1!$F$437:$S$548,9,0)</f>
        <v>0</v>
      </c>
      <c r="O446" s="43">
        <f>VLOOKUP(F446,[7]Hárok1!$F$437:$S$548,10,0)</f>
        <v>0</v>
      </c>
      <c r="P446" s="44">
        <f>VLOOKUP(F446,[7]Hárok1!$F$437:$S$548,11,0)</f>
        <v>0</v>
      </c>
      <c r="Q446" s="42">
        <f>VLOOKUP(F446,[7]Hárok1!$F$437:$S$548,12,0)</f>
        <v>0</v>
      </c>
      <c r="R446" s="43">
        <f>VLOOKUP(F446,[7]Hárok1!$F$437:$S$548,13,0)</f>
        <v>0</v>
      </c>
      <c r="S446" s="44">
        <f>VLOOKUP(F446,[7]Hárok1!$F$437:$S$548,14,0)</f>
        <v>0</v>
      </c>
      <c r="T446" s="45">
        <f t="shared" si="36"/>
        <v>0</v>
      </c>
      <c r="U446" s="46">
        <f>VLOOKUP(F446,[7]Hárok1!$F$437:$U$548,16,0)</f>
        <v>0</v>
      </c>
      <c r="V446" s="47">
        <f t="shared" si="37"/>
        <v>0</v>
      </c>
      <c r="W446" s="47">
        <f t="shared" si="38"/>
        <v>0</v>
      </c>
      <c r="X446" s="48">
        <f t="shared" si="39"/>
        <v>0</v>
      </c>
      <c r="Y446" s="49">
        <f t="shared" si="40"/>
        <v>0</v>
      </c>
      <c r="Z446" s="50">
        <f t="shared" si="41"/>
        <v>0</v>
      </c>
    </row>
    <row r="447" spans="1:26" x14ac:dyDescent="0.25">
      <c r="A447" s="29" t="s">
        <v>991</v>
      </c>
      <c r="B447" s="29" t="s">
        <v>43</v>
      </c>
      <c r="C447" s="29" t="s">
        <v>992</v>
      </c>
      <c r="D447" s="30">
        <v>54139937</v>
      </c>
      <c r="E447" s="31" t="s">
        <v>993</v>
      </c>
      <c r="F447" s="29">
        <v>35673109</v>
      </c>
      <c r="G447" s="32" t="s">
        <v>536</v>
      </c>
      <c r="H447" s="32" t="s">
        <v>1002</v>
      </c>
      <c r="I447" s="33" t="s">
        <v>1003</v>
      </c>
      <c r="J447" s="42">
        <f>VLOOKUP(F447,[7]Hárok1!$F$438:$J$548,5,0)</f>
        <v>0</v>
      </c>
      <c r="K447" s="43">
        <f>VLOOKUP(F447,[7]Hárok1!$F$437:$S$548,6,0)</f>
        <v>0</v>
      </c>
      <c r="L447" s="43">
        <f>VLOOKUP(F447,[7]Hárok1!$F$437:$S$548,7,0)</f>
        <v>2</v>
      </c>
      <c r="M447" s="43">
        <f>VLOOKUP(F447,[7]Hárok1!$F$437:$S$548,8,0)</f>
        <v>0</v>
      </c>
      <c r="N447" s="43">
        <f>VLOOKUP(F447,[7]Hárok1!$F$437:$S$548,9,0)</f>
        <v>6</v>
      </c>
      <c r="O447" s="43">
        <f>VLOOKUP(F447,[7]Hárok1!$F$437:$S$548,10,0)</f>
        <v>0</v>
      </c>
      <c r="P447" s="44">
        <f>VLOOKUP(F447,[7]Hárok1!$F$437:$S$548,11,0)</f>
        <v>0</v>
      </c>
      <c r="Q447" s="42">
        <f>VLOOKUP(F447,[7]Hárok1!$F$437:$S$548,12,0)</f>
        <v>0</v>
      </c>
      <c r="R447" s="43">
        <f>VLOOKUP(F447,[7]Hárok1!$F$437:$S$548,13,0)</f>
        <v>19</v>
      </c>
      <c r="S447" s="44">
        <f>VLOOKUP(F447,[7]Hárok1!$F$437:$S$548,14,0)</f>
        <v>0</v>
      </c>
      <c r="T447" s="45">
        <f t="shared" si="36"/>
        <v>67</v>
      </c>
      <c r="U447" s="46">
        <f>VLOOKUP(F447,[7]Hárok1!$F$437:$U$548,16,0)</f>
        <v>28.8</v>
      </c>
      <c r="V447" s="47">
        <f t="shared" si="37"/>
        <v>81</v>
      </c>
      <c r="W447" s="47">
        <f t="shared" si="38"/>
        <v>38</v>
      </c>
      <c r="X447" s="48">
        <f t="shared" si="39"/>
        <v>0</v>
      </c>
      <c r="Y447" s="49">
        <f t="shared" si="40"/>
        <v>214.8</v>
      </c>
      <c r="Z447" s="50">
        <f t="shared" si="41"/>
        <v>215</v>
      </c>
    </row>
    <row r="448" spans="1:26" x14ac:dyDescent="0.25">
      <c r="A448" s="29" t="s">
        <v>991</v>
      </c>
      <c r="B448" s="29" t="s">
        <v>43</v>
      </c>
      <c r="C448" s="29" t="s">
        <v>992</v>
      </c>
      <c r="D448" s="30">
        <v>54139937</v>
      </c>
      <c r="E448" s="31" t="s">
        <v>993</v>
      </c>
      <c r="F448" s="29">
        <v>710213395</v>
      </c>
      <c r="G448" s="32" t="s">
        <v>1004</v>
      </c>
      <c r="H448" s="32" t="s">
        <v>1002</v>
      </c>
      <c r="I448" s="33" t="s">
        <v>1003</v>
      </c>
      <c r="J448" s="42">
        <f>VLOOKUP(F448,[7]Hárok1!$F$438:$J$548,5,0)</f>
        <v>0</v>
      </c>
      <c r="K448" s="43">
        <f>VLOOKUP(F448,[7]Hárok1!$F$437:$S$548,6,0)</f>
        <v>0</v>
      </c>
      <c r="L448" s="43">
        <f>VLOOKUP(F448,[7]Hárok1!$F$437:$S$548,7,0)</f>
        <v>0</v>
      </c>
      <c r="M448" s="43">
        <f>VLOOKUP(F448,[7]Hárok1!$F$437:$S$548,8,0)</f>
        <v>0</v>
      </c>
      <c r="N448" s="43">
        <f>VLOOKUP(F448,[7]Hárok1!$F$437:$S$548,9,0)</f>
        <v>0</v>
      </c>
      <c r="O448" s="43">
        <f>VLOOKUP(F448,[7]Hárok1!$F$437:$S$548,10,0)</f>
        <v>0</v>
      </c>
      <c r="P448" s="44">
        <f>VLOOKUP(F448,[7]Hárok1!$F$437:$S$548,11,0)</f>
        <v>0</v>
      </c>
      <c r="Q448" s="42">
        <f>VLOOKUP(F448,[7]Hárok1!$F$437:$S$548,12,0)</f>
        <v>0</v>
      </c>
      <c r="R448" s="43">
        <f>VLOOKUP(F448,[7]Hárok1!$F$437:$S$548,13,0)</f>
        <v>0</v>
      </c>
      <c r="S448" s="44">
        <f>VLOOKUP(F448,[7]Hárok1!$F$437:$S$548,14,0)</f>
        <v>0</v>
      </c>
      <c r="T448" s="45">
        <f t="shared" si="36"/>
        <v>0</v>
      </c>
      <c r="U448" s="46">
        <f>VLOOKUP(F448,[7]Hárok1!$F$437:$U$548,16,0)</f>
        <v>0</v>
      </c>
      <c r="V448" s="47">
        <f t="shared" si="37"/>
        <v>0</v>
      </c>
      <c r="W448" s="47">
        <f t="shared" si="38"/>
        <v>0</v>
      </c>
      <c r="X448" s="48">
        <f t="shared" si="39"/>
        <v>0</v>
      </c>
      <c r="Y448" s="49">
        <f t="shared" si="40"/>
        <v>0</v>
      </c>
      <c r="Z448" s="50">
        <f t="shared" si="41"/>
        <v>0</v>
      </c>
    </row>
    <row r="449" spans="1:26" x14ac:dyDescent="0.25">
      <c r="A449" s="29" t="s">
        <v>991</v>
      </c>
      <c r="B449" s="29" t="s">
        <v>43</v>
      </c>
      <c r="C449" s="29" t="s">
        <v>992</v>
      </c>
      <c r="D449" s="30">
        <v>54139937</v>
      </c>
      <c r="E449" s="31" t="s">
        <v>993</v>
      </c>
      <c r="F449" s="29">
        <v>620998</v>
      </c>
      <c r="G449" s="32" t="s">
        <v>536</v>
      </c>
      <c r="H449" s="32" t="s">
        <v>1005</v>
      </c>
      <c r="I449" s="33" t="s">
        <v>1006</v>
      </c>
      <c r="J449" s="42">
        <f>VLOOKUP(F449,[7]Hárok1!$F$438:$J$548,5,0)</f>
        <v>1</v>
      </c>
      <c r="K449" s="43">
        <f>VLOOKUP(F449,[7]Hárok1!$F$437:$S$548,6,0)</f>
        <v>0</v>
      </c>
      <c r="L449" s="43">
        <f>VLOOKUP(F449,[7]Hárok1!$F$437:$S$548,7,0)</f>
        <v>2</v>
      </c>
      <c r="M449" s="43">
        <f>VLOOKUP(F449,[7]Hárok1!$F$437:$S$548,8,0)</f>
        <v>0</v>
      </c>
      <c r="N449" s="43">
        <f>VLOOKUP(F449,[7]Hárok1!$F$437:$S$548,9,0)</f>
        <v>0</v>
      </c>
      <c r="O449" s="43">
        <f>VLOOKUP(F449,[7]Hárok1!$F$437:$S$548,10,0)</f>
        <v>3</v>
      </c>
      <c r="P449" s="44">
        <f>VLOOKUP(F449,[7]Hárok1!$F$437:$S$548,11,0)</f>
        <v>0</v>
      </c>
      <c r="Q449" s="42">
        <f>VLOOKUP(F449,[7]Hárok1!$F$437:$S$548,12,0)</f>
        <v>0</v>
      </c>
      <c r="R449" s="43">
        <f>VLOOKUP(F449,[7]Hárok1!$F$437:$S$548,13,0)</f>
        <v>5</v>
      </c>
      <c r="S449" s="44">
        <f>VLOOKUP(F449,[7]Hárok1!$F$437:$S$548,14,0)</f>
        <v>0</v>
      </c>
      <c r="T449" s="45">
        <f t="shared" si="36"/>
        <v>67</v>
      </c>
      <c r="U449" s="46">
        <f>VLOOKUP(F449,[7]Hárok1!$F$437:$U$548,16,0)</f>
        <v>0</v>
      </c>
      <c r="V449" s="47">
        <f t="shared" si="37"/>
        <v>0</v>
      </c>
      <c r="W449" s="47">
        <f t="shared" si="38"/>
        <v>50.5</v>
      </c>
      <c r="X449" s="48">
        <f t="shared" si="39"/>
        <v>0</v>
      </c>
      <c r="Y449" s="49">
        <f t="shared" si="40"/>
        <v>117.5</v>
      </c>
      <c r="Z449" s="50">
        <f t="shared" si="41"/>
        <v>118</v>
      </c>
    </row>
    <row r="450" spans="1:26" x14ac:dyDescent="0.25">
      <c r="A450" s="29" t="s">
        <v>991</v>
      </c>
      <c r="B450" s="29" t="s">
        <v>43</v>
      </c>
      <c r="C450" s="29" t="s">
        <v>992</v>
      </c>
      <c r="D450" s="30">
        <v>54139937</v>
      </c>
      <c r="E450" s="31" t="s">
        <v>993</v>
      </c>
      <c r="F450" s="29">
        <v>35984422</v>
      </c>
      <c r="G450" s="32" t="s">
        <v>562</v>
      </c>
      <c r="H450" s="32" t="s">
        <v>1005</v>
      </c>
      <c r="I450" s="33" t="s">
        <v>1007</v>
      </c>
      <c r="J450" s="42">
        <f>VLOOKUP(F450,[7]Hárok1!$F$438:$J$548,5,0)</f>
        <v>0</v>
      </c>
      <c r="K450" s="43">
        <f>VLOOKUP(F450,[7]Hárok1!$F$437:$S$548,6,0)</f>
        <v>0</v>
      </c>
      <c r="L450" s="43">
        <f>VLOOKUP(F450,[7]Hárok1!$F$437:$S$548,7,0)</f>
        <v>0</v>
      </c>
      <c r="M450" s="43">
        <f>VLOOKUP(F450,[7]Hárok1!$F$437:$S$548,8,0)</f>
        <v>0</v>
      </c>
      <c r="N450" s="43">
        <f>VLOOKUP(F450,[7]Hárok1!$F$437:$S$548,9,0)</f>
        <v>0</v>
      </c>
      <c r="O450" s="43">
        <f>VLOOKUP(F450,[7]Hárok1!$F$437:$S$548,10,0)</f>
        <v>0</v>
      </c>
      <c r="P450" s="44">
        <f>VLOOKUP(F450,[7]Hárok1!$F$437:$S$548,11,0)</f>
        <v>0</v>
      </c>
      <c r="Q450" s="42">
        <f>VLOOKUP(F450,[7]Hárok1!$F$437:$S$548,12,0)</f>
        <v>0</v>
      </c>
      <c r="R450" s="43">
        <f>VLOOKUP(F450,[7]Hárok1!$F$437:$S$548,13,0)</f>
        <v>0</v>
      </c>
      <c r="S450" s="44">
        <f>VLOOKUP(F450,[7]Hárok1!$F$437:$S$548,14,0)</f>
        <v>0</v>
      </c>
      <c r="T450" s="45">
        <f t="shared" si="36"/>
        <v>0</v>
      </c>
      <c r="U450" s="46">
        <f>VLOOKUP(F450,[7]Hárok1!$F$437:$U$548,16,0)</f>
        <v>0</v>
      </c>
      <c r="V450" s="47">
        <f t="shared" si="37"/>
        <v>0</v>
      </c>
      <c r="W450" s="47">
        <f t="shared" si="38"/>
        <v>0</v>
      </c>
      <c r="X450" s="48">
        <f t="shared" si="39"/>
        <v>0</v>
      </c>
      <c r="Y450" s="49">
        <f t="shared" si="40"/>
        <v>0</v>
      </c>
      <c r="Z450" s="50">
        <f t="shared" si="41"/>
        <v>0</v>
      </c>
    </row>
    <row r="451" spans="1:26" x14ac:dyDescent="0.25">
      <c r="A451" s="29" t="s">
        <v>991</v>
      </c>
      <c r="B451" s="29" t="s">
        <v>43</v>
      </c>
      <c r="C451" s="29" t="s">
        <v>992</v>
      </c>
      <c r="D451" s="30">
        <v>54139937</v>
      </c>
      <c r="E451" s="31" t="s">
        <v>993</v>
      </c>
      <c r="F451" s="29">
        <v>35985241</v>
      </c>
      <c r="G451" s="32" t="s">
        <v>562</v>
      </c>
      <c r="H451" s="32" t="s">
        <v>1008</v>
      </c>
      <c r="I451" s="33" t="s">
        <v>1009</v>
      </c>
      <c r="J451" s="42">
        <f>VLOOKUP(F451,[7]Hárok1!$F$438:$J$548,5,0)</f>
        <v>0</v>
      </c>
      <c r="K451" s="43">
        <f>VLOOKUP(F451,[7]Hárok1!$F$437:$S$548,6,0)</f>
        <v>0</v>
      </c>
      <c r="L451" s="43">
        <f>VLOOKUP(F451,[7]Hárok1!$F$437:$S$548,7,0)</f>
        <v>0</v>
      </c>
      <c r="M451" s="43">
        <f>VLOOKUP(F451,[7]Hárok1!$F$437:$S$548,8,0)</f>
        <v>0</v>
      </c>
      <c r="N451" s="43">
        <f>VLOOKUP(F451,[7]Hárok1!$F$437:$S$548,9,0)</f>
        <v>0</v>
      </c>
      <c r="O451" s="43">
        <f>VLOOKUP(F451,[7]Hárok1!$F$437:$S$548,10,0)</f>
        <v>0</v>
      </c>
      <c r="P451" s="44">
        <f>VLOOKUP(F451,[7]Hárok1!$F$437:$S$548,11,0)</f>
        <v>0</v>
      </c>
      <c r="Q451" s="42">
        <f>VLOOKUP(F451,[7]Hárok1!$F$437:$S$548,12,0)</f>
        <v>0</v>
      </c>
      <c r="R451" s="43">
        <f>VLOOKUP(F451,[7]Hárok1!$F$437:$S$548,13,0)</f>
        <v>0</v>
      </c>
      <c r="S451" s="44">
        <f>VLOOKUP(F451,[7]Hárok1!$F$437:$S$548,14,0)</f>
        <v>0</v>
      </c>
      <c r="T451" s="45">
        <f t="shared" si="36"/>
        <v>0</v>
      </c>
      <c r="U451" s="46">
        <f>VLOOKUP(F451,[7]Hárok1!$F$437:$U$548,16,0)</f>
        <v>0</v>
      </c>
      <c r="V451" s="47">
        <f t="shared" si="37"/>
        <v>0</v>
      </c>
      <c r="W451" s="47">
        <f t="shared" si="38"/>
        <v>0</v>
      </c>
      <c r="X451" s="48">
        <f t="shared" si="39"/>
        <v>0</v>
      </c>
      <c r="Y451" s="49">
        <f t="shared" si="40"/>
        <v>0</v>
      </c>
      <c r="Z451" s="50">
        <f t="shared" si="41"/>
        <v>0</v>
      </c>
    </row>
    <row r="452" spans="1:26" x14ac:dyDescent="0.25">
      <c r="A452" s="29" t="s">
        <v>991</v>
      </c>
      <c r="B452" s="29" t="s">
        <v>43</v>
      </c>
      <c r="C452" s="29" t="s">
        <v>992</v>
      </c>
      <c r="D452" s="30">
        <v>54139937</v>
      </c>
      <c r="E452" s="31" t="s">
        <v>993</v>
      </c>
      <c r="F452" s="29">
        <v>111571</v>
      </c>
      <c r="G452" s="32" t="s">
        <v>70</v>
      </c>
      <c r="H452" s="32" t="s">
        <v>1010</v>
      </c>
      <c r="I452" s="33" t="s">
        <v>1011</v>
      </c>
      <c r="J452" s="42">
        <f>VLOOKUP(F452,[7]Hárok1!$F$438:$J$548,5,0)</f>
        <v>0</v>
      </c>
      <c r="K452" s="43">
        <f>VLOOKUP(F452,[7]Hárok1!$F$437:$S$548,6,0)</f>
        <v>0</v>
      </c>
      <c r="L452" s="43">
        <f>VLOOKUP(F452,[7]Hárok1!$F$437:$S$548,7,0)</f>
        <v>0</v>
      </c>
      <c r="M452" s="43">
        <f>VLOOKUP(F452,[7]Hárok1!$F$437:$S$548,8,0)</f>
        <v>0</v>
      </c>
      <c r="N452" s="43">
        <f>VLOOKUP(F452,[7]Hárok1!$F$437:$S$548,9,0)</f>
        <v>0</v>
      </c>
      <c r="O452" s="43">
        <f>VLOOKUP(F452,[7]Hárok1!$F$437:$S$548,10,0)</f>
        <v>0</v>
      </c>
      <c r="P452" s="44">
        <f>VLOOKUP(F452,[7]Hárok1!$F$437:$S$548,11,0)</f>
        <v>0</v>
      </c>
      <c r="Q452" s="42">
        <f>VLOOKUP(F452,[7]Hárok1!$F$437:$S$548,12,0)</f>
        <v>0</v>
      </c>
      <c r="R452" s="43">
        <f>VLOOKUP(F452,[7]Hárok1!$F$437:$S$548,13,0)</f>
        <v>0</v>
      </c>
      <c r="S452" s="44">
        <f>VLOOKUP(F452,[7]Hárok1!$F$437:$S$548,14,0)</f>
        <v>0</v>
      </c>
      <c r="T452" s="45">
        <f t="shared" si="36"/>
        <v>0</v>
      </c>
      <c r="U452" s="46">
        <f>VLOOKUP(F452,[7]Hárok1!$F$437:$U$548,16,0)</f>
        <v>0</v>
      </c>
      <c r="V452" s="47">
        <f t="shared" si="37"/>
        <v>0</v>
      </c>
      <c r="W452" s="47">
        <f t="shared" si="38"/>
        <v>0</v>
      </c>
      <c r="X452" s="48">
        <f t="shared" si="39"/>
        <v>0</v>
      </c>
      <c r="Y452" s="49">
        <f t="shared" si="40"/>
        <v>0</v>
      </c>
      <c r="Z452" s="50">
        <f t="shared" si="41"/>
        <v>0</v>
      </c>
    </row>
    <row r="453" spans="1:26" x14ac:dyDescent="0.25">
      <c r="A453" s="29" t="s">
        <v>991</v>
      </c>
      <c r="B453" s="29" t="s">
        <v>43</v>
      </c>
      <c r="C453" s="29" t="s">
        <v>992</v>
      </c>
      <c r="D453" s="30">
        <v>54139937</v>
      </c>
      <c r="E453" s="31" t="s">
        <v>993</v>
      </c>
      <c r="F453" s="29">
        <v>633577</v>
      </c>
      <c r="G453" s="32" t="s">
        <v>64</v>
      </c>
      <c r="H453" s="32" t="s">
        <v>1010</v>
      </c>
      <c r="I453" s="33" t="s">
        <v>1012</v>
      </c>
      <c r="J453" s="42">
        <f>VLOOKUP(F453,[7]Hárok1!$F$438:$J$548,5,0)</f>
        <v>1</v>
      </c>
      <c r="K453" s="43">
        <f>VLOOKUP(F453,[7]Hárok1!$F$437:$S$548,6,0)</f>
        <v>0</v>
      </c>
      <c r="L453" s="43">
        <f>VLOOKUP(F453,[7]Hárok1!$F$437:$S$548,7,0)</f>
        <v>2</v>
      </c>
      <c r="M453" s="43">
        <f>VLOOKUP(F453,[7]Hárok1!$F$437:$S$548,8,0)</f>
        <v>0</v>
      </c>
      <c r="N453" s="43">
        <f>VLOOKUP(F453,[7]Hárok1!$F$437:$S$548,9,0)</f>
        <v>0</v>
      </c>
      <c r="O453" s="43">
        <f>VLOOKUP(F453,[7]Hárok1!$F$437:$S$548,10,0)</f>
        <v>2</v>
      </c>
      <c r="P453" s="44">
        <f>VLOOKUP(F453,[7]Hárok1!$F$437:$S$548,11,0)</f>
        <v>0</v>
      </c>
      <c r="Q453" s="42">
        <f>VLOOKUP(F453,[7]Hárok1!$F$437:$S$548,12,0)</f>
        <v>0</v>
      </c>
      <c r="R453" s="43">
        <f>VLOOKUP(F453,[7]Hárok1!$F$437:$S$548,13,0)</f>
        <v>4</v>
      </c>
      <c r="S453" s="44">
        <f>VLOOKUP(F453,[7]Hárok1!$F$437:$S$548,14,0)</f>
        <v>0</v>
      </c>
      <c r="T453" s="45">
        <f t="shared" si="36"/>
        <v>67</v>
      </c>
      <c r="U453" s="46">
        <f>VLOOKUP(F453,[7]Hárok1!$F$437:$U$548,16,0)</f>
        <v>0</v>
      </c>
      <c r="V453" s="47">
        <f t="shared" si="37"/>
        <v>0</v>
      </c>
      <c r="W453" s="47">
        <f t="shared" si="38"/>
        <v>35</v>
      </c>
      <c r="X453" s="48">
        <f t="shared" si="39"/>
        <v>0</v>
      </c>
      <c r="Y453" s="49">
        <f t="shared" si="40"/>
        <v>102</v>
      </c>
      <c r="Z453" s="50">
        <f t="shared" si="41"/>
        <v>102</v>
      </c>
    </row>
    <row r="454" spans="1:26" x14ac:dyDescent="0.25">
      <c r="A454" s="29" t="s">
        <v>991</v>
      </c>
      <c r="B454" s="29" t="s">
        <v>43</v>
      </c>
      <c r="C454" s="29" t="s">
        <v>992</v>
      </c>
      <c r="D454" s="30">
        <v>54139937</v>
      </c>
      <c r="E454" s="31" t="s">
        <v>993</v>
      </c>
      <c r="F454" s="29">
        <v>35985003</v>
      </c>
      <c r="G454" s="32" t="s">
        <v>562</v>
      </c>
      <c r="H454" s="32" t="s">
        <v>777</v>
      </c>
      <c r="I454" s="33" t="s">
        <v>1013</v>
      </c>
      <c r="J454" s="42">
        <f>VLOOKUP(F454,[7]Hárok1!$F$438:$J$548,5,0)</f>
        <v>0</v>
      </c>
      <c r="K454" s="43">
        <f>VLOOKUP(F454,[7]Hárok1!$F$437:$S$548,6,0)</f>
        <v>0</v>
      </c>
      <c r="L454" s="43">
        <f>VLOOKUP(F454,[7]Hárok1!$F$437:$S$548,7,0)</f>
        <v>0</v>
      </c>
      <c r="M454" s="43">
        <f>VLOOKUP(F454,[7]Hárok1!$F$437:$S$548,8,0)</f>
        <v>0</v>
      </c>
      <c r="N454" s="43">
        <f>VLOOKUP(F454,[7]Hárok1!$F$437:$S$548,9,0)</f>
        <v>0</v>
      </c>
      <c r="O454" s="43">
        <f>VLOOKUP(F454,[7]Hárok1!$F$437:$S$548,10,0)</f>
        <v>0</v>
      </c>
      <c r="P454" s="44">
        <f>VLOOKUP(F454,[7]Hárok1!$F$437:$S$548,11,0)</f>
        <v>0</v>
      </c>
      <c r="Q454" s="42">
        <f>VLOOKUP(F454,[7]Hárok1!$F$437:$S$548,12,0)</f>
        <v>0</v>
      </c>
      <c r="R454" s="43">
        <f>VLOOKUP(F454,[7]Hárok1!$F$437:$S$548,13,0)</f>
        <v>0</v>
      </c>
      <c r="S454" s="44">
        <f>VLOOKUP(F454,[7]Hárok1!$F$437:$S$548,14,0)</f>
        <v>0</v>
      </c>
      <c r="T454" s="45">
        <f t="shared" si="36"/>
        <v>0</v>
      </c>
      <c r="U454" s="46">
        <f>VLOOKUP(F454,[7]Hárok1!$F$437:$U$548,16,0)</f>
        <v>0</v>
      </c>
      <c r="V454" s="47">
        <f t="shared" si="37"/>
        <v>0</v>
      </c>
      <c r="W454" s="47">
        <f t="shared" si="38"/>
        <v>0</v>
      </c>
      <c r="X454" s="48">
        <f t="shared" si="39"/>
        <v>0</v>
      </c>
      <c r="Y454" s="49">
        <f t="shared" si="40"/>
        <v>0</v>
      </c>
      <c r="Z454" s="50">
        <f t="shared" si="41"/>
        <v>0</v>
      </c>
    </row>
    <row r="455" spans="1:26" x14ac:dyDescent="0.25">
      <c r="A455" s="29" t="s">
        <v>991</v>
      </c>
      <c r="B455" s="29" t="s">
        <v>43</v>
      </c>
      <c r="C455" s="29" t="s">
        <v>992</v>
      </c>
      <c r="D455" s="30">
        <v>54139937</v>
      </c>
      <c r="E455" s="31" t="s">
        <v>993</v>
      </c>
      <c r="F455" s="29">
        <v>35985011</v>
      </c>
      <c r="G455" s="32" t="s">
        <v>1014</v>
      </c>
      <c r="H455" s="32" t="s">
        <v>777</v>
      </c>
      <c r="I455" s="33" t="s">
        <v>1015</v>
      </c>
      <c r="J455" s="42">
        <f>VLOOKUP(F455,[7]Hárok1!$F$438:$J$548,5,0)</f>
        <v>0</v>
      </c>
      <c r="K455" s="43">
        <f>VLOOKUP(F455,[7]Hárok1!$F$437:$S$548,6,0)</f>
        <v>0</v>
      </c>
      <c r="L455" s="43">
        <f>VLOOKUP(F455,[7]Hárok1!$F$437:$S$548,7,0)</f>
        <v>0</v>
      </c>
      <c r="M455" s="43">
        <f>VLOOKUP(F455,[7]Hárok1!$F$437:$S$548,8,0)</f>
        <v>0</v>
      </c>
      <c r="N455" s="43">
        <f>VLOOKUP(F455,[7]Hárok1!$F$437:$S$548,9,0)</f>
        <v>0</v>
      </c>
      <c r="O455" s="43">
        <f>VLOOKUP(F455,[7]Hárok1!$F$437:$S$548,10,0)</f>
        <v>0</v>
      </c>
      <c r="P455" s="44">
        <f>VLOOKUP(F455,[7]Hárok1!$F$437:$S$548,11,0)</f>
        <v>0</v>
      </c>
      <c r="Q455" s="42">
        <f>VLOOKUP(F455,[7]Hárok1!$F$437:$S$548,12,0)</f>
        <v>0</v>
      </c>
      <c r="R455" s="43">
        <f>VLOOKUP(F455,[7]Hárok1!$F$437:$S$548,13,0)</f>
        <v>0</v>
      </c>
      <c r="S455" s="44">
        <f>VLOOKUP(F455,[7]Hárok1!$F$437:$S$548,14,0)</f>
        <v>0</v>
      </c>
      <c r="T455" s="45">
        <f t="shared" si="36"/>
        <v>0</v>
      </c>
      <c r="U455" s="46">
        <f>VLOOKUP(F455,[7]Hárok1!$F$437:$U$548,16,0)</f>
        <v>0</v>
      </c>
      <c r="V455" s="47">
        <f t="shared" si="37"/>
        <v>0</v>
      </c>
      <c r="W455" s="47">
        <f t="shared" si="38"/>
        <v>0</v>
      </c>
      <c r="X455" s="48">
        <f t="shared" si="39"/>
        <v>0</v>
      </c>
      <c r="Y455" s="49">
        <f t="shared" si="40"/>
        <v>0</v>
      </c>
      <c r="Z455" s="50">
        <f t="shared" si="41"/>
        <v>0</v>
      </c>
    </row>
    <row r="456" spans="1:26" x14ac:dyDescent="0.25">
      <c r="A456" s="29" t="s">
        <v>991</v>
      </c>
      <c r="B456" s="29" t="s">
        <v>43</v>
      </c>
      <c r="C456" s="29" t="s">
        <v>992</v>
      </c>
      <c r="D456" s="30">
        <v>54139937</v>
      </c>
      <c r="E456" s="31" t="s">
        <v>993</v>
      </c>
      <c r="F456" s="29">
        <v>37819003</v>
      </c>
      <c r="G456" s="32" t="s">
        <v>536</v>
      </c>
      <c r="H456" s="32" t="s">
        <v>1016</v>
      </c>
      <c r="I456" s="33" t="s">
        <v>1017</v>
      </c>
      <c r="J456" s="42">
        <f>VLOOKUP(F456,[7]Hárok1!$F$438:$J$548,5,0)</f>
        <v>1</v>
      </c>
      <c r="K456" s="43">
        <f>VLOOKUP(F456,[7]Hárok1!$F$437:$S$548,6,0)</f>
        <v>0</v>
      </c>
      <c r="L456" s="43">
        <f>VLOOKUP(F456,[7]Hárok1!$F$437:$S$548,7,0)</f>
        <v>2</v>
      </c>
      <c r="M456" s="43">
        <f>VLOOKUP(F456,[7]Hárok1!$F$437:$S$548,8,0)</f>
        <v>0</v>
      </c>
      <c r="N456" s="43">
        <f>VLOOKUP(F456,[7]Hárok1!$F$437:$S$548,9,0)</f>
        <v>0</v>
      </c>
      <c r="O456" s="43">
        <f>VLOOKUP(F456,[7]Hárok1!$F$437:$S$548,10,0)</f>
        <v>2</v>
      </c>
      <c r="P456" s="44">
        <f>VLOOKUP(F456,[7]Hárok1!$F$437:$S$548,11,0)</f>
        <v>0</v>
      </c>
      <c r="Q456" s="42">
        <f>VLOOKUP(F456,[7]Hárok1!$F$437:$S$548,12,0)</f>
        <v>0</v>
      </c>
      <c r="R456" s="43">
        <f>VLOOKUP(F456,[7]Hárok1!$F$437:$S$548,13,0)</f>
        <v>13</v>
      </c>
      <c r="S456" s="44">
        <f>VLOOKUP(F456,[7]Hárok1!$F$437:$S$548,14,0)</f>
        <v>0</v>
      </c>
      <c r="T456" s="45">
        <f t="shared" ref="T456:T519" si="42">$T$1*L456</f>
        <v>67</v>
      </c>
      <c r="U456" s="46">
        <f>VLOOKUP(F456,[7]Hárok1!$F$437:$U$548,16,0)</f>
        <v>11.2</v>
      </c>
      <c r="V456" s="47">
        <f t="shared" ref="V456:V519" si="43">$U$1*N456+$V$1*Q456</f>
        <v>0</v>
      </c>
      <c r="W456" s="47">
        <f t="shared" ref="W456:W519" si="44">$U$1*O456+$W$1*R456</f>
        <v>53</v>
      </c>
      <c r="X456" s="48">
        <f t="shared" ref="X456:X519" si="45">$X$1*P456+$V$1*S456</f>
        <v>0</v>
      </c>
      <c r="Y456" s="49">
        <f t="shared" si="40"/>
        <v>131.19999999999999</v>
      </c>
      <c r="Z456" s="50">
        <f t="shared" ref="Z456:Z519" si="46">ROUND(Y456,0)</f>
        <v>131</v>
      </c>
    </row>
    <row r="457" spans="1:26" x14ac:dyDescent="0.25">
      <c r="A457" s="29" t="s">
        <v>991</v>
      </c>
      <c r="B457" s="29" t="s">
        <v>43</v>
      </c>
      <c r="C457" s="29" t="s">
        <v>992</v>
      </c>
      <c r="D457" s="30">
        <v>54139937</v>
      </c>
      <c r="E457" s="31" t="s">
        <v>993</v>
      </c>
      <c r="F457" s="29">
        <v>27987</v>
      </c>
      <c r="G457" s="32" t="s">
        <v>52</v>
      </c>
      <c r="H457" s="32" t="s">
        <v>1018</v>
      </c>
      <c r="I457" s="33" t="s">
        <v>1019</v>
      </c>
      <c r="J457" s="42">
        <f>VLOOKUP(F457,[7]Hárok1!$F$438:$J$548,5,0)</f>
        <v>0</v>
      </c>
      <c r="K457" s="43">
        <f>VLOOKUP(F457,[7]Hárok1!$F$437:$S$548,6,0)</f>
        <v>0</v>
      </c>
      <c r="L457" s="43">
        <f>VLOOKUP(F457,[7]Hárok1!$F$437:$S$548,7,0)</f>
        <v>0</v>
      </c>
      <c r="M457" s="43">
        <f>VLOOKUP(F457,[7]Hárok1!$F$437:$S$548,8,0)</f>
        <v>0</v>
      </c>
      <c r="N457" s="43">
        <f>VLOOKUP(F457,[7]Hárok1!$F$437:$S$548,9,0)</f>
        <v>0</v>
      </c>
      <c r="O457" s="43">
        <f>VLOOKUP(F457,[7]Hárok1!$F$437:$S$548,10,0)</f>
        <v>0</v>
      </c>
      <c r="P457" s="44">
        <f>VLOOKUP(F457,[7]Hárok1!$F$437:$S$548,11,0)</f>
        <v>0</v>
      </c>
      <c r="Q457" s="42">
        <f>VLOOKUP(F457,[7]Hárok1!$F$437:$S$548,12,0)</f>
        <v>0</v>
      </c>
      <c r="R457" s="43">
        <f>VLOOKUP(F457,[7]Hárok1!$F$437:$S$548,13,0)</f>
        <v>0</v>
      </c>
      <c r="S457" s="44">
        <f>VLOOKUP(F457,[7]Hárok1!$F$437:$S$548,14,0)</f>
        <v>0</v>
      </c>
      <c r="T457" s="45">
        <f t="shared" si="42"/>
        <v>0</v>
      </c>
      <c r="U457" s="46">
        <f>VLOOKUP(F457,[7]Hárok1!$F$437:$U$548,16,0)</f>
        <v>0</v>
      </c>
      <c r="V457" s="47">
        <f t="shared" si="43"/>
        <v>0</v>
      </c>
      <c r="W457" s="47">
        <f t="shared" si="44"/>
        <v>0</v>
      </c>
      <c r="X457" s="48">
        <f t="shared" si="45"/>
        <v>0</v>
      </c>
      <c r="Y457" s="49">
        <f t="shared" ref="Y457:Y520" si="47">T457+U457+V457+W457+X457</f>
        <v>0</v>
      </c>
      <c r="Z457" s="50">
        <f t="shared" si="46"/>
        <v>0</v>
      </c>
    </row>
    <row r="458" spans="1:26" x14ac:dyDescent="0.25">
      <c r="A458" s="29" t="s">
        <v>991</v>
      </c>
      <c r="B458" s="29" t="s">
        <v>43</v>
      </c>
      <c r="C458" s="29" t="s">
        <v>992</v>
      </c>
      <c r="D458" s="30">
        <v>54139937</v>
      </c>
      <c r="E458" s="31" t="s">
        <v>993</v>
      </c>
      <c r="F458" s="29">
        <v>51958767</v>
      </c>
      <c r="G458" s="32" t="s">
        <v>64</v>
      </c>
      <c r="H458" s="32" t="s">
        <v>1020</v>
      </c>
      <c r="I458" s="33" t="s">
        <v>1021</v>
      </c>
      <c r="J458" s="42">
        <f>VLOOKUP(F458,[7]Hárok1!$F$438:$J$548,5,0)</f>
        <v>0</v>
      </c>
      <c r="K458" s="43">
        <f>VLOOKUP(F458,[7]Hárok1!$F$437:$S$548,6,0)</f>
        <v>0</v>
      </c>
      <c r="L458" s="43">
        <f>VLOOKUP(F458,[7]Hárok1!$F$437:$S$548,7,0)</f>
        <v>0</v>
      </c>
      <c r="M458" s="43">
        <f>VLOOKUP(F458,[7]Hárok1!$F$437:$S$548,8,0)</f>
        <v>0</v>
      </c>
      <c r="N458" s="43">
        <f>VLOOKUP(F458,[7]Hárok1!$F$437:$S$548,9,0)</f>
        <v>0</v>
      </c>
      <c r="O458" s="43">
        <f>VLOOKUP(F458,[7]Hárok1!$F$437:$S$548,10,0)</f>
        <v>0</v>
      </c>
      <c r="P458" s="44">
        <f>VLOOKUP(F458,[7]Hárok1!$F$437:$S$548,11,0)</f>
        <v>0</v>
      </c>
      <c r="Q458" s="42">
        <f>VLOOKUP(F458,[7]Hárok1!$F$437:$S$548,12,0)</f>
        <v>0</v>
      </c>
      <c r="R458" s="43">
        <f>VLOOKUP(F458,[7]Hárok1!$F$437:$S$548,13,0)</f>
        <v>0</v>
      </c>
      <c r="S458" s="44">
        <f>VLOOKUP(F458,[7]Hárok1!$F$437:$S$548,14,0)</f>
        <v>0</v>
      </c>
      <c r="T458" s="45">
        <f t="shared" si="42"/>
        <v>0</v>
      </c>
      <c r="U458" s="46">
        <f>VLOOKUP(F458,[7]Hárok1!$F$437:$U$548,16,0)</f>
        <v>0</v>
      </c>
      <c r="V458" s="47">
        <f t="shared" si="43"/>
        <v>0</v>
      </c>
      <c r="W458" s="47">
        <f t="shared" si="44"/>
        <v>0</v>
      </c>
      <c r="X458" s="48">
        <f t="shared" si="45"/>
        <v>0</v>
      </c>
      <c r="Y458" s="49">
        <f t="shared" si="47"/>
        <v>0</v>
      </c>
      <c r="Z458" s="50">
        <f t="shared" si="46"/>
        <v>0</v>
      </c>
    </row>
    <row r="459" spans="1:26" x14ac:dyDescent="0.25">
      <c r="A459" s="29" t="s">
        <v>991</v>
      </c>
      <c r="B459" s="29" t="s">
        <v>43</v>
      </c>
      <c r="C459" s="29" t="s">
        <v>992</v>
      </c>
      <c r="D459" s="30">
        <v>54139937</v>
      </c>
      <c r="E459" s="31" t="s">
        <v>993</v>
      </c>
      <c r="F459" s="29">
        <v>163082</v>
      </c>
      <c r="G459" s="32" t="s">
        <v>1022</v>
      </c>
      <c r="H459" s="32" t="s">
        <v>1020</v>
      </c>
      <c r="I459" s="33" t="s">
        <v>1023</v>
      </c>
      <c r="J459" s="42">
        <f>VLOOKUP(F459,[7]Hárok1!$F$438:$J$548,5,0)</f>
        <v>4</v>
      </c>
      <c r="K459" s="43">
        <f>VLOOKUP(F459,[7]Hárok1!$F$437:$S$548,6,0)</f>
        <v>0</v>
      </c>
      <c r="L459" s="43">
        <f>VLOOKUP(F459,[7]Hárok1!$F$437:$S$548,7,0)</f>
        <v>25</v>
      </c>
      <c r="M459" s="43">
        <f>VLOOKUP(F459,[7]Hárok1!$F$437:$S$548,8,0)</f>
        <v>0</v>
      </c>
      <c r="N459" s="43">
        <f>VLOOKUP(F459,[7]Hárok1!$F$437:$S$548,9,0)</f>
        <v>0</v>
      </c>
      <c r="O459" s="43">
        <f>VLOOKUP(F459,[7]Hárok1!$F$437:$S$548,10,0)</f>
        <v>10</v>
      </c>
      <c r="P459" s="44">
        <f>VLOOKUP(F459,[7]Hárok1!$F$437:$S$548,11,0)</f>
        <v>6</v>
      </c>
      <c r="Q459" s="42">
        <f>VLOOKUP(F459,[7]Hárok1!$F$437:$S$548,12,0)</f>
        <v>0</v>
      </c>
      <c r="R459" s="43">
        <f>VLOOKUP(F459,[7]Hárok1!$F$437:$S$548,13,0)</f>
        <v>136</v>
      </c>
      <c r="S459" s="44">
        <f>VLOOKUP(F459,[7]Hárok1!$F$437:$S$548,14,0)</f>
        <v>75</v>
      </c>
      <c r="T459" s="45">
        <f t="shared" si="42"/>
        <v>837.5</v>
      </c>
      <c r="U459" s="46">
        <f>VLOOKUP(F459,[7]Hárok1!$F$437:$U$548,16,0)</f>
        <v>264</v>
      </c>
      <c r="V459" s="47">
        <f t="shared" si="43"/>
        <v>0</v>
      </c>
      <c r="W459" s="47">
        <f t="shared" si="44"/>
        <v>407</v>
      </c>
      <c r="X459" s="48">
        <f t="shared" si="45"/>
        <v>274.5</v>
      </c>
      <c r="Y459" s="49">
        <f t="shared" si="47"/>
        <v>1783</v>
      </c>
      <c r="Z459" s="50">
        <f t="shared" si="46"/>
        <v>1783</v>
      </c>
    </row>
    <row r="460" spans="1:26" x14ac:dyDescent="0.25">
      <c r="A460" s="51" t="s">
        <v>991</v>
      </c>
      <c r="B460" s="51" t="s">
        <v>79</v>
      </c>
      <c r="C460" s="51" t="s">
        <v>1024</v>
      </c>
      <c r="D460" s="51">
        <v>37828100</v>
      </c>
      <c r="E460" s="32" t="s">
        <v>1025</v>
      </c>
      <c r="F460" s="51">
        <v>160521</v>
      </c>
      <c r="G460" s="32" t="s">
        <v>1026</v>
      </c>
      <c r="H460" s="32" t="s">
        <v>995</v>
      </c>
      <c r="I460" s="33" t="s">
        <v>1027</v>
      </c>
      <c r="J460" s="42">
        <f>VLOOKUP(F460,[7]Hárok1!$F$438:$J$548,5,0)</f>
        <v>22</v>
      </c>
      <c r="K460" s="43">
        <f>VLOOKUP(F460,[7]Hárok1!$F$437:$S$548,6,0)</f>
        <v>0</v>
      </c>
      <c r="L460" s="43">
        <f>VLOOKUP(F460,[7]Hárok1!$F$437:$S$548,7,0)</f>
        <v>85</v>
      </c>
      <c r="M460" s="43">
        <f>VLOOKUP(F460,[7]Hárok1!$F$437:$S$548,8,0)</f>
        <v>0</v>
      </c>
      <c r="N460" s="43">
        <f>VLOOKUP(F460,[7]Hárok1!$F$437:$S$548,9,0)</f>
        <v>1</v>
      </c>
      <c r="O460" s="43">
        <f>VLOOKUP(F460,[7]Hárok1!$F$437:$S$548,10,0)</f>
        <v>31</v>
      </c>
      <c r="P460" s="44">
        <f>VLOOKUP(F460,[7]Hárok1!$F$437:$S$548,11,0)</f>
        <v>3</v>
      </c>
      <c r="Q460" s="42">
        <f>VLOOKUP(F460,[7]Hárok1!$F$437:$S$548,12,0)</f>
        <v>8</v>
      </c>
      <c r="R460" s="43">
        <f>VLOOKUP(F460,[7]Hárok1!$F$437:$S$548,13,0)</f>
        <v>756</v>
      </c>
      <c r="S460" s="44">
        <f>VLOOKUP(F460,[7]Hárok1!$F$437:$S$548,14,0)</f>
        <v>323</v>
      </c>
      <c r="T460" s="45">
        <f t="shared" si="42"/>
        <v>2847.5</v>
      </c>
      <c r="U460" s="46">
        <f>VLOOKUP(F460,[7]Hárok1!$F$437:$U$548,16,0)</f>
        <v>0</v>
      </c>
      <c r="V460" s="47">
        <f t="shared" si="43"/>
        <v>25.5</v>
      </c>
      <c r="W460" s="47">
        <f t="shared" si="44"/>
        <v>1930.5</v>
      </c>
      <c r="X460" s="48">
        <f t="shared" si="45"/>
        <v>565.5</v>
      </c>
      <c r="Y460" s="49">
        <f t="shared" si="47"/>
        <v>5369</v>
      </c>
      <c r="Z460" s="50">
        <f t="shared" si="46"/>
        <v>5369</v>
      </c>
    </row>
    <row r="461" spans="1:26" x14ac:dyDescent="0.25">
      <c r="A461" s="29" t="s">
        <v>991</v>
      </c>
      <c r="B461" s="29" t="s">
        <v>79</v>
      </c>
      <c r="C461" s="29" t="s">
        <v>1024</v>
      </c>
      <c r="D461" s="29">
        <v>37828100</v>
      </c>
      <c r="E461" s="32" t="s">
        <v>1025</v>
      </c>
      <c r="F461" s="29">
        <v>17059887</v>
      </c>
      <c r="G461" s="32" t="s">
        <v>1028</v>
      </c>
      <c r="H461" s="32" t="s">
        <v>995</v>
      </c>
      <c r="I461" s="33" t="s">
        <v>1029</v>
      </c>
      <c r="J461" s="42">
        <f>VLOOKUP(F461,[7]Hárok1!$F$438:$J$548,5,0)</f>
        <v>14</v>
      </c>
      <c r="K461" s="43">
        <f>VLOOKUP(F461,[7]Hárok1!$F$437:$S$548,6,0)</f>
        <v>0</v>
      </c>
      <c r="L461" s="43">
        <f>VLOOKUP(F461,[7]Hárok1!$F$437:$S$548,7,0)</f>
        <v>36</v>
      </c>
      <c r="M461" s="43">
        <f>VLOOKUP(F461,[7]Hárok1!$F$437:$S$548,8,0)</f>
        <v>0</v>
      </c>
      <c r="N461" s="43">
        <f>VLOOKUP(F461,[7]Hárok1!$F$437:$S$548,9,0)</f>
        <v>0</v>
      </c>
      <c r="O461" s="43">
        <f>VLOOKUP(F461,[7]Hárok1!$F$437:$S$548,10,0)</f>
        <v>19</v>
      </c>
      <c r="P461" s="44">
        <f>VLOOKUP(F461,[7]Hárok1!$F$437:$S$548,11,0)</f>
        <v>2</v>
      </c>
      <c r="Q461" s="42">
        <f>VLOOKUP(F461,[7]Hárok1!$F$437:$S$548,12,0)</f>
        <v>0</v>
      </c>
      <c r="R461" s="43">
        <f>VLOOKUP(F461,[7]Hárok1!$F$437:$S$548,13,0)</f>
        <v>173</v>
      </c>
      <c r="S461" s="44">
        <f>VLOOKUP(F461,[7]Hárok1!$F$437:$S$548,14,0)</f>
        <v>78</v>
      </c>
      <c r="T461" s="45">
        <f t="shared" si="42"/>
        <v>1206</v>
      </c>
      <c r="U461" s="46">
        <f>VLOOKUP(F461,[7]Hárok1!$F$437:$U$548,16,0)</f>
        <v>202.38</v>
      </c>
      <c r="V461" s="47">
        <f t="shared" si="43"/>
        <v>0</v>
      </c>
      <c r="W461" s="47">
        <f t="shared" si="44"/>
        <v>602.5</v>
      </c>
      <c r="X461" s="48">
        <f t="shared" si="45"/>
        <v>171</v>
      </c>
      <c r="Y461" s="49">
        <f t="shared" si="47"/>
        <v>2181.88</v>
      </c>
      <c r="Z461" s="50">
        <f t="shared" si="46"/>
        <v>2182</v>
      </c>
    </row>
    <row r="462" spans="1:26" x14ac:dyDescent="0.25">
      <c r="A462" s="29" t="s">
        <v>991</v>
      </c>
      <c r="B462" s="29" t="s">
        <v>79</v>
      </c>
      <c r="C462" s="29" t="s">
        <v>1024</v>
      </c>
      <c r="D462" s="29">
        <v>37828100</v>
      </c>
      <c r="E462" s="32" t="s">
        <v>1025</v>
      </c>
      <c r="F462" s="29">
        <v>162027</v>
      </c>
      <c r="G462" s="32" t="s">
        <v>100</v>
      </c>
      <c r="H462" s="32" t="s">
        <v>995</v>
      </c>
      <c r="I462" s="33" t="s">
        <v>1030</v>
      </c>
      <c r="J462" s="42">
        <f>VLOOKUP(F462,[7]Hárok1!$F$438:$J$548,5,0)</f>
        <v>8</v>
      </c>
      <c r="K462" s="43">
        <f>VLOOKUP(F462,[7]Hárok1!$F$437:$S$548,6,0)</f>
        <v>0</v>
      </c>
      <c r="L462" s="43">
        <f>VLOOKUP(F462,[7]Hárok1!$F$437:$S$548,7,0)</f>
        <v>40</v>
      </c>
      <c r="M462" s="43">
        <f>VLOOKUP(F462,[7]Hárok1!$F$437:$S$548,8,0)</f>
        <v>0</v>
      </c>
      <c r="N462" s="43">
        <f>VLOOKUP(F462,[7]Hárok1!$F$437:$S$548,9,0)</f>
        <v>0</v>
      </c>
      <c r="O462" s="43">
        <f>VLOOKUP(F462,[7]Hárok1!$F$437:$S$548,10,0)</f>
        <v>17</v>
      </c>
      <c r="P462" s="44">
        <f>VLOOKUP(F462,[7]Hárok1!$F$437:$S$548,11,0)</f>
        <v>1</v>
      </c>
      <c r="Q462" s="42">
        <f>VLOOKUP(F462,[7]Hárok1!$F$437:$S$548,12,0)</f>
        <v>0</v>
      </c>
      <c r="R462" s="43">
        <f>VLOOKUP(F462,[7]Hárok1!$F$437:$S$548,13,0)</f>
        <v>363</v>
      </c>
      <c r="S462" s="44">
        <f>VLOOKUP(F462,[7]Hárok1!$F$437:$S$548,14,0)</f>
        <v>119</v>
      </c>
      <c r="T462" s="45">
        <f t="shared" si="42"/>
        <v>1340</v>
      </c>
      <c r="U462" s="46">
        <f>VLOOKUP(F462,[7]Hárok1!$F$437:$U$548,16,0)</f>
        <v>0</v>
      </c>
      <c r="V462" s="47">
        <f t="shared" si="43"/>
        <v>0</v>
      </c>
      <c r="W462" s="47">
        <f t="shared" si="44"/>
        <v>955.5</v>
      </c>
      <c r="X462" s="48">
        <f t="shared" si="45"/>
        <v>205.5</v>
      </c>
      <c r="Y462" s="49">
        <f t="shared" si="47"/>
        <v>2501</v>
      </c>
      <c r="Z462" s="50">
        <f t="shared" si="46"/>
        <v>2501</v>
      </c>
    </row>
    <row r="463" spans="1:26" x14ac:dyDescent="0.25">
      <c r="A463" s="29" t="s">
        <v>991</v>
      </c>
      <c r="B463" s="29" t="s">
        <v>79</v>
      </c>
      <c r="C463" s="29" t="s">
        <v>1024</v>
      </c>
      <c r="D463" s="29">
        <v>37828100</v>
      </c>
      <c r="E463" s="32" t="s">
        <v>1025</v>
      </c>
      <c r="F463" s="29">
        <v>37956108</v>
      </c>
      <c r="G463" s="32" t="s">
        <v>52</v>
      </c>
      <c r="H463" s="32" t="s">
        <v>995</v>
      </c>
      <c r="I463" s="33" t="s">
        <v>1031</v>
      </c>
      <c r="J463" s="42">
        <f>VLOOKUP(F463,[7]Hárok1!$F$438:$J$548,5,0)</f>
        <v>7</v>
      </c>
      <c r="K463" s="43">
        <f>VLOOKUP(F463,[7]Hárok1!$F$437:$S$548,6,0)</f>
        <v>7</v>
      </c>
      <c r="L463" s="43">
        <f>VLOOKUP(F463,[7]Hárok1!$F$437:$S$548,7,0)</f>
        <v>45</v>
      </c>
      <c r="M463" s="43">
        <f>VLOOKUP(F463,[7]Hárok1!$F$437:$S$548,8,0)</f>
        <v>27</v>
      </c>
      <c r="N463" s="43">
        <f>VLOOKUP(F463,[7]Hárok1!$F$437:$S$548,9,0)</f>
        <v>17</v>
      </c>
      <c r="O463" s="43">
        <f>VLOOKUP(F463,[7]Hárok1!$F$437:$S$548,10,0)</f>
        <v>16</v>
      </c>
      <c r="P463" s="44">
        <f>VLOOKUP(F463,[7]Hárok1!$F$437:$S$548,11,0)</f>
        <v>1</v>
      </c>
      <c r="Q463" s="42">
        <f>VLOOKUP(F463,[7]Hárok1!$F$437:$S$548,12,0)</f>
        <v>227</v>
      </c>
      <c r="R463" s="43">
        <f>VLOOKUP(F463,[7]Hárok1!$F$437:$S$548,13,0)</f>
        <v>455</v>
      </c>
      <c r="S463" s="44">
        <f>VLOOKUP(F463,[7]Hárok1!$F$437:$S$548,14,0)</f>
        <v>43</v>
      </c>
      <c r="T463" s="45">
        <f t="shared" si="42"/>
        <v>1507.5</v>
      </c>
      <c r="U463" s="46">
        <f>VLOOKUP(F463,[7]Hárok1!$F$437:$U$548,16,0)</f>
        <v>97.25</v>
      </c>
      <c r="V463" s="47">
        <f t="shared" si="43"/>
        <v>570</v>
      </c>
      <c r="W463" s="47">
        <f t="shared" si="44"/>
        <v>1126</v>
      </c>
      <c r="X463" s="48">
        <f t="shared" si="45"/>
        <v>91.5</v>
      </c>
      <c r="Y463" s="49">
        <f t="shared" si="47"/>
        <v>3392.25</v>
      </c>
      <c r="Z463" s="50">
        <f t="shared" si="46"/>
        <v>3392</v>
      </c>
    </row>
    <row r="464" spans="1:26" x14ac:dyDescent="0.25">
      <c r="A464" s="29" t="s">
        <v>991</v>
      </c>
      <c r="B464" s="29" t="s">
        <v>79</v>
      </c>
      <c r="C464" s="29" t="s">
        <v>1024</v>
      </c>
      <c r="D464" s="29">
        <v>37828100</v>
      </c>
      <c r="E464" s="32" t="s">
        <v>1025</v>
      </c>
      <c r="F464" s="29">
        <v>42195446</v>
      </c>
      <c r="G464" s="32" t="s">
        <v>52</v>
      </c>
      <c r="H464" s="32" t="s">
        <v>995</v>
      </c>
      <c r="I464" s="33" t="s">
        <v>1032</v>
      </c>
      <c r="J464" s="42">
        <f>VLOOKUP(F464,[7]Hárok1!$F$438:$J$548,5,0)</f>
        <v>10</v>
      </c>
      <c r="K464" s="43">
        <f>VLOOKUP(F464,[7]Hárok1!$F$437:$S$548,6,0)</f>
        <v>0</v>
      </c>
      <c r="L464" s="43">
        <f>VLOOKUP(F464,[7]Hárok1!$F$437:$S$548,7,0)</f>
        <v>55</v>
      </c>
      <c r="M464" s="43">
        <f>VLOOKUP(F464,[7]Hárok1!$F$437:$S$548,8,0)</f>
        <v>0</v>
      </c>
      <c r="N464" s="43">
        <f>VLOOKUP(F464,[7]Hárok1!$F$437:$S$548,9,0)</f>
        <v>0</v>
      </c>
      <c r="O464" s="43">
        <f>VLOOKUP(F464,[7]Hárok1!$F$437:$S$548,10,0)</f>
        <v>16</v>
      </c>
      <c r="P464" s="44">
        <f>VLOOKUP(F464,[7]Hárok1!$F$437:$S$548,11,0)</f>
        <v>1</v>
      </c>
      <c r="Q464" s="42">
        <f>VLOOKUP(F464,[7]Hárok1!$F$437:$S$548,12,0)</f>
        <v>0</v>
      </c>
      <c r="R464" s="43">
        <f>VLOOKUP(F464,[7]Hárok1!$F$437:$S$548,13,0)</f>
        <v>521</v>
      </c>
      <c r="S464" s="44">
        <f>VLOOKUP(F464,[7]Hárok1!$F$437:$S$548,14,0)</f>
        <v>129</v>
      </c>
      <c r="T464" s="45">
        <f t="shared" si="42"/>
        <v>1842.5</v>
      </c>
      <c r="U464" s="46">
        <f>VLOOKUP(F464,[7]Hárok1!$F$437:$U$548,16,0)</f>
        <v>540.82000000000005</v>
      </c>
      <c r="V464" s="47">
        <f t="shared" si="43"/>
        <v>0</v>
      </c>
      <c r="W464" s="47">
        <f t="shared" si="44"/>
        <v>1258</v>
      </c>
      <c r="X464" s="48">
        <f t="shared" si="45"/>
        <v>220.5</v>
      </c>
      <c r="Y464" s="49">
        <f t="shared" si="47"/>
        <v>3861.82</v>
      </c>
      <c r="Z464" s="50">
        <f t="shared" si="46"/>
        <v>3862</v>
      </c>
    </row>
    <row r="465" spans="1:26" x14ac:dyDescent="0.25">
      <c r="A465" s="29" t="s">
        <v>991</v>
      </c>
      <c r="B465" s="29" t="s">
        <v>79</v>
      </c>
      <c r="C465" s="29" t="s">
        <v>1024</v>
      </c>
      <c r="D465" s="29">
        <v>37828100</v>
      </c>
      <c r="E465" s="32" t="s">
        <v>1025</v>
      </c>
      <c r="F465" s="29">
        <v>45017000</v>
      </c>
      <c r="G465" s="32" t="s">
        <v>575</v>
      </c>
      <c r="H465" s="32" t="s">
        <v>995</v>
      </c>
      <c r="I465" s="33" t="s">
        <v>1033</v>
      </c>
      <c r="J465" s="42">
        <f>VLOOKUP(F465,[7]Hárok1!$F$438:$J$548,5,0)</f>
        <v>3</v>
      </c>
      <c r="K465" s="43">
        <f>VLOOKUP(F465,[7]Hárok1!$F$437:$S$548,6,0)</f>
        <v>0</v>
      </c>
      <c r="L465" s="43">
        <f>VLOOKUP(F465,[7]Hárok1!$F$437:$S$548,7,0)</f>
        <v>12</v>
      </c>
      <c r="M465" s="43">
        <f>VLOOKUP(F465,[7]Hárok1!$F$437:$S$548,8,0)</f>
        <v>0</v>
      </c>
      <c r="N465" s="43">
        <f>VLOOKUP(F465,[7]Hárok1!$F$437:$S$548,9,0)</f>
        <v>0</v>
      </c>
      <c r="O465" s="43">
        <f>VLOOKUP(F465,[7]Hárok1!$F$437:$S$548,10,0)</f>
        <v>6</v>
      </c>
      <c r="P465" s="44">
        <f>VLOOKUP(F465,[7]Hárok1!$F$437:$S$548,11,0)</f>
        <v>0</v>
      </c>
      <c r="Q465" s="42">
        <f>VLOOKUP(F465,[7]Hárok1!$F$437:$S$548,12,0)</f>
        <v>0</v>
      </c>
      <c r="R465" s="43">
        <f>VLOOKUP(F465,[7]Hárok1!$F$437:$S$548,13,0)</f>
        <v>135</v>
      </c>
      <c r="S465" s="44">
        <f>VLOOKUP(F465,[7]Hárok1!$F$437:$S$548,14,0)</f>
        <v>0</v>
      </c>
      <c r="T465" s="45">
        <f t="shared" si="42"/>
        <v>402</v>
      </c>
      <c r="U465" s="46">
        <f>VLOOKUP(F465,[7]Hárok1!$F$437:$U$548,16,0)</f>
        <v>0</v>
      </c>
      <c r="V465" s="47">
        <f t="shared" si="43"/>
        <v>0</v>
      </c>
      <c r="W465" s="47">
        <f t="shared" si="44"/>
        <v>351</v>
      </c>
      <c r="X465" s="48">
        <f t="shared" si="45"/>
        <v>0</v>
      </c>
      <c r="Y465" s="49">
        <f t="shared" si="47"/>
        <v>753</v>
      </c>
      <c r="Z465" s="50">
        <f t="shared" si="46"/>
        <v>753</v>
      </c>
    </row>
    <row r="466" spans="1:26" x14ac:dyDescent="0.25">
      <c r="A466" s="29" t="s">
        <v>991</v>
      </c>
      <c r="B466" s="29" t="s">
        <v>79</v>
      </c>
      <c r="C466" s="29" t="s">
        <v>1024</v>
      </c>
      <c r="D466" s="29">
        <v>37828100</v>
      </c>
      <c r="E466" s="32" t="s">
        <v>1025</v>
      </c>
      <c r="F466" s="29">
        <v>158496</v>
      </c>
      <c r="G466" s="32" t="s">
        <v>132</v>
      </c>
      <c r="H466" s="32" t="s">
        <v>995</v>
      </c>
      <c r="I466" s="33" t="s">
        <v>1019</v>
      </c>
      <c r="J466" s="42">
        <f>VLOOKUP(F466,[7]Hárok1!$F$438:$J$548,5,0)</f>
        <v>4</v>
      </c>
      <c r="K466" s="43">
        <f>VLOOKUP(F466,[7]Hárok1!$F$437:$S$548,6,0)</f>
        <v>0</v>
      </c>
      <c r="L466" s="43">
        <f>VLOOKUP(F466,[7]Hárok1!$F$437:$S$548,7,0)</f>
        <v>29</v>
      </c>
      <c r="M466" s="43">
        <f>VLOOKUP(F466,[7]Hárok1!$F$437:$S$548,8,0)</f>
        <v>0</v>
      </c>
      <c r="N466" s="43">
        <f>VLOOKUP(F466,[7]Hárok1!$F$437:$S$548,9,0)</f>
        <v>0</v>
      </c>
      <c r="O466" s="43">
        <f>VLOOKUP(F466,[7]Hárok1!$F$437:$S$548,10,0)</f>
        <v>5</v>
      </c>
      <c r="P466" s="44">
        <f>VLOOKUP(F466,[7]Hárok1!$F$437:$S$548,11,0)</f>
        <v>4</v>
      </c>
      <c r="Q466" s="42">
        <f>VLOOKUP(F466,[7]Hárok1!$F$437:$S$548,12,0)</f>
        <v>0</v>
      </c>
      <c r="R466" s="43">
        <f>VLOOKUP(F466,[7]Hárok1!$F$437:$S$548,13,0)</f>
        <v>109</v>
      </c>
      <c r="S466" s="44">
        <f>VLOOKUP(F466,[7]Hárok1!$F$437:$S$548,14,0)</f>
        <v>137</v>
      </c>
      <c r="T466" s="45">
        <f t="shared" si="42"/>
        <v>971.5</v>
      </c>
      <c r="U466" s="46">
        <f>VLOOKUP(F466,[7]Hárok1!$F$437:$U$548,16,0)</f>
        <v>134.38</v>
      </c>
      <c r="V466" s="47">
        <f t="shared" si="43"/>
        <v>0</v>
      </c>
      <c r="W466" s="47">
        <f t="shared" si="44"/>
        <v>285.5</v>
      </c>
      <c r="X466" s="48">
        <f t="shared" si="45"/>
        <v>313.5</v>
      </c>
      <c r="Y466" s="49">
        <f t="shared" si="47"/>
        <v>1704.88</v>
      </c>
      <c r="Z466" s="50">
        <f t="shared" si="46"/>
        <v>1705</v>
      </c>
    </row>
    <row r="467" spans="1:26" x14ac:dyDescent="0.25">
      <c r="A467" s="29" t="s">
        <v>991</v>
      </c>
      <c r="B467" s="29" t="s">
        <v>79</v>
      </c>
      <c r="C467" s="29" t="s">
        <v>1024</v>
      </c>
      <c r="D467" s="29">
        <v>37828100</v>
      </c>
      <c r="E467" s="32" t="s">
        <v>1025</v>
      </c>
      <c r="F467" s="29">
        <v>17055431</v>
      </c>
      <c r="G467" s="32" t="s">
        <v>134</v>
      </c>
      <c r="H467" s="32" t="s">
        <v>995</v>
      </c>
      <c r="I467" s="33" t="s">
        <v>1034</v>
      </c>
      <c r="J467" s="42">
        <f>VLOOKUP(F467,[7]Hárok1!$F$438:$J$548,5,0)</f>
        <v>11</v>
      </c>
      <c r="K467" s="43">
        <f>VLOOKUP(F467,[7]Hárok1!$F$437:$S$548,6,0)</f>
        <v>4</v>
      </c>
      <c r="L467" s="43">
        <f>VLOOKUP(F467,[7]Hárok1!$F$437:$S$548,7,0)</f>
        <v>45</v>
      </c>
      <c r="M467" s="43">
        <f>VLOOKUP(F467,[7]Hárok1!$F$437:$S$548,8,0)</f>
        <v>22</v>
      </c>
      <c r="N467" s="43">
        <f>VLOOKUP(F467,[7]Hárok1!$F$437:$S$548,9,0)</f>
        <v>10</v>
      </c>
      <c r="O467" s="43">
        <f>VLOOKUP(F467,[7]Hárok1!$F$437:$S$548,10,0)</f>
        <v>17</v>
      </c>
      <c r="P467" s="44">
        <f>VLOOKUP(F467,[7]Hárok1!$F$437:$S$548,11,0)</f>
        <v>0</v>
      </c>
      <c r="Q467" s="42">
        <f>VLOOKUP(F467,[7]Hárok1!$F$437:$S$548,12,0)</f>
        <v>255</v>
      </c>
      <c r="R467" s="43">
        <f>VLOOKUP(F467,[7]Hárok1!$F$437:$S$548,13,0)</f>
        <v>456</v>
      </c>
      <c r="S467" s="44">
        <f>VLOOKUP(F467,[7]Hárok1!$F$437:$S$548,14,0)</f>
        <v>0</v>
      </c>
      <c r="T467" s="45">
        <f t="shared" si="42"/>
        <v>1507.5</v>
      </c>
      <c r="U467" s="46">
        <f>VLOOKUP(F467,[7]Hárok1!$F$437:$U$548,16,0)</f>
        <v>292.14999999999998</v>
      </c>
      <c r="V467" s="47">
        <f t="shared" si="43"/>
        <v>517.5</v>
      </c>
      <c r="W467" s="47">
        <f t="shared" si="44"/>
        <v>1141.5</v>
      </c>
      <c r="X467" s="48">
        <f t="shared" si="45"/>
        <v>0</v>
      </c>
      <c r="Y467" s="49">
        <f t="shared" si="47"/>
        <v>3458.65</v>
      </c>
      <c r="Z467" s="50">
        <f t="shared" si="46"/>
        <v>3459</v>
      </c>
    </row>
    <row r="468" spans="1:26" x14ac:dyDescent="0.25">
      <c r="A468" s="29" t="s">
        <v>991</v>
      </c>
      <c r="B468" s="29" t="s">
        <v>79</v>
      </c>
      <c r="C468" s="29" t="s">
        <v>1024</v>
      </c>
      <c r="D468" s="29">
        <v>37828100</v>
      </c>
      <c r="E468" s="32" t="s">
        <v>1025</v>
      </c>
      <c r="F468" s="29">
        <v>161471</v>
      </c>
      <c r="G468" s="32" t="s">
        <v>1035</v>
      </c>
      <c r="H468" s="32" t="s">
        <v>995</v>
      </c>
      <c r="I468" s="33" t="s">
        <v>1036</v>
      </c>
      <c r="J468" s="42">
        <f>VLOOKUP(F468,[7]Hárok1!$F$438:$J$548,5,0)</f>
        <v>11</v>
      </c>
      <c r="K468" s="43">
        <f>VLOOKUP(F468,[7]Hárok1!$F$437:$S$548,6,0)</f>
        <v>0</v>
      </c>
      <c r="L468" s="43">
        <f>VLOOKUP(F468,[7]Hárok1!$F$437:$S$548,7,0)</f>
        <v>55</v>
      </c>
      <c r="M468" s="43">
        <f>VLOOKUP(F468,[7]Hárok1!$F$437:$S$548,8,0)</f>
        <v>0</v>
      </c>
      <c r="N468" s="43">
        <f>VLOOKUP(F468,[7]Hárok1!$F$437:$S$548,9,0)</f>
        <v>1</v>
      </c>
      <c r="O468" s="43">
        <f>VLOOKUP(F468,[7]Hárok1!$F$437:$S$548,10,0)</f>
        <v>20</v>
      </c>
      <c r="P468" s="44">
        <f>VLOOKUP(F468,[7]Hárok1!$F$437:$S$548,11,0)</f>
        <v>2</v>
      </c>
      <c r="Q468" s="42">
        <f>VLOOKUP(F468,[7]Hárok1!$F$437:$S$548,12,0)</f>
        <v>3</v>
      </c>
      <c r="R468" s="43">
        <f>VLOOKUP(F468,[7]Hárok1!$F$437:$S$548,13,0)</f>
        <v>452</v>
      </c>
      <c r="S468" s="44">
        <f>VLOOKUP(F468,[7]Hárok1!$F$437:$S$548,14,0)</f>
        <v>135</v>
      </c>
      <c r="T468" s="45">
        <f t="shared" si="42"/>
        <v>1842.5</v>
      </c>
      <c r="U468" s="46">
        <f>VLOOKUP(F468,[7]Hárok1!$F$437:$U$548,16,0)</f>
        <v>323.08</v>
      </c>
      <c r="V468" s="47">
        <f t="shared" si="43"/>
        <v>18</v>
      </c>
      <c r="W468" s="47">
        <f t="shared" si="44"/>
        <v>1174</v>
      </c>
      <c r="X468" s="48">
        <f t="shared" si="45"/>
        <v>256.5</v>
      </c>
      <c r="Y468" s="49">
        <f t="shared" si="47"/>
        <v>3614.08</v>
      </c>
      <c r="Z468" s="50">
        <f t="shared" si="46"/>
        <v>3614</v>
      </c>
    </row>
    <row r="469" spans="1:26" x14ac:dyDescent="0.25">
      <c r="A469" s="29" t="s">
        <v>991</v>
      </c>
      <c r="B469" s="29" t="s">
        <v>79</v>
      </c>
      <c r="C469" s="29" t="s">
        <v>1024</v>
      </c>
      <c r="D469" s="29">
        <v>37828100</v>
      </c>
      <c r="E469" s="32" t="s">
        <v>1025</v>
      </c>
      <c r="F469" s="29">
        <v>516554</v>
      </c>
      <c r="G469" s="32" t="s">
        <v>615</v>
      </c>
      <c r="H469" s="32" t="s">
        <v>995</v>
      </c>
      <c r="I469" s="33" t="s">
        <v>1037</v>
      </c>
      <c r="J469" s="42">
        <f>VLOOKUP(F469,[7]Hárok1!$F$438:$J$548,5,0)</f>
        <v>13</v>
      </c>
      <c r="K469" s="43">
        <f>VLOOKUP(F469,[7]Hárok1!$F$437:$S$548,6,0)</f>
        <v>0</v>
      </c>
      <c r="L469" s="43">
        <f>VLOOKUP(F469,[7]Hárok1!$F$437:$S$548,7,0)</f>
        <v>45</v>
      </c>
      <c r="M469" s="43">
        <f>VLOOKUP(F469,[7]Hárok1!$F$437:$S$548,8,0)</f>
        <v>0</v>
      </c>
      <c r="N469" s="43">
        <f>VLOOKUP(F469,[7]Hárok1!$F$437:$S$548,9,0)</f>
        <v>1</v>
      </c>
      <c r="O469" s="43">
        <f>VLOOKUP(F469,[7]Hárok1!$F$437:$S$548,10,0)</f>
        <v>19</v>
      </c>
      <c r="P469" s="44">
        <f>VLOOKUP(F469,[7]Hárok1!$F$437:$S$548,11,0)</f>
        <v>1</v>
      </c>
      <c r="Q469" s="42">
        <f>VLOOKUP(F469,[7]Hárok1!$F$437:$S$548,12,0)</f>
        <v>4</v>
      </c>
      <c r="R469" s="43">
        <f>VLOOKUP(F469,[7]Hárok1!$F$437:$S$548,13,0)</f>
        <v>363</v>
      </c>
      <c r="S469" s="44">
        <f>VLOOKUP(F469,[7]Hárok1!$F$437:$S$548,14,0)</f>
        <v>61</v>
      </c>
      <c r="T469" s="45">
        <f t="shared" si="42"/>
        <v>1507.5</v>
      </c>
      <c r="U469" s="46">
        <f>VLOOKUP(F469,[7]Hárok1!$F$437:$U$548,16,0)</f>
        <v>280.3</v>
      </c>
      <c r="V469" s="47">
        <f t="shared" si="43"/>
        <v>19.5</v>
      </c>
      <c r="W469" s="47">
        <f t="shared" si="44"/>
        <v>982.5</v>
      </c>
      <c r="X469" s="48">
        <f t="shared" si="45"/>
        <v>118.5</v>
      </c>
      <c r="Y469" s="49">
        <f t="shared" si="47"/>
        <v>2908.3</v>
      </c>
      <c r="Z469" s="50">
        <f t="shared" si="46"/>
        <v>2908</v>
      </c>
    </row>
    <row r="470" spans="1:26" x14ac:dyDescent="0.25">
      <c r="A470" s="29" t="s">
        <v>991</v>
      </c>
      <c r="B470" s="29" t="s">
        <v>79</v>
      </c>
      <c r="C470" s="29" t="s">
        <v>1024</v>
      </c>
      <c r="D470" s="29">
        <v>37828100</v>
      </c>
      <c r="E470" s="32" t="s">
        <v>1025</v>
      </c>
      <c r="F470" s="29">
        <v>607053</v>
      </c>
      <c r="G470" s="32" t="s">
        <v>117</v>
      </c>
      <c r="H470" s="32" t="s">
        <v>995</v>
      </c>
      <c r="I470" s="33" t="s">
        <v>1038</v>
      </c>
      <c r="J470" s="42">
        <f>VLOOKUP(F470,[7]Hárok1!$F$438:$J$548,5,0)</f>
        <v>16</v>
      </c>
      <c r="K470" s="43">
        <f>VLOOKUP(F470,[7]Hárok1!$F$437:$S$548,6,0)</f>
        <v>0</v>
      </c>
      <c r="L470" s="43">
        <f>VLOOKUP(F470,[7]Hárok1!$F$437:$S$548,7,0)</f>
        <v>84</v>
      </c>
      <c r="M470" s="43">
        <f>VLOOKUP(F470,[7]Hárok1!$F$437:$S$548,8,0)</f>
        <v>0</v>
      </c>
      <c r="N470" s="43">
        <f>VLOOKUP(F470,[7]Hárok1!$F$437:$S$548,9,0)</f>
        <v>1</v>
      </c>
      <c r="O470" s="43">
        <f>VLOOKUP(F470,[7]Hárok1!$F$437:$S$548,10,0)</f>
        <v>24</v>
      </c>
      <c r="P470" s="44">
        <f>VLOOKUP(F470,[7]Hárok1!$F$437:$S$548,11,0)</f>
        <v>4</v>
      </c>
      <c r="Q470" s="42">
        <f>VLOOKUP(F470,[7]Hárok1!$F$437:$S$548,12,0)</f>
        <v>36</v>
      </c>
      <c r="R470" s="43">
        <f>VLOOKUP(F470,[7]Hárok1!$F$437:$S$548,13,0)</f>
        <v>486</v>
      </c>
      <c r="S470" s="44">
        <f>VLOOKUP(F470,[7]Hárok1!$F$437:$S$548,14,0)</f>
        <v>346</v>
      </c>
      <c r="T470" s="45">
        <f t="shared" si="42"/>
        <v>2814</v>
      </c>
      <c r="U470" s="46">
        <f>VLOOKUP(F470,[7]Hárok1!$F$437:$U$548,16,0)</f>
        <v>1413.39</v>
      </c>
      <c r="V470" s="47">
        <f t="shared" si="43"/>
        <v>67.5</v>
      </c>
      <c r="W470" s="47">
        <f t="shared" si="44"/>
        <v>1296</v>
      </c>
      <c r="X470" s="48">
        <f t="shared" si="45"/>
        <v>627</v>
      </c>
      <c r="Y470" s="49">
        <f t="shared" si="47"/>
        <v>6217.89</v>
      </c>
      <c r="Z470" s="50">
        <f t="shared" si="46"/>
        <v>6218</v>
      </c>
    </row>
    <row r="471" spans="1:26" x14ac:dyDescent="0.25">
      <c r="A471" s="29" t="s">
        <v>991</v>
      </c>
      <c r="B471" s="29" t="s">
        <v>79</v>
      </c>
      <c r="C471" s="29" t="s">
        <v>1024</v>
      </c>
      <c r="D471" s="29">
        <v>37828100</v>
      </c>
      <c r="E471" s="32" t="s">
        <v>1025</v>
      </c>
      <c r="F471" s="29">
        <v>160539</v>
      </c>
      <c r="G471" s="32" t="s">
        <v>1039</v>
      </c>
      <c r="H471" s="32" t="s">
        <v>1040</v>
      </c>
      <c r="I471" s="33" t="s">
        <v>1041</v>
      </c>
      <c r="J471" s="42">
        <f>VLOOKUP(F471,[7]Hárok1!$F$438:$J$548,5,0)</f>
        <v>8</v>
      </c>
      <c r="K471" s="43">
        <f>VLOOKUP(F471,[7]Hárok1!$F$437:$S$548,6,0)</f>
        <v>0</v>
      </c>
      <c r="L471" s="43">
        <f>VLOOKUP(F471,[7]Hárok1!$F$437:$S$548,7,0)</f>
        <v>21</v>
      </c>
      <c r="M471" s="43">
        <f>VLOOKUP(F471,[7]Hárok1!$F$437:$S$548,8,0)</f>
        <v>0</v>
      </c>
      <c r="N471" s="43">
        <f>VLOOKUP(F471,[7]Hárok1!$F$437:$S$548,9,0)</f>
        <v>0</v>
      </c>
      <c r="O471" s="43">
        <f>VLOOKUP(F471,[7]Hárok1!$F$437:$S$548,10,0)</f>
        <v>9</v>
      </c>
      <c r="P471" s="44">
        <f>VLOOKUP(F471,[7]Hárok1!$F$437:$S$548,11,0)</f>
        <v>1</v>
      </c>
      <c r="Q471" s="42">
        <f>VLOOKUP(F471,[7]Hárok1!$F$437:$S$548,12,0)</f>
        <v>0</v>
      </c>
      <c r="R471" s="43">
        <f>VLOOKUP(F471,[7]Hárok1!$F$437:$S$548,13,0)</f>
        <v>165</v>
      </c>
      <c r="S471" s="44">
        <f>VLOOKUP(F471,[7]Hárok1!$F$437:$S$548,14,0)</f>
        <v>69</v>
      </c>
      <c r="T471" s="45">
        <f t="shared" si="42"/>
        <v>703.5</v>
      </c>
      <c r="U471" s="46">
        <f>VLOOKUP(F471,[7]Hárok1!$F$437:$U$548,16,0)</f>
        <v>259.38</v>
      </c>
      <c r="V471" s="47">
        <f t="shared" si="43"/>
        <v>0</v>
      </c>
      <c r="W471" s="47">
        <f t="shared" si="44"/>
        <v>451.5</v>
      </c>
      <c r="X471" s="48">
        <f t="shared" si="45"/>
        <v>130.5</v>
      </c>
      <c r="Y471" s="49">
        <f t="shared" si="47"/>
        <v>1544.88</v>
      </c>
      <c r="Z471" s="50">
        <f t="shared" si="46"/>
        <v>1545</v>
      </c>
    </row>
    <row r="472" spans="1:26" x14ac:dyDescent="0.25">
      <c r="A472" s="29" t="s">
        <v>991</v>
      </c>
      <c r="B472" s="29" t="s">
        <v>79</v>
      </c>
      <c r="C472" s="29" t="s">
        <v>1024</v>
      </c>
      <c r="D472" s="29">
        <v>37828100</v>
      </c>
      <c r="E472" s="32" t="s">
        <v>1025</v>
      </c>
      <c r="F472" s="29">
        <v>162710</v>
      </c>
      <c r="G472" s="32" t="s">
        <v>907</v>
      </c>
      <c r="H472" s="32" t="s">
        <v>1040</v>
      </c>
      <c r="I472" s="33" t="s">
        <v>1042</v>
      </c>
      <c r="J472" s="42">
        <f>VLOOKUP(F472,[7]Hárok1!$F$438:$J$548,5,0)</f>
        <v>8</v>
      </c>
      <c r="K472" s="43">
        <f>VLOOKUP(F472,[7]Hárok1!$F$437:$S$548,6,0)</f>
        <v>0</v>
      </c>
      <c r="L472" s="43">
        <f>VLOOKUP(F472,[7]Hárok1!$F$437:$S$548,7,0)</f>
        <v>34</v>
      </c>
      <c r="M472" s="43">
        <f>VLOOKUP(F472,[7]Hárok1!$F$437:$S$548,8,0)</f>
        <v>0</v>
      </c>
      <c r="N472" s="43">
        <f>VLOOKUP(F472,[7]Hárok1!$F$437:$S$548,9,0)</f>
        <v>0</v>
      </c>
      <c r="O472" s="43">
        <f>VLOOKUP(F472,[7]Hárok1!$F$437:$S$548,10,0)</f>
        <v>10</v>
      </c>
      <c r="P472" s="44">
        <f>VLOOKUP(F472,[7]Hárok1!$F$437:$S$548,11,0)</f>
        <v>1</v>
      </c>
      <c r="Q472" s="42">
        <f>VLOOKUP(F472,[7]Hárok1!$F$437:$S$548,12,0)</f>
        <v>0</v>
      </c>
      <c r="R472" s="43">
        <f>VLOOKUP(F472,[7]Hárok1!$F$437:$S$548,13,0)</f>
        <v>241</v>
      </c>
      <c r="S472" s="44">
        <f>VLOOKUP(F472,[7]Hárok1!$F$437:$S$548,14,0)</f>
        <v>73</v>
      </c>
      <c r="T472" s="45">
        <f t="shared" si="42"/>
        <v>1139</v>
      </c>
      <c r="U472" s="46">
        <f>VLOOKUP(F472,[7]Hárok1!$F$437:$U$548,16,0)</f>
        <v>324.39999999999998</v>
      </c>
      <c r="V472" s="47">
        <f t="shared" si="43"/>
        <v>0</v>
      </c>
      <c r="W472" s="47">
        <f t="shared" si="44"/>
        <v>617</v>
      </c>
      <c r="X472" s="48">
        <f t="shared" si="45"/>
        <v>136.5</v>
      </c>
      <c r="Y472" s="49">
        <f t="shared" si="47"/>
        <v>2216.9</v>
      </c>
      <c r="Z472" s="50">
        <f t="shared" si="46"/>
        <v>2217</v>
      </c>
    </row>
    <row r="473" spans="1:26" x14ac:dyDescent="0.25">
      <c r="A473" s="29" t="s">
        <v>991</v>
      </c>
      <c r="B473" s="29" t="s">
        <v>79</v>
      </c>
      <c r="C473" s="29" t="s">
        <v>1024</v>
      </c>
      <c r="D473" s="29">
        <v>37828100</v>
      </c>
      <c r="E473" s="32" t="s">
        <v>1025</v>
      </c>
      <c r="F473" s="29">
        <v>42317673</v>
      </c>
      <c r="G473" s="32" t="s">
        <v>1043</v>
      </c>
      <c r="H473" s="32" t="s">
        <v>1040</v>
      </c>
      <c r="I473" s="33" t="s">
        <v>1044</v>
      </c>
      <c r="J473" s="42">
        <f>VLOOKUP(F473,[7]Hárok1!$F$438:$J$548,5,0)</f>
        <v>10</v>
      </c>
      <c r="K473" s="43">
        <f>VLOOKUP(F473,[7]Hárok1!$F$437:$S$548,6,0)</f>
        <v>0</v>
      </c>
      <c r="L473" s="43">
        <f>VLOOKUP(F473,[7]Hárok1!$F$437:$S$548,7,0)</f>
        <v>41</v>
      </c>
      <c r="M473" s="43">
        <f>VLOOKUP(F473,[7]Hárok1!$F$437:$S$548,8,0)</f>
        <v>0</v>
      </c>
      <c r="N473" s="43">
        <f>VLOOKUP(F473,[7]Hárok1!$F$437:$S$548,9,0)</f>
        <v>11</v>
      </c>
      <c r="O473" s="43">
        <f>VLOOKUP(F473,[7]Hárok1!$F$437:$S$548,10,0)</f>
        <v>12</v>
      </c>
      <c r="P473" s="44">
        <f>VLOOKUP(F473,[7]Hárok1!$F$437:$S$548,11,0)</f>
        <v>2</v>
      </c>
      <c r="Q473" s="42">
        <f>VLOOKUP(F473,[7]Hárok1!$F$437:$S$548,12,0)</f>
        <v>82</v>
      </c>
      <c r="R473" s="43">
        <f>VLOOKUP(F473,[7]Hárok1!$F$437:$S$548,13,0)</f>
        <v>127</v>
      </c>
      <c r="S473" s="44">
        <f>VLOOKUP(F473,[7]Hárok1!$F$437:$S$548,14,0)</f>
        <v>33</v>
      </c>
      <c r="T473" s="45">
        <f t="shared" si="42"/>
        <v>1373.5</v>
      </c>
      <c r="U473" s="46">
        <f>VLOOKUP(F473,[7]Hárok1!$F$437:$U$548,16,0)</f>
        <v>265.80000000000007</v>
      </c>
      <c r="V473" s="47">
        <f t="shared" si="43"/>
        <v>271.5</v>
      </c>
      <c r="W473" s="47">
        <f t="shared" si="44"/>
        <v>416</v>
      </c>
      <c r="X473" s="48">
        <f t="shared" si="45"/>
        <v>103.5</v>
      </c>
      <c r="Y473" s="49">
        <f t="shared" si="47"/>
        <v>2430.3000000000002</v>
      </c>
      <c r="Z473" s="50">
        <f t="shared" si="46"/>
        <v>2430</v>
      </c>
    </row>
    <row r="474" spans="1:26" x14ac:dyDescent="0.25">
      <c r="A474" s="29" t="s">
        <v>991</v>
      </c>
      <c r="B474" s="29" t="s">
        <v>79</v>
      </c>
      <c r="C474" s="29" t="s">
        <v>1024</v>
      </c>
      <c r="D474" s="29">
        <v>37828100</v>
      </c>
      <c r="E474" s="32" t="s">
        <v>1025</v>
      </c>
      <c r="F474" s="29">
        <v>161667</v>
      </c>
      <c r="G474" s="32" t="s">
        <v>1045</v>
      </c>
      <c r="H474" s="32" t="s">
        <v>1040</v>
      </c>
      <c r="I474" s="33" t="s">
        <v>1046</v>
      </c>
      <c r="J474" s="42">
        <f>VLOOKUP(F474,[7]Hárok1!$F$438:$J$548,5,0)</f>
        <v>5</v>
      </c>
      <c r="K474" s="43">
        <f>VLOOKUP(F474,[7]Hárok1!$F$437:$S$548,6,0)</f>
        <v>0</v>
      </c>
      <c r="L474" s="43">
        <f>VLOOKUP(F474,[7]Hárok1!$F$437:$S$548,7,0)</f>
        <v>24</v>
      </c>
      <c r="M474" s="43">
        <f>VLOOKUP(F474,[7]Hárok1!$F$437:$S$548,8,0)</f>
        <v>0</v>
      </c>
      <c r="N474" s="43">
        <f>VLOOKUP(F474,[7]Hárok1!$F$437:$S$548,9,0)</f>
        <v>0</v>
      </c>
      <c r="O474" s="43">
        <f>VLOOKUP(F474,[7]Hárok1!$F$437:$S$548,10,0)</f>
        <v>8</v>
      </c>
      <c r="P474" s="44">
        <f>VLOOKUP(F474,[7]Hárok1!$F$437:$S$548,11,0)</f>
        <v>1</v>
      </c>
      <c r="Q474" s="42">
        <f>VLOOKUP(F474,[7]Hárok1!$F$437:$S$548,12,0)</f>
        <v>0</v>
      </c>
      <c r="R474" s="43">
        <f>VLOOKUP(F474,[7]Hárok1!$F$437:$S$548,13,0)</f>
        <v>148</v>
      </c>
      <c r="S474" s="44">
        <f>VLOOKUP(F474,[7]Hárok1!$F$437:$S$548,14,0)</f>
        <v>55</v>
      </c>
      <c r="T474" s="45">
        <f t="shared" si="42"/>
        <v>804</v>
      </c>
      <c r="U474" s="46">
        <f>VLOOKUP(F474,[7]Hárok1!$F$437:$U$548,16,0)</f>
        <v>114.08</v>
      </c>
      <c r="V474" s="47">
        <f t="shared" si="43"/>
        <v>0</v>
      </c>
      <c r="W474" s="47">
        <f t="shared" si="44"/>
        <v>404</v>
      </c>
      <c r="X474" s="48">
        <f t="shared" si="45"/>
        <v>109.5</v>
      </c>
      <c r="Y474" s="49">
        <f t="shared" si="47"/>
        <v>1431.58</v>
      </c>
      <c r="Z474" s="50">
        <f t="shared" si="46"/>
        <v>1432</v>
      </c>
    </row>
    <row r="475" spans="1:26" x14ac:dyDescent="0.25">
      <c r="A475" s="29" t="s">
        <v>991</v>
      </c>
      <c r="B475" s="29" t="s">
        <v>79</v>
      </c>
      <c r="C475" s="29" t="s">
        <v>1024</v>
      </c>
      <c r="D475" s="29">
        <v>37828100</v>
      </c>
      <c r="E475" s="32" t="s">
        <v>1025</v>
      </c>
      <c r="F475" s="29">
        <v>53006020</v>
      </c>
      <c r="G475" s="32" t="s">
        <v>119</v>
      </c>
      <c r="H475" s="32" t="s">
        <v>1040</v>
      </c>
      <c r="I475" s="33" t="s">
        <v>1046</v>
      </c>
      <c r="J475" s="42">
        <f>VLOOKUP(F475,[7]Hárok1!$F$438:$J$548,5,0)</f>
        <v>0</v>
      </c>
      <c r="K475" s="43">
        <f>VLOOKUP(F475,[7]Hárok1!$F$437:$S$548,6,0)</f>
        <v>0</v>
      </c>
      <c r="L475" s="43">
        <f>VLOOKUP(F475,[7]Hárok1!$F$437:$S$548,7,0)</f>
        <v>0</v>
      </c>
      <c r="M475" s="43">
        <f>VLOOKUP(F475,[7]Hárok1!$F$437:$S$548,8,0)</f>
        <v>0</v>
      </c>
      <c r="N475" s="43">
        <f>VLOOKUP(F475,[7]Hárok1!$F$437:$S$548,9,0)</f>
        <v>0</v>
      </c>
      <c r="O475" s="43">
        <f>VLOOKUP(F475,[7]Hárok1!$F$437:$S$548,10,0)</f>
        <v>0</v>
      </c>
      <c r="P475" s="44">
        <f>VLOOKUP(F475,[7]Hárok1!$F$437:$S$548,11,0)</f>
        <v>0</v>
      </c>
      <c r="Q475" s="42">
        <f>VLOOKUP(F475,[7]Hárok1!$F$437:$S$548,12,0)</f>
        <v>0</v>
      </c>
      <c r="R475" s="43">
        <f>VLOOKUP(F475,[7]Hárok1!$F$437:$S$548,13,0)</f>
        <v>0</v>
      </c>
      <c r="S475" s="44">
        <f>VLOOKUP(F475,[7]Hárok1!$F$437:$S$548,14,0)</f>
        <v>0</v>
      </c>
      <c r="T475" s="45">
        <f t="shared" si="42"/>
        <v>0</v>
      </c>
      <c r="U475" s="46">
        <f>VLOOKUP(F475,[7]Hárok1!$F$437:$U$548,16,0)</f>
        <v>0</v>
      </c>
      <c r="V475" s="47">
        <f t="shared" si="43"/>
        <v>0</v>
      </c>
      <c r="W475" s="47">
        <f t="shared" si="44"/>
        <v>0</v>
      </c>
      <c r="X475" s="48">
        <f t="shared" si="45"/>
        <v>0</v>
      </c>
      <c r="Y475" s="49">
        <f t="shared" si="47"/>
        <v>0</v>
      </c>
      <c r="Z475" s="50">
        <f t="shared" si="46"/>
        <v>0</v>
      </c>
    </row>
    <row r="476" spans="1:26" x14ac:dyDescent="0.25">
      <c r="A476" s="29" t="s">
        <v>991</v>
      </c>
      <c r="B476" s="29" t="s">
        <v>79</v>
      </c>
      <c r="C476" s="29" t="s">
        <v>1024</v>
      </c>
      <c r="D476" s="29">
        <v>37828100</v>
      </c>
      <c r="E476" s="32" t="s">
        <v>1025</v>
      </c>
      <c r="F476" s="29">
        <v>160547</v>
      </c>
      <c r="G476" s="32" t="s">
        <v>1047</v>
      </c>
      <c r="H476" s="32" t="s">
        <v>1048</v>
      </c>
      <c r="I476" s="33" t="s">
        <v>1049</v>
      </c>
      <c r="J476" s="42">
        <f>VLOOKUP(F476,[7]Hárok1!$F$438:$J$548,5,0)</f>
        <v>7</v>
      </c>
      <c r="K476" s="43">
        <f>VLOOKUP(F476,[7]Hárok1!$F$437:$S$548,6,0)</f>
        <v>0</v>
      </c>
      <c r="L476" s="43">
        <f>VLOOKUP(F476,[7]Hárok1!$F$437:$S$548,7,0)</f>
        <v>30</v>
      </c>
      <c r="M476" s="43">
        <f>VLOOKUP(F476,[7]Hárok1!$F$437:$S$548,8,0)</f>
        <v>0</v>
      </c>
      <c r="N476" s="43">
        <f>VLOOKUP(F476,[7]Hárok1!$F$437:$S$548,9,0)</f>
        <v>0</v>
      </c>
      <c r="O476" s="43">
        <f>VLOOKUP(F476,[7]Hárok1!$F$437:$S$548,10,0)</f>
        <v>8</v>
      </c>
      <c r="P476" s="44">
        <f>VLOOKUP(F476,[7]Hárok1!$F$437:$S$548,11,0)</f>
        <v>0</v>
      </c>
      <c r="Q476" s="42">
        <f>VLOOKUP(F476,[7]Hárok1!$F$437:$S$548,12,0)</f>
        <v>0</v>
      </c>
      <c r="R476" s="43">
        <f>VLOOKUP(F476,[7]Hárok1!$F$437:$S$548,13,0)</f>
        <v>191</v>
      </c>
      <c r="S476" s="44">
        <f>VLOOKUP(F476,[7]Hárok1!$F$437:$S$548,14,0)</f>
        <v>40</v>
      </c>
      <c r="T476" s="45">
        <f t="shared" si="42"/>
        <v>1005</v>
      </c>
      <c r="U476" s="46">
        <f>VLOOKUP(F476,[7]Hárok1!$F$437:$U$548,16,0)</f>
        <v>426.8</v>
      </c>
      <c r="V476" s="47">
        <f t="shared" si="43"/>
        <v>0</v>
      </c>
      <c r="W476" s="47">
        <f t="shared" si="44"/>
        <v>490</v>
      </c>
      <c r="X476" s="48">
        <f t="shared" si="45"/>
        <v>60</v>
      </c>
      <c r="Y476" s="49">
        <f t="shared" si="47"/>
        <v>1981.8</v>
      </c>
      <c r="Z476" s="50">
        <f t="shared" si="46"/>
        <v>1982</v>
      </c>
    </row>
    <row r="477" spans="1:26" x14ac:dyDescent="0.25">
      <c r="A477" s="29" t="s">
        <v>991</v>
      </c>
      <c r="B477" s="29" t="s">
        <v>79</v>
      </c>
      <c r="C477" s="29" t="s">
        <v>1024</v>
      </c>
      <c r="D477" s="29">
        <v>37828100</v>
      </c>
      <c r="E477" s="32" t="s">
        <v>1025</v>
      </c>
      <c r="F477" s="29">
        <v>162035</v>
      </c>
      <c r="G477" s="32" t="s">
        <v>121</v>
      </c>
      <c r="H477" s="32" t="s">
        <v>1048</v>
      </c>
      <c r="I477" s="33" t="s">
        <v>1050</v>
      </c>
      <c r="J477" s="42">
        <f>VLOOKUP(F477,[7]Hárok1!$F$438:$J$548,5,0)</f>
        <v>2</v>
      </c>
      <c r="K477" s="43">
        <f>VLOOKUP(F477,[7]Hárok1!$F$437:$S$548,6,0)</f>
        <v>1</v>
      </c>
      <c r="L477" s="43">
        <f>VLOOKUP(F477,[7]Hárok1!$F$437:$S$548,7,0)</f>
        <v>7</v>
      </c>
      <c r="M477" s="43">
        <f>VLOOKUP(F477,[7]Hárok1!$F$437:$S$548,8,0)</f>
        <v>6</v>
      </c>
      <c r="N477" s="43">
        <f>VLOOKUP(F477,[7]Hárok1!$F$437:$S$548,9,0)</f>
        <v>3</v>
      </c>
      <c r="O477" s="43">
        <f>VLOOKUP(F477,[7]Hárok1!$F$437:$S$548,10,0)</f>
        <v>8</v>
      </c>
      <c r="P477" s="44">
        <f>VLOOKUP(F477,[7]Hárok1!$F$437:$S$548,11,0)</f>
        <v>0</v>
      </c>
      <c r="Q477" s="42">
        <f>VLOOKUP(F477,[7]Hárok1!$F$437:$S$548,12,0)</f>
        <v>82</v>
      </c>
      <c r="R477" s="43">
        <f>VLOOKUP(F477,[7]Hárok1!$F$437:$S$548,13,0)</f>
        <v>46</v>
      </c>
      <c r="S477" s="44">
        <f>VLOOKUP(F477,[7]Hárok1!$F$437:$S$548,14,0)</f>
        <v>0</v>
      </c>
      <c r="T477" s="45">
        <f t="shared" si="42"/>
        <v>234.5</v>
      </c>
      <c r="U477" s="46">
        <f>VLOOKUP(F477,[7]Hárok1!$F$437:$U$548,16,0)</f>
        <v>47</v>
      </c>
      <c r="V477" s="47">
        <f t="shared" si="43"/>
        <v>163.5</v>
      </c>
      <c r="W477" s="47">
        <f t="shared" si="44"/>
        <v>200</v>
      </c>
      <c r="X477" s="48">
        <f t="shared" si="45"/>
        <v>0</v>
      </c>
      <c r="Y477" s="49">
        <f t="shared" si="47"/>
        <v>645</v>
      </c>
      <c r="Z477" s="50">
        <f t="shared" si="46"/>
        <v>645</v>
      </c>
    </row>
    <row r="478" spans="1:26" x14ac:dyDescent="0.25">
      <c r="A478" s="29" t="s">
        <v>991</v>
      </c>
      <c r="B478" s="29" t="s">
        <v>79</v>
      </c>
      <c r="C478" s="29" t="s">
        <v>1024</v>
      </c>
      <c r="D478" s="29">
        <v>37828100</v>
      </c>
      <c r="E478" s="32" t="s">
        <v>1025</v>
      </c>
      <c r="F478" s="29">
        <v>35652454</v>
      </c>
      <c r="G478" s="32" t="s">
        <v>100</v>
      </c>
      <c r="H478" s="32" t="s">
        <v>1048</v>
      </c>
      <c r="I478" s="33" t="s">
        <v>1050</v>
      </c>
      <c r="J478" s="42">
        <f>VLOOKUP(F478,[7]Hárok1!$F$438:$J$548,5,0)</f>
        <v>0</v>
      </c>
      <c r="K478" s="43">
        <f>VLOOKUP(F478,[7]Hárok1!$F$437:$S$548,6,0)</f>
        <v>1</v>
      </c>
      <c r="L478" s="43">
        <f>VLOOKUP(F478,[7]Hárok1!$F$437:$S$548,7,0)</f>
        <v>0</v>
      </c>
      <c r="M478" s="43">
        <f>VLOOKUP(F478,[7]Hárok1!$F$437:$S$548,8,0)</f>
        <v>4</v>
      </c>
      <c r="N478" s="43">
        <f>VLOOKUP(F478,[7]Hárok1!$F$437:$S$548,9,0)</f>
        <v>2</v>
      </c>
      <c r="O478" s="43">
        <f>VLOOKUP(F478,[7]Hárok1!$F$437:$S$548,10,0)</f>
        <v>0</v>
      </c>
      <c r="P478" s="44">
        <f>VLOOKUP(F478,[7]Hárok1!$F$437:$S$548,11,0)</f>
        <v>0</v>
      </c>
      <c r="Q478" s="42">
        <f>VLOOKUP(F478,[7]Hárok1!$F$437:$S$548,12,0)</f>
        <v>44</v>
      </c>
      <c r="R478" s="43">
        <f>VLOOKUP(F478,[7]Hárok1!$F$437:$S$548,13,0)</f>
        <v>0</v>
      </c>
      <c r="S478" s="44">
        <f>VLOOKUP(F478,[7]Hárok1!$F$437:$S$548,14,0)</f>
        <v>0</v>
      </c>
      <c r="T478" s="45">
        <f t="shared" si="42"/>
        <v>0</v>
      </c>
      <c r="U478" s="46">
        <f>VLOOKUP(F478,[7]Hárok1!$F$437:$U$548,16,0)</f>
        <v>0</v>
      </c>
      <c r="V478" s="47">
        <f t="shared" si="43"/>
        <v>93</v>
      </c>
      <c r="W478" s="47">
        <f t="shared" si="44"/>
        <v>0</v>
      </c>
      <c r="X478" s="48">
        <f t="shared" si="45"/>
        <v>0</v>
      </c>
      <c r="Y478" s="49">
        <f t="shared" si="47"/>
        <v>93</v>
      </c>
      <c r="Z478" s="50">
        <f t="shared" si="46"/>
        <v>93</v>
      </c>
    </row>
    <row r="479" spans="1:26" x14ac:dyDescent="0.25">
      <c r="A479" s="29" t="s">
        <v>991</v>
      </c>
      <c r="B479" s="29" t="s">
        <v>79</v>
      </c>
      <c r="C479" s="29" t="s">
        <v>1024</v>
      </c>
      <c r="D479" s="29">
        <v>37828100</v>
      </c>
      <c r="E479" s="32" t="s">
        <v>1025</v>
      </c>
      <c r="F479" s="29">
        <v>42317657</v>
      </c>
      <c r="G479" s="32" t="s">
        <v>679</v>
      </c>
      <c r="H479" s="32" t="s">
        <v>1048</v>
      </c>
      <c r="I479" s="33" t="s">
        <v>1051</v>
      </c>
      <c r="J479" s="42">
        <f>VLOOKUP(F479,[7]Hárok1!$F$438:$J$548,5,0)</f>
        <v>10</v>
      </c>
      <c r="K479" s="43">
        <f>VLOOKUP(F479,[7]Hárok1!$F$437:$S$548,6,0)</f>
        <v>0</v>
      </c>
      <c r="L479" s="43">
        <f>VLOOKUP(F479,[7]Hárok1!$F$437:$S$548,7,0)</f>
        <v>42</v>
      </c>
      <c r="M479" s="43">
        <f>VLOOKUP(F479,[7]Hárok1!$F$437:$S$548,8,0)</f>
        <v>0</v>
      </c>
      <c r="N479" s="43">
        <f>VLOOKUP(F479,[7]Hárok1!$F$437:$S$548,9,0)</f>
        <v>0</v>
      </c>
      <c r="O479" s="43">
        <f>VLOOKUP(F479,[7]Hárok1!$F$437:$S$548,10,0)</f>
        <v>20</v>
      </c>
      <c r="P479" s="44">
        <f>VLOOKUP(F479,[7]Hárok1!$F$437:$S$548,11,0)</f>
        <v>2</v>
      </c>
      <c r="Q479" s="42">
        <f>VLOOKUP(F479,[7]Hárok1!$F$437:$S$548,12,0)</f>
        <v>0</v>
      </c>
      <c r="R479" s="43">
        <f>VLOOKUP(F479,[7]Hárok1!$F$437:$S$548,13,0)</f>
        <v>255</v>
      </c>
      <c r="S479" s="44">
        <f>VLOOKUP(F479,[7]Hárok1!$F$437:$S$548,14,0)</f>
        <v>155</v>
      </c>
      <c r="T479" s="45">
        <f t="shared" si="42"/>
        <v>1407</v>
      </c>
      <c r="U479" s="46">
        <f>VLOOKUP(F479,[7]Hárok1!$F$437:$U$548,16,0)</f>
        <v>367.1</v>
      </c>
      <c r="V479" s="47">
        <f t="shared" si="43"/>
        <v>0</v>
      </c>
      <c r="W479" s="47">
        <f t="shared" si="44"/>
        <v>780</v>
      </c>
      <c r="X479" s="48">
        <f t="shared" si="45"/>
        <v>286.5</v>
      </c>
      <c r="Y479" s="49">
        <f t="shared" si="47"/>
        <v>2840.6</v>
      </c>
      <c r="Z479" s="50">
        <f t="shared" si="46"/>
        <v>2841</v>
      </c>
    </row>
    <row r="480" spans="1:26" x14ac:dyDescent="0.25">
      <c r="A480" s="29" t="s">
        <v>991</v>
      </c>
      <c r="B480" s="29" t="s">
        <v>79</v>
      </c>
      <c r="C480" s="29" t="s">
        <v>1024</v>
      </c>
      <c r="D480" s="29">
        <v>37828100</v>
      </c>
      <c r="E480" s="32" t="s">
        <v>1025</v>
      </c>
      <c r="F480" s="29">
        <v>17058554</v>
      </c>
      <c r="G480" s="32" t="s">
        <v>49</v>
      </c>
      <c r="H480" s="32" t="s">
        <v>1052</v>
      </c>
      <c r="I480" s="33" t="s">
        <v>1053</v>
      </c>
      <c r="J480" s="42">
        <f>VLOOKUP(F480,[7]Hárok1!$F$438:$J$548,5,0)</f>
        <v>3</v>
      </c>
      <c r="K480" s="43">
        <f>VLOOKUP(F480,[7]Hárok1!$F$437:$S$548,6,0)</f>
        <v>0</v>
      </c>
      <c r="L480" s="43">
        <f>VLOOKUP(F480,[7]Hárok1!$F$437:$S$548,7,0)</f>
        <v>4</v>
      </c>
      <c r="M480" s="43">
        <f>VLOOKUP(F480,[7]Hárok1!$F$437:$S$548,8,0)</f>
        <v>0</v>
      </c>
      <c r="N480" s="43">
        <f>VLOOKUP(F480,[7]Hárok1!$F$437:$S$548,9,0)</f>
        <v>0</v>
      </c>
      <c r="O480" s="43">
        <f>VLOOKUP(F480,[7]Hárok1!$F$437:$S$548,10,0)</f>
        <v>5</v>
      </c>
      <c r="P480" s="44">
        <f>VLOOKUP(F480,[7]Hárok1!$F$437:$S$548,11,0)</f>
        <v>0</v>
      </c>
      <c r="Q480" s="42">
        <f>VLOOKUP(F480,[7]Hárok1!$F$437:$S$548,12,0)</f>
        <v>0</v>
      </c>
      <c r="R480" s="43">
        <f>VLOOKUP(F480,[7]Hárok1!$F$437:$S$548,13,0)</f>
        <v>34</v>
      </c>
      <c r="S480" s="44">
        <f>VLOOKUP(F480,[7]Hárok1!$F$437:$S$548,14,0)</f>
        <v>0</v>
      </c>
      <c r="T480" s="45">
        <f t="shared" si="42"/>
        <v>134</v>
      </c>
      <c r="U480" s="46">
        <f>VLOOKUP(F480,[7]Hárok1!$F$437:$U$548,16,0)</f>
        <v>0</v>
      </c>
      <c r="V480" s="47">
        <f t="shared" si="43"/>
        <v>0</v>
      </c>
      <c r="W480" s="47">
        <f t="shared" si="44"/>
        <v>135.5</v>
      </c>
      <c r="X480" s="48">
        <f t="shared" si="45"/>
        <v>0</v>
      </c>
      <c r="Y480" s="49">
        <f t="shared" si="47"/>
        <v>269.5</v>
      </c>
      <c r="Z480" s="50">
        <f t="shared" si="46"/>
        <v>270</v>
      </c>
    </row>
    <row r="481" spans="1:26" x14ac:dyDescent="0.25">
      <c r="A481" s="29" t="s">
        <v>991</v>
      </c>
      <c r="B481" s="29" t="s">
        <v>79</v>
      </c>
      <c r="C481" s="29" t="s">
        <v>1024</v>
      </c>
      <c r="D481" s="29">
        <v>37828100</v>
      </c>
      <c r="E481" s="32" t="s">
        <v>1025</v>
      </c>
      <c r="F481" s="29">
        <v>37956205</v>
      </c>
      <c r="G481" s="32" t="s">
        <v>52</v>
      </c>
      <c r="H481" s="32" t="s">
        <v>1052</v>
      </c>
      <c r="I481" s="33" t="s">
        <v>1054</v>
      </c>
      <c r="J481" s="42">
        <f>VLOOKUP(F481,[7]Hárok1!$F$438:$J$548,5,0)</f>
        <v>6</v>
      </c>
      <c r="K481" s="43">
        <f>VLOOKUP(F481,[7]Hárok1!$F$437:$S$548,6,0)</f>
        <v>0</v>
      </c>
      <c r="L481" s="43">
        <f>VLOOKUP(F481,[7]Hárok1!$F$437:$S$548,7,0)</f>
        <v>23</v>
      </c>
      <c r="M481" s="43">
        <f>VLOOKUP(F481,[7]Hárok1!$F$437:$S$548,8,0)</f>
        <v>0</v>
      </c>
      <c r="N481" s="43">
        <f>VLOOKUP(F481,[7]Hárok1!$F$437:$S$548,9,0)</f>
        <v>0</v>
      </c>
      <c r="O481" s="43">
        <f>VLOOKUP(F481,[7]Hárok1!$F$437:$S$548,10,0)</f>
        <v>14</v>
      </c>
      <c r="P481" s="44">
        <f>VLOOKUP(F481,[7]Hárok1!$F$437:$S$548,11,0)</f>
        <v>0</v>
      </c>
      <c r="Q481" s="42">
        <f>VLOOKUP(F481,[7]Hárok1!$F$437:$S$548,12,0)</f>
        <v>0</v>
      </c>
      <c r="R481" s="43">
        <f>VLOOKUP(F481,[7]Hárok1!$F$437:$S$548,13,0)</f>
        <v>174</v>
      </c>
      <c r="S481" s="44">
        <f>VLOOKUP(F481,[7]Hárok1!$F$437:$S$548,14,0)</f>
        <v>0</v>
      </c>
      <c r="T481" s="45">
        <f t="shared" si="42"/>
        <v>770.5</v>
      </c>
      <c r="U481" s="46">
        <f>VLOOKUP(F481,[7]Hárok1!$F$437:$U$548,16,0)</f>
        <v>159.9</v>
      </c>
      <c r="V481" s="47">
        <f t="shared" si="43"/>
        <v>0</v>
      </c>
      <c r="W481" s="47">
        <f t="shared" si="44"/>
        <v>537</v>
      </c>
      <c r="X481" s="48">
        <f t="shared" si="45"/>
        <v>0</v>
      </c>
      <c r="Y481" s="49">
        <f t="shared" si="47"/>
        <v>1467.4</v>
      </c>
      <c r="Z481" s="50">
        <f t="shared" si="46"/>
        <v>1467</v>
      </c>
    </row>
    <row r="482" spans="1:26" x14ac:dyDescent="0.25">
      <c r="A482" s="29" t="s">
        <v>991</v>
      </c>
      <c r="B482" s="29" t="s">
        <v>79</v>
      </c>
      <c r="C482" s="29" t="s">
        <v>1024</v>
      </c>
      <c r="D482" s="29">
        <v>37828100</v>
      </c>
      <c r="E482" s="32" t="s">
        <v>1025</v>
      </c>
      <c r="F482" s="29">
        <v>160644</v>
      </c>
      <c r="G482" s="32" t="s">
        <v>1026</v>
      </c>
      <c r="H482" s="32" t="s">
        <v>1055</v>
      </c>
      <c r="I482" s="33" t="s">
        <v>1056</v>
      </c>
      <c r="J482" s="42">
        <f>VLOOKUP(F482,[7]Hárok1!$F$438:$J$548,5,0)</f>
        <v>2</v>
      </c>
      <c r="K482" s="43">
        <f>VLOOKUP(F482,[7]Hárok1!$F$437:$S$548,6,0)</f>
        <v>2</v>
      </c>
      <c r="L482" s="43">
        <f>VLOOKUP(F482,[7]Hárok1!$F$437:$S$548,7,0)</f>
        <v>3</v>
      </c>
      <c r="M482" s="43">
        <f>VLOOKUP(F482,[7]Hárok1!$F$437:$S$548,8,0)</f>
        <v>2</v>
      </c>
      <c r="N482" s="43">
        <f>VLOOKUP(F482,[7]Hárok1!$F$437:$S$548,9,0)</f>
        <v>2</v>
      </c>
      <c r="O482" s="43">
        <f>VLOOKUP(F482,[7]Hárok1!$F$437:$S$548,10,0)</f>
        <v>4</v>
      </c>
      <c r="P482" s="44">
        <f>VLOOKUP(F482,[7]Hárok1!$F$437:$S$548,11,0)</f>
        <v>0</v>
      </c>
      <c r="Q482" s="42">
        <f>VLOOKUP(F482,[7]Hárok1!$F$437:$S$548,12,0)</f>
        <v>9</v>
      </c>
      <c r="R482" s="43">
        <f>VLOOKUP(F482,[7]Hárok1!$F$437:$S$548,13,0)</f>
        <v>14</v>
      </c>
      <c r="S482" s="44">
        <f>VLOOKUP(F482,[7]Hárok1!$F$437:$S$548,14,0)</f>
        <v>0</v>
      </c>
      <c r="T482" s="45">
        <f t="shared" si="42"/>
        <v>100.5</v>
      </c>
      <c r="U482" s="46">
        <f>VLOOKUP(F482,[7]Hárok1!$F$437:$U$548,16,0)</f>
        <v>8</v>
      </c>
      <c r="V482" s="47">
        <f t="shared" si="43"/>
        <v>40.5</v>
      </c>
      <c r="W482" s="47">
        <f t="shared" si="44"/>
        <v>82</v>
      </c>
      <c r="X482" s="48">
        <f t="shared" si="45"/>
        <v>0</v>
      </c>
      <c r="Y482" s="49">
        <f t="shared" si="47"/>
        <v>231</v>
      </c>
      <c r="Z482" s="50">
        <f t="shared" si="46"/>
        <v>231</v>
      </c>
    </row>
    <row r="483" spans="1:26" x14ac:dyDescent="0.25">
      <c r="A483" s="29" t="s">
        <v>991</v>
      </c>
      <c r="B483" s="29" t="s">
        <v>79</v>
      </c>
      <c r="C483" s="29" t="s">
        <v>1024</v>
      </c>
      <c r="D483" s="29">
        <v>37828100</v>
      </c>
      <c r="E483" s="32" t="s">
        <v>1025</v>
      </c>
      <c r="F483" s="29">
        <v>159352</v>
      </c>
      <c r="G483" s="32" t="s">
        <v>402</v>
      </c>
      <c r="H483" s="32" t="s">
        <v>1055</v>
      </c>
      <c r="I483" s="33" t="s">
        <v>1056</v>
      </c>
      <c r="J483" s="42">
        <f>VLOOKUP(F483,[7]Hárok1!$F$438:$J$548,5,0)</f>
        <v>10</v>
      </c>
      <c r="K483" s="43">
        <f>VLOOKUP(F483,[7]Hárok1!$F$437:$S$548,6,0)</f>
        <v>0</v>
      </c>
      <c r="L483" s="43">
        <f>VLOOKUP(F483,[7]Hárok1!$F$437:$S$548,7,0)</f>
        <v>29</v>
      </c>
      <c r="M483" s="43">
        <f>VLOOKUP(F483,[7]Hárok1!$F$437:$S$548,8,0)</f>
        <v>0</v>
      </c>
      <c r="N483" s="43">
        <f>VLOOKUP(F483,[7]Hárok1!$F$437:$S$548,9,0)</f>
        <v>0</v>
      </c>
      <c r="O483" s="43">
        <f>VLOOKUP(F483,[7]Hárok1!$F$437:$S$548,10,0)</f>
        <v>16</v>
      </c>
      <c r="P483" s="44">
        <f>VLOOKUP(F483,[7]Hárok1!$F$437:$S$548,11,0)</f>
        <v>0</v>
      </c>
      <c r="Q483" s="42">
        <f>VLOOKUP(F483,[7]Hárok1!$F$437:$S$548,12,0)</f>
        <v>0</v>
      </c>
      <c r="R483" s="43">
        <f>VLOOKUP(F483,[7]Hárok1!$F$437:$S$548,13,0)</f>
        <v>215</v>
      </c>
      <c r="S483" s="44">
        <f>VLOOKUP(F483,[7]Hárok1!$F$437:$S$548,14,0)</f>
        <v>0</v>
      </c>
      <c r="T483" s="45">
        <f t="shared" si="42"/>
        <v>971.5</v>
      </c>
      <c r="U483" s="46">
        <f>VLOOKUP(F483,[7]Hárok1!$F$437:$U$548,16,0)</f>
        <v>97.1</v>
      </c>
      <c r="V483" s="47">
        <f t="shared" si="43"/>
        <v>0</v>
      </c>
      <c r="W483" s="47">
        <f t="shared" si="44"/>
        <v>646</v>
      </c>
      <c r="X483" s="48">
        <f t="shared" si="45"/>
        <v>0</v>
      </c>
      <c r="Y483" s="49">
        <f t="shared" si="47"/>
        <v>1714.6</v>
      </c>
      <c r="Z483" s="50">
        <f t="shared" si="46"/>
        <v>1715</v>
      </c>
    </row>
    <row r="484" spans="1:26" x14ac:dyDescent="0.25">
      <c r="A484" s="29" t="s">
        <v>991</v>
      </c>
      <c r="B484" s="29" t="s">
        <v>79</v>
      </c>
      <c r="C484" s="29" t="s">
        <v>1024</v>
      </c>
      <c r="D484" s="29">
        <v>37828100</v>
      </c>
      <c r="E484" s="32" t="s">
        <v>1025</v>
      </c>
      <c r="F484" s="29">
        <v>160580</v>
      </c>
      <c r="G484" s="32" t="s">
        <v>725</v>
      </c>
      <c r="H484" s="32" t="s">
        <v>1057</v>
      </c>
      <c r="I484" s="33" t="s">
        <v>1058</v>
      </c>
      <c r="J484" s="42">
        <f>VLOOKUP(F484,[7]Hárok1!$F$438:$J$548,5,0)</f>
        <v>13</v>
      </c>
      <c r="K484" s="43">
        <f>VLOOKUP(F484,[7]Hárok1!$F$437:$S$548,6,0)</f>
        <v>0</v>
      </c>
      <c r="L484" s="43">
        <f>VLOOKUP(F484,[7]Hárok1!$F$437:$S$548,7,0)</f>
        <v>42</v>
      </c>
      <c r="M484" s="43">
        <f>VLOOKUP(F484,[7]Hárok1!$F$437:$S$548,8,0)</f>
        <v>0</v>
      </c>
      <c r="N484" s="43">
        <f>VLOOKUP(F484,[7]Hárok1!$F$437:$S$548,9,0)</f>
        <v>0</v>
      </c>
      <c r="O484" s="43">
        <f>VLOOKUP(F484,[7]Hárok1!$F$437:$S$548,10,0)</f>
        <v>22</v>
      </c>
      <c r="P484" s="44">
        <f>VLOOKUP(F484,[7]Hárok1!$F$437:$S$548,11,0)</f>
        <v>2</v>
      </c>
      <c r="Q484" s="42">
        <f>VLOOKUP(F484,[7]Hárok1!$F$437:$S$548,12,0)</f>
        <v>0</v>
      </c>
      <c r="R484" s="43">
        <f>VLOOKUP(F484,[7]Hárok1!$F$437:$S$548,13,0)</f>
        <v>228</v>
      </c>
      <c r="S484" s="44">
        <f>VLOOKUP(F484,[7]Hárok1!$F$437:$S$548,14,0)</f>
        <v>105</v>
      </c>
      <c r="T484" s="45">
        <f t="shared" si="42"/>
        <v>1407</v>
      </c>
      <c r="U484" s="46">
        <f>VLOOKUP(F484,[7]Hárok1!$F$437:$U$548,16,0)</f>
        <v>480.7</v>
      </c>
      <c r="V484" s="47">
        <f t="shared" si="43"/>
        <v>0</v>
      </c>
      <c r="W484" s="47">
        <f t="shared" si="44"/>
        <v>753</v>
      </c>
      <c r="X484" s="48">
        <f t="shared" si="45"/>
        <v>211.5</v>
      </c>
      <c r="Y484" s="49">
        <f t="shared" si="47"/>
        <v>2852.2</v>
      </c>
      <c r="Z484" s="50">
        <f t="shared" si="46"/>
        <v>2852</v>
      </c>
    </row>
    <row r="485" spans="1:26" x14ac:dyDescent="0.25">
      <c r="A485" s="29" t="s">
        <v>991</v>
      </c>
      <c r="B485" s="29" t="s">
        <v>79</v>
      </c>
      <c r="C485" s="29" t="s">
        <v>1024</v>
      </c>
      <c r="D485" s="29">
        <v>37828100</v>
      </c>
      <c r="E485" s="32" t="s">
        <v>1025</v>
      </c>
      <c r="F485" s="29">
        <v>37890069</v>
      </c>
      <c r="G485" s="32" t="s">
        <v>1059</v>
      </c>
      <c r="H485" s="32" t="s">
        <v>1057</v>
      </c>
      <c r="I485" s="33" t="s">
        <v>1060</v>
      </c>
      <c r="J485" s="42">
        <f>VLOOKUP(F485,[7]Hárok1!$F$438:$J$548,5,0)</f>
        <v>6</v>
      </c>
      <c r="K485" s="43">
        <f>VLOOKUP(F485,[7]Hárok1!$F$437:$S$548,6,0)</f>
        <v>0</v>
      </c>
      <c r="L485" s="43">
        <f>VLOOKUP(F485,[7]Hárok1!$F$437:$S$548,7,0)</f>
        <v>14</v>
      </c>
      <c r="M485" s="43">
        <f>VLOOKUP(F485,[7]Hárok1!$F$437:$S$548,8,0)</f>
        <v>0</v>
      </c>
      <c r="N485" s="43">
        <f>VLOOKUP(F485,[7]Hárok1!$F$437:$S$548,9,0)</f>
        <v>0</v>
      </c>
      <c r="O485" s="43">
        <f>VLOOKUP(F485,[7]Hárok1!$F$437:$S$548,10,0)</f>
        <v>12</v>
      </c>
      <c r="P485" s="44">
        <f>VLOOKUP(F485,[7]Hárok1!$F$437:$S$548,11,0)</f>
        <v>0</v>
      </c>
      <c r="Q485" s="42">
        <f>VLOOKUP(F485,[7]Hárok1!$F$437:$S$548,12,0)</f>
        <v>0</v>
      </c>
      <c r="R485" s="43">
        <f>VLOOKUP(F485,[7]Hárok1!$F$437:$S$548,13,0)</f>
        <v>141</v>
      </c>
      <c r="S485" s="44">
        <f>VLOOKUP(F485,[7]Hárok1!$F$437:$S$548,14,0)</f>
        <v>0</v>
      </c>
      <c r="T485" s="45">
        <f t="shared" si="42"/>
        <v>469</v>
      </c>
      <c r="U485" s="46">
        <f>VLOOKUP(F485,[7]Hárok1!$F$437:$U$548,16,0)</f>
        <v>341.3</v>
      </c>
      <c r="V485" s="47">
        <f t="shared" si="43"/>
        <v>0</v>
      </c>
      <c r="W485" s="47">
        <f t="shared" si="44"/>
        <v>444</v>
      </c>
      <c r="X485" s="48">
        <f t="shared" si="45"/>
        <v>0</v>
      </c>
      <c r="Y485" s="49">
        <f t="shared" si="47"/>
        <v>1254.3</v>
      </c>
      <c r="Z485" s="50">
        <f t="shared" si="46"/>
        <v>1254</v>
      </c>
    </row>
    <row r="486" spans="1:26" x14ac:dyDescent="0.25">
      <c r="A486" s="29" t="s">
        <v>991</v>
      </c>
      <c r="B486" s="29" t="s">
        <v>79</v>
      </c>
      <c r="C486" s="29" t="s">
        <v>1024</v>
      </c>
      <c r="D486" s="29">
        <v>37828100</v>
      </c>
      <c r="E486" s="32" t="s">
        <v>1025</v>
      </c>
      <c r="F486" s="29">
        <v>160687</v>
      </c>
      <c r="G486" s="32" t="s">
        <v>1061</v>
      </c>
      <c r="H486" s="32" t="s">
        <v>1005</v>
      </c>
      <c r="I486" s="33" t="s">
        <v>1062</v>
      </c>
      <c r="J486" s="42">
        <f>VLOOKUP(F486,[7]Hárok1!$F$438:$J$548,5,0)</f>
        <v>13</v>
      </c>
      <c r="K486" s="43">
        <f>VLOOKUP(F486,[7]Hárok1!$F$437:$S$548,6,0)</f>
        <v>0</v>
      </c>
      <c r="L486" s="43">
        <f>VLOOKUP(F486,[7]Hárok1!$F$437:$S$548,7,0)</f>
        <v>37</v>
      </c>
      <c r="M486" s="43">
        <f>VLOOKUP(F486,[7]Hárok1!$F$437:$S$548,8,0)</f>
        <v>0</v>
      </c>
      <c r="N486" s="43">
        <f>VLOOKUP(F486,[7]Hárok1!$F$437:$S$548,9,0)</f>
        <v>1</v>
      </c>
      <c r="O486" s="43">
        <f>VLOOKUP(F486,[7]Hárok1!$F$437:$S$548,10,0)</f>
        <v>18</v>
      </c>
      <c r="P486" s="44">
        <f>VLOOKUP(F486,[7]Hárok1!$F$437:$S$548,11,0)</f>
        <v>1</v>
      </c>
      <c r="Q486" s="42">
        <f>VLOOKUP(F486,[7]Hárok1!$F$437:$S$548,12,0)</f>
        <v>8</v>
      </c>
      <c r="R486" s="43">
        <f>VLOOKUP(F486,[7]Hárok1!$F$437:$S$548,13,0)</f>
        <v>326</v>
      </c>
      <c r="S486" s="44">
        <f>VLOOKUP(F486,[7]Hárok1!$F$437:$S$548,14,0)</f>
        <v>43</v>
      </c>
      <c r="T486" s="45">
        <f t="shared" si="42"/>
        <v>1239.5</v>
      </c>
      <c r="U486" s="46">
        <f>VLOOKUP(F486,[7]Hárok1!$F$437:$U$548,16,0)</f>
        <v>135.34</v>
      </c>
      <c r="V486" s="47">
        <f t="shared" si="43"/>
        <v>25.5</v>
      </c>
      <c r="W486" s="47">
        <f t="shared" si="44"/>
        <v>895</v>
      </c>
      <c r="X486" s="48">
        <f t="shared" si="45"/>
        <v>91.5</v>
      </c>
      <c r="Y486" s="49">
        <f t="shared" si="47"/>
        <v>2386.84</v>
      </c>
      <c r="Z486" s="50">
        <f t="shared" si="46"/>
        <v>2387</v>
      </c>
    </row>
    <row r="487" spans="1:26" x14ac:dyDescent="0.25">
      <c r="A487" s="29" t="s">
        <v>991</v>
      </c>
      <c r="B487" s="29" t="s">
        <v>79</v>
      </c>
      <c r="C487" s="29" t="s">
        <v>1024</v>
      </c>
      <c r="D487" s="29">
        <v>37828100</v>
      </c>
      <c r="E487" s="32" t="s">
        <v>1025</v>
      </c>
      <c r="F487" s="29">
        <v>162060</v>
      </c>
      <c r="G487" s="32" t="s">
        <v>100</v>
      </c>
      <c r="H487" s="32" t="s">
        <v>1005</v>
      </c>
      <c r="I487" s="33" t="s">
        <v>1063</v>
      </c>
      <c r="J487" s="42">
        <f>VLOOKUP(F487,[7]Hárok1!$F$438:$J$548,5,0)</f>
        <v>6</v>
      </c>
      <c r="K487" s="43">
        <f>VLOOKUP(F487,[7]Hárok1!$F$437:$S$548,6,0)</f>
        <v>0</v>
      </c>
      <c r="L487" s="43">
        <f>VLOOKUP(F487,[7]Hárok1!$F$437:$S$548,7,0)</f>
        <v>25</v>
      </c>
      <c r="M487" s="43">
        <f>VLOOKUP(F487,[7]Hárok1!$F$437:$S$548,8,0)</f>
        <v>0</v>
      </c>
      <c r="N487" s="43">
        <f>VLOOKUP(F487,[7]Hárok1!$F$437:$S$548,9,0)</f>
        <v>2</v>
      </c>
      <c r="O487" s="43">
        <f>VLOOKUP(F487,[7]Hárok1!$F$437:$S$548,10,0)</f>
        <v>6</v>
      </c>
      <c r="P487" s="44">
        <f>VLOOKUP(F487,[7]Hárok1!$F$437:$S$548,11,0)</f>
        <v>1</v>
      </c>
      <c r="Q487" s="42">
        <f>VLOOKUP(F487,[7]Hárok1!$F$437:$S$548,12,0)</f>
        <v>15</v>
      </c>
      <c r="R487" s="43">
        <f>VLOOKUP(F487,[7]Hárok1!$F$437:$S$548,13,0)</f>
        <v>206</v>
      </c>
      <c r="S487" s="44">
        <f>VLOOKUP(F487,[7]Hárok1!$F$437:$S$548,14,0)</f>
        <v>79</v>
      </c>
      <c r="T487" s="45">
        <f t="shared" si="42"/>
        <v>837.5</v>
      </c>
      <c r="U487" s="46">
        <f>VLOOKUP(F487,[7]Hárok1!$F$437:$U$548,16,0)</f>
        <v>48</v>
      </c>
      <c r="V487" s="47">
        <f t="shared" si="43"/>
        <v>49.5</v>
      </c>
      <c r="W487" s="47">
        <f t="shared" si="44"/>
        <v>493</v>
      </c>
      <c r="X487" s="48">
        <f t="shared" si="45"/>
        <v>145.5</v>
      </c>
      <c r="Y487" s="49">
        <f t="shared" si="47"/>
        <v>1573.5</v>
      </c>
      <c r="Z487" s="50">
        <f t="shared" si="46"/>
        <v>1574</v>
      </c>
    </row>
    <row r="488" spans="1:26" x14ac:dyDescent="0.25">
      <c r="A488" s="29" t="s">
        <v>991</v>
      </c>
      <c r="B488" s="29" t="s">
        <v>79</v>
      </c>
      <c r="C488" s="29" t="s">
        <v>1024</v>
      </c>
      <c r="D488" s="29">
        <v>37828100</v>
      </c>
      <c r="E488" s="32" t="s">
        <v>1025</v>
      </c>
      <c r="F488" s="29">
        <v>37890221</v>
      </c>
      <c r="G488" s="32" t="s">
        <v>1064</v>
      </c>
      <c r="H488" s="32" t="s">
        <v>1005</v>
      </c>
      <c r="I488" s="33" t="s">
        <v>1065</v>
      </c>
      <c r="J488" s="42">
        <f>VLOOKUP(F488,[7]Hárok1!$F$438:$J$548,5,0)</f>
        <v>11</v>
      </c>
      <c r="K488" s="43">
        <f>VLOOKUP(F488,[7]Hárok1!$F$437:$S$548,6,0)</f>
        <v>0</v>
      </c>
      <c r="L488" s="43">
        <f>VLOOKUP(F488,[7]Hárok1!$F$437:$S$548,7,0)</f>
        <v>36</v>
      </c>
      <c r="M488" s="43">
        <f>VLOOKUP(F488,[7]Hárok1!$F$437:$S$548,8,0)</f>
        <v>0</v>
      </c>
      <c r="N488" s="43">
        <f>VLOOKUP(F488,[7]Hárok1!$F$437:$S$548,9,0)</f>
        <v>1</v>
      </c>
      <c r="O488" s="43">
        <f>VLOOKUP(F488,[7]Hárok1!$F$437:$S$548,10,0)</f>
        <v>16</v>
      </c>
      <c r="P488" s="44">
        <f>VLOOKUP(F488,[7]Hárok1!$F$437:$S$548,11,0)</f>
        <v>2</v>
      </c>
      <c r="Q488" s="42">
        <f>VLOOKUP(F488,[7]Hárok1!$F$437:$S$548,12,0)</f>
        <v>2</v>
      </c>
      <c r="R488" s="43">
        <f>VLOOKUP(F488,[7]Hárok1!$F$437:$S$548,13,0)</f>
        <v>136</v>
      </c>
      <c r="S488" s="44">
        <f>VLOOKUP(F488,[7]Hárok1!$F$437:$S$548,14,0)</f>
        <v>60</v>
      </c>
      <c r="T488" s="45">
        <f t="shared" si="42"/>
        <v>1206</v>
      </c>
      <c r="U488" s="46">
        <f>VLOOKUP(F488,[7]Hárok1!$F$437:$U$548,16,0)</f>
        <v>105.8</v>
      </c>
      <c r="V488" s="47">
        <f t="shared" si="43"/>
        <v>16.5</v>
      </c>
      <c r="W488" s="47">
        <f t="shared" si="44"/>
        <v>488</v>
      </c>
      <c r="X488" s="48">
        <f t="shared" si="45"/>
        <v>144</v>
      </c>
      <c r="Y488" s="49">
        <f t="shared" si="47"/>
        <v>1960.3</v>
      </c>
      <c r="Z488" s="50">
        <f t="shared" si="46"/>
        <v>1960</v>
      </c>
    </row>
    <row r="489" spans="1:26" x14ac:dyDescent="0.25">
      <c r="A489" s="29" t="s">
        <v>991</v>
      </c>
      <c r="B489" s="29" t="s">
        <v>79</v>
      </c>
      <c r="C489" s="29" t="s">
        <v>1024</v>
      </c>
      <c r="D489" s="29">
        <v>37828100</v>
      </c>
      <c r="E489" s="32" t="s">
        <v>1025</v>
      </c>
      <c r="F489" s="29">
        <v>162809</v>
      </c>
      <c r="G489" s="32" t="s">
        <v>1066</v>
      </c>
      <c r="H489" s="32" t="s">
        <v>1005</v>
      </c>
      <c r="I489" s="33" t="s">
        <v>1067</v>
      </c>
      <c r="J489" s="42">
        <f>VLOOKUP(F489,[7]Hárok1!$F$438:$J$548,5,0)</f>
        <v>20</v>
      </c>
      <c r="K489" s="43">
        <f>VLOOKUP(F489,[7]Hárok1!$F$437:$S$548,6,0)</f>
        <v>0</v>
      </c>
      <c r="L489" s="43">
        <f>VLOOKUP(F489,[7]Hárok1!$F$437:$S$548,7,0)</f>
        <v>71</v>
      </c>
      <c r="M489" s="43">
        <f>VLOOKUP(F489,[7]Hárok1!$F$437:$S$548,8,0)</f>
        <v>0</v>
      </c>
      <c r="N489" s="43">
        <f>VLOOKUP(F489,[7]Hárok1!$F$437:$S$548,9,0)</f>
        <v>0</v>
      </c>
      <c r="O489" s="43">
        <f>VLOOKUP(F489,[7]Hárok1!$F$437:$S$548,10,0)</f>
        <v>21</v>
      </c>
      <c r="P489" s="44">
        <f>VLOOKUP(F489,[7]Hárok1!$F$437:$S$548,11,0)</f>
        <v>3</v>
      </c>
      <c r="Q489" s="42">
        <f>VLOOKUP(F489,[7]Hárok1!$F$437:$S$548,12,0)</f>
        <v>0</v>
      </c>
      <c r="R489" s="43">
        <f>VLOOKUP(F489,[7]Hárok1!$F$437:$S$548,13,0)</f>
        <v>700</v>
      </c>
      <c r="S489" s="44">
        <f>VLOOKUP(F489,[7]Hárok1!$F$437:$S$548,14,0)</f>
        <v>133</v>
      </c>
      <c r="T489" s="45">
        <f t="shared" si="42"/>
        <v>2378.5</v>
      </c>
      <c r="U489" s="46">
        <f>VLOOKUP(F489,[7]Hárok1!$F$437:$U$548,16,0)</f>
        <v>2713.1</v>
      </c>
      <c r="V489" s="47">
        <f t="shared" si="43"/>
        <v>0</v>
      </c>
      <c r="W489" s="47">
        <f t="shared" si="44"/>
        <v>1683.5</v>
      </c>
      <c r="X489" s="48">
        <f t="shared" si="45"/>
        <v>280.5</v>
      </c>
      <c r="Y489" s="49">
        <f t="shared" si="47"/>
        <v>7055.6</v>
      </c>
      <c r="Z489" s="50">
        <f t="shared" si="46"/>
        <v>7056</v>
      </c>
    </row>
    <row r="490" spans="1:26" x14ac:dyDescent="0.25">
      <c r="A490" s="29" t="s">
        <v>991</v>
      </c>
      <c r="B490" s="29" t="s">
        <v>79</v>
      </c>
      <c r="C490" s="29" t="s">
        <v>1024</v>
      </c>
      <c r="D490" s="29">
        <v>37828100</v>
      </c>
      <c r="E490" s="32" t="s">
        <v>1025</v>
      </c>
      <c r="F490" s="29">
        <v>893307</v>
      </c>
      <c r="G490" s="32" t="s">
        <v>154</v>
      </c>
      <c r="H490" s="32" t="s">
        <v>1005</v>
      </c>
      <c r="I490" s="33" t="s">
        <v>1068</v>
      </c>
      <c r="J490" s="42">
        <f>VLOOKUP(F490,[7]Hárok1!$F$438:$J$548,5,0)</f>
        <v>13</v>
      </c>
      <c r="K490" s="43">
        <f>VLOOKUP(F490,[7]Hárok1!$F$437:$S$548,6,0)</f>
        <v>0</v>
      </c>
      <c r="L490" s="43">
        <f>VLOOKUP(F490,[7]Hárok1!$F$437:$S$548,7,0)</f>
        <v>44</v>
      </c>
      <c r="M490" s="43">
        <f>VLOOKUP(F490,[7]Hárok1!$F$437:$S$548,8,0)</f>
        <v>0</v>
      </c>
      <c r="N490" s="43">
        <f>VLOOKUP(F490,[7]Hárok1!$F$437:$S$548,9,0)</f>
        <v>0</v>
      </c>
      <c r="O490" s="43">
        <f>VLOOKUP(F490,[7]Hárok1!$F$437:$S$548,10,0)</f>
        <v>23</v>
      </c>
      <c r="P490" s="44">
        <f>VLOOKUP(F490,[7]Hárok1!$F$437:$S$548,11,0)</f>
        <v>1</v>
      </c>
      <c r="Q490" s="42">
        <f>VLOOKUP(F490,[7]Hárok1!$F$437:$S$548,12,0)</f>
        <v>0</v>
      </c>
      <c r="R490" s="43">
        <f>VLOOKUP(F490,[7]Hárok1!$F$437:$S$548,13,0)</f>
        <v>337</v>
      </c>
      <c r="S490" s="44">
        <f>VLOOKUP(F490,[7]Hárok1!$F$437:$S$548,14,0)</f>
        <v>34</v>
      </c>
      <c r="T490" s="45">
        <f t="shared" si="42"/>
        <v>1474</v>
      </c>
      <c r="U490" s="46">
        <f>VLOOKUP(F490,[7]Hárok1!$F$437:$U$548,16,0)</f>
        <v>311.5</v>
      </c>
      <c r="V490" s="47">
        <f t="shared" si="43"/>
        <v>0</v>
      </c>
      <c r="W490" s="47">
        <f t="shared" si="44"/>
        <v>984.5</v>
      </c>
      <c r="X490" s="48">
        <f t="shared" si="45"/>
        <v>78</v>
      </c>
      <c r="Y490" s="49">
        <f t="shared" si="47"/>
        <v>2848</v>
      </c>
      <c r="Z490" s="50">
        <f t="shared" si="46"/>
        <v>2848</v>
      </c>
    </row>
    <row r="491" spans="1:26" x14ac:dyDescent="0.25">
      <c r="A491" s="29" t="s">
        <v>991</v>
      </c>
      <c r="B491" s="29" t="s">
        <v>79</v>
      </c>
      <c r="C491" s="29" t="s">
        <v>1024</v>
      </c>
      <c r="D491" s="29">
        <v>37828100</v>
      </c>
      <c r="E491" s="32" t="s">
        <v>1025</v>
      </c>
      <c r="F491" s="29">
        <v>161560</v>
      </c>
      <c r="G491" s="32" t="s">
        <v>1069</v>
      </c>
      <c r="H491" s="32" t="s">
        <v>1005</v>
      </c>
      <c r="I491" s="33" t="s">
        <v>1070</v>
      </c>
      <c r="J491" s="42">
        <f>VLOOKUP(F491,[7]Hárok1!$F$438:$J$548,5,0)</f>
        <v>6</v>
      </c>
      <c r="K491" s="43">
        <f>VLOOKUP(F491,[7]Hárok1!$F$437:$S$548,6,0)</f>
        <v>2</v>
      </c>
      <c r="L491" s="43">
        <f>VLOOKUP(F491,[7]Hárok1!$F$437:$S$548,7,0)</f>
        <v>24</v>
      </c>
      <c r="M491" s="43">
        <f>VLOOKUP(F491,[7]Hárok1!$F$437:$S$548,8,0)</f>
        <v>6</v>
      </c>
      <c r="N491" s="43">
        <f>VLOOKUP(F491,[7]Hárok1!$F$437:$S$548,9,0)</f>
        <v>4</v>
      </c>
      <c r="O491" s="43">
        <f>VLOOKUP(F491,[7]Hárok1!$F$437:$S$548,10,0)</f>
        <v>8</v>
      </c>
      <c r="P491" s="44">
        <f>VLOOKUP(F491,[7]Hárok1!$F$437:$S$548,11,0)</f>
        <v>1</v>
      </c>
      <c r="Q491" s="42">
        <f>VLOOKUP(F491,[7]Hárok1!$F$437:$S$548,12,0)</f>
        <v>69</v>
      </c>
      <c r="R491" s="43">
        <f>VLOOKUP(F491,[7]Hárok1!$F$437:$S$548,13,0)</f>
        <v>197</v>
      </c>
      <c r="S491" s="44">
        <f>VLOOKUP(F491,[7]Hárok1!$F$437:$S$548,14,0)</f>
        <v>46</v>
      </c>
      <c r="T491" s="45">
        <f t="shared" si="42"/>
        <v>804</v>
      </c>
      <c r="U491" s="46">
        <f>VLOOKUP(F491,[7]Hárok1!$F$437:$U$548,16,0)</f>
        <v>165.4</v>
      </c>
      <c r="V491" s="47">
        <f t="shared" si="43"/>
        <v>157.5</v>
      </c>
      <c r="W491" s="47">
        <f t="shared" si="44"/>
        <v>502</v>
      </c>
      <c r="X491" s="48">
        <f t="shared" si="45"/>
        <v>96</v>
      </c>
      <c r="Y491" s="49">
        <f t="shared" si="47"/>
        <v>1724.9</v>
      </c>
      <c r="Z491" s="50">
        <f t="shared" si="46"/>
        <v>1725</v>
      </c>
    </row>
    <row r="492" spans="1:26" x14ac:dyDescent="0.25">
      <c r="A492" s="29" t="s">
        <v>991</v>
      </c>
      <c r="B492" s="29" t="s">
        <v>79</v>
      </c>
      <c r="C492" s="29" t="s">
        <v>1024</v>
      </c>
      <c r="D492" s="29">
        <v>37828100</v>
      </c>
      <c r="E492" s="32" t="s">
        <v>1025</v>
      </c>
      <c r="F492" s="29">
        <v>607029</v>
      </c>
      <c r="G492" s="32" t="s">
        <v>117</v>
      </c>
      <c r="H492" s="32" t="s">
        <v>1005</v>
      </c>
      <c r="I492" s="33" t="s">
        <v>1071</v>
      </c>
      <c r="J492" s="42">
        <f>VLOOKUP(F492,[7]Hárok1!$F$438:$J$548,5,0)</f>
        <v>3</v>
      </c>
      <c r="K492" s="43">
        <f>VLOOKUP(F492,[7]Hárok1!$F$437:$S$548,6,0)</f>
        <v>2</v>
      </c>
      <c r="L492" s="43">
        <f>VLOOKUP(F492,[7]Hárok1!$F$437:$S$548,7,0)</f>
        <v>18</v>
      </c>
      <c r="M492" s="43">
        <f>VLOOKUP(F492,[7]Hárok1!$F$437:$S$548,8,0)</f>
        <v>4</v>
      </c>
      <c r="N492" s="43">
        <f>VLOOKUP(F492,[7]Hárok1!$F$437:$S$548,9,0)</f>
        <v>3</v>
      </c>
      <c r="O492" s="43">
        <f>VLOOKUP(F492,[7]Hárok1!$F$437:$S$548,10,0)</f>
        <v>8</v>
      </c>
      <c r="P492" s="44">
        <f>VLOOKUP(F492,[7]Hárok1!$F$437:$S$548,11,0)</f>
        <v>0</v>
      </c>
      <c r="Q492" s="42">
        <f>VLOOKUP(F492,[7]Hárok1!$F$437:$S$548,12,0)</f>
        <v>84</v>
      </c>
      <c r="R492" s="43">
        <f>VLOOKUP(F492,[7]Hárok1!$F$437:$S$548,13,0)</f>
        <v>156</v>
      </c>
      <c r="S492" s="44">
        <f>VLOOKUP(F492,[7]Hárok1!$F$437:$S$548,14,0)</f>
        <v>0</v>
      </c>
      <c r="T492" s="45">
        <f t="shared" si="42"/>
        <v>603</v>
      </c>
      <c r="U492" s="46">
        <f>VLOOKUP(F492,[7]Hárok1!$F$437:$U$548,16,0)</f>
        <v>216.95</v>
      </c>
      <c r="V492" s="47">
        <f t="shared" si="43"/>
        <v>166.5</v>
      </c>
      <c r="W492" s="47">
        <f t="shared" si="44"/>
        <v>420</v>
      </c>
      <c r="X492" s="48">
        <f t="shared" si="45"/>
        <v>0</v>
      </c>
      <c r="Y492" s="49">
        <f t="shared" si="47"/>
        <v>1406.45</v>
      </c>
      <c r="Z492" s="50">
        <f t="shared" si="46"/>
        <v>1406</v>
      </c>
    </row>
    <row r="493" spans="1:26" x14ac:dyDescent="0.25">
      <c r="A493" s="29" t="s">
        <v>991</v>
      </c>
      <c r="B493" s="29" t="s">
        <v>79</v>
      </c>
      <c r="C493" s="29" t="s">
        <v>1024</v>
      </c>
      <c r="D493" s="29">
        <v>37828100</v>
      </c>
      <c r="E493" s="32" t="s">
        <v>1025</v>
      </c>
      <c r="F493" s="29">
        <v>42195462</v>
      </c>
      <c r="G493" s="32" t="s">
        <v>52</v>
      </c>
      <c r="H493" s="32" t="s">
        <v>1072</v>
      </c>
      <c r="I493" s="33" t="s">
        <v>1073</v>
      </c>
      <c r="J493" s="42">
        <f>VLOOKUP(F493,[7]Hárok1!$F$438:$J$548,5,0)</f>
        <v>11</v>
      </c>
      <c r="K493" s="43">
        <f>VLOOKUP(F493,[7]Hárok1!$F$437:$S$548,6,0)</f>
        <v>0</v>
      </c>
      <c r="L493" s="43">
        <f>VLOOKUP(F493,[7]Hárok1!$F$437:$S$548,7,0)</f>
        <v>30</v>
      </c>
      <c r="M493" s="43">
        <f>VLOOKUP(F493,[7]Hárok1!$F$437:$S$548,8,0)</f>
        <v>0</v>
      </c>
      <c r="N493" s="43">
        <f>VLOOKUP(F493,[7]Hárok1!$F$437:$S$548,9,0)</f>
        <v>0</v>
      </c>
      <c r="O493" s="43">
        <f>VLOOKUP(F493,[7]Hárok1!$F$437:$S$548,10,0)</f>
        <v>24</v>
      </c>
      <c r="P493" s="44">
        <f>VLOOKUP(F493,[7]Hárok1!$F$437:$S$548,11,0)</f>
        <v>0</v>
      </c>
      <c r="Q493" s="42">
        <f>VLOOKUP(F493,[7]Hárok1!$F$437:$S$548,12,0)</f>
        <v>0</v>
      </c>
      <c r="R493" s="43">
        <f>VLOOKUP(F493,[7]Hárok1!$F$437:$S$548,13,0)</f>
        <v>218</v>
      </c>
      <c r="S493" s="44">
        <f>VLOOKUP(F493,[7]Hárok1!$F$437:$S$548,14,0)</f>
        <v>0</v>
      </c>
      <c r="T493" s="45">
        <f t="shared" si="42"/>
        <v>1005</v>
      </c>
      <c r="U493" s="46">
        <f>VLOOKUP(F493,[7]Hárok1!$F$437:$U$548,16,0)</f>
        <v>123.6</v>
      </c>
      <c r="V493" s="47">
        <f t="shared" si="43"/>
        <v>0</v>
      </c>
      <c r="W493" s="47">
        <f t="shared" si="44"/>
        <v>760</v>
      </c>
      <c r="X493" s="48">
        <f t="shared" si="45"/>
        <v>0</v>
      </c>
      <c r="Y493" s="49">
        <f t="shared" si="47"/>
        <v>1888.6</v>
      </c>
      <c r="Z493" s="50">
        <f t="shared" si="46"/>
        <v>1889</v>
      </c>
    </row>
    <row r="494" spans="1:26" x14ac:dyDescent="0.25">
      <c r="A494" s="29" t="s">
        <v>991</v>
      </c>
      <c r="B494" s="29" t="s">
        <v>79</v>
      </c>
      <c r="C494" s="29" t="s">
        <v>1024</v>
      </c>
      <c r="D494" s="29">
        <v>37828100</v>
      </c>
      <c r="E494" s="32" t="s">
        <v>1025</v>
      </c>
      <c r="F494" s="29">
        <v>161136</v>
      </c>
      <c r="G494" s="32" t="s">
        <v>1074</v>
      </c>
      <c r="H494" s="32" t="s">
        <v>1075</v>
      </c>
      <c r="I494" s="33" t="s">
        <v>1076</v>
      </c>
      <c r="J494" s="42">
        <f>VLOOKUP(F494,[7]Hárok1!$F$438:$J$548,5,0)</f>
        <v>9</v>
      </c>
      <c r="K494" s="43">
        <f>VLOOKUP(F494,[7]Hárok1!$F$437:$S$548,6,0)</f>
        <v>0</v>
      </c>
      <c r="L494" s="43">
        <f>VLOOKUP(F494,[7]Hárok1!$F$437:$S$548,7,0)</f>
        <v>26</v>
      </c>
      <c r="M494" s="43">
        <f>VLOOKUP(F494,[7]Hárok1!$F$437:$S$548,8,0)</f>
        <v>0</v>
      </c>
      <c r="N494" s="43">
        <f>VLOOKUP(F494,[7]Hárok1!$F$437:$S$548,9,0)</f>
        <v>6</v>
      </c>
      <c r="O494" s="43">
        <f>VLOOKUP(F494,[7]Hárok1!$F$437:$S$548,10,0)</f>
        <v>14</v>
      </c>
      <c r="P494" s="44">
        <f>VLOOKUP(F494,[7]Hárok1!$F$437:$S$548,11,0)</f>
        <v>1</v>
      </c>
      <c r="Q494" s="42">
        <f>VLOOKUP(F494,[7]Hárok1!$F$437:$S$548,12,0)</f>
        <v>13</v>
      </c>
      <c r="R494" s="43">
        <f>VLOOKUP(F494,[7]Hárok1!$F$437:$S$548,13,0)</f>
        <v>145</v>
      </c>
      <c r="S494" s="44">
        <f>VLOOKUP(F494,[7]Hárok1!$F$437:$S$548,14,0)</f>
        <v>64</v>
      </c>
      <c r="T494" s="45">
        <f t="shared" si="42"/>
        <v>871</v>
      </c>
      <c r="U494" s="46">
        <f>VLOOKUP(F494,[7]Hárok1!$F$437:$U$548,16,0)</f>
        <v>152.4</v>
      </c>
      <c r="V494" s="47">
        <f t="shared" si="43"/>
        <v>100.5</v>
      </c>
      <c r="W494" s="47">
        <f t="shared" si="44"/>
        <v>479</v>
      </c>
      <c r="X494" s="48">
        <f t="shared" si="45"/>
        <v>123</v>
      </c>
      <c r="Y494" s="49">
        <f t="shared" si="47"/>
        <v>1725.9</v>
      </c>
      <c r="Z494" s="50">
        <f t="shared" si="46"/>
        <v>1726</v>
      </c>
    </row>
    <row r="495" spans="1:26" x14ac:dyDescent="0.25">
      <c r="A495" s="29" t="s">
        <v>991</v>
      </c>
      <c r="B495" s="29" t="s">
        <v>79</v>
      </c>
      <c r="C495" s="29" t="s">
        <v>1024</v>
      </c>
      <c r="D495" s="29">
        <v>37828100</v>
      </c>
      <c r="E495" s="32" t="s">
        <v>1025</v>
      </c>
      <c r="F495" s="29">
        <v>37890182</v>
      </c>
      <c r="G495" s="32" t="s">
        <v>575</v>
      </c>
      <c r="H495" s="32" t="s">
        <v>1075</v>
      </c>
      <c r="I495" s="33" t="s">
        <v>1077</v>
      </c>
      <c r="J495" s="42">
        <f>VLOOKUP(F495,[7]Hárok1!$F$438:$J$548,5,0)</f>
        <v>8</v>
      </c>
      <c r="K495" s="43">
        <f>VLOOKUP(F495,[7]Hárok1!$F$437:$S$548,6,0)</f>
        <v>6</v>
      </c>
      <c r="L495" s="43">
        <f>VLOOKUP(F495,[7]Hárok1!$F$437:$S$548,7,0)</f>
        <v>28</v>
      </c>
      <c r="M495" s="43">
        <f>VLOOKUP(F495,[7]Hárok1!$F$437:$S$548,8,0)</f>
        <v>12</v>
      </c>
      <c r="N495" s="43">
        <f>VLOOKUP(F495,[7]Hárok1!$F$437:$S$548,9,0)</f>
        <v>15</v>
      </c>
      <c r="O495" s="43">
        <f>VLOOKUP(F495,[7]Hárok1!$F$437:$S$548,10,0)</f>
        <v>14</v>
      </c>
      <c r="P495" s="44">
        <f>VLOOKUP(F495,[7]Hárok1!$F$437:$S$548,11,0)</f>
        <v>1</v>
      </c>
      <c r="Q495" s="42">
        <f>VLOOKUP(F495,[7]Hárok1!$F$437:$S$548,12,0)</f>
        <v>157</v>
      </c>
      <c r="R495" s="43">
        <f>VLOOKUP(F495,[7]Hárok1!$F$437:$S$548,13,0)</f>
        <v>117</v>
      </c>
      <c r="S495" s="44">
        <f>VLOOKUP(F495,[7]Hárok1!$F$437:$S$548,14,0)</f>
        <v>17</v>
      </c>
      <c r="T495" s="45">
        <f t="shared" si="42"/>
        <v>938</v>
      </c>
      <c r="U495" s="46">
        <f>VLOOKUP(F495,[7]Hárok1!$F$437:$U$548,16,0)</f>
        <v>210.7</v>
      </c>
      <c r="V495" s="47">
        <f t="shared" si="43"/>
        <v>438</v>
      </c>
      <c r="W495" s="47">
        <f t="shared" si="44"/>
        <v>423</v>
      </c>
      <c r="X495" s="48">
        <f t="shared" si="45"/>
        <v>52.5</v>
      </c>
      <c r="Y495" s="49">
        <f t="shared" si="47"/>
        <v>2062.1999999999998</v>
      </c>
      <c r="Z495" s="50">
        <f t="shared" si="46"/>
        <v>2062</v>
      </c>
    </row>
    <row r="496" spans="1:26" x14ac:dyDescent="0.25">
      <c r="A496" s="29" t="s">
        <v>991</v>
      </c>
      <c r="B496" s="29" t="s">
        <v>79</v>
      </c>
      <c r="C496" s="29" t="s">
        <v>1024</v>
      </c>
      <c r="D496" s="29">
        <v>37828100</v>
      </c>
      <c r="E496" s="32" t="s">
        <v>1025</v>
      </c>
      <c r="F496" s="29">
        <v>894818</v>
      </c>
      <c r="G496" s="32" t="s">
        <v>1059</v>
      </c>
      <c r="H496" s="32" t="s">
        <v>1010</v>
      </c>
      <c r="I496" s="33" t="s">
        <v>1078</v>
      </c>
      <c r="J496" s="42">
        <f>VLOOKUP(F496,[7]Hárok1!$F$438:$J$548,5,0)</f>
        <v>7</v>
      </c>
      <c r="K496" s="43">
        <f>VLOOKUP(F496,[7]Hárok1!$F$437:$S$548,6,0)</f>
        <v>0</v>
      </c>
      <c r="L496" s="43">
        <f>VLOOKUP(F496,[7]Hárok1!$F$437:$S$548,7,0)</f>
        <v>33</v>
      </c>
      <c r="M496" s="43">
        <f>VLOOKUP(F496,[7]Hárok1!$F$437:$S$548,8,0)</f>
        <v>0</v>
      </c>
      <c r="N496" s="43">
        <f>VLOOKUP(F496,[7]Hárok1!$F$437:$S$548,9,0)</f>
        <v>1</v>
      </c>
      <c r="O496" s="43">
        <f>VLOOKUP(F496,[7]Hárok1!$F$437:$S$548,10,0)</f>
        <v>14</v>
      </c>
      <c r="P496" s="44">
        <f>VLOOKUP(F496,[7]Hárok1!$F$437:$S$548,11,0)</f>
        <v>1</v>
      </c>
      <c r="Q496" s="42">
        <f>VLOOKUP(F496,[7]Hárok1!$F$437:$S$548,12,0)</f>
        <v>6</v>
      </c>
      <c r="R496" s="43">
        <f>VLOOKUP(F496,[7]Hárok1!$F$437:$S$548,13,0)</f>
        <v>125</v>
      </c>
      <c r="S496" s="44">
        <f>VLOOKUP(F496,[7]Hárok1!$F$437:$S$548,14,0)</f>
        <v>32</v>
      </c>
      <c r="T496" s="45">
        <f t="shared" si="42"/>
        <v>1105.5</v>
      </c>
      <c r="U496" s="46">
        <f>VLOOKUP(F496,[7]Hárok1!$F$437:$U$548,16,0)</f>
        <v>361.4</v>
      </c>
      <c r="V496" s="47">
        <f t="shared" si="43"/>
        <v>22.5</v>
      </c>
      <c r="W496" s="47">
        <f t="shared" si="44"/>
        <v>439</v>
      </c>
      <c r="X496" s="48">
        <f t="shared" si="45"/>
        <v>75</v>
      </c>
      <c r="Y496" s="49">
        <f t="shared" si="47"/>
        <v>2003.4</v>
      </c>
      <c r="Z496" s="50">
        <f t="shared" si="46"/>
        <v>2003</v>
      </c>
    </row>
    <row r="497" spans="1:26" x14ac:dyDescent="0.25">
      <c r="A497" s="29" t="s">
        <v>991</v>
      </c>
      <c r="B497" s="29" t="s">
        <v>79</v>
      </c>
      <c r="C497" s="29" t="s">
        <v>1024</v>
      </c>
      <c r="D497" s="29">
        <v>37828100</v>
      </c>
      <c r="E497" s="32" t="s">
        <v>1025</v>
      </c>
      <c r="F497" s="29">
        <v>160610</v>
      </c>
      <c r="G497" s="32" t="s">
        <v>1079</v>
      </c>
      <c r="H497" s="32" t="s">
        <v>355</v>
      </c>
      <c r="I497" s="33" t="s">
        <v>1080</v>
      </c>
      <c r="J497" s="42">
        <f>VLOOKUP(F497,[7]Hárok1!$F$438:$J$548,5,0)</f>
        <v>0</v>
      </c>
      <c r="K497" s="43">
        <f>VLOOKUP(F497,[7]Hárok1!$F$437:$S$548,6,0)</f>
        <v>0</v>
      </c>
      <c r="L497" s="43">
        <f>VLOOKUP(F497,[7]Hárok1!$F$437:$S$548,7,0)</f>
        <v>0</v>
      </c>
      <c r="M497" s="43">
        <f>VLOOKUP(F497,[7]Hárok1!$F$437:$S$548,8,0)</f>
        <v>0</v>
      </c>
      <c r="N497" s="43">
        <f>VLOOKUP(F497,[7]Hárok1!$F$437:$S$548,9,0)</f>
        <v>0</v>
      </c>
      <c r="O497" s="43">
        <f>VLOOKUP(F497,[7]Hárok1!$F$437:$S$548,10,0)</f>
        <v>0</v>
      </c>
      <c r="P497" s="44">
        <f>VLOOKUP(F497,[7]Hárok1!$F$437:$S$548,11,0)</f>
        <v>0</v>
      </c>
      <c r="Q497" s="42">
        <f>VLOOKUP(F497,[7]Hárok1!$F$437:$S$548,12,0)</f>
        <v>0</v>
      </c>
      <c r="R497" s="43">
        <f>VLOOKUP(F497,[7]Hárok1!$F$437:$S$548,13,0)</f>
        <v>0</v>
      </c>
      <c r="S497" s="44">
        <f>VLOOKUP(F497,[7]Hárok1!$F$437:$S$548,14,0)</f>
        <v>0</v>
      </c>
      <c r="T497" s="45">
        <f t="shared" si="42"/>
        <v>0</v>
      </c>
      <c r="U497" s="46">
        <f>VLOOKUP(F497,[7]Hárok1!$F$437:$U$548,16,0)</f>
        <v>0</v>
      </c>
      <c r="V497" s="47">
        <f t="shared" si="43"/>
        <v>0</v>
      </c>
      <c r="W497" s="47">
        <f t="shared" si="44"/>
        <v>0</v>
      </c>
      <c r="X497" s="48">
        <f t="shared" si="45"/>
        <v>0</v>
      </c>
      <c r="Y497" s="49">
        <f t="shared" si="47"/>
        <v>0</v>
      </c>
      <c r="Z497" s="50">
        <f t="shared" si="46"/>
        <v>0</v>
      </c>
    </row>
    <row r="498" spans="1:26" x14ac:dyDescent="0.25">
      <c r="A498" s="29" t="s">
        <v>991</v>
      </c>
      <c r="B498" s="29" t="s">
        <v>79</v>
      </c>
      <c r="C498" s="29" t="s">
        <v>1024</v>
      </c>
      <c r="D498" s="29">
        <v>37828100</v>
      </c>
      <c r="E498" s="32" t="s">
        <v>1025</v>
      </c>
      <c r="F498" s="29">
        <v>37956230</v>
      </c>
      <c r="G498" s="32" t="s">
        <v>575</v>
      </c>
      <c r="H498" s="32" t="s">
        <v>355</v>
      </c>
      <c r="I498" s="33" t="s">
        <v>1081</v>
      </c>
      <c r="J498" s="42">
        <f>VLOOKUP(F498,[7]Hárok1!$F$438:$J$548,5,0)</f>
        <v>4</v>
      </c>
      <c r="K498" s="43">
        <f>VLOOKUP(F498,[7]Hárok1!$F$437:$S$548,6,0)</f>
        <v>0</v>
      </c>
      <c r="L498" s="43">
        <f>VLOOKUP(F498,[7]Hárok1!$F$437:$S$548,7,0)</f>
        <v>9</v>
      </c>
      <c r="M498" s="43">
        <f>VLOOKUP(F498,[7]Hárok1!$F$437:$S$548,8,0)</f>
        <v>0</v>
      </c>
      <c r="N498" s="43">
        <f>VLOOKUP(F498,[7]Hárok1!$F$437:$S$548,9,0)</f>
        <v>1</v>
      </c>
      <c r="O498" s="43">
        <f>VLOOKUP(F498,[7]Hárok1!$F$437:$S$548,10,0)</f>
        <v>5</v>
      </c>
      <c r="P498" s="44">
        <f>VLOOKUP(F498,[7]Hárok1!$F$437:$S$548,11,0)</f>
        <v>0</v>
      </c>
      <c r="Q498" s="42">
        <f>VLOOKUP(F498,[7]Hárok1!$F$437:$S$548,12,0)</f>
        <v>9</v>
      </c>
      <c r="R498" s="43">
        <f>VLOOKUP(F498,[7]Hárok1!$F$437:$S$548,13,0)</f>
        <v>40</v>
      </c>
      <c r="S498" s="44">
        <f>VLOOKUP(F498,[7]Hárok1!$F$437:$S$548,14,0)</f>
        <v>0</v>
      </c>
      <c r="T498" s="45">
        <f t="shared" si="42"/>
        <v>301.5</v>
      </c>
      <c r="U498" s="46">
        <f>VLOOKUP(F498,[7]Hárok1!$F$437:$U$548,16,0)</f>
        <v>100.4</v>
      </c>
      <c r="V498" s="47">
        <f t="shared" si="43"/>
        <v>27</v>
      </c>
      <c r="W498" s="47">
        <f t="shared" si="44"/>
        <v>147.5</v>
      </c>
      <c r="X498" s="48">
        <f t="shared" si="45"/>
        <v>0</v>
      </c>
      <c r="Y498" s="49">
        <f t="shared" si="47"/>
        <v>576.4</v>
      </c>
      <c r="Z498" s="50">
        <f t="shared" si="46"/>
        <v>576</v>
      </c>
    </row>
    <row r="499" spans="1:26" x14ac:dyDescent="0.25">
      <c r="A499" s="29" t="s">
        <v>991</v>
      </c>
      <c r="B499" s="29" t="s">
        <v>79</v>
      </c>
      <c r="C499" s="29" t="s">
        <v>1024</v>
      </c>
      <c r="D499" s="29">
        <v>37828100</v>
      </c>
      <c r="E499" s="32" t="s">
        <v>1025</v>
      </c>
      <c r="F499" s="29">
        <v>160784</v>
      </c>
      <c r="G499" s="32" t="s">
        <v>1082</v>
      </c>
      <c r="H499" s="32" t="s">
        <v>777</v>
      </c>
      <c r="I499" s="33" t="s">
        <v>1083</v>
      </c>
      <c r="J499" s="42">
        <f>VLOOKUP(F499,[7]Hárok1!$F$438:$J$548,5,0)</f>
        <v>7</v>
      </c>
      <c r="K499" s="43">
        <f>VLOOKUP(F499,[7]Hárok1!$F$437:$S$548,6,0)</f>
        <v>0</v>
      </c>
      <c r="L499" s="43">
        <f>VLOOKUP(F499,[7]Hárok1!$F$437:$S$548,7,0)</f>
        <v>23</v>
      </c>
      <c r="M499" s="43">
        <f>VLOOKUP(F499,[7]Hárok1!$F$437:$S$548,8,0)</f>
        <v>0</v>
      </c>
      <c r="N499" s="43">
        <f>VLOOKUP(F499,[7]Hárok1!$F$437:$S$548,9,0)</f>
        <v>0</v>
      </c>
      <c r="O499" s="43">
        <f>VLOOKUP(F499,[7]Hárok1!$F$437:$S$548,10,0)</f>
        <v>13</v>
      </c>
      <c r="P499" s="44">
        <f>VLOOKUP(F499,[7]Hárok1!$F$437:$S$548,11,0)</f>
        <v>1</v>
      </c>
      <c r="Q499" s="42">
        <f>VLOOKUP(F499,[7]Hárok1!$F$437:$S$548,12,0)</f>
        <v>0</v>
      </c>
      <c r="R499" s="43">
        <f>VLOOKUP(F499,[7]Hárok1!$F$437:$S$548,13,0)</f>
        <v>151</v>
      </c>
      <c r="S499" s="44">
        <f>VLOOKUP(F499,[7]Hárok1!$F$437:$S$548,14,0)</f>
        <v>28</v>
      </c>
      <c r="T499" s="45">
        <f t="shared" si="42"/>
        <v>770.5</v>
      </c>
      <c r="U499" s="46">
        <f>VLOOKUP(F499,[7]Hárok1!$F$437:$U$548,16,0)</f>
        <v>148.80000000000001</v>
      </c>
      <c r="V499" s="47">
        <f t="shared" si="43"/>
        <v>0</v>
      </c>
      <c r="W499" s="47">
        <f t="shared" si="44"/>
        <v>477.5</v>
      </c>
      <c r="X499" s="48">
        <f t="shared" si="45"/>
        <v>69</v>
      </c>
      <c r="Y499" s="49">
        <f t="shared" si="47"/>
        <v>1465.8</v>
      </c>
      <c r="Z499" s="50">
        <f t="shared" si="46"/>
        <v>1466</v>
      </c>
    </row>
    <row r="500" spans="1:26" x14ac:dyDescent="0.25">
      <c r="A500" s="29" t="s">
        <v>991</v>
      </c>
      <c r="B500" s="29" t="s">
        <v>79</v>
      </c>
      <c r="C500" s="29" t="s">
        <v>1024</v>
      </c>
      <c r="D500" s="29">
        <v>37828100</v>
      </c>
      <c r="E500" s="32" t="s">
        <v>1025</v>
      </c>
      <c r="F500" s="29">
        <v>162108</v>
      </c>
      <c r="G500" s="32" t="s">
        <v>395</v>
      </c>
      <c r="H500" s="32" t="s">
        <v>777</v>
      </c>
      <c r="I500" s="33" t="s">
        <v>1084</v>
      </c>
      <c r="J500" s="42">
        <f>VLOOKUP(F500,[7]Hárok1!$F$438:$J$548,5,0)</f>
        <v>7</v>
      </c>
      <c r="K500" s="43">
        <f>VLOOKUP(F500,[7]Hárok1!$F$437:$S$548,6,0)</f>
        <v>0</v>
      </c>
      <c r="L500" s="43">
        <f>VLOOKUP(F500,[7]Hárok1!$F$437:$S$548,7,0)</f>
        <v>36</v>
      </c>
      <c r="M500" s="43">
        <f>VLOOKUP(F500,[7]Hárok1!$F$437:$S$548,8,0)</f>
        <v>0</v>
      </c>
      <c r="N500" s="43">
        <f>VLOOKUP(F500,[7]Hárok1!$F$437:$S$548,9,0)</f>
        <v>2</v>
      </c>
      <c r="O500" s="43">
        <f>VLOOKUP(F500,[7]Hárok1!$F$437:$S$548,10,0)</f>
        <v>15</v>
      </c>
      <c r="P500" s="44">
        <f>VLOOKUP(F500,[7]Hárok1!$F$437:$S$548,11,0)</f>
        <v>1</v>
      </c>
      <c r="Q500" s="42">
        <f>VLOOKUP(F500,[7]Hárok1!$F$437:$S$548,12,0)</f>
        <v>14</v>
      </c>
      <c r="R500" s="43">
        <f>VLOOKUP(F500,[7]Hárok1!$F$437:$S$548,13,0)</f>
        <v>220</v>
      </c>
      <c r="S500" s="44">
        <f>VLOOKUP(F500,[7]Hárok1!$F$437:$S$548,14,0)</f>
        <v>37</v>
      </c>
      <c r="T500" s="45">
        <f t="shared" si="42"/>
        <v>1206</v>
      </c>
      <c r="U500" s="46">
        <f>VLOOKUP(F500,[7]Hárok1!$F$437:$U$548,16,0)</f>
        <v>66.3</v>
      </c>
      <c r="V500" s="47">
        <f t="shared" si="43"/>
        <v>48</v>
      </c>
      <c r="W500" s="47">
        <f t="shared" si="44"/>
        <v>642.5</v>
      </c>
      <c r="X500" s="48">
        <f t="shared" si="45"/>
        <v>82.5</v>
      </c>
      <c r="Y500" s="49">
        <f t="shared" si="47"/>
        <v>2045.3</v>
      </c>
      <c r="Z500" s="50">
        <f t="shared" si="46"/>
        <v>2045</v>
      </c>
    </row>
    <row r="501" spans="1:26" x14ac:dyDescent="0.25">
      <c r="A501" s="29" t="s">
        <v>991</v>
      </c>
      <c r="B501" s="29" t="s">
        <v>79</v>
      </c>
      <c r="C501" s="29" t="s">
        <v>1024</v>
      </c>
      <c r="D501" s="29">
        <v>37828100</v>
      </c>
      <c r="E501" s="32" t="s">
        <v>1025</v>
      </c>
      <c r="F501" s="29">
        <v>42195438</v>
      </c>
      <c r="G501" s="32" t="s">
        <v>402</v>
      </c>
      <c r="H501" s="32" t="s">
        <v>777</v>
      </c>
      <c r="I501" s="33" t="s">
        <v>1085</v>
      </c>
      <c r="J501" s="42">
        <f>VLOOKUP(F501,[7]Hárok1!$F$438:$J$548,5,0)</f>
        <v>12</v>
      </c>
      <c r="K501" s="43">
        <f>VLOOKUP(F501,[7]Hárok1!$F$437:$S$548,6,0)</f>
        <v>0</v>
      </c>
      <c r="L501" s="43">
        <f>VLOOKUP(F501,[7]Hárok1!$F$437:$S$548,7,0)</f>
        <v>34</v>
      </c>
      <c r="M501" s="43">
        <f>VLOOKUP(F501,[7]Hárok1!$F$437:$S$548,8,0)</f>
        <v>0</v>
      </c>
      <c r="N501" s="43">
        <f>VLOOKUP(F501,[7]Hárok1!$F$437:$S$548,9,0)</f>
        <v>1</v>
      </c>
      <c r="O501" s="43">
        <f>VLOOKUP(F501,[7]Hárok1!$F$437:$S$548,10,0)</f>
        <v>22</v>
      </c>
      <c r="P501" s="44">
        <f>VLOOKUP(F501,[7]Hárok1!$F$437:$S$548,11,0)</f>
        <v>1</v>
      </c>
      <c r="Q501" s="42">
        <f>VLOOKUP(F501,[7]Hárok1!$F$437:$S$548,12,0)</f>
        <v>1</v>
      </c>
      <c r="R501" s="43">
        <f>VLOOKUP(F501,[7]Hárok1!$F$437:$S$548,13,0)</f>
        <v>178</v>
      </c>
      <c r="S501" s="44">
        <f>VLOOKUP(F501,[7]Hárok1!$F$437:$S$548,14,0)</f>
        <v>48</v>
      </c>
      <c r="T501" s="45">
        <f t="shared" si="42"/>
        <v>1139</v>
      </c>
      <c r="U501" s="46">
        <f>VLOOKUP(F501,[7]Hárok1!$F$437:$U$548,16,0)</f>
        <v>140.1</v>
      </c>
      <c r="V501" s="47">
        <f t="shared" si="43"/>
        <v>15</v>
      </c>
      <c r="W501" s="47">
        <f t="shared" si="44"/>
        <v>653</v>
      </c>
      <c r="X501" s="48">
        <f t="shared" si="45"/>
        <v>99</v>
      </c>
      <c r="Y501" s="49">
        <f t="shared" si="47"/>
        <v>2046.1</v>
      </c>
      <c r="Z501" s="50">
        <f t="shared" si="46"/>
        <v>2046</v>
      </c>
    </row>
    <row r="502" spans="1:26" x14ac:dyDescent="0.25">
      <c r="A502" s="29" t="s">
        <v>991</v>
      </c>
      <c r="B502" s="29" t="s">
        <v>79</v>
      </c>
      <c r="C502" s="29" t="s">
        <v>1024</v>
      </c>
      <c r="D502" s="29">
        <v>37828100</v>
      </c>
      <c r="E502" s="32" t="s">
        <v>1025</v>
      </c>
      <c r="F502" s="29">
        <v>42317665</v>
      </c>
      <c r="G502" s="32" t="s">
        <v>1086</v>
      </c>
      <c r="H502" s="32" t="s">
        <v>777</v>
      </c>
      <c r="I502" s="33" t="s">
        <v>1087</v>
      </c>
      <c r="J502" s="42">
        <f>VLOOKUP(F502,[7]Hárok1!$F$438:$J$548,5,0)</f>
        <v>8</v>
      </c>
      <c r="K502" s="43">
        <f>VLOOKUP(F502,[7]Hárok1!$F$437:$S$548,6,0)</f>
        <v>0</v>
      </c>
      <c r="L502" s="43">
        <f>VLOOKUP(F502,[7]Hárok1!$F$437:$S$548,7,0)</f>
        <v>26</v>
      </c>
      <c r="M502" s="43">
        <f>VLOOKUP(F502,[7]Hárok1!$F$437:$S$548,8,0)</f>
        <v>0</v>
      </c>
      <c r="N502" s="43">
        <f>VLOOKUP(F502,[7]Hárok1!$F$437:$S$548,9,0)</f>
        <v>2</v>
      </c>
      <c r="O502" s="43">
        <f>VLOOKUP(F502,[7]Hárok1!$F$437:$S$548,10,0)</f>
        <v>13</v>
      </c>
      <c r="P502" s="44">
        <f>VLOOKUP(F502,[7]Hárok1!$F$437:$S$548,11,0)</f>
        <v>3</v>
      </c>
      <c r="Q502" s="42">
        <f>VLOOKUP(F502,[7]Hárok1!$F$437:$S$548,12,0)</f>
        <v>22</v>
      </c>
      <c r="R502" s="43">
        <f>VLOOKUP(F502,[7]Hárok1!$F$437:$S$548,13,0)</f>
        <v>74</v>
      </c>
      <c r="S502" s="44">
        <f>VLOOKUP(F502,[7]Hárok1!$F$437:$S$548,14,0)</f>
        <v>48</v>
      </c>
      <c r="T502" s="45">
        <f t="shared" si="42"/>
        <v>871</v>
      </c>
      <c r="U502" s="46">
        <f>VLOOKUP(F502,[7]Hárok1!$F$437:$U$548,16,0)</f>
        <v>254.3</v>
      </c>
      <c r="V502" s="47">
        <f t="shared" si="43"/>
        <v>60</v>
      </c>
      <c r="W502" s="47">
        <f t="shared" si="44"/>
        <v>323.5</v>
      </c>
      <c r="X502" s="48">
        <f t="shared" si="45"/>
        <v>153</v>
      </c>
      <c r="Y502" s="49">
        <f t="shared" si="47"/>
        <v>1661.8</v>
      </c>
      <c r="Z502" s="50">
        <f t="shared" si="46"/>
        <v>1662</v>
      </c>
    </row>
    <row r="503" spans="1:26" x14ac:dyDescent="0.25">
      <c r="A503" s="29" t="s">
        <v>991</v>
      </c>
      <c r="B503" s="29" t="s">
        <v>79</v>
      </c>
      <c r="C503" s="29" t="s">
        <v>1024</v>
      </c>
      <c r="D503" s="29">
        <v>37828100</v>
      </c>
      <c r="E503" s="32" t="s">
        <v>1025</v>
      </c>
      <c r="F503" s="29">
        <v>161632</v>
      </c>
      <c r="G503" s="32" t="s">
        <v>575</v>
      </c>
      <c r="H503" s="32" t="s">
        <v>1088</v>
      </c>
      <c r="I503" s="33" t="s">
        <v>1089</v>
      </c>
      <c r="J503" s="42">
        <f>VLOOKUP(F503,[7]Hárok1!$F$438:$J$548,5,0)</f>
        <v>8</v>
      </c>
      <c r="K503" s="43">
        <f>VLOOKUP(F503,[7]Hárok1!$F$437:$S$548,6,0)</f>
        <v>0</v>
      </c>
      <c r="L503" s="43">
        <f>VLOOKUP(F503,[7]Hárok1!$F$437:$S$548,7,0)</f>
        <v>29</v>
      </c>
      <c r="M503" s="43">
        <f>VLOOKUP(F503,[7]Hárok1!$F$437:$S$548,8,0)</f>
        <v>0</v>
      </c>
      <c r="N503" s="43">
        <f>VLOOKUP(F503,[7]Hárok1!$F$437:$S$548,9,0)</f>
        <v>1</v>
      </c>
      <c r="O503" s="43">
        <f>VLOOKUP(F503,[7]Hárok1!$F$437:$S$548,10,0)</f>
        <v>16</v>
      </c>
      <c r="P503" s="44">
        <f>VLOOKUP(F503,[7]Hárok1!$F$437:$S$548,11,0)</f>
        <v>2</v>
      </c>
      <c r="Q503" s="42">
        <f>VLOOKUP(F503,[7]Hárok1!$F$437:$S$548,12,0)</f>
        <v>4</v>
      </c>
      <c r="R503" s="43">
        <f>VLOOKUP(F503,[7]Hárok1!$F$437:$S$548,13,0)</f>
        <v>171</v>
      </c>
      <c r="S503" s="44">
        <f>VLOOKUP(F503,[7]Hárok1!$F$437:$S$548,14,0)</f>
        <v>62</v>
      </c>
      <c r="T503" s="45">
        <f t="shared" si="42"/>
        <v>971.5</v>
      </c>
      <c r="U503" s="46">
        <f>VLOOKUP(F503,[7]Hárok1!$F$437:$U$548,16,0)</f>
        <v>299.75</v>
      </c>
      <c r="V503" s="47">
        <f t="shared" si="43"/>
        <v>19.5</v>
      </c>
      <c r="W503" s="47">
        <f t="shared" si="44"/>
        <v>558</v>
      </c>
      <c r="X503" s="48">
        <f t="shared" si="45"/>
        <v>147</v>
      </c>
      <c r="Y503" s="49">
        <f t="shared" si="47"/>
        <v>1995.75</v>
      </c>
      <c r="Z503" s="50">
        <f t="shared" si="46"/>
        <v>1996</v>
      </c>
    </row>
    <row r="504" spans="1:26" x14ac:dyDescent="0.25">
      <c r="A504" s="29" t="s">
        <v>991</v>
      </c>
      <c r="B504" s="29" t="s">
        <v>79</v>
      </c>
      <c r="C504" s="29" t="s">
        <v>1024</v>
      </c>
      <c r="D504" s="29">
        <v>37828100</v>
      </c>
      <c r="E504" s="32" t="s">
        <v>1025</v>
      </c>
      <c r="F504" s="29">
        <v>37956248</v>
      </c>
      <c r="G504" s="32" t="s">
        <v>52</v>
      </c>
      <c r="H504" s="32" t="s">
        <v>1090</v>
      </c>
      <c r="I504" s="33" t="s">
        <v>1091</v>
      </c>
      <c r="J504" s="42">
        <f>VLOOKUP(F504,[7]Hárok1!$F$438:$J$548,5,0)</f>
        <v>12</v>
      </c>
      <c r="K504" s="43">
        <f>VLOOKUP(F504,[7]Hárok1!$F$437:$S$548,6,0)</f>
        <v>0</v>
      </c>
      <c r="L504" s="43">
        <f>VLOOKUP(F504,[7]Hárok1!$F$437:$S$548,7,0)</f>
        <v>38</v>
      </c>
      <c r="M504" s="43">
        <f>VLOOKUP(F504,[7]Hárok1!$F$437:$S$548,8,0)</f>
        <v>0</v>
      </c>
      <c r="N504" s="43">
        <f>VLOOKUP(F504,[7]Hárok1!$F$437:$S$548,9,0)</f>
        <v>2</v>
      </c>
      <c r="O504" s="43">
        <f>VLOOKUP(F504,[7]Hárok1!$F$437:$S$548,10,0)</f>
        <v>19</v>
      </c>
      <c r="P504" s="44">
        <f>VLOOKUP(F504,[7]Hárok1!$F$437:$S$548,11,0)</f>
        <v>9</v>
      </c>
      <c r="Q504" s="42">
        <f>VLOOKUP(F504,[7]Hárok1!$F$437:$S$548,12,0)</f>
        <v>21</v>
      </c>
      <c r="R504" s="43">
        <f>VLOOKUP(F504,[7]Hárok1!$F$437:$S$548,13,0)</f>
        <v>141</v>
      </c>
      <c r="S504" s="44">
        <f>VLOOKUP(F504,[7]Hárok1!$F$437:$S$548,14,0)</f>
        <v>49</v>
      </c>
      <c r="T504" s="45">
        <f t="shared" si="42"/>
        <v>1273</v>
      </c>
      <c r="U504" s="46">
        <f>VLOOKUP(F504,[7]Hárok1!$F$437:$U$548,16,0)</f>
        <v>297.19</v>
      </c>
      <c r="V504" s="47">
        <f t="shared" si="43"/>
        <v>58.5</v>
      </c>
      <c r="W504" s="47">
        <f t="shared" si="44"/>
        <v>538.5</v>
      </c>
      <c r="X504" s="48">
        <f t="shared" si="45"/>
        <v>316.5</v>
      </c>
      <c r="Y504" s="49">
        <f t="shared" si="47"/>
        <v>2483.69</v>
      </c>
      <c r="Z504" s="50">
        <f t="shared" si="46"/>
        <v>2484</v>
      </c>
    </row>
    <row r="505" spans="1:26" x14ac:dyDescent="0.25">
      <c r="A505" s="29" t="s">
        <v>991</v>
      </c>
      <c r="B505" s="29" t="s">
        <v>79</v>
      </c>
      <c r="C505" s="29" t="s">
        <v>1024</v>
      </c>
      <c r="D505" s="29">
        <v>37828100</v>
      </c>
      <c r="E505" s="32" t="s">
        <v>1025</v>
      </c>
      <c r="F505" s="29">
        <v>160709</v>
      </c>
      <c r="G505" s="32" t="s">
        <v>1092</v>
      </c>
      <c r="H505" s="32" t="s">
        <v>1093</v>
      </c>
      <c r="I505" s="33" t="s">
        <v>1094</v>
      </c>
      <c r="J505" s="42">
        <f>VLOOKUP(F505,[7]Hárok1!$F$438:$J$548,5,0)</f>
        <v>15</v>
      </c>
      <c r="K505" s="43">
        <f>VLOOKUP(F505,[7]Hárok1!$F$437:$S$548,6,0)</f>
        <v>0</v>
      </c>
      <c r="L505" s="43">
        <f>VLOOKUP(F505,[7]Hárok1!$F$437:$S$548,7,0)</f>
        <v>40</v>
      </c>
      <c r="M505" s="43">
        <f>VLOOKUP(F505,[7]Hárok1!$F$437:$S$548,8,0)</f>
        <v>0</v>
      </c>
      <c r="N505" s="43">
        <f>VLOOKUP(F505,[7]Hárok1!$F$437:$S$548,9,0)</f>
        <v>0</v>
      </c>
      <c r="O505" s="43">
        <f>VLOOKUP(F505,[7]Hárok1!$F$437:$S$548,10,0)</f>
        <v>19</v>
      </c>
      <c r="P505" s="44">
        <f>VLOOKUP(F505,[7]Hárok1!$F$437:$S$548,11,0)</f>
        <v>7</v>
      </c>
      <c r="Q505" s="42">
        <f>VLOOKUP(F505,[7]Hárok1!$F$437:$S$548,12,0)</f>
        <v>0</v>
      </c>
      <c r="R505" s="43">
        <f>VLOOKUP(F505,[7]Hárok1!$F$437:$S$548,13,0)</f>
        <v>342</v>
      </c>
      <c r="S505" s="44">
        <f>VLOOKUP(F505,[7]Hárok1!$F$437:$S$548,14,0)</f>
        <v>106</v>
      </c>
      <c r="T505" s="45">
        <f t="shared" si="42"/>
        <v>1340</v>
      </c>
      <c r="U505" s="46">
        <f>VLOOKUP(F505,[7]Hárok1!$F$437:$U$548,16,0)</f>
        <v>481.6</v>
      </c>
      <c r="V505" s="47">
        <f t="shared" si="43"/>
        <v>0</v>
      </c>
      <c r="W505" s="47">
        <f t="shared" si="44"/>
        <v>940.5</v>
      </c>
      <c r="X505" s="48">
        <f t="shared" si="45"/>
        <v>348</v>
      </c>
      <c r="Y505" s="49">
        <f t="shared" si="47"/>
        <v>3110.1</v>
      </c>
      <c r="Z505" s="50">
        <f t="shared" si="46"/>
        <v>3110</v>
      </c>
    </row>
    <row r="506" spans="1:26" x14ac:dyDescent="0.25">
      <c r="A506" s="29" t="s">
        <v>991</v>
      </c>
      <c r="B506" s="29" t="s">
        <v>79</v>
      </c>
      <c r="C506" s="29" t="s">
        <v>1024</v>
      </c>
      <c r="D506" s="29">
        <v>37828100</v>
      </c>
      <c r="E506" s="32" t="s">
        <v>1025</v>
      </c>
      <c r="F506" s="29">
        <v>37890051</v>
      </c>
      <c r="G506" s="32" t="s">
        <v>575</v>
      </c>
      <c r="H506" s="32" t="s">
        <v>1093</v>
      </c>
      <c r="I506" s="33" t="s">
        <v>1095</v>
      </c>
      <c r="J506" s="42">
        <f>VLOOKUP(F506,[7]Hárok1!$F$438:$J$548,5,0)</f>
        <v>7</v>
      </c>
      <c r="K506" s="43">
        <f>VLOOKUP(F506,[7]Hárok1!$F$437:$S$548,6,0)</f>
        <v>0</v>
      </c>
      <c r="L506" s="43">
        <f>VLOOKUP(F506,[7]Hárok1!$F$437:$S$548,7,0)</f>
        <v>15</v>
      </c>
      <c r="M506" s="43">
        <f>VLOOKUP(F506,[7]Hárok1!$F$437:$S$548,8,0)</f>
        <v>0</v>
      </c>
      <c r="N506" s="43">
        <f>VLOOKUP(F506,[7]Hárok1!$F$437:$S$548,9,0)</f>
        <v>2</v>
      </c>
      <c r="O506" s="43">
        <f>VLOOKUP(F506,[7]Hárok1!$F$437:$S$548,10,0)</f>
        <v>8</v>
      </c>
      <c r="P506" s="44">
        <f>VLOOKUP(F506,[7]Hárok1!$F$437:$S$548,11,0)</f>
        <v>1</v>
      </c>
      <c r="Q506" s="42">
        <f>VLOOKUP(F506,[7]Hárok1!$F$437:$S$548,12,0)</f>
        <v>14</v>
      </c>
      <c r="R506" s="43">
        <f>VLOOKUP(F506,[7]Hárok1!$F$437:$S$548,13,0)</f>
        <v>79</v>
      </c>
      <c r="S506" s="44">
        <f>VLOOKUP(F506,[7]Hárok1!$F$437:$S$548,14,0)</f>
        <v>5</v>
      </c>
      <c r="T506" s="45">
        <f t="shared" si="42"/>
        <v>502.5</v>
      </c>
      <c r="U506" s="46">
        <f>VLOOKUP(F506,[7]Hárok1!$F$437:$U$548,16,0)</f>
        <v>0</v>
      </c>
      <c r="V506" s="47">
        <f t="shared" si="43"/>
        <v>48</v>
      </c>
      <c r="W506" s="47">
        <f t="shared" si="44"/>
        <v>266</v>
      </c>
      <c r="X506" s="48">
        <f t="shared" si="45"/>
        <v>34.5</v>
      </c>
      <c r="Y506" s="49">
        <f t="shared" si="47"/>
        <v>851</v>
      </c>
      <c r="Z506" s="50">
        <f t="shared" si="46"/>
        <v>851</v>
      </c>
    </row>
    <row r="507" spans="1:26" x14ac:dyDescent="0.25">
      <c r="A507" s="29" t="s">
        <v>991</v>
      </c>
      <c r="B507" s="29" t="s">
        <v>79</v>
      </c>
      <c r="C507" s="29" t="s">
        <v>1024</v>
      </c>
      <c r="D507" s="29">
        <v>37828100</v>
      </c>
      <c r="E507" s="32" t="s">
        <v>1025</v>
      </c>
      <c r="F507" s="29">
        <v>37890191</v>
      </c>
      <c r="G507" s="32" t="s">
        <v>575</v>
      </c>
      <c r="H507" s="32" t="s">
        <v>1016</v>
      </c>
      <c r="I507" s="33" t="s">
        <v>1017</v>
      </c>
      <c r="J507" s="42">
        <f>VLOOKUP(F507,[7]Hárok1!$F$438:$J$548,5,0)</f>
        <v>4</v>
      </c>
      <c r="K507" s="43">
        <f>VLOOKUP(F507,[7]Hárok1!$F$437:$S$548,6,0)</f>
        <v>0</v>
      </c>
      <c r="L507" s="43">
        <f>VLOOKUP(F507,[7]Hárok1!$F$437:$S$548,7,0)</f>
        <v>12</v>
      </c>
      <c r="M507" s="43">
        <f>VLOOKUP(F507,[7]Hárok1!$F$437:$S$548,8,0)</f>
        <v>0</v>
      </c>
      <c r="N507" s="43">
        <f>VLOOKUP(F507,[7]Hárok1!$F$437:$S$548,9,0)</f>
        <v>0</v>
      </c>
      <c r="O507" s="43">
        <f>VLOOKUP(F507,[7]Hárok1!$F$437:$S$548,10,0)</f>
        <v>5</v>
      </c>
      <c r="P507" s="44">
        <f>VLOOKUP(F507,[7]Hárok1!$F$437:$S$548,11,0)</f>
        <v>1</v>
      </c>
      <c r="Q507" s="42">
        <f>VLOOKUP(F507,[7]Hárok1!$F$437:$S$548,12,0)</f>
        <v>0</v>
      </c>
      <c r="R507" s="43">
        <f>VLOOKUP(F507,[7]Hárok1!$F$437:$S$548,13,0)</f>
        <v>34</v>
      </c>
      <c r="S507" s="44">
        <f>VLOOKUP(F507,[7]Hárok1!$F$437:$S$548,14,0)</f>
        <v>23</v>
      </c>
      <c r="T507" s="45">
        <f t="shared" si="42"/>
        <v>402</v>
      </c>
      <c r="U507" s="46">
        <f>VLOOKUP(F507,[7]Hárok1!$F$437:$U$548,16,0)</f>
        <v>67.099999999999994</v>
      </c>
      <c r="V507" s="47">
        <f t="shared" si="43"/>
        <v>0</v>
      </c>
      <c r="W507" s="47">
        <f t="shared" si="44"/>
        <v>135.5</v>
      </c>
      <c r="X507" s="48">
        <f t="shared" si="45"/>
        <v>61.5</v>
      </c>
      <c r="Y507" s="49">
        <f t="shared" si="47"/>
        <v>666.1</v>
      </c>
      <c r="Z507" s="50">
        <f t="shared" si="46"/>
        <v>666</v>
      </c>
    </row>
    <row r="508" spans="1:26" x14ac:dyDescent="0.25">
      <c r="A508" s="29" t="s">
        <v>991</v>
      </c>
      <c r="B508" s="29" t="s">
        <v>79</v>
      </c>
      <c r="C508" s="29" t="s">
        <v>1024</v>
      </c>
      <c r="D508" s="29">
        <v>37828100</v>
      </c>
      <c r="E508" s="32" t="s">
        <v>1025</v>
      </c>
      <c r="F508" s="29">
        <v>160865</v>
      </c>
      <c r="G508" s="32" t="s">
        <v>607</v>
      </c>
      <c r="H508" s="32" t="s">
        <v>1096</v>
      </c>
      <c r="I508" s="33" t="s">
        <v>1097</v>
      </c>
      <c r="J508" s="42">
        <f>VLOOKUP(F508,[7]Hárok1!$F$438:$J$548,5,0)</f>
        <v>15</v>
      </c>
      <c r="K508" s="43">
        <f>VLOOKUP(F508,[7]Hárok1!$F$437:$S$548,6,0)</f>
        <v>0</v>
      </c>
      <c r="L508" s="43">
        <f>VLOOKUP(F508,[7]Hárok1!$F$437:$S$548,7,0)</f>
        <v>42</v>
      </c>
      <c r="M508" s="43">
        <f>VLOOKUP(F508,[7]Hárok1!$F$437:$S$548,8,0)</f>
        <v>3</v>
      </c>
      <c r="N508" s="43">
        <f>VLOOKUP(F508,[7]Hárok1!$F$437:$S$548,9,0)</f>
        <v>1</v>
      </c>
      <c r="O508" s="43">
        <f>VLOOKUP(F508,[7]Hárok1!$F$437:$S$548,10,0)</f>
        <v>19</v>
      </c>
      <c r="P508" s="44">
        <f>VLOOKUP(F508,[7]Hárok1!$F$437:$S$548,11,0)</f>
        <v>1</v>
      </c>
      <c r="Q508" s="42">
        <f>VLOOKUP(F508,[7]Hárok1!$F$437:$S$548,12,0)</f>
        <v>45</v>
      </c>
      <c r="R508" s="43">
        <f>VLOOKUP(F508,[7]Hárok1!$F$437:$S$548,13,0)</f>
        <v>397</v>
      </c>
      <c r="S508" s="44">
        <f>VLOOKUP(F508,[7]Hárok1!$F$437:$S$548,14,0)</f>
        <v>57</v>
      </c>
      <c r="T508" s="45">
        <f t="shared" si="42"/>
        <v>1407</v>
      </c>
      <c r="U508" s="46">
        <f>VLOOKUP(F508,[7]Hárok1!$F$437:$U$548,16,0)</f>
        <v>367.04</v>
      </c>
      <c r="V508" s="47">
        <f t="shared" si="43"/>
        <v>81</v>
      </c>
      <c r="W508" s="47">
        <f t="shared" si="44"/>
        <v>1050.5</v>
      </c>
      <c r="X508" s="48">
        <f t="shared" si="45"/>
        <v>112.5</v>
      </c>
      <c r="Y508" s="49">
        <f t="shared" si="47"/>
        <v>3018.04</v>
      </c>
      <c r="Z508" s="50">
        <f t="shared" si="46"/>
        <v>3018</v>
      </c>
    </row>
    <row r="509" spans="1:26" x14ac:dyDescent="0.25">
      <c r="A509" s="29" t="s">
        <v>991</v>
      </c>
      <c r="B509" s="29" t="s">
        <v>79</v>
      </c>
      <c r="C509" s="29" t="s">
        <v>1024</v>
      </c>
      <c r="D509" s="29">
        <v>37828100</v>
      </c>
      <c r="E509" s="32" t="s">
        <v>1025</v>
      </c>
      <c r="F509" s="29">
        <v>37956469</v>
      </c>
      <c r="G509" s="32" t="s">
        <v>745</v>
      </c>
      <c r="H509" s="32" t="s">
        <v>1096</v>
      </c>
      <c r="I509" s="33" t="s">
        <v>1098</v>
      </c>
      <c r="J509" s="42">
        <f>VLOOKUP(F509,[7]Hárok1!$F$438:$J$548,5,0)</f>
        <v>7</v>
      </c>
      <c r="K509" s="43">
        <f>VLOOKUP(F509,[7]Hárok1!$F$437:$S$548,6,0)</f>
        <v>4</v>
      </c>
      <c r="L509" s="43">
        <f>VLOOKUP(F509,[7]Hárok1!$F$437:$S$548,7,0)</f>
        <v>45</v>
      </c>
      <c r="M509" s="43">
        <f>VLOOKUP(F509,[7]Hárok1!$F$437:$S$548,8,0)</f>
        <v>11</v>
      </c>
      <c r="N509" s="43">
        <f>VLOOKUP(F509,[7]Hárok1!$F$437:$S$548,9,0)</f>
        <v>4</v>
      </c>
      <c r="O509" s="43">
        <f>VLOOKUP(F509,[7]Hárok1!$F$437:$S$548,10,0)</f>
        <v>12</v>
      </c>
      <c r="P509" s="44">
        <f>VLOOKUP(F509,[7]Hárok1!$F$437:$S$548,11,0)</f>
        <v>3</v>
      </c>
      <c r="Q509" s="42">
        <f>VLOOKUP(F509,[7]Hárok1!$F$437:$S$548,12,0)</f>
        <v>8</v>
      </c>
      <c r="R509" s="43">
        <f>VLOOKUP(F509,[7]Hárok1!$F$437:$S$548,13,0)</f>
        <v>262</v>
      </c>
      <c r="S509" s="44">
        <f>VLOOKUP(F509,[7]Hárok1!$F$437:$S$548,14,0)</f>
        <v>100</v>
      </c>
      <c r="T509" s="45">
        <f t="shared" si="42"/>
        <v>1507.5</v>
      </c>
      <c r="U509" s="46">
        <f>VLOOKUP(F509,[7]Hárok1!$F$437:$U$548,16,0)</f>
        <v>278.60000000000002</v>
      </c>
      <c r="V509" s="47">
        <f t="shared" si="43"/>
        <v>66</v>
      </c>
      <c r="W509" s="47">
        <f t="shared" si="44"/>
        <v>686</v>
      </c>
      <c r="X509" s="48">
        <f t="shared" si="45"/>
        <v>231</v>
      </c>
      <c r="Y509" s="49">
        <f t="shared" si="47"/>
        <v>2769.1</v>
      </c>
      <c r="Z509" s="50">
        <f t="shared" si="46"/>
        <v>2769</v>
      </c>
    </row>
    <row r="510" spans="1:26" x14ac:dyDescent="0.25">
      <c r="A510" s="29" t="s">
        <v>991</v>
      </c>
      <c r="B510" s="29" t="s">
        <v>79</v>
      </c>
      <c r="C510" s="29" t="s">
        <v>1024</v>
      </c>
      <c r="D510" s="29">
        <v>37828100</v>
      </c>
      <c r="E510" s="32" t="s">
        <v>1025</v>
      </c>
      <c r="F510" s="29">
        <v>37890115</v>
      </c>
      <c r="G510" s="32" t="s">
        <v>132</v>
      </c>
      <c r="H510" s="32" t="s">
        <v>1096</v>
      </c>
      <c r="I510" s="33" t="s">
        <v>1099</v>
      </c>
      <c r="J510" s="42">
        <f>VLOOKUP(F510,[7]Hárok1!$F$438:$J$548,5,0)</f>
        <v>14</v>
      </c>
      <c r="K510" s="43">
        <f>VLOOKUP(F510,[7]Hárok1!$F$437:$S$548,6,0)</f>
        <v>0</v>
      </c>
      <c r="L510" s="43">
        <f>VLOOKUP(F510,[7]Hárok1!$F$437:$S$548,7,0)</f>
        <v>64</v>
      </c>
      <c r="M510" s="43">
        <f>VLOOKUP(F510,[7]Hárok1!$F$437:$S$548,8,0)</f>
        <v>0</v>
      </c>
      <c r="N510" s="43">
        <f>VLOOKUP(F510,[7]Hárok1!$F$437:$S$548,9,0)</f>
        <v>3</v>
      </c>
      <c r="O510" s="43">
        <f>VLOOKUP(F510,[7]Hárok1!$F$437:$S$548,10,0)</f>
        <v>26</v>
      </c>
      <c r="P510" s="44">
        <f>VLOOKUP(F510,[7]Hárok1!$F$437:$S$548,11,0)</f>
        <v>5</v>
      </c>
      <c r="Q510" s="42">
        <f>VLOOKUP(F510,[7]Hárok1!$F$437:$S$548,12,0)</f>
        <v>46</v>
      </c>
      <c r="R510" s="43">
        <f>VLOOKUP(F510,[7]Hárok1!$F$437:$S$548,13,0)</f>
        <v>423</v>
      </c>
      <c r="S510" s="44">
        <f>VLOOKUP(F510,[7]Hárok1!$F$437:$S$548,14,0)</f>
        <v>182</v>
      </c>
      <c r="T510" s="45">
        <f t="shared" si="42"/>
        <v>2144</v>
      </c>
      <c r="U510" s="46">
        <f>VLOOKUP(F510,[7]Hárok1!$F$437:$U$548,16,0)</f>
        <v>236.27</v>
      </c>
      <c r="V510" s="47">
        <f t="shared" si="43"/>
        <v>109.5</v>
      </c>
      <c r="W510" s="47">
        <f t="shared" si="44"/>
        <v>1197</v>
      </c>
      <c r="X510" s="48">
        <f t="shared" si="45"/>
        <v>408</v>
      </c>
      <c r="Y510" s="49">
        <f t="shared" si="47"/>
        <v>4094.77</v>
      </c>
      <c r="Z510" s="50">
        <f t="shared" si="46"/>
        <v>4095</v>
      </c>
    </row>
    <row r="511" spans="1:26" x14ac:dyDescent="0.25">
      <c r="A511" s="29" t="s">
        <v>991</v>
      </c>
      <c r="B511" s="29" t="s">
        <v>79</v>
      </c>
      <c r="C511" s="29" t="s">
        <v>1024</v>
      </c>
      <c r="D511" s="29">
        <v>37828100</v>
      </c>
      <c r="E511" s="32" t="s">
        <v>1025</v>
      </c>
      <c r="F511" s="29">
        <v>45015171</v>
      </c>
      <c r="G511" s="32" t="s">
        <v>154</v>
      </c>
      <c r="H511" s="32" t="s">
        <v>1096</v>
      </c>
      <c r="I511" s="33" t="s">
        <v>1100</v>
      </c>
      <c r="J511" s="42">
        <f>VLOOKUP(F511,[7]Hárok1!$F$438:$J$548,5,0)</f>
        <v>9</v>
      </c>
      <c r="K511" s="43">
        <f>VLOOKUP(F511,[7]Hárok1!$F$437:$S$548,6,0)</f>
        <v>0</v>
      </c>
      <c r="L511" s="43">
        <f>VLOOKUP(F511,[7]Hárok1!$F$437:$S$548,7,0)</f>
        <v>43</v>
      </c>
      <c r="M511" s="43">
        <f>VLOOKUP(F511,[7]Hárok1!$F$437:$S$548,8,0)</f>
        <v>0</v>
      </c>
      <c r="N511" s="43">
        <f>VLOOKUP(F511,[7]Hárok1!$F$437:$S$548,9,0)</f>
        <v>1</v>
      </c>
      <c r="O511" s="43">
        <f>VLOOKUP(F511,[7]Hárok1!$F$437:$S$548,10,0)</f>
        <v>13</v>
      </c>
      <c r="P511" s="44">
        <f>VLOOKUP(F511,[7]Hárok1!$F$437:$S$548,11,0)</f>
        <v>1</v>
      </c>
      <c r="Q511" s="42">
        <f>VLOOKUP(F511,[7]Hárok1!$F$437:$S$548,12,0)</f>
        <v>20</v>
      </c>
      <c r="R511" s="43">
        <f>VLOOKUP(F511,[7]Hárok1!$F$437:$S$548,13,0)</f>
        <v>299</v>
      </c>
      <c r="S511" s="44">
        <f>VLOOKUP(F511,[7]Hárok1!$F$437:$S$548,14,0)</f>
        <v>88</v>
      </c>
      <c r="T511" s="45">
        <f t="shared" si="42"/>
        <v>1440.5</v>
      </c>
      <c r="U511" s="46">
        <f>VLOOKUP(F511,[7]Hárok1!$F$437:$U$548,16,0)</f>
        <v>255.47</v>
      </c>
      <c r="V511" s="47">
        <f t="shared" si="43"/>
        <v>43.5</v>
      </c>
      <c r="W511" s="47">
        <f t="shared" si="44"/>
        <v>773.5</v>
      </c>
      <c r="X511" s="48">
        <f t="shared" si="45"/>
        <v>159</v>
      </c>
      <c r="Y511" s="49">
        <f t="shared" si="47"/>
        <v>2671.9700000000003</v>
      </c>
      <c r="Z511" s="50">
        <f t="shared" si="46"/>
        <v>2672</v>
      </c>
    </row>
    <row r="512" spans="1:26" x14ac:dyDescent="0.25">
      <c r="A512" s="29" t="s">
        <v>991</v>
      </c>
      <c r="B512" s="29" t="s">
        <v>79</v>
      </c>
      <c r="C512" s="29" t="s">
        <v>1024</v>
      </c>
      <c r="D512" s="29">
        <v>37828100</v>
      </c>
      <c r="E512" s="32" t="s">
        <v>1025</v>
      </c>
      <c r="F512" s="29">
        <v>215589</v>
      </c>
      <c r="G512" s="32" t="s">
        <v>114</v>
      </c>
      <c r="H512" s="32" t="s">
        <v>1096</v>
      </c>
      <c r="I512" s="33" t="s">
        <v>1101</v>
      </c>
      <c r="J512" s="42">
        <f>VLOOKUP(F512,[7]Hárok1!$F$438:$J$548,5,0)</f>
        <v>10</v>
      </c>
      <c r="K512" s="43">
        <f>VLOOKUP(F512,[7]Hárok1!$F$437:$S$548,6,0)</f>
        <v>0</v>
      </c>
      <c r="L512" s="43">
        <f>VLOOKUP(F512,[7]Hárok1!$F$437:$S$548,7,0)</f>
        <v>66</v>
      </c>
      <c r="M512" s="43">
        <f>VLOOKUP(F512,[7]Hárok1!$F$437:$S$548,8,0)</f>
        <v>0</v>
      </c>
      <c r="N512" s="43">
        <f>VLOOKUP(F512,[7]Hárok1!$F$437:$S$548,9,0)</f>
        <v>2</v>
      </c>
      <c r="O512" s="43">
        <f>VLOOKUP(F512,[7]Hárok1!$F$437:$S$548,10,0)</f>
        <v>12</v>
      </c>
      <c r="P512" s="44">
        <f>VLOOKUP(F512,[7]Hárok1!$F$437:$S$548,11,0)</f>
        <v>3</v>
      </c>
      <c r="Q512" s="42">
        <f>VLOOKUP(F512,[7]Hárok1!$F$437:$S$548,12,0)</f>
        <v>58</v>
      </c>
      <c r="R512" s="43">
        <f>VLOOKUP(F512,[7]Hárok1!$F$437:$S$548,13,0)</f>
        <v>188</v>
      </c>
      <c r="S512" s="44">
        <f>VLOOKUP(F512,[7]Hárok1!$F$437:$S$548,14,0)</f>
        <v>171</v>
      </c>
      <c r="T512" s="45">
        <f t="shared" si="42"/>
        <v>2211</v>
      </c>
      <c r="U512" s="46">
        <f>VLOOKUP(F512,[7]Hárok1!$F$437:$U$548,16,0)</f>
        <v>416.94</v>
      </c>
      <c r="V512" s="47">
        <f t="shared" si="43"/>
        <v>114</v>
      </c>
      <c r="W512" s="47">
        <f t="shared" si="44"/>
        <v>538</v>
      </c>
      <c r="X512" s="48">
        <f t="shared" si="45"/>
        <v>337.5</v>
      </c>
      <c r="Y512" s="49">
        <f t="shared" si="47"/>
        <v>3617.44</v>
      </c>
      <c r="Z512" s="50">
        <f t="shared" si="46"/>
        <v>3617</v>
      </c>
    </row>
    <row r="513" spans="1:26" x14ac:dyDescent="0.25">
      <c r="A513" s="51" t="s">
        <v>991</v>
      </c>
      <c r="B513" s="51" t="s">
        <v>79</v>
      </c>
      <c r="C513" s="51" t="s">
        <v>1024</v>
      </c>
      <c r="D513" s="51">
        <v>37828100</v>
      </c>
      <c r="E513" s="32" t="s">
        <v>1025</v>
      </c>
      <c r="F513" s="51">
        <v>606995</v>
      </c>
      <c r="G513" s="32" t="s">
        <v>117</v>
      </c>
      <c r="H513" s="32" t="s">
        <v>1096</v>
      </c>
      <c r="I513" s="33" t="s">
        <v>1102</v>
      </c>
      <c r="J513" s="42">
        <f>VLOOKUP(F513,[7]Hárok1!$F$438:$J$548,5,0)</f>
        <v>3</v>
      </c>
      <c r="K513" s="43">
        <f>VLOOKUP(F513,[7]Hárok1!$F$437:$S$548,6,0)</f>
        <v>1</v>
      </c>
      <c r="L513" s="43">
        <f>VLOOKUP(F513,[7]Hárok1!$F$437:$S$548,7,0)</f>
        <v>17</v>
      </c>
      <c r="M513" s="43">
        <f>VLOOKUP(F513,[7]Hárok1!$F$437:$S$548,8,0)</f>
        <v>1</v>
      </c>
      <c r="N513" s="43">
        <f>VLOOKUP(F513,[7]Hárok1!$F$437:$S$548,9,0)</f>
        <v>1</v>
      </c>
      <c r="O513" s="43">
        <f>VLOOKUP(F513,[7]Hárok1!$F$437:$S$548,10,0)</f>
        <v>6</v>
      </c>
      <c r="P513" s="44">
        <f>VLOOKUP(F513,[7]Hárok1!$F$437:$S$548,11,0)</f>
        <v>0</v>
      </c>
      <c r="Q513" s="42">
        <f>VLOOKUP(F513,[7]Hárok1!$F$437:$S$548,12,0)</f>
        <v>1</v>
      </c>
      <c r="R513" s="43">
        <f>VLOOKUP(F513,[7]Hárok1!$F$437:$S$548,13,0)</f>
        <v>167</v>
      </c>
      <c r="S513" s="44">
        <f>VLOOKUP(F513,[7]Hárok1!$F$437:$S$548,14,0)</f>
        <v>0</v>
      </c>
      <c r="T513" s="45">
        <f t="shared" si="42"/>
        <v>569.5</v>
      </c>
      <c r="U513" s="46">
        <f>VLOOKUP(F513,[7]Hárok1!$F$437:$U$548,16,0)</f>
        <v>0</v>
      </c>
      <c r="V513" s="47">
        <f t="shared" si="43"/>
        <v>15</v>
      </c>
      <c r="W513" s="47">
        <f t="shared" si="44"/>
        <v>415</v>
      </c>
      <c r="X513" s="48">
        <f t="shared" si="45"/>
        <v>0</v>
      </c>
      <c r="Y513" s="49">
        <f t="shared" si="47"/>
        <v>999.5</v>
      </c>
      <c r="Z513" s="50">
        <f t="shared" si="46"/>
        <v>1000</v>
      </c>
    </row>
    <row r="514" spans="1:26" x14ac:dyDescent="0.25">
      <c r="A514" s="29" t="s">
        <v>991</v>
      </c>
      <c r="B514" s="29" t="s">
        <v>79</v>
      </c>
      <c r="C514" s="29" t="s">
        <v>1024</v>
      </c>
      <c r="D514" s="29">
        <v>37828100</v>
      </c>
      <c r="E514" s="32" t="s">
        <v>1025</v>
      </c>
      <c r="F514" s="29">
        <v>160725</v>
      </c>
      <c r="G514" s="32" t="s">
        <v>1103</v>
      </c>
      <c r="H514" s="32" t="s">
        <v>1018</v>
      </c>
      <c r="I514" s="33" t="s">
        <v>1104</v>
      </c>
      <c r="J514" s="42">
        <f>VLOOKUP(F514,[7]Hárok1!$F$438:$J$548,5,0)</f>
        <v>3</v>
      </c>
      <c r="K514" s="43">
        <f>VLOOKUP(F514,[7]Hárok1!$F$437:$S$548,6,0)</f>
        <v>0</v>
      </c>
      <c r="L514" s="43">
        <f>VLOOKUP(F514,[7]Hárok1!$F$437:$S$548,7,0)</f>
        <v>6</v>
      </c>
      <c r="M514" s="43">
        <f>VLOOKUP(F514,[7]Hárok1!$F$437:$S$548,8,0)</f>
        <v>0</v>
      </c>
      <c r="N514" s="43">
        <f>VLOOKUP(F514,[7]Hárok1!$F$437:$S$548,9,0)</f>
        <v>0</v>
      </c>
      <c r="O514" s="43">
        <f>VLOOKUP(F514,[7]Hárok1!$F$437:$S$548,10,0)</f>
        <v>4</v>
      </c>
      <c r="P514" s="44">
        <f>VLOOKUP(F514,[7]Hárok1!$F$437:$S$548,11,0)</f>
        <v>0</v>
      </c>
      <c r="Q514" s="42">
        <f>VLOOKUP(F514,[7]Hárok1!$F$437:$S$548,12,0)</f>
        <v>0</v>
      </c>
      <c r="R514" s="43">
        <f>VLOOKUP(F514,[7]Hárok1!$F$437:$S$548,13,0)</f>
        <v>75</v>
      </c>
      <c r="S514" s="44">
        <f>VLOOKUP(F514,[7]Hárok1!$F$437:$S$548,14,0)</f>
        <v>0</v>
      </c>
      <c r="T514" s="45">
        <f t="shared" si="42"/>
        <v>201</v>
      </c>
      <c r="U514" s="46">
        <f>VLOOKUP(F514,[7]Hárok1!$F$437:$U$548,16,0)</f>
        <v>23.2</v>
      </c>
      <c r="V514" s="47">
        <f t="shared" si="43"/>
        <v>0</v>
      </c>
      <c r="W514" s="47">
        <f t="shared" si="44"/>
        <v>204</v>
      </c>
      <c r="X514" s="48">
        <f t="shared" si="45"/>
        <v>0</v>
      </c>
      <c r="Y514" s="49">
        <f t="shared" si="47"/>
        <v>428.2</v>
      </c>
      <c r="Z514" s="50">
        <f t="shared" si="46"/>
        <v>428</v>
      </c>
    </row>
    <row r="515" spans="1:26" x14ac:dyDescent="0.25">
      <c r="A515" s="29" t="s">
        <v>991</v>
      </c>
      <c r="B515" s="29" t="s">
        <v>79</v>
      </c>
      <c r="C515" s="29" t="s">
        <v>1024</v>
      </c>
      <c r="D515" s="29">
        <v>37828100</v>
      </c>
      <c r="E515" s="32" t="s">
        <v>1025</v>
      </c>
      <c r="F515" s="29">
        <v>37956124</v>
      </c>
      <c r="G515" s="32" t="s">
        <v>402</v>
      </c>
      <c r="H515" s="32" t="s">
        <v>1018</v>
      </c>
      <c r="I515" s="33" t="s">
        <v>1105</v>
      </c>
      <c r="J515" s="42">
        <f>VLOOKUP(F515,[7]Hárok1!$F$438:$J$548,5,0)</f>
        <v>3</v>
      </c>
      <c r="K515" s="43">
        <f>VLOOKUP(F515,[7]Hárok1!$F$437:$S$548,6,0)</f>
        <v>0</v>
      </c>
      <c r="L515" s="43">
        <f>VLOOKUP(F515,[7]Hárok1!$F$437:$S$548,7,0)</f>
        <v>11</v>
      </c>
      <c r="M515" s="43">
        <f>VLOOKUP(F515,[7]Hárok1!$F$437:$S$548,8,0)</f>
        <v>0</v>
      </c>
      <c r="N515" s="43">
        <f>VLOOKUP(F515,[7]Hárok1!$F$437:$S$548,9,0)</f>
        <v>2</v>
      </c>
      <c r="O515" s="43">
        <f>VLOOKUP(F515,[7]Hárok1!$F$437:$S$548,10,0)</f>
        <v>4</v>
      </c>
      <c r="P515" s="44">
        <f>VLOOKUP(F515,[7]Hárok1!$F$437:$S$548,11,0)</f>
        <v>0</v>
      </c>
      <c r="Q515" s="42">
        <f>VLOOKUP(F515,[7]Hárok1!$F$437:$S$548,12,0)</f>
        <v>60</v>
      </c>
      <c r="R515" s="43">
        <f>VLOOKUP(F515,[7]Hárok1!$F$437:$S$548,13,0)</f>
        <v>14</v>
      </c>
      <c r="S515" s="44">
        <f>VLOOKUP(F515,[7]Hárok1!$F$437:$S$548,14,0)</f>
        <v>0</v>
      </c>
      <c r="T515" s="45">
        <f t="shared" si="42"/>
        <v>368.5</v>
      </c>
      <c r="U515" s="46">
        <f>VLOOKUP(F515,[7]Hárok1!$F$437:$U$548,16,0)</f>
        <v>0</v>
      </c>
      <c r="V515" s="47">
        <f t="shared" si="43"/>
        <v>117</v>
      </c>
      <c r="W515" s="47">
        <f t="shared" si="44"/>
        <v>82</v>
      </c>
      <c r="X515" s="48">
        <f t="shared" si="45"/>
        <v>0</v>
      </c>
      <c r="Y515" s="49">
        <f t="shared" si="47"/>
        <v>567.5</v>
      </c>
      <c r="Z515" s="50">
        <f t="shared" si="46"/>
        <v>568</v>
      </c>
    </row>
    <row r="516" spans="1:26" x14ac:dyDescent="0.25">
      <c r="A516" s="29" t="s">
        <v>991</v>
      </c>
      <c r="B516" s="29" t="s">
        <v>79</v>
      </c>
      <c r="C516" s="29" t="s">
        <v>1024</v>
      </c>
      <c r="D516" s="29">
        <v>37828100</v>
      </c>
      <c r="E516" s="32" t="s">
        <v>1025</v>
      </c>
      <c r="F516" s="29">
        <v>891827</v>
      </c>
      <c r="G516" s="32" t="s">
        <v>575</v>
      </c>
      <c r="H516" s="32" t="s">
        <v>1106</v>
      </c>
      <c r="I516" s="33" t="s">
        <v>1107</v>
      </c>
      <c r="J516" s="42">
        <f>VLOOKUP(F516,[7]Hárok1!$F$438:$J$548,5,0)</f>
        <v>5</v>
      </c>
      <c r="K516" s="43">
        <f>VLOOKUP(F516,[7]Hárok1!$F$437:$S$548,6,0)</f>
        <v>0</v>
      </c>
      <c r="L516" s="43">
        <f>VLOOKUP(F516,[7]Hárok1!$F$437:$S$548,7,0)</f>
        <v>24</v>
      </c>
      <c r="M516" s="43">
        <f>VLOOKUP(F516,[7]Hárok1!$F$437:$S$548,8,0)</f>
        <v>0</v>
      </c>
      <c r="N516" s="43">
        <f>VLOOKUP(F516,[7]Hárok1!$F$437:$S$548,9,0)</f>
        <v>1</v>
      </c>
      <c r="O516" s="43">
        <f>VLOOKUP(F516,[7]Hárok1!$F$437:$S$548,10,0)</f>
        <v>11</v>
      </c>
      <c r="P516" s="44">
        <f>VLOOKUP(F516,[7]Hárok1!$F$437:$S$548,11,0)</f>
        <v>1</v>
      </c>
      <c r="Q516" s="42">
        <f>VLOOKUP(F516,[7]Hárok1!$F$437:$S$548,12,0)</f>
        <v>5</v>
      </c>
      <c r="R516" s="43">
        <f>VLOOKUP(F516,[7]Hárok1!$F$437:$S$548,13,0)</f>
        <v>163</v>
      </c>
      <c r="S516" s="44">
        <f>VLOOKUP(F516,[7]Hárok1!$F$437:$S$548,14,0)</f>
        <v>37</v>
      </c>
      <c r="T516" s="45">
        <f t="shared" si="42"/>
        <v>804</v>
      </c>
      <c r="U516" s="46">
        <f>VLOOKUP(F516,[7]Hárok1!$F$437:$U$548,16,0)</f>
        <v>215.6</v>
      </c>
      <c r="V516" s="47">
        <f t="shared" si="43"/>
        <v>21</v>
      </c>
      <c r="W516" s="47">
        <f t="shared" si="44"/>
        <v>474.5</v>
      </c>
      <c r="X516" s="48">
        <f t="shared" si="45"/>
        <v>82.5</v>
      </c>
      <c r="Y516" s="49">
        <f t="shared" si="47"/>
        <v>1597.6</v>
      </c>
      <c r="Z516" s="50">
        <f t="shared" si="46"/>
        <v>1598</v>
      </c>
    </row>
    <row r="517" spans="1:26" x14ac:dyDescent="0.25">
      <c r="A517" s="29" t="s">
        <v>991</v>
      </c>
      <c r="B517" s="29" t="s">
        <v>79</v>
      </c>
      <c r="C517" s="29" t="s">
        <v>1024</v>
      </c>
      <c r="D517" s="29">
        <v>37828100</v>
      </c>
      <c r="E517" s="32" t="s">
        <v>1025</v>
      </c>
      <c r="F517" s="29">
        <v>160881</v>
      </c>
      <c r="G517" s="32" t="s">
        <v>1108</v>
      </c>
      <c r="H517" s="32" t="s">
        <v>1109</v>
      </c>
      <c r="I517" s="33" t="s">
        <v>1110</v>
      </c>
      <c r="J517" s="42">
        <f>VLOOKUP(F517,[7]Hárok1!$F$438:$J$548,5,0)</f>
        <v>26</v>
      </c>
      <c r="K517" s="43">
        <f>VLOOKUP(F517,[7]Hárok1!$F$437:$S$548,6,0)</f>
        <v>0</v>
      </c>
      <c r="L517" s="43">
        <f>VLOOKUP(F517,[7]Hárok1!$F$437:$S$548,7,0)</f>
        <v>72</v>
      </c>
      <c r="M517" s="43">
        <f>VLOOKUP(F517,[7]Hárok1!$F$437:$S$548,8,0)</f>
        <v>0</v>
      </c>
      <c r="N517" s="43">
        <f>VLOOKUP(F517,[7]Hárok1!$F$437:$S$548,9,0)</f>
        <v>1</v>
      </c>
      <c r="O517" s="43">
        <f>VLOOKUP(F517,[7]Hárok1!$F$437:$S$548,10,0)</f>
        <v>33</v>
      </c>
      <c r="P517" s="44">
        <f>VLOOKUP(F517,[7]Hárok1!$F$437:$S$548,11,0)</f>
        <v>3</v>
      </c>
      <c r="Q517" s="42">
        <f>VLOOKUP(F517,[7]Hárok1!$F$437:$S$548,12,0)</f>
        <v>18</v>
      </c>
      <c r="R517" s="43">
        <f>VLOOKUP(F517,[7]Hárok1!$F$437:$S$548,13,0)</f>
        <v>567</v>
      </c>
      <c r="S517" s="44">
        <f>VLOOKUP(F517,[7]Hárok1!$F$437:$S$548,14,0)</f>
        <v>111</v>
      </c>
      <c r="T517" s="45">
        <f t="shared" si="42"/>
        <v>2412</v>
      </c>
      <c r="U517" s="46">
        <f>VLOOKUP(F517,[7]Hárok1!$F$437:$U$548,16,0)</f>
        <v>278.66000000000003</v>
      </c>
      <c r="V517" s="47">
        <f t="shared" si="43"/>
        <v>40.5</v>
      </c>
      <c r="W517" s="47">
        <f t="shared" si="44"/>
        <v>1579.5</v>
      </c>
      <c r="X517" s="48">
        <f t="shared" si="45"/>
        <v>247.5</v>
      </c>
      <c r="Y517" s="49">
        <f t="shared" si="47"/>
        <v>4558.16</v>
      </c>
      <c r="Z517" s="50">
        <f t="shared" si="46"/>
        <v>4558</v>
      </c>
    </row>
    <row r="518" spans="1:26" x14ac:dyDescent="0.25">
      <c r="A518" s="29" t="s">
        <v>991</v>
      </c>
      <c r="B518" s="29" t="s">
        <v>79</v>
      </c>
      <c r="C518" s="29" t="s">
        <v>1024</v>
      </c>
      <c r="D518" s="29">
        <v>37828100</v>
      </c>
      <c r="E518" s="32" t="s">
        <v>1025</v>
      </c>
      <c r="F518" s="29">
        <v>37890085</v>
      </c>
      <c r="G518" s="32" t="s">
        <v>402</v>
      </c>
      <c r="H518" s="32" t="s">
        <v>1109</v>
      </c>
      <c r="I518" s="33" t="s">
        <v>1111</v>
      </c>
      <c r="J518" s="42">
        <f>VLOOKUP(F518,[7]Hárok1!$F$438:$J$548,5,0)</f>
        <v>12</v>
      </c>
      <c r="K518" s="43">
        <f>VLOOKUP(F518,[7]Hárok1!$F$437:$S$548,6,0)</f>
        <v>3</v>
      </c>
      <c r="L518" s="43">
        <f>VLOOKUP(F518,[7]Hárok1!$F$437:$S$548,7,0)</f>
        <v>52</v>
      </c>
      <c r="M518" s="43">
        <f>VLOOKUP(F518,[7]Hárok1!$F$437:$S$548,8,0)</f>
        <v>9</v>
      </c>
      <c r="N518" s="43">
        <f>VLOOKUP(F518,[7]Hárok1!$F$437:$S$548,9,0)</f>
        <v>11</v>
      </c>
      <c r="O518" s="43">
        <f>VLOOKUP(F518,[7]Hárok1!$F$437:$S$548,10,0)</f>
        <v>21</v>
      </c>
      <c r="P518" s="44">
        <f>VLOOKUP(F518,[7]Hárok1!$F$437:$S$548,11,0)</f>
        <v>2</v>
      </c>
      <c r="Q518" s="42">
        <f>VLOOKUP(F518,[7]Hárok1!$F$437:$S$548,12,0)</f>
        <v>84</v>
      </c>
      <c r="R518" s="43">
        <f>VLOOKUP(F518,[7]Hárok1!$F$437:$S$548,13,0)</f>
        <v>299</v>
      </c>
      <c r="S518" s="44">
        <f>VLOOKUP(F518,[7]Hárok1!$F$437:$S$548,14,0)</f>
        <v>12</v>
      </c>
      <c r="T518" s="45">
        <f t="shared" si="42"/>
        <v>1742</v>
      </c>
      <c r="U518" s="46">
        <f>VLOOKUP(F518,[7]Hárok1!$F$437:$U$548,16,0)</f>
        <v>463.5</v>
      </c>
      <c r="V518" s="47">
        <f t="shared" si="43"/>
        <v>274.5</v>
      </c>
      <c r="W518" s="47">
        <f t="shared" si="44"/>
        <v>881.5</v>
      </c>
      <c r="X518" s="48">
        <f t="shared" si="45"/>
        <v>72</v>
      </c>
      <c r="Y518" s="49">
        <f t="shared" si="47"/>
        <v>3433.5</v>
      </c>
      <c r="Z518" s="50">
        <f t="shared" si="46"/>
        <v>3434</v>
      </c>
    </row>
    <row r="519" spans="1:26" x14ac:dyDescent="0.25">
      <c r="A519" s="29" t="s">
        <v>991</v>
      </c>
      <c r="B519" s="29" t="s">
        <v>181</v>
      </c>
      <c r="C519" s="29" t="s">
        <v>1112</v>
      </c>
      <c r="D519" s="29">
        <v>31933475</v>
      </c>
      <c r="E519" s="32" t="s">
        <v>1113</v>
      </c>
      <c r="F519" s="29">
        <v>30232171</v>
      </c>
      <c r="G519" s="32" t="s">
        <v>1114</v>
      </c>
      <c r="H519" s="32" t="s">
        <v>995</v>
      </c>
      <c r="I519" s="33" t="s">
        <v>1115</v>
      </c>
      <c r="J519" s="42">
        <f>VLOOKUP(F519,[7]Hárok1!$F$438:$J$548,5,0)</f>
        <v>4</v>
      </c>
      <c r="K519" s="43">
        <f>VLOOKUP(F519,[7]Hárok1!$F$437:$S$548,6,0)</f>
        <v>0</v>
      </c>
      <c r="L519" s="43">
        <f>VLOOKUP(F519,[7]Hárok1!$F$437:$S$548,7,0)</f>
        <v>13</v>
      </c>
      <c r="M519" s="43">
        <f>VLOOKUP(F519,[7]Hárok1!$F$437:$S$548,8,0)</f>
        <v>0</v>
      </c>
      <c r="N519" s="43">
        <f>VLOOKUP(F519,[7]Hárok1!$F$437:$S$548,9,0)</f>
        <v>0</v>
      </c>
      <c r="O519" s="43">
        <f>VLOOKUP(F519,[7]Hárok1!$F$437:$S$548,10,0)</f>
        <v>4</v>
      </c>
      <c r="P519" s="44">
        <f>VLOOKUP(F519,[7]Hárok1!$F$437:$S$548,11,0)</f>
        <v>1</v>
      </c>
      <c r="Q519" s="42">
        <f>VLOOKUP(F519,[7]Hárok1!$F$437:$S$548,12,0)</f>
        <v>0</v>
      </c>
      <c r="R519" s="43">
        <f>VLOOKUP(F519,[7]Hárok1!$F$437:$S$548,13,0)</f>
        <v>89</v>
      </c>
      <c r="S519" s="44">
        <f>VLOOKUP(F519,[7]Hárok1!$F$437:$S$548,14,0)</f>
        <v>22</v>
      </c>
      <c r="T519" s="45">
        <f t="shared" si="42"/>
        <v>435.5</v>
      </c>
      <c r="U519" s="46">
        <f>VLOOKUP(F519,[7]Hárok1!$F$437:$U$548,16,0)</f>
        <v>16.8</v>
      </c>
      <c r="V519" s="47">
        <f t="shared" si="43"/>
        <v>0</v>
      </c>
      <c r="W519" s="47">
        <f t="shared" si="44"/>
        <v>232</v>
      </c>
      <c r="X519" s="48">
        <f t="shared" si="45"/>
        <v>60</v>
      </c>
      <c r="Y519" s="49">
        <f t="shared" si="47"/>
        <v>744.3</v>
      </c>
      <c r="Z519" s="50">
        <f t="shared" si="46"/>
        <v>744</v>
      </c>
    </row>
    <row r="520" spans="1:26" x14ac:dyDescent="0.25">
      <c r="A520" s="29" t="s">
        <v>991</v>
      </c>
      <c r="B520" s="29" t="s">
        <v>181</v>
      </c>
      <c r="C520" s="29" t="s">
        <v>1116</v>
      </c>
      <c r="D520" s="29">
        <v>179086</v>
      </c>
      <c r="E520" s="32" t="s">
        <v>1117</v>
      </c>
      <c r="F520" s="29">
        <v>30232503</v>
      </c>
      <c r="G520" s="32" t="s">
        <v>1118</v>
      </c>
      <c r="H520" s="32" t="s">
        <v>995</v>
      </c>
      <c r="I520" s="33" t="s">
        <v>1119</v>
      </c>
      <c r="J520" s="42">
        <f>VLOOKUP(F520,[7]Hárok1!$F$438:$J$548,5,0)</f>
        <v>14</v>
      </c>
      <c r="K520" s="43">
        <f>VLOOKUP(F520,[7]Hárok1!$F$437:$S$548,6,0)</f>
        <v>0</v>
      </c>
      <c r="L520" s="43">
        <f>VLOOKUP(F520,[7]Hárok1!$F$437:$S$548,7,0)</f>
        <v>45</v>
      </c>
      <c r="M520" s="43">
        <f>VLOOKUP(F520,[7]Hárok1!$F$437:$S$548,8,0)</f>
        <v>45</v>
      </c>
      <c r="N520" s="43">
        <f>VLOOKUP(F520,[7]Hárok1!$F$437:$S$548,9,0)</f>
        <v>0</v>
      </c>
      <c r="O520" s="43">
        <f>VLOOKUP(F520,[7]Hárok1!$F$437:$S$548,10,0)</f>
        <v>17</v>
      </c>
      <c r="P520" s="44">
        <f>VLOOKUP(F520,[7]Hárok1!$F$437:$S$548,11,0)</f>
        <v>1</v>
      </c>
      <c r="Q520" s="42">
        <f>VLOOKUP(F520,[7]Hárok1!$F$437:$S$548,12,0)</f>
        <v>0</v>
      </c>
      <c r="R520" s="43">
        <f>VLOOKUP(F520,[7]Hárok1!$F$437:$S$548,13,0)</f>
        <v>415</v>
      </c>
      <c r="S520" s="44">
        <f>VLOOKUP(F520,[7]Hárok1!$F$437:$S$548,14,0)</f>
        <v>108</v>
      </c>
      <c r="T520" s="45">
        <f t="shared" ref="T520:T583" si="48">$T$1*L520</f>
        <v>1507.5</v>
      </c>
      <c r="U520" s="46">
        <f>VLOOKUP(F520,[7]Hárok1!$F$437:$U$548,16,0)</f>
        <v>50.5</v>
      </c>
      <c r="V520" s="47">
        <f t="shared" ref="V520:V583" si="49">$U$1*N520+$V$1*Q520</f>
        <v>0</v>
      </c>
      <c r="W520" s="47">
        <f t="shared" ref="W520:W583" si="50">$U$1*O520+$W$1*R520</f>
        <v>1059.5</v>
      </c>
      <c r="X520" s="48">
        <f t="shared" ref="X520:X583" si="51">$X$1*P520+$V$1*S520</f>
        <v>189</v>
      </c>
      <c r="Y520" s="49">
        <f t="shared" si="47"/>
        <v>2806.5</v>
      </c>
      <c r="Z520" s="50">
        <f t="shared" ref="Z520:Z583" si="52">ROUND(Y520,0)</f>
        <v>2807</v>
      </c>
    </row>
    <row r="521" spans="1:26" x14ac:dyDescent="0.25">
      <c r="A521" s="29" t="s">
        <v>991</v>
      </c>
      <c r="B521" s="29" t="s">
        <v>181</v>
      </c>
      <c r="C521" s="29" t="s">
        <v>1116</v>
      </c>
      <c r="D521" s="29">
        <v>179086</v>
      </c>
      <c r="E521" s="32" t="s">
        <v>1117</v>
      </c>
      <c r="F521" s="29">
        <v>37958470</v>
      </c>
      <c r="G521" s="32" t="s">
        <v>1120</v>
      </c>
      <c r="H521" s="32" t="s">
        <v>1040</v>
      </c>
      <c r="I521" s="33" t="s">
        <v>1121</v>
      </c>
      <c r="J521" s="42">
        <f>VLOOKUP(F521,[7]Hárok1!$F$438:$J$548,5,0)</f>
        <v>3</v>
      </c>
      <c r="K521" s="43">
        <f>VLOOKUP(F521,[7]Hárok1!$F$437:$S$548,6,0)</f>
        <v>0</v>
      </c>
      <c r="L521" s="43">
        <f>VLOOKUP(F521,[7]Hárok1!$F$437:$S$548,7,0)</f>
        <v>6</v>
      </c>
      <c r="M521" s="43">
        <f>VLOOKUP(F521,[7]Hárok1!$F$437:$S$548,8,0)</f>
        <v>0</v>
      </c>
      <c r="N521" s="43">
        <f>VLOOKUP(F521,[7]Hárok1!$F$437:$S$548,9,0)</f>
        <v>0</v>
      </c>
      <c r="O521" s="43">
        <f>VLOOKUP(F521,[7]Hárok1!$F$437:$S$548,10,0)</f>
        <v>5</v>
      </c>
      <c r="P521" s="44">
        <f>VLOOKUP(F521,[7]Hárok1!$F$437:$S$548,11,0)</f>
        <v>0</v>
      </c>
      <c r="Q521" s="42">
        <f>VLOOKUP(F521,[7]Hárok1!$F$437:$S$548,12,0)</f>
        <v>0</v>
      </c>
      <c r="R521" s="43">
        <f>VLOOKUP(F521,[7]Hárok1!$F$437:$S$548,13,0)</f>
        <v>37</v>
      </c>
      <c r="S521" s="44">
        <f>VLOOKUP(F521,[7]Hárok1!$F$437:$S$548,14,0)</f>
        <v>0</v>
      </c>
      <c r="T521" s="45">
        <f t="shared" si="48"/>
        <v>201</v>
      </c>
      <c r="U521" s="46">
        <f>VLOOKUP(F521,[7]Hárok1!$F$437:$U$548,16,0)</f>
        <v>0</v>
      </c>
      <c r="V521" s="47">
        <f t="shared" si="49"/>
        <v>0</v>
      </c>
      <c r="W521" s="47">
        <f t="shared" si="50"/>
        <v>141.5</v>
      </c>
      <c r="X521" s="48">
        <f t="shared" si="51"/>
        <v>0</v>
      </c>
      <c r="Y521" s="49">
        <f t="shared" ref="Y521:Y584" si="53">T521+U521+V521+W521+X521</f>
        <v>342.5</v>
      </c>
      <c r="Z521" s="50">
        <f t="shared" si="52"/>
        <v>343</v>
      </c>
    </row>
    <row r="522" spans="1:26" x14ac:dyDescent="0.25">
      <c r="A522" s="29" t="s">
        <v>991</v>
      </c>
      <c r="B522" s="29" t="s">
        <v>181</v>
      </c>
      <c r="C522" s="29" t="s">
        <v>1112</v>
      </c>
      <c r="D522" s="29">
        <v>31933475</v>
      </c>
      <c r="E522" s="32" t="s">
        <v>1113</v>
      </c>
      <c r="F522" s="29">
        <v>17327164</v>
      </c>
      <c r="G522" s="32" t="s">
        <v>1122</v>
      </c>
      <c r="H522" s="32" t="s">
        <v>66</v>
      </c>
      <c r="I522" s="33" t="s">
        <v>1123</v>
      </c>
      <c r="J522" s="42">
        <f>VLOOKUP(F522,[7]Hárok1!$F$438:$J$548,5,0)</f>
        <v>10</v>
      </c>
      <c r="K522" s="43">
        <f>VLOOKUP(F522,[7]Hárok1!$F$437:$S$548,6,0)</f>
        <v>2</v>
      </c>
      <c r="L522" s="43">
        <f>VLOOKUP(F522,[7]Hárok1!$F$437:$S$548,7,0)</f>
        <v>28</v>
      </c>
      <c r="M522" s="43">
        <f>VLOOKUP(F522,[7]Hárok1!$F$437:$S$548,8,0)</f>
        <v>2</v>
      </c>
      <c r="N522" s="43">
        <f>VLOOKUP(F522,[7]Hárok1!$F$437:$S$548,9,0)</f>
        <v>1</v>
      </c>
      <c r="O522" s="43">
        <f>VLOOKUP(F522,[7]Hárok1!$F$437:$S$548,10,0)</f>
        <v>12</v>
      </c>
      <c r="P522" s="44">
        <f>VLOOKUP(F522,[7]Hárok1!$F$437:$S$548,11,0)</f>
        <v>1</v>
      </c>
      <c r="Q522" s="42">
        <f>VLOOKUP(F522,[7]Hárok1!$F$437:$S$548,12,0)</f>
        <v>16</v>
      </c>
      <c r="R522" s="43">
        <f>VLOOKUP(F522,[7]Hárok1!$F$437:$S$548,13,0)</f>
        <v>197</v>
      </c>
      <c r="S522" s="44">
        <f>VLOOKUP(F522,[7]Hárok1!$F$437:$S$548,14,0)</f>
        <v>110</v>
      </c>
      <c r="T522" s="45">
        <f t="shared" si="48"/>
        <v>938</v>
      </c>
      <c r="U522" s="46">
        <f>VLOOKUP(F522,[7]Hárok1!$F$437:$U$548,16,0)</f>
        <v>0</v>
      </c>
      <c r="V522" s="47">
        <f t="shared" si="49"/>
        <v>37.5</v>
      </c>
      <c r="W522" s="47">
        <f t="shared" si="50"/>
        <v>556</v>
      </c>
      <c r="X522" s="48">
        <f t="shared" si="51"/>
        <v>192</v>
      </c>
      <c r="Y522" s="49">
        <f t="shared" si="53"/>
        <v>1723.5</v>
      </c>
      <c r="Z522" s="50">
        <f t="shared" si="52"/>
        <v>1724</v>
      </c>
    </row>
    <row r="523" spans="1:26" x14ac:dyDescent="0.25">
      <c r="A523" s="29" t="s">
        <v>991</v>
      </c>
      <c r="B523" s="29" t="s">
        <v>181</v>
      </c>
      <c r="C523" s="29" t="s">
        <v>1116</v>
      </c>
      <c r="D523" s="29">
        <v>179086</v>
      </c>
      <c r="E523" s="32" t="s">
        <v>1117</v>
      </c>
      <c r="F523" s="29">
        <v>42125278</v>
      </c>
      <c r="G523" s="32" t="s">
        <v>1124</v>
      </c>
      <c r="H523" s="32" t="s">
        <v>637</v>
      </c>
      <c r="I523" s="33" t="s">
        <v>1125</v>
      </c>
      <c r="J523" s="42">
        <f>VLOOKUP(F523,[7]Hárok1!$F$438:$J$548,5,0)</f>
        <v>9</v>
      </c>
      <c r="K523" s="43">
        <f>VLOOKUP(F523,[7]Hárok1!$F$437:$S$548,6,0)</f>
        <v>0</v>
      </c>
      <c r="L523" s="43">
        <f>VLOOKUP(F523,[7]Hárok1!$F$437:$S$548,7,0)</f>
        <v>27</v>
      </c>
      <c r="M523" s="43">
        <f>VLOOKUP(F523,[7]Hárok1!$F$437:$S$548,8,0)</f>
        <v>0</v>
      </c>
      <c r="N523" s="43">
        <f>VLOOKUP(F523,[7]Hárok1!$F$437:$S$548,9,0)</f>
        <v>1</v>
      </c>
      <c r="O523" s="43">
        <f>VLOOKUP(F523,[7]Hárok1!$F$437:$S$548,10,0)</f>
        <v>10</v>
      </c>
      <c r="P523" s="44">
        <f>VLOOKUP(F523,[7]Hárok1!$F$437:$S$548,11,0)</f>
        <v>1</v>
      </c>
      <c r="Q523" s="42">
        <f>VLOOKUP(F523,[7]Hárok1!$F$437:$S$548,12,0)</f>
        <v>16</v>
      </c>
      <c r="R523" s="43">
        <f>VLOOKUP(F523,[7]Hárok1!$F$437:$S$548,13,0)</f>
        <v>207</v>
      </c>
      <c r="S523" s="44">
        <f>VLOOKUP(F523,[7]Hárok1!$F$437:$S$548,14,0)</f>
        <v>52</v>
      </c>
      <c r="T523" s="45">
        <f t="shared" si="48"/>
        <v>904.5</v>
      </c>
      <c r="U523" s="46">
        <f>VLOOKUP(F523,[7]Hárok1!$F$437:$U$548,16,0)</f>
        <v>68.75</v>
      </c>
      <c r="V523" s="47">
        <f t="shared" si="49"/>
        <v>37.5</v>
      </c>
      <c r="W523" s="47">
        <f t="shared" si="50"/>
        <v>549</v>
      </c>
      <c r="X523" s="48">
        <f t="shared" si="51"/>
        <v>105</v>
      </c>
      <c r="Y523" s="49">
        <f t="shared" si="53"/>
        <v>1664.75</v>
      </c>
      <c r="Z523" s="50">
        <f t="shared" si="52"/>
        <v>1665</v>
      </c>
    </row>
    <row r="524" spans="1:26" x14ac:dyDescent="0.25">
      <c r="A524" s="29" t="s">
        <v>991</v>
      </c>
      <c r="B524" s="29" t="s">
        <v>181</v>
      </c>
      <c r="C524" s="29" t="s">
        <v>1116</v>
      </c>
      <c r="D524" s="29">
        <v>179086</v>
      </c>
      <c r="E524" s="32" t="s">
        <v>1117</v>
      </c>
      <c r="F524" s="29">
        <v>31825150</v>
      </c>
      <c r="G524" s="32" t="s">
        <v>1126</v>
      </c>
      <c r="H524" s="32" t="s">
        <v>639</v>
      </c>
      <c r="I524" s="33" t="s">
        <v>1127</v>
      </c>
      <c r="J524" s="42">
        <f>VLOOKUP(F524,[7]Hárok1!$F$438:$J$548,5,0)</f>
        <v>9</v>
      </c>
      <c r="K524" s="43">
        <f>VLOOKUP(F524,[7]Hárok1!$F$437:$S$548,6,0)</f>
        <v>3</v>
      </c>
      <c r="L524" s="43">
        <f>VLOOKUP(F524,[7]Hárok1!$F$437:$S$548,7,0)</f>
        <v>18</v>
      </c>
      <c r="M524" s="43">
        <f>VLOOKUP(F524,[7]Hárok1!$F$437:$S$548,8,0)</f>
        <v>4</v>
      </c>
      <c r="N524" s="43">
        <f>VLOOKUP(F524,[7]Hárok1!$F$437:$S$548,9,0)</f>
        <v>1</v>
      </c>
      <c r="O524" s="43">
        <f>VLOOKUP(F524,[7]Hárok1!$F$437:$S$548,10,0)</f>
        <v>12</v>
      </c>
      <c r="P524" s="44">
        <f>VLOOKUP(F524,[7]Hárok1!$F$437:$S$548,11,0)</f>
        <v>1</v>
      </c>
      <c r="Q524" s="42">
        <f>VLOOKUP(F524,[7]Hárok1!$F$437:$S$548,12,0)</f>
        <v>20</v>
      </c>
      <c r="R524" s="43">
        <f>VLOOKUP(F524,[7]Hárok1!$F$437:$S$548,13,0)</f>
        <v>71</v>
      </c>
      <c r="S524" s="44">
        <f>VLOOKUP(F524,[7]Hárok1!$F$437:$S$548,14,0)</f>
        <v>10</v>
      </c>
      <c r="T524" s="45">
        <f t="shared" si="48"/>
        <v>603</v>
      </c>
      <c r="U524" s="46">
        <f>VLOOKUP(F524,[7]Hárok1!$F$437:$U$548,16,0)</f>
        <v>0</v>
      </c>
      <c r="V524" s="47">
        <f t="shared" si="49"/>
        <v>43.5</v>
      </c>
      <c r="W524" s="47">
        <f t="shared" si="50"/>
        <v>304</v>
      </c>
      <c r="X524" s="48">
        <f t="shared" si="51"/>
        <v>42</v>
      </c>
      <c r="Y524" s="49">
        <f t="shared" si="53"/>
        <v>992.5</v>
      </c>
      <c r="Z524" s="50">
        <f t="shared" si="52"/>
        <v>993</v>
      </c>
    </row>
    <row r="525" spans="1:26" x14ac:dyDescent="0.25">
      <c r="A525" s="29" t="s">
        <v>991</v>
      </c>
      <c r="B525" s="29" t="s">
        <v>181</v>
      </c>
      <c r="C525" s="29" t="s">
        <v>1112</v>
      </c>
      <c r="D525" s="29">
        <v>31933475</v>
      </c>
      <c r="E525" s="32" t="s">
        <v>1113</v>
      </c>
      <c r="F525" s="29">
        <v>30231621</v>
      </c>
      <c r="G525" s="32" t="s">
        <v>1114</v>
      </c>
      <c r="H525" s="32" t="s">
        <v>1088</v>
      </c>
      <c r="I525" s="33" t="s">
        <v>1128</v>
      </c>
      <c r="J525" s="42">
        <f>VLOOKUP(F525,[7]Hárok1!$F$438:$J$548,5,0)</f>
        <v>9</v>
      </c>
      <c r="K525" s="43">
        <f>VLOOKUP(F525,[7]Hárok1!$F$437:$S$548,6,0)</f>
        <v>1</v>
      </c>
      <c r="L525" s="43">
        <f>VLOOKUP(F525,[7]Hárok1!$F$437:$S$548,7,0)</f>
        <v>20</v>
      </c>
      <c r="M525" s="43">
        <f>VLOOKUP(F525,[7]Hárok1!$F$437:$S$548,8,0)</f>
        <v>2</v>
      </c>
      <c r="N525" s="43">
        <f>VLOOKUP(F525,[7]Hárok1!$F$437:$S$548,9,0)</f>
        <v>5</v>
      </c>
      <c r="O525" s="43">
        <f>VLOOKUP(F525,[7]Hárok1!$F$437:$S$548,10,0)</f>
        <v>9</v>
      </c>
      <c r="P525" s="44">
        <f>VLOOKUP(F525,[7]Hárok1!$F$437:$S$548,11,0)</f>
        <v>1</v>
      </c>
      <c r="Q525" s="42">
        <f>VLOOKUP(F525,[7]Hárok1!$F$437:$S$548,12,0)</f>
        <v>35</v>
      </c>
      <c r="R525" s="43">
        <f>VLOOKUP(F525,[7]Hárok1!$F$437:$S$548,13,0)</f>
        <v>110</v>
      </c>
      <c r="S525" s="44">
        <f>VLOOKUP(F525,[7]Hárok1!$F$437:$S$548,14,0)</f>
        <v>28</v>
      </c>
      <c r="T525" s="45">
        <f t="shared" si="48"/>
        <v>670</v>
      </c>
      <c r="U525" s="46">
        <f>VLOOKUP(F525,[7]Hárok1!$F$437:$U$548,16,0)</f>
        <v>128.80000000000001</v>
      </c>
      <c r="V525" s="47">
        <f t="shared" si="49"/>
        <v>120</v>
      </c>
      <c r="W525" s="47">
        <f t="shared" si="50"/>
        <v>341.5</v>
      </c>
      <c r="X525" s="48">
        <f t="shared" si="51"/>
        <v>69</v>
      </c>
      <c r="Y525" s="49">
        <f t="shared" si="53"/>
        <v>1329.3</v>
      </c>
      <c r="Z525" s="50">
        <f t="shared" si="52"/>
        <v>1329</v>
      </c>
    </row>
    <row r="526" spans="1:26" x14ac:dyDescent="0.25">
      <c r="A526" s="29" t="s">
        <v>991</v>
      </c>
      <c r="B526" s="29" t="s">
        <v>226</v>
      </c>
      <c r="C526" s="29" t="s">
        <v>1129</v>
      </c>
      <c r="D526" s="29">
        <v>36648701</v>
      </c>
      <c r="E526" s="32" t="s">
        <v>1130</v>
      </c>
      <c r="F526" s="29">
        <v>42011701</v>
      </c>
      <c r="G526" s="32" t="s">
        <v>1131</v>
      </c>
      <c r="H526" s="32" t="s">
        <v>995</v>
      </c>
      <c r="I526" s="33" t="s">
        <v>1132</v>
      </c>
      <c r="J526" s="42">
        <f>VLOOKUP(F526,[7]Hárok1!$F$438:$J$548,5,0)</f>
        <v>2</v>
      </c>
      <c r="K526" s="43">
        <f>VLOOKUP(F526,[7]Hárok1!$F$437:$S$548,6,0)</f>
        <v>0</v>
      </c>
      <c r="L526" s="43">
        <f>VLOOKUP(F526,[7]Hárok1!$F$437:$S$548,7,0)</f>
        <v>4</v>
      </c>
      <c r="M526" s="43">
        <f>VLOOKUP(F526,[7]Hárok1!$F$437:$S$548,8,0)</f>
        <v>0</v>
      </c>
      <c r="N526" s="43">
        <f>VLOOKUP(F526,[7]Hárok1!$F$437:$S$548,9,0)</f>
        <v>3</v>
      </c>
      <c r="O526" s="43">
        <f>VLOOKUP(F526,[7]Hárok1!$F$437:$S$548,10,0)</f>
        <v>0</v>
      </c>
      <c r="P526" s="44">
        <f>VLOOKUP(F526,[7]Hárok1!$F$437:$S$548,11,0)</f>
        <v>0</v>
      </c>
      <c r="Q526" s="42">
        <f>VLOOKUP(F526,[7]Hárok1!$F$437:$S$548,12,0)</f>
        <v>0</v>
      </c>
      <c r="R526" s="43">
        <f>VLOOKUP(F526,[7]Hárok1!$F$437:$S$548,13,0)</f>
        <v>32</v>
      </c>
      <c r="S526" s="44">
        <f>VLOOKUP(F526,[7]Hárok1!$F$437:$S$548,14,0)</f>
        <v>0</v>
      </c>
      <c r="T526" s="45">
        <f t="shared" si="48"/>
        <v>134</v>
      </c>
      <c r="U526" s="46">
        <f>VLOOKUP(F526,[7]Hárok1!$F$437:$U$548,16,0)</f>
        <v>0</v>
      </c>
      <c r="V526" s="47">
        <f t="shared" si="49"/>
        <v>40.5</v>
      </c>
      <c r="W526" s="47">
        <f t="shared" si="50"/>
        <v>64</v>
      </c>
      <c r="X526" s="48">
        <f t="shared" si="51"/>
        <v>0</v>
      </c>
      <c r="Y526" s="49">
        <f t="shared" si="53"/>
        <v>238.5</v>
      </c>
      <c r="Z526" s="50">
        <f t="shared" si="52"/>
        <v>239</v>
      </c>
    </row>
    <row r="527" spans="1:26" x14ac:dyDescent="0.25">
      <c r="A527" s="51" t="s">
        <v>991</v>
      </c>
      <c r="B527" s="51" t="s">
        <v>226</v>
      </c>
      <c r="C527" s="51" t="s">
        <v>1133</v>
      </c>
      <c r="D527" s="51">
        <v>90000233</v>
      </c>
      <c r="E527" s="32" t="s">
        <v>1134</v>
      </c>
      <c r="F527" s="51">
        <v>53779517</v>
      </c>
      <c r="G527" s="32" t="s">
        <v>500</v>
      </c>
      <c r="H527" s="32" t="s">
        <v>1040</v>
      </c>
      <c r="I527" s="33" t="s">
        <v>1135</v>
      </c>
      <c r="J527" s="42">
        <f>VLOOKUP(F527,[7]Hárok1!$F$438:$J$548,5,0)</f>
        <v>5</v>
      </c>
      <c r="K527" s="43">
        <f>VLOOKUP(F527,[7]Hárok1!$F$437:$S$548,6,0)</f>
        <v>0</v>
      </c>
      <c r="L527" s="43">
        <f>VLOOKUP(F527,[7]Hárok1!$F$437:$S$548,7,0)</f>
        <v>19</v>
      </c>
      <c r="M527" s="43">
        <f>VLOOKUP(F527,[7]Hárok1!$F$437:$S$548,8,0)</f>
        <v>2</v>
      </c>
      <c r="N527" s="43">
        <f>VLOOKUP(F527,[7]Hárok1!$F$437:$S$548,9,0)</f>
        <v>1</v>
      </c>
      <c r="O527" s="43">
        <f>VLOOKUP(F527,[7]Hárok1!$F$437:$S$548,10,0)</f>
        <v>9</v>
      </c>
      <c r="P527" s="44">
        <f>VLOOKUP(F527,[7]Hárok1!$F$437:$S$548,11,0)</f>
        <v>2</v>
      </c>
      <c r="Q527" s="42">
        <f>VLOOKUP(F527,[7]Hárok1!$F$437:$S$548,12,0)</f>
        <v>12</v>
      </c>
      <c r="R527" s="43">
        <f>VLOOKUP(F527,[7]Hárok1!$F$437:$S$548,13,0)</f>
        <v>81</v>
      </c>
      <c r="S527" s="44">
        <f>VLOOKUP(F527,[7]Hárok1!$F$437:$S$548,14,0)</f>
        <v>34</v>
      </c>
      <c r="T527" s="45">
        <f t="shared" si="48"/>
        <v>636.5</v>
      </c>
      <c r="U527" s="46">
        <f>VLOOKUP(F527,[7]Hárok1!$F$437:$U$548,16,0)</f>
        <v>0</v>
      </c>
      <c r="V527" s="47">
        <f t="shared" si="49"/>
        <v>31.5</v>
      </c>
      <c r="W527" s="47">
        <f t="shared" si="50"/>
        <v>283.5</v>
      </c>
      <c r="X527" s="48">
        <f t="shared" si="51"/>
        <v>105</v>
      </c>
      <c r="Y527" s="49">
        <f t="shared" si="53"/>
        <v>1056.5</v>
      </c>
      <c r="Z527" s="50">
        <f t="shared" si="52"/>
        <v>1057</v>
      </c>
    </row>
    <row r="528" spans="1:26" x14ac:dyDescent="0.25">
      <c r="A528" s="29" t="s">
        <v>991</v>
      </c>
      <c r="B528" s="29" t="s">
        <v>226</v>
      </c>
      <c r="C528" s="29" t="s">
        <v>1136</v>
      </c>
      <c r="D528" s="29">
        <v>47342242</v>
      </c>
      <c r="E528" s="32" t="s">
        <v>1137</v>
      </c>
      <c r="F528" s="29">
        <v>37939076</v>
      </c>
      <c r="G528" s="32" t="s">
        <v>1138</v>
      </c>
      <c r="H528" s="32" t="s">
        <v>230</v>
      </c>
      <c r="I528" s="33" t="s">
        <v>1139</v>
      </c>
      <c r="J528" s="42">
        <f>VLOOKUP(F528,[7]Hárok1!$F$438:$J$548,5,0)</f>
        <v>3</v>
      </c>
      <c r="K528" s="43">
        <f>VLOOKUP(F528,[7]Hárok1!$F$437:$S$548,6,0)</f>
        <v>0</v>
      </c>
      <c r="L528" s="43">
        <f>VLOOKUP(F528,[7]Hárok1!$F$437:$S$548,7,0)</f>
        <v>8</v>
      </c>
      <c r="M528" s="43">
        <f>VLOOKUP(F528,[7]Hárok1!$F$437:$S$548,8,0)</f>
        <v>0</v>
      </c>
      <c r="N528" s="43">
        <f>VLOOKUP(F528,[7]Hárok1!$F$437:$S$548,9,0)</f>
        <v>0</v>
      </c>
      <c r="O528" s="43">
        <f>VLOOKUP(F528,[7]Hárok1!$F$437:$S$548,10,0)</f>
        <v>3</v>
      </c>
      <c r="P528" s="44">
        <f>VLOOKUP(F528,[7]Hárok1!$F$437:$S$548,11,0)</f>
        <v>1</v>
      </c>
      <c r="Q528" s="42">
        <f>VLOOKUP(F528,[7]Hárok1!$F$437:$S$548,12,0)</f>
        <v>0</v>
      </c>
      <c r="R528" s="43">
        <f>VLOOKUP(F528,[7]Hárok1!$F$437:$S$548,13,0)</f>
        <v>38</v>
      </c>
      <c r="S528" s="44">
        <f>VLOOKUP(F528,[7]Hárok1!$F$437:$S$548,14,0)</f>
        <v>30</v>
      </c>
      <c r="T528" s="45">
        <f t="shared" si="48"/>
        <v>268</v>
      </c>
      <c r="U528" s="46">
        <f>VLOOKUP(F528,[7]Hárok1!$F$437:$U$548,16,0)</f>
        <v>0</v>
      </c>
      <c r="V528" s="47">
        <f t="shared" si="49"/>
        <v>0</v>
      </c>
      <c r="W528" s="47">
        <f t="shared" si="50"/>
        <v>116.5</v>
      </c>
      <c r="X528" s="48">
        <f t="shared" si="51"/>
        <v>72</v>
      </c>
      <c r="Y528" s="49">
        <f t="shared" si="53"/>
        <v>456.5</v>
      </c>
      <c r="Z528" s="50">
        <f t="shared" si="52"/>
        <v>457</v>
      </c>
    </row>
    <row r="529" spans="1:26" x14ac:dyDescent="0.25">
      <c r="A529" s="29" t="s">
        <v>991</v>
      </c>
      <c r="B529" s="29" t="s">
        <v>226</v>
      </c>
      <c r="C529" s="29" t="s">
        <v>1140</v>
      </c>
      <c r="D529" s="29">
        <v>37896695</v>
      </c>
      <c r="E529" s="32" t="s">
        <v>1141</v>
      </c>
      <c r="F529" s="29">
        <v>42004802</v>
      </c>
      <c r="G529" s="32" t="s">
        <v>1142</v>
      </c>
      <c r="H529" s="32" t="s">
        <v>1048</v>
      </c>
      <c r="I529" s="33" t="s">
        <v>1019</v>
      </c>
      <c r="J529" s="42">
        <f>VLOOKUP(F529,[7]Hárok1!$F$438:$J$548,5,0)</f>
        <v>1</v>
      </c>
      <c r="K529" s="43">
        <f>VLOOKUP(F529,[7]Hárok1!$F$437:$S$548,6,0)</f>
        <v>0</v>
      </c>
      <c r="L529" s="43">
        <f>VLOOKUP(F529,[7]Hárok1!$F$437:$S$548,7,0)</f>
        <v>2</v>
      </c>
      <c r="M529" s="43">
        <f>VLOOKUP(F529,[7]Hárok1!$F$437:$S$548,8,0)</f>
        <v>0</v>
      </c>
      <c r="N529" s="43">
        <f>VLOOKUP(F529,[7]Hárok1!$F$437:$S$548,9,0)</f>
        <v>0</v>
      </c>
      <c r="O529" s="43">
        <f>VLOOKUP(F529,[7]Hárok1!$F$437:$S$548,10,0)</f>
        <v>2</v>
      </c>
      <c r="P529" s="44">
        <f>VLOOKUP(F529,[7]Hárok1!$F$437:$S$548,11,0)</f>
        <v>2</v>
      </c>
      <c r="Q529" s="42">
        <f>VLOOKUP(F529,[7]Hárok1!$F$437:$S$548,12,0)</f>
        <v>0</v>
      </c>
      <c r="R529" s="43">
        <f>VLOOKUP(F529,[7]Hárok1!$F$437:$S$548,13,0)</f>
        <v>22</v>
      </c>
      <c r="S529" s="44">
        <f>VLOOKUP(F529,[7]Hárok1!$F$437:$S$548,14,0)</f>
        <v>22</v>
      </c>
      <c r="T529" s="45">
        <f t="shared" si="48"/>
        <v>67</v>
      </c>
      <c r="U529" s="46">
        <f>VLOOKUP(F529,[7]Hárok1!$F$437:$U$548,16,0)</f>
        <v>0</v>
      </c>
      <c r="V529" s="47">
        <f t="shared" si="49"/>
        <v>0</v>
      </c>
      <c r="W529" s="47">
        <f t="shared" si="50"/>
        <v>71</v>
      </c>
      <c r="X529" s="48">
        <f t="shared" si="51"/>
        <v>87</v>
      </c>
      <c r="Y529" s="49">
        <f t="shared" si="53"/>
        <v>225</v>
      </c>
      <c r="Z529" s="50">
        <f t="shared" si="52"/>
        <v>225</v>
      </c>
    </row>
    <row r="530" spans="1:26" x14ac:dyDescent="0.25">
      <c r="A530" s="29" t="s">
        <v>991</v>
      </c>
      <c r="B530" s="29" t="s">
        <v>226</v>
      </c>
      <c r="C530" s="29" t="s">
        <v>1143</v>
      </c>
      <c r="D530" s="29">
        <v>31562141</v>
      </c>
      <c r="E530" s="32" t="s">
        <v>1144</v>
      </c>
      <c r="F530" s="29">
        <v>52800253</v>
      </c>
      <c r="G530" s="32" t="s">
        <v>1145</v>
      </c>
      <c r="H530" s="32" t="s">
        <v>1146</v>
      </c>
      <c r="I530" s="33" t="s">
        <v>1147</v>
      </c>
      <c r="J530" s="42">
        <f>VLOOKUP(F530,[7]Hárok1!$F$438:$J$548,5,0)</f>
        <v>8</v>
      </c>
      <c r="K530" s="43">
        <f>VLOOKUP(F530,[7]Hárok1!$F$437:$S$548,6,0)</f>
        <v>0</v>
      </c>
      <c r="L530" s="43">
        <f>VLOOKUP(F530,[7]Hárok1!$F$437:$S$548,7,0)</f>
        <v>34</v>
      </c>
      <c r="M530" s="43">
        <f>VLOOKUP(F530,[7]Hárok1!$F$437:$S$548,8,0)</f>
        <v>0</v>
      </c>
      <c r="N530" s="43">
        <f>VLOOKUP(F530,[7]Hárok1!$F$437:$S$548,9,0)</f>
        <v>0</v>
      </c>
      <c r="O530" s="43">
        <f>VLOOKUP(F530,[7]Hárok1!$F$437:$S$548,10,0)</f>
        <v>19</v>
      </c>
      <c r="P530" s="44">
        <f>VLOOKUP(F530,[7]Hárok1!$F$437:$S$548,11,0)</f>
        <v>1</v>
      </c>
      <c r="Q530" s="42">
        <f>VLOOKUP(F530,[7]Hárok1!$F$437:$S$548,12,0)</f>
        <v>0</v>
      </c>
      <c r="R530" s="43">
        <f>VLOOKUP(F530,[7]Hárok1!$F$437:$S$548,13,0)</f>
        <v>221</v>
      </c>
      <c r="S530" s="44">
        <f>VLOOKUP(F530,[7]Hárok1!$F$437:$S$548,14,0)</f>
        <v>25</v>
      </c>
      <c r="T530" s="45">
        <f t="shared" si="48"/>
        <v>1139</v>
      </c>
      <c r="U530" s="46">
        <f>VLOOKUP(F530,[7]Hárok1!$F$437:$U$548,16,0)</f>
        <v>323.2</v>
      </c>
      <c r="V530" s="47">
        <f t="shared" si="49"/>
        <v>0</v>
      </c>
      <c r="W530" s="47">
        <f t="shared" si="50"/>
        <v>698.5</v>
      </c>
      <c r="X530" s="48">
        <f t="shared" si="51"/>
        <v>64.5</v>
      </c>
      <c r="Y530" s="49">
        <f t="shared" si="53"/>
        <v>2225.1999999999998</v>
      </c>
      <c r="Z530" s="50">
        <f t="shared" si="52"/>
        <v>2225</v>
      </c>
    </row>
    <row r="531" spans="1:26" x14ac:dyDescent="0.25">
      <c r="A531" s="29" t="s">
        <v>991</v>
      </c>
      <c r="B531" s="29" t="s">
        <v>226</v>
      </c>
      <c r="C531" s="29" t="s">
        <v>1148</v>
      </c>
      <c r="D531" s="29">
        <v>45018154</v>
      </c>
      <c r="E531" s="32" t="s">
        <v>1149</v>
      </c>
      <c r="F531" s="29">
        <v>51825902</v>
      </c>
      <c r="G531" s="32" t="s">
        <v>814</v>
      </c>
      <c r="H531" s="32" t="s">
        <v>1052</v>
      </c>
      <c r="I531" s="33" t="s">
        <v>1150</v>
      </c>
      <c r="J531" s="42">
        <f>VLOOKUP(F531,[7]Hárok1!$F$438:$J$548,5,0)</f>
        <v>0</v>
      </c>
      <c r="K531" s="43">
        <f>VLOOKUP(F531,[7]Hárok1!$F$437:$S$548,6,0)</f>
        <v>0</v>
      </c>
      <c r="L531" s="43">
        <f>VLOOKUP(F531,[7]Hárok1!$F$437:$S$548,7,0)</f>
        <v>0</v>
      </c>
      <c r="M531" s="43">
        <f>VLOOKUP(F531,[7]Hárok1!$F$437:$S$548,8,0)</f>
        <v>0</v>
      </c>
      <c r="N531" s="43">
        <f>VLOOKUP(F531,[7]Hárok1!$F$437:$S$548,9,0)</f>
        <v>0</v>
      </c>
      <c r="O531" s="43">
        <f>VLOOKUP(F531,[7]Hárok1!$F$437:$S$548,10,0)</f>
        <v>0</v>
      </c>
      <c r="P531" s="44">
        <f>VLOOKUP(F531,[7]Hárok1!$F$437:$S$548,11,0)</f>
        <v>0</v>
      </c>
      <c r="Q531" s="42">
        <f>VLOOKUP(F531,[7]Hárok1!$F$437:$S$548,12,0)</f>
        <v>0</v>
      </c>
      <c r="R531" s="43">
        <f>VLOOKUP(F531,[7]Hárok1!$F$437:$S$548,13,0)</f>
        <v>0</v>
      </c>
      <c r="S531" s="44">
        <f>VLOOKUP(F531,[7]Hárok1!$F$437:$S$548,14,0)</f>
        <v>0</v>
      </c>
      <c r="T531" s="45">
        <f t="shared" si="48"/>
        <v>0</v>
      </c>
      <c r="U531" s="46">
        <f>VLOOKUP(F531,[7]Hárok1!$F$437:$U$548,16,0)</f>
        <v>0</v>
      </c>
      <c r="V531" s="47">
        <f t="shared" si="49"/>
        <v>0</v>
      </c>
      <c r="W531" s="47">
        <f t="shared" si="50"/>
        <v>0</v>
      </c>
      <c r="X531" s="48">
        <f t="shared" si="51"/>
        <v>0</v>
      </c>
      <c r="Y531" s="49">
        <f t="shared" si="53"/>
        <v>0</v>
      </c>
      <c r="Z531" s="50">
        <f t="shared" si="52"/>
        <v>0</v>
      </c>
    </row>
    <row r="532" spans="1:26" x14ac:dyDescent="0.25">
      <c r="A532" s="29" t="s">
        <v>991</v>
      </c>
      <c r="B532" s="29" t="s">
        <v>226</v>
      </c>
      <c r="C532" s="29" t="s">
        <v>1140</v>
      </c>
      <c r="D532" s="29">
        <v>37896695</v>
      </c>
      <c r="E532" s="32" t="s">
        <v>1141</v>
      </c>
      <c r="F532" s="29">
        <v>42422132</v>
      </c>
      <c r="G532" s="32" t="s">
        <v>1142</v>
      </c>
      <c r="H532" s="32" t="s">
        <v>1151</v>
      </c>
      <c r="I532" s="33" t="s">
        <v>1152</v>
      </c>
      <c r="J532" s="42">
        <f>VLOOKUP(F532,[7]Hárok1!$F$438:$J$548,5,0)</f>
        <v>4</v>
      </c>
      <c r="K532" s="43">
        <f>VLOOKUP(F532,[7]Hárok1!$F$437:$S$548,6,0)</f>
        <v>4</v>
      </c>
      <c r="L532" s="43">
        <f>VLOOKUP(F532,[7]Hárok1!$F$437:$S$548,7,0)</f>
        <v>12</v>
      </c>
      <c r="M532" s="43">
        <f>VLOOKUP(F532,[7]Hárok1!$F$437:$S$548,8,0)</f>
        <v>11</v>
      </c>
      <c r="N532" s="43">
        <f>VLOOKUP(F532,[7]Hárok1!$F$437:$S$548,9,0)</f>
        <v>4</v>
      </c>
      <c r="O532" s="43">
        <f>VLOOKUP(F532,[7]Hárok1!$F$437:$S$548,10,0)</f>
        <v>5</v>
      </c>
      <c r="P532" s="44">
        <f>VLOOKUP(F532,[7]Hárok1!$F$437:$S$548,11,0)</f>
        <v>0</v>
      </c>
      <c r="Q532" s="42">
        <f>VLOOKUP(F532,[7]Hárok1!$F$437:$S$548,12,0)</f>
        <v>187</v>
      </c>
      <c r="R532" s="43">
        <f>VLOOKUP(F532,[7]Hárok1!$F$437:$S$548,13,0)</f>
        <v>128</v>
      </c>
      <c r="S532" s="44">
        <f>VLOOKUP(F532,[7]Hárok1!$F$437:$S$548,14,0)</f>
        <v>0</v>
      </c>
      <c r="T532" s="45">
        <f t="shared" si="48"/>
        <v>402</v>
      </c>
      <c r="U532" s="46">
        <f>VLOOKUP(F532,[7]Hárok1!$F$437:$U$548,16,0)</f>
        <v>0</v>
      </c>
      <c r="V532" s="47">
        <f t="shared" si="49"/>
        <v>334.5</v>
      </c>
      <c r="W532" s="47">
        <f t="shared" si="50"/>
        <v>323.5</v>
      </c>
      <c r="X532" s="48">
        <f t="shared" si="51"/>
        <v>0</v>
      </c>
      <c r="Y532" s="49">
        <f t="shared" si="53"/>
        <v>1060</v>
      </c>
      <c r="Z532" s="50">
        <f t="shared" si="52"/>
        <v>1060</v>
      </c>
    </row>
    <row r="533" spans="1:26" x14ac:dyDescent="0.25">
      <c r="A533" s="29" t="s">
        <v>991</v>
      </c>
      <c r="B533" s="29" t="s">
        <v>226</v>
      </c>
      <c r="C533" s="29" t="s">
        <v>1153</v>
      </c>
      <c r="D533" s="29">
        <v>44458878</v>
      </c>
      <c r="E533" s="32" t="s">
        <v>1154</v>
      </c>
      <c r="F533" s="29">
        <v>45024065</v>
      </c>
      <c r="G533" s="32" t="s">
        <v>276</v>
      </c>
      <c r="H533" s="32" t="s">
        <v>1005</v>
      </c>
      <c r="I533" s="33" t="s">
        <v>1155</v>
      </c>
      <c r="J533" s="42">
        <f>VLOOKUP(F533,[7]Hárok1!$F$438:$J$548,5,0)</f>
        <v>2</v>
      </c>
      <c r="K533" s="43">
        <f>VLOOKUP(F533,[7]Hárok1!$F$437:$S$548,6,0)</f>
        <v>0</v>
      </c>
      <c r="L533" s="43">
        <f>VLOOKUP(F533,[7]Hárok1!$F$437:$S$548,7,0)</f>
        <v>6</v>
      </c>
      <c r="M533" s="43">
        <f>VLOOKUP(F533,[7]Hárok1!$F$437:$S$548,8,0)</f>
        <v>0</v>
      </c>
      <c r="N533" s="43">
        <f>VLOOKUP(F533,[7]Hárok1!$F$437:$S$548,9,0)</f>
        <v>0</v>
      </c>
      <c r="O533" s="43">
        <f>VLOOKUP(F533,[7]Hárok1!$F$437:$S$548,10,0)</f>
        <v>2</v>
      </c>
      <c r="P533" s="44">
        <f>VLOOKUP(F533,[7]Hárok1!$F$437:$S$548,11,0)</f>
        <v>0</v>
      </c>
      <c r="Q533" s="42">
        <f>VLOOKUP(F533,[7]Hárok1!$F$437:$S$548,12,0)</f>
        <v>0</v>
      </c>
      <c r="R533" s="43">
        <f>VLOOKUP(F533,[7]Hárok1!$F$437:$S$548,13,0)</f>
        <v>49</v>
      </c>
      <c r="S533" s="44">
        <f>VLOOKUP(F533,[7]Hárok1!$F$437:$S$548,14,0)</f>
        <v>0</v>
      </c>
      <c r="T533" s="45">
        <f t="shared" si="48"/>
        <v>201</v>
      </c>
      <c r="U533" s="46">
        <f>VLOOKUP(F533,[7]Hárok1!$F$437:$U$548,16,0)</f>
        <v>0</v>
      </c>
      <c r="V533" s="47">
        <f t="shared" si="49"/>
        <v>0</v>
      </c>
      <c r="W533" s="47">
        <f t="shared" si="50"/>
        <v>125</v>
      </c>
      <c r="X533" s="48">
        <f t="shared" si="51"/>
        <v>0</v>
      </c>
      <c r="Y533" s="49">
        <f t="shared" si="53"/>
        <v>326</v>
      </c>
      <c r="Z533" s="50">
        <f t="shared" si="52"/>
        <v>326</v>
      </c>
    </row>
    <row r="534" spans="1:26" x14ac:dyDescent="0.25">
      <c r="A534" s="29" t="s">
        <v>991</v>
      </c>
      <c r="B534" s="29" t="s">
        <v>226</v>
      </c>
      <c r="C534" s="29" t="s">
        <v>1136</v>
      </c>
      <c r="D534" s="29">
        <v>47342242</v>
      </c>
      <c r="E534" s="32" t="s">
        <v>1137</v>
      </c>
      <c r="F534" s="29">
        <v>42114985</v>
      </c>
      <c r="G534" s="32" t="s">
        <v>1156</v>
      </c>
      <c r="H534" s="32" t="s">
        <v>643</v>
      </c>
      <c r="I534" s="33" t="s">
        <v>1157</v>
      </c>
      <c r="J534" s="42">
        <f>VLOOKUP(F534,[7]Hárok1!$F$438:$J$548,5,0)</f>
        <v>10</v>
      </c>
      <c r="K534" s="43">
        <f>VLOOKUP(F534,[7]Hárok1!$F$437:$S$548,6,0)</f>
        <v>0</v>
      </c>
      <c r="L534" s="43">
        <f>VLOOKUP(F534,[7]Hárok1!$F$437:$S$548,7,0)</f>
        <v>53</v>
      </c>
      <c r="M534" s="43">
        <f>VLOOKUP(F534,[7]Hárok1!$F$437:$S$548,8,0)</f>
        <v>0</v>
      </c>
      <c r="N534" s="43">
        <f>VLOOKUP(F534,[7]Hárok1!$F$437:$S$548,9,0)</f>
        <v>0</v>
      </c>
      <c r="O534" s="43">
        <f>VLOOKUP(F534,[7]Hárok1!$F$437:$S$548,10,0)</f>
        <v>14</v>
      </c>
      <c r="P534" s="44">
        <f>VLOOKUP(F534,[7]Hárok1!$F$437:$S$548,11,0)</f>
        <v>2</v>
      </c>
      <c r="Q534" s="42">
        <f>VLOOKUP(F534,[7]Hárok1!$F$437:$S$548,12,0)</f>
        <v>0</v>
      </c>
      <c r="R534" s="43">
        <f>VLOOKUP(F534,[7]Hárok1!$F$437:$S$548,13,0)</f>
        <v>369</v>
      </c>
      <c r="S534" s="44">
        <f>VLOOKUP(F534,[7]Hárok1!$F$437:$S$548,14,0)</f>
        <v>82</v>
      </c>
      <c r="T534" s="45">
        <f t="shared" si="48"/>
        <v>1775.5</v>
      </c>
      <c r="U534" s="46">
        <f>VLOOKUP(F534,[7]Hárok1!$F$437:$U$548,16,0)</f>
        <v>342.1</v>
      </c>
      <c r="V534" s="47">
        <f t="shared" si="49"/>
        <v>0</v>
      </c>
      <c r="W534" s="47">
        <f t="shared" si="50"/>
        <v>927</v>
      </c>
      <c r="X534" s="48">
        <f t="shared" si="51"/>
        <v>177</v>
      </c>
      <c r="Y534" s="49">
        <f t="shared" si="53"/>
        <v>3221.6</v>
      </c>
      <c r="Z534" s="50">
        <f t="shared" si="52"/>
        <v>3222</v>
      </c>
    </row>
    <row r="535" spans="1:26" x14ac:dyDescent="0.25">
      <c r="A535" s="29" t="s">
        <v>991</v>
      </c>
      <c r="B535" s="29" t="s">
        <v>226</v>
      </c>
      <c r="C535" s="29" t="s">
        <v>1158</v>
      </c>
      <c r="D535" s="29">
        <v>36640425</v>
      </c>
      <c r="E535" s="32" t="s">
        <v>1159</v>
      </c>
      <c r="F535" s="29">
        <v>37998676</v>
      </c>
      <c r="G535" s="32" t="s">
        <v>229</v>
      </c>
      <c r="H535" s="32" t="s">
        <v>1075</v>
      </c>
      <c r="I535" s="33" t="s">
        <v>1160</v>
      </c>
      <c r="J535" s="42">
        <f>VLOOKUP(F535,[7]Hárok1!$F$438:$J$548,5,0)</f>
        <v>6</v>
      </c>
      <c r="K535" s="43">
        <f>VLOOKUP(F535,[7]Hárok1!$F$437:$S$548,6,0)</f>
        <v>0</v>
      </c>
      <c r="L535" s="43">
        <f>VLOOKUP(F535,[7]Hárok1!$F$437:$S$548,7,0)</f>
        <v>37</v>
      </c>
      <c r="M535" s="43">
        <f>VLOOKUP(F535,[7]Hárok1!$F$437:$S$548,8,0)</f>
        <v>0</v>
      </c>
      <c r="N535" s="43">
        <f>VLOOKUP(F535,[7]Hárok1!$F$437:$S$548,9,0)</f>
        <v>0</v>
      </c>
      <c r="O535" s="43">
        <f>VLOOKUP(F535,[7]Hárok1!$F$437:$S$548,10,0)</f>
        <v>16</v>
      </c>
      <c r="P535" s="44">
        <f>VLOOKUP(F535,[7]Hárok1!$F$437:$S$548,11,0)</f>
        <v>8</v>
      </c>
      <c r="Q535" s="42">
        <f>VLOOKUP(F535,[7]Hárok1!$F$437:$S$548,12,0)</f>
        <v>0</v>
      </c>
      <c r="R535" s="43">
        <f>VLOOKUP(F535,[7]Hárok1!$F$437:$S$548,13,0)</f>
        <v>206</v>
      </c>
      <c r="S535" s="44">
        <f>VLOOKUP(F535,[7]Hárok1!$F$437:$S$548,14,0)</f>
        <v>52</v>
      </c>
      <c r="T535" s="45">
        <f t="shared" si="48"/>
        <v>1239.5</v>
      </c>
      <c r="U535" s="46">
        <f>VLOOKUP(F535,[7]Hárok1!$F$437:$U$548,16,0)</f>
        <v>285.75</v>
      </c>
      <c r="V535" s="47">
        <f t="shared" si="49"/>
        <v>0</v>
      </c>
      <c r="W535" s="47">
        <f t="shared" si="50"/>
        <v>628</v>
      </c>
      <c r="X535" s="48">
        <f t="shared" si="51"/>
        <v>294</v>
      </c>
      <c r="Y535" s="49">
        <f t="shared" si="53"/>
        <v>2447.25</v>
      </c>
      <c r="Z535" s="50">
        <f t="shared" si="52"/>
        <v>2447</v>
      </c>
    </row>
    <row r="536" spans="1:26" x14ac:dyDescent="0.25">
      <c r="A536" s="29" t="s">
        <v>991</v>
      </c>
      <c r="B536" s="29" t="s">
        <v>226</v>
      </c>
      <c r="C536" s="29" t="s">
        <v>1161</v>
      </c>
      <c r="D536" s="29">
        <v>50743481</v>
      </c>
      <c r="E536" s="32" t="s">
        <v>1162</v>
      </c>
      <c r="F536" s="29">
        <v>42395968</v>
      </c>
      <c r="G536" s="32" t="s">
        <v>1163</v>
      </c>
      <c r="H536" s="32" t="s">
        <v>777</v>
      </c>
      <c r="I536" s="33" t="s">
        <v>1164</v>
      </c>
      <c r="J536" s="42">
        <f>VLOOKUP(F536,[7]Hárok1!$F$438:$J$548,5,0)</f>
        <v>7</v>
      </c>
      <c r="K536" s="43">
        <f>VLOOKUP(F536,[7]Hárok1!$F$437:$S$548,6,0)</f>
        <v>0</v>
      </c>
      <c r="L536" s="43">
        <f>VLOOKUP(F536,[7]Hárok1!$F$437:$S$548,7,0)</f>
        <v>25</v>
      </c>
      <c r="M536" s="43">
        <f>VLOOKUP(F536,[7]Hárok1!$F$437:$S$548,8,0)</f>
        <v>0</v>
      </c>
      <c r="N536" s="43">
        <f>VLOOKUP(F536,[7]Hárok1!$F$437:$S$548,9,0)</f>
        <v>0</v>
      </c>
      <c r="O536" s="43">
        <f>VLOOKUP(F536,[7]Hárok1!$F$437:$S$548,10,0)</f>
        <v>11</v>
      </c>
      <c r="P536" s="44">
        <f>VLOOKUP(F536,[7]Hárok1!$F$437:$S$548,11,0)</f>
        <v>1</v>
      </c>
      <c r="Q536" s="42">
        <f>VLOOKUP(F536,[7]Hárok1!$F$437:$S$548,12,0)</f>
        <v>0</v>
      </c>
      <c r="R536" s="43">
        <f>VLOOKUP(F536,[7]Hárok1!$F$437:$S$548,13,0)</f>
        <v>134</v>
      </c>
      <c r="S536" s="44">
        <f>VLOOKUP(F536,[7]Hárok1!$F$437:$S$548,14,0)</f>
        <v>39</v>
      </c>
      <c r="T536" s="45">
        <f t="shared" si="48"/>
        <v>837.5</v>
      </c>
      <c r="U536" s="46">
        <f>VLOOKUP(F536,[7]Hárok1!$F$437:$U$548,16,0)</f>
        <v>9.3000000000000007</v>
      </c>
      <c r="V536" s="47">
        <f t="shared" si="49"/>
        <v>0</v>
      </c>
      <c r="W536" s="47">
        <f t="shared" si="50"/>
        <v>416.5</v>
      </c>
      <c r="X536" s="48">
        <f t="shared" si="51"/>
        <v>85.5</v>
      </c>
      <c r="Y536" s="49">
        <f t="shared" si="53"/>
        <v>1348.8</v>
      </c>
      <c r="Z536" s="50">
        <f t="shared" si="52"/>
        <v>1349</v>
      </c>
    </row>
    <row r="537" spans="1:26" x14ac:dyDescent="0.25">
      <c r="A537" s="29" t="s">
        <v>991</v>
      </c>
      <c r="B537" s="29" t="s">
        <v>226</v>
      </c>
      <c r="C537" s="29" t="s">
        <v>1136</v>
      </c>
      <c r="D537" s="29">
        <v>47342242</v>
      </c>
      <c r="E537" s="32" t="s">
        <v>1137</v>
      </c>
      <c r="F537" s="29">
        <v>161152</v>
      </c>
      <c r="G537" s="32" t="s">
        <v>1165</v>
      </c>
      <c r="H537" s="32" t="s">
        <v>1166</v>
      </c>
      <c r="I537" s="33" t="s">
        <v>1167</v>
      </c>
      <c r="J537" s="42">
        <f>VLOOKUP(F537,[7]Hárok1!$F$438:$J$548,5,0)</f>
        <v>3</v>
      </c>
      <c r="K537" s="43">
        <f>VLOOKUP(F537,[7]Hárok1!$F$437:$S$548,6,0)</f>
        <v>0</v>
      </c>
      <c r="L537" s="43">
        <f>VLOOKUP(F537,[7]Hárok1!$F$437:$S$548,7,0)</f>
        <v>3</v>
      </c>
      <c r="M537" s="43">
        <f>VLOOKUP(F537,[7]Hárok1!$F$437:$S$548,8,0)</f>
        <v>0</v>
      </c>
      <c r="N537" s="43">
        <f>VLOOKUP(F537,[7]Hárok1!$F$437:$S$548,9,0)</f>
        <v>2</v>
      </c>
      <c r="O537" s="43">
        <f>VLOOKUP(F537,[7]Hárok1!$F$437:$S$548,10,0)</f>
        <v>1</v>
      </c>
      <c r="P537" s="44">
        <f>VLOOKUP(F537,[7]Hárok1!$F$437:$S$548,11,0)</f>
        <v>0</v>
      </c>
      <c r="Q537" s="42">
        <f>VLOOKUP(F537,[7]Hárok1!$F$437:$S$548,12,0)</f>
        <v>13</v>
      </c>
      <c r="R537" s="43">
        <f>VLOOKUP(F537,[7]Hárok1!$F$437:$S$548,13,0)</f>
        <v>14</v>
      </c>
      <c r="S537" s="44">
        <f>VLOOKUP(F537,[7]Hárok1!$F$437:$S$548,14,0)</f>
        <v>0</v>
      </c>
      <c r="T537" s="45">
        <f t="shared" si="48"/>
        <v>100.5</v>
      </c>
      <c r="U537" s="46">
        <f>VLOOKUP(F537,[7]Hárok1!$F$437:$U$548,16,0)</f>
        <v>0</v>
      </c>
      <c r="V537" s="47">
        <f t="shared" si="49"/>
        <v>46.5</v>
      </c>
      <c r="W537" s="47">
        <f t="shared" si="50"/>
        <v>41.5</v>
      </c>
      <c r="X537" s="48">
        <f t="shared" si="51"/>
        <v>0</v>
      </c>
      <c r="Y537" s="49">
        <f t="shared" si="53"/>
        <v>188.5</v>
      </c>
      <c r="Z537" s="50">
        <f t="shared" si="52"/>
        <v>189</v>
      </c>
    </row>
    <row r="538" spans="1:26" x14ac:dyDescent="0.25">
      <c r="A538" s="29" t="s">
        <v>991</v>
      </c>
      <c r="B538" s="29" t="s">
        <v>226</v>
      </c>
      <c r="C538" s="29" t="s">
        <v>1136</v>
      </c>
      <c r="D538" s="29">
        <v>47342242</v>
      </c>
      <c r="E538" s="32" t="s">
        <v>1137</v>
      </c>
      <c r="F538" s="29">
        <v>162663</v>
      </c>
      <c r="G538" s="32" t="s">
        <v>1168</v>
      </c>
      <c r="H538" s="32" t="s">
        <v>1169</v>
      </c>
      <c r="I538" s="33" t="s">
        <v>1067</v>
      </c>
      <c r="J538" s="42">
        <v>16</v>
      </c>
      <c r="K538" s="43">
        <v>1</v>
      </c>
      <c r="L538" s="43">
        <v>51</v>
      </c>
      <c r="M538" s="43">
        <v>6</v>
      </c>
      <c r="N538" s="43">
        <v>0</v>
      </c>
      <c r="O538" s="43">
        <v>27</v>
      </c>
      <c r="P538" s="44">
        <v>1</v>
      </c>
      <c r="Q538" s="42">
        <v>0</v>
      </c>
      <c r="R538" s="43">
        <v>522</v>
      </c>
      <c r="S538" s="44">
        <v>57</v>
      </c>
      <c r="T538" s="45">
        <v>1708.5</v>
      </c>
      <c r="U538" s="46"/>
      <c r="V538" s="47">
        <v>0</v>
      </c>
      <c r="W538" s="47">
        <v>1408.5</v>
      </c>
      <c r="X538" s="48">
        <v>112.5</v>
      </c>
      <c r="Y538" s="49">
        <v>3229.5</v>
      </c>
      <c r="Z538" s="50">
        <v>3230</v>
      </c>
    </row>
    <row r="539" spans="1:26" x14ac:dyDescent="0.25">
      <c r="A539" s="29" t="s">
        <v>991</v>
      </c>
      <c r="B539" s="29" t="s">
        <v>226</v>
      </c>
      <c r="C539" s="29" t="s">
        <v>1136</v>
      </c>
      <c r="D539" s="29">
        <v>47342242</v>
      </c>
      <c r="E539" s="32" t="s">
        <v>1137</v>
      </c>
      <c r="F539" s="29">
        <v>17055237</v>
      </c>
      <c r="G539" s="32" t="s">
        <v>1168</v>
      </c>
      <c r="H539" s="32" t="s">
        <v>219</v>
      </c>
      <c r="I539" s="33" t="s">
        <v>1170</v>
      </c>
      <c r="J539" s="42">
        <f>VLOOKUP(F539,[7]Hárok1!$F$438:$J$548,5,0)</f>
        <v>2</v>
      </c>
      <c r="K539" s="43">
        <f>VLOOKUP(F539,[7]Hárok1!$F$437:$S$548,6,0)</f>
        <v>0</v>
      </c>
      <c r="L539" s="43">
        <f>VLOOKUP(F539,[7]Hárok1!$F$437:$S$548,7,0)</f>
        <v>5</v>
      </c>
      <c r="M539" s="43">
        <f>VLOOKUP(F539,[7]Hárok1!$F$437:$S$548,8,0)</f>
        <v>0</v>
      </c>
      <c r="N539" s="43">
        <f>VLOOKUP(F539,[7]Hárok1!$F$437:$S$548,9,0)</f>
        <v>0</v>
      </c>
      <c r="O539" s="43">
        <f>VLOOKUP(F539,[7]Hárok1!$F$437:$S$548,10,0)</f>
        <v>2</v>
      </c>
      <c r="P539" s="44">
        <f>VLOOKUP(F539,[7]Hárok1!$F$437:$S$548,11,0)</f>
        <v>0</v>
      </c>
      <c r="Q539" s="42">
        <f>VLOOKUP(F539,[7]Hárok1!$F$437:$S$548,12,0)</f>
        <v>0</v>
      </c>
      <c r="R539" s="43">
        <f>VLOOKUP(F539,[7]Hárok1!$F$437:$S$548,13,0)</f>
        <v>65</v>
      </c>
      <c r="S539" s="44">
        <f>VLOOKUP(F539,[7]Hárok1!$F$437:$S$548,14,0)</f>
        <v>0</v>
      </c>
      <c r="T539" s="45">
        <f t="shared" si="48"/>
        <v>167.5</v>
      </c>
      <c r="U539" s="46">
        <f>VLOOKUP(F539,[7]Hárok1!$F$437:$U$548,16,0)</f>
        <v>0</v>
      </c>
      <c r="V539" s="47">
        <f t="shared" si="49"/>
        <v>0</v>
      </c>
      <c r="W539" s="47">
        <f t="shared" si="50"/>
        <v>157</v>
      </c>
      <c r="X539" s="48">
        <f t="shared" si="51"/>
        <v>0</v>
      </c>
      <c r="Y539" s="49">
        <f t="shared" si="53"/>
        <v>324.5</v>
      </c>
      <c r="Z539" s="50">
        <f t="shared" si="52"/>
        <v>325</v>
      </c>
    </row>
    <row r="540" spans="1:26" x14ac:dyDescent="0.25">
      <c r="A540" s="29" t="s">
        <v>991</v>
      </c>
      <c r="B540" s="29" t="s">
        <v>226</v>
      </c>
      <c r="C540" s="29" t="s">
        <v>1171</v>
      </c>
      <c r="D540" s="29">
        <v>42189250</v>
      </c>
      <c r="E540" s="32" t="s">
        <v>1172</v>
      </c>
      <c r="F540" s="29">
        <v>42197252</v>
      </c>
      <c r="G540" s="32" t="s">
        <v>1173</v>
      </c>
      <c r="H540" s="32" t="s">
        <v>1174</v>
      </c>
      <c r="I540" s="33" t="s">
        <v>1175</v>
      </c>
      <c r="J540" s="42">
        <f>VLOOKUP(F540,[7]Hárok1!$F$438:$J$548,5,0)</f>
        <v>0</v>
      </c>
      <c r="K540" s="43">
        <f>VLOOKUP(F540,[7]Hárok1!$F$437:$S$548,6,0)</f>
        <v>0</v>
      </c>
      <c r="L540" s="43">
        <f>VLOOKUP(F540,[7]Hárok1!$F$437:$S$548,7,0)</f>
        <v>0</v>
      </c>
      <c r="M540" s="43">
        <f>VLOOKUP(F540,[7]Hárok1!$F$437:$S$548,8,0)</f>
        <v>0</v>
      </c>
      <c r="N540" s="43">
        <f>VLOOKUP(F540,[7]Hárok1!$F$437:$S$548,9,0)</f>
        <v>0</v>
      </c>
      <c r="O540" s="43">
        <f>VLOOKUP(F540,[7]Hárok1!$F$437:$S$548,10,0)</f>
        <v>0</v>
      </c>
      <c r="P540" s="44">
        <f>VLOOKUP(F540,[7]Hárok1!$F$437:$S$548,11,0)</f>
        <v>0</v>
      </c>
      <c r="Q540" s="42">
        <f>VLOOKUP(F540,[7]Hárok1!$F$437:$S$548,12,0)</f>
        <v>0</v>
      </c>
      <c r="R540" s="43">
        <f>VLOOKUP(F540,[7]Hárok1!$F$437:$S$548,13,0)</f>
        <v>0</v>
      </c>
      <c r="S540" s="44">
        <f>VLOOKUP(F540,[7]Hárok1!$F$437:$S$548,14,0)</f>
        <v>0</v>
      </c>
      <c r="T540" s="45">
        <f t="shared" si="48"/>
        <v>0</v>
      </c>
      <c r="U540" s="46">
        <f>VLOOKUP(F540,[7]Hárok1!$F$437:$U$548,16,0)</f>
        <v>0</v>
      </c>
      <c r="V540" s="47">
        <f t="shared" si="49"/>
        <v>0</v>
      </c>
      <c r="W540" s="47">
        <f t="shared" si="50"/>
        <v>0</v>
      </c>
      <c r="X540" s="48">
        <f t="shared" si="51"/>
        <v>0</v>
      </c>
      <c r="Y540" s="49">
        <f t="shared" si="53"/>
        <v>0</v>
      </c>
      <c r="Z540" s="50">
        <f t="shared" si="52"/>
        <v>0</v>
      </c>
    </row>
    <row r="541" spans="1:26" x14ac:dyDescent="0.25">
      <c r="A541" s="29" t="s">
        <v>991</v>
      </c>
      <c r="B541" s="29" t="s">
        <v>226</v>
      </c>
      <c r="C541" s="29" t="s">
        <v>1176</v>
      </c>
      <c r="D541" s="29">
        <v>44040512</v>
      </c>
      <c r="E541" s="32" t="s">
        <v>1177</v>
      </c>
      <c r="F541" s="29">
        <v>45024731</v>
      </c>
      <c r="G541" s="32" t="s">
        <v>505</v>
      </c>
      <c r="H541" s="32" t="s">
        <v>1096</v>
      </c>
      <c r="I541" s="33" t="s">
        <v>1178</v>
      </c>
      <c r="J541" s="42">
        <f>VLOOKUP(F541,[7]Hárok1!$F$438:$J$548,5,0)</f>
        <v>2</v>
      </c>
      <c r="K541" s="43">
        <f>VLOOKUP(F541,[7]Hárok1!$F$437:$S$548,6,0)</f>
        <v>0</v>
      </c>
      <c r="L541" s="43">
        <f>VLOOKUP(F541,[7]Hárok1!$F$437:$S$548,7,0)</f>
        <v>6</v>
      </c>
      <c r="M541" s="43">
        <f>VLOOKUP(F541,[7]Hárok1!$F$437:$S$548,8,0)</f>
        <v>0</v>
      </c>
      <c r="N541" s="43">
        <f>VLOOKUP(F541,[7]Hárok1!$F$437:$S$548,9,0)</f>
        <v>0</v>
      </c>
      <c r="O541" s="43">
        <f>VLOOKUP(F541,[7]Hárok1!$F$437:$S$548,10,0)</f>
        <v>2</v>
      </c>
      <c r="P541" s="44">
        <f>VLOOKUP(F541,[7]Hárok1!$F$437:$S$548,11,0)</f>
        <v>0</v>
      </c>
      <c r="Q541" s="42">
        <f>VLOOKUP(F541,[7]Hárok1!$F$437:$S$548,12,0)</f>
        <v>0</v>
      </c>
      <c r="R541" s="43">
        <f>VLOOKUP(F541,[7]Hárok1!$F$437:$S$548,13,0)</f>
        <v>53</v>
      </c>
      <c r="S541" s="44">
        <f>VLOOKUP(F541,[7]Hárok1!$F$437:$S$548,14,0)</f>
        <v>0</v>
      </c>
      <c r="T541" s="45">
        <f t="shared" si="48"/>
        <v>201</v>
      </c>
      <c r="U541" s="46">
        <f>VLOOKUP(F541,[7]Hárok1!$F$437:$U$548,16,0)</f>
        <v>0</v>
      </c>
      <c r="V541" s="47">
        <f t="shared" si="49"/>
        <v>0</v>
      </c>
      <c r="W541" s="47">
        <f t="shared" si="50"/>
        <v>133</v>
      </c>
      <c r="X541" s="48">
        <f t="shared" si="51"/>
        <v>0</v>
      </c>
      <c r="Y541" s="49">
        <f t="shared" si="53"/>
        <v>334</v>
      </c>
      <c r="Z541" s="50">
        <f t="shared" si="52"/>
        <v>334</v>
      </c>
    </row>
    <row r="542" spans="1:26" x14ac:dyDescent="0.25">
      <c r="A542" s="29" t="s">
        <v>991</v>
      </c>
      <c r="B542" s="29" t="s">
        <v>226</v>
      </c>
      <c r="C542" s="29" t="s">
        <v>1179</v>
      </c>
      <c r="D542" s="29">
        <v>90000151</v>
      </c>
      <c r="E542" s="32" t="s">
        <v>1180</v>
      </c>
      <c r="F542" s="29">
        <v>42002907</v>
      </c>
      <c r="G542" s="32" t="s">
        <v>328</v>
      </c>
      <c r="H542" s="32" t="s">
        <v>1096</v>
      </c>
      <c r="I542" s="33" t="s">
        <v>1181</v>
      </c>
      <c r="J542" s="42">
        <f>VLOOKUP(F542,[7]Hárok1!$F$438:$J$548,5,0)</f>
        <v>0</v>
      </c>
      <c r="K542" s="43">
        <f>VLOOKUP(F542,[7]Hárok1!$F$437:$S$548,6,0)</f>
        <v>0</v>
      </c>
      <c r="L542" s="43">
        <f>VLOOKUP(F542,[7]Hárok1!$F$437:$S$548,7,0)</f>
        <v>1</v>
      </c>
      <c r="M542" s="43">
        <f>VLOOKUP(F542,[7]Hárok1!$F$437:$S$548,8,0)</f>
        <v>0</v>
      </c>
      <c r="N542" s="43">
        <f>VLOOKUP(F542,[7]Hárok1!$F$437:$S$548,9,0)</f>
        <v>0</v>
      </c>
      <c r="O542" s="43">
        <f>VLOOKUP(F542,[7]Hárok1!$F$437:$S$548,10,0)</f>
        <v>1</v>
      </c>
      <c r="P542" s="44">
        <f>VLOOKUP(F542,[7]Hárok1!$F$437:$S$548,11,0)</f>
        <v>0</v>
      </c>
      <c r="Q542" s="42">
        <f>VLOOKUP(F542,[7]Hárok1!$F$437:$S$548,12,0)</f>
        <v>0</v>
      </c>
      <c r="R542" s="43">
        <f>VLOOKUP(F542,[7]Hárok1!$F$437:$S$548,13,0)</f>
        <v>6</v>
      </c>
      <c r="S542" s="44">
        <f>VLOOKUP(F542,[7]Hárok1!$F$437:$S$548,14,0)</f>
        <v>0</v>
      </c>
      <c r="T542" s="45">
        <f t="shared" si="48"/>
        <v>33.5</v>
      </c>
      <c r="U542" s="46">
        <f>VLOOKUP(F542,[7]Hárok1!$F$437:$U$548,16,0)</f>
        <v>5.5</v>
      </c>
      <c r="V542" s="47">
        <f t="shared" si="49"/>
        <v>0</v>
      </c>
      <c r="W542" s="47">
        <f t="shared" si="50"/>
        <v>25.5</v>
      </c>
      <c r="X542" s="48">
        <f t="shared" si="51"/>
        <v>0</v>
      </c>
      <c r="Y542" s="49">
        <f t="shared" si="53"/>
        <v>64.5</v>
      </c>
      <c r="Z542" s="50">
        <f t="shared" si="52"/>
        <v>65</v>
      </c>
    </row>
    <row r="543" spans="1:26" x14ac:dyDescent="0.25">
      <c r="A543" s="29" t="s">
        <v>991</v>
      </c>
      <c r="B543" s="29" t="s">
        <v>226</v>
      </c>
      <c r="C543" s="29" t="s">
        <v>1182</v>
      </c>
      <c r="D543" s="29">
        <v>90000103</v>
      </c>
      <c r="E543" s="32" t="s">
        <v>1183</v>
      </c>
      <c r="F543" s="29">
        <v>42317568</v>
      </c>
      <c r="G543" s="32" t="s">
        <v>806</v>
      </c>
      <c r="H543" s="32" t="s">
        <v>1096</v>
      </c>
      <c r="I543" s="33" t="s">
        <v>1184</v>
      </c>
      <c r="J543" s="42">
        <f>VLOOKUP(F543,[7]Hárok1!$F$438:$J$548,5,0)</f>
        <v>5</v>
      </c>
      <c r="K543" s="43">
        <f>VLOOKUP(F543,[7]Hárok1!$F$437:$S$548,6,0)</f>
        <v>1</v>
      </c>
      <c r="L543" s="43">
        <f>VLOOKUP(F543,[7]Hárok1!$F$437:$S$548,7,0)</f>
        <v>19</v>
      </c>
      <c r="M543" s="43">
        <f>VLOOKUP(F543,[7]Hárok1!$F$437:$S$548,8,0)</f>
        <v>3</v>
      </c>
      <c r="N543" s="43">
        <f>VLOOKUP(F543,[7]Hárok1!$F$437:$S$548,9,0)</f>
        <v>0</v>
      </c>
      <c r="O543" s="43">
        <f>VLOOKUP(F543,[7]Hárok1!$F$437:$S$548,10,0)</f>
        <v>17</v>
      </c>
      <c r="P543" s="44">
        <f>VLOOKUP(F543,[7]Hárok1!$F$437:$S$548,11,0)</f>
        <v>0</v>
      </c>
      <c r="Q543" s="42">
        <f>VLOOKUP(F543,[7]Hárok1!$F$437:$S$548,12,0)</f>
        <v>0</v>
      </c>
      <c r="R543" s="43">
        <f>VLOOKUP(F543,[7]Hárok1!$F$437:$S$548,13,0)</f>
        <v>247</v>
      </c>
      <c r="S543" s="44">
        <f>VLOOKUP(F543,[7]Hárok1!$F$437:$S$548,14,0)</f>
        <v>0</v>
      </c>
      <c r="T543" s="45">
        <f t="shared" si="48"/>
        <v>636.5</v>
      </c>
      <c r="U543" s="46">
        <f>VLOOKUP(F543,[7]Hárok1!$F$437:$U$548,16,0)</f>
        <v>235.5</v>
      </c>
      <c r="V543" s="47">
        <f t="shared" si="49"/>
        <v>0</v>
      </c>
      <c r="W543" s="47">
        <f t="shared" si="50"/>
        <v>723.5</v>
      </c>
      <c r="X543" s="48">
        <f t="shared" si="51"/>
        <v>0</v>
      </c>
      <c r="Y543" s="49">
        <f t="shared" si="53"/>
        <v>1595.5</v>
      </c>
      <c r="Z543" s="50">
        <f t="shared" si="52"/>
        <v>1596</v>
      </c>
    </row>
    <row r="544" spans="1:26" x14ac:dyDescent="0.25">
      <c r="A544" s="29" t="s">
        <v>991</v>
      </c>
      <c r="B544" s="29" t="s">
        <v>226</v>
      </c>
      <c r="C544" s="29" t="s">
        <v>1179</v>
      </c>
      <c r="D544" s="29">
        <v>90000151</v>
      </c>
      <c r="E544" s="32" t="s">
        <v>1180</v>
      </c>
      <c r="F544" s="29">
        <v>42299977</v>
      </c>
      <c r="G544" s="32" t="s">
        <v>806</v>
      </c>
      <c r="H544" s="32" t="s">
        <v>1096</v>
      </c>
      <c r="I544" s="33" t="s">
        <v>1181</v>
      </c>
      <c r="J544" s="42">
        <f>VLOOKUP(F544,[7]Hárok1!$F$438:$J$548,5,0)</f>
        <v>0</v>
      </c>
      <c r="K544" s="43">
        <f>VLOOKUP(F544,[7]Hárok1!$F$437:$S$548,6,0)</f>
        <v>0</v>
      </c>
      <c r="L544" s="43">
        <f>VLOOKUP(F544,[7]Hárok1!$F$437:$S$548,7,0)</f>
        <v>0</v>
      </c>
      <c r="M544" s="43">
        <f>VLOOKUP(F544,[7]Hárok1!$F$437:$S$548,8,0)</f>
        <v>0</v>
      </c>
      <c r="N544" s="43">
        <f>VLOOKUP(F544,[7]Hárok1!$F$437:$S$548,9,0)</f>
        <v>0</v>
      </c>
      <c r="O544" s="43">
        <f>VLOOKUP(F544,[7]Hárok1!$F$437:$S$548,10,0)</f>
        <v>0</v>
      </c>
      <c r="P544" s="44">
        <f>VLOOKUP(F544,[7]Hárok1!$F$437:$S$548,11,0)</f>
        <v>0</v>
      </c>
      <c r="Q544" s="42">
        <f>VLOOKUP(F544,[7]Hárok1!$F$437:$S$548,12,0)</f>
        <v>0</v>
      </c>
      <c r="R544" s="43">
        <f>VLOOKUP(F544,[7]Hárok1!$F$437:$S$548,13,0)</f>
        <v>0</v>
      </c>
      <c r="S544" s="44">
        <f>VLOOKUP(F544,[7]Hárok1!$F$437:$S$548,14,0)</f>
        <v>0</v>
      </c>
      <c r="T544" s="45">
        <f t="shared" si="48"/>
        <v>0</v>
      </c>
      <c r="U544" s="46">
        <f>VLOOKUP(F544,[7]Hárok1!$F$437:$U$548,16,0)</f>
        <v>0</v>
      </c>
      <c r="V544" s="47">
        <f t="shared" si="49"/>
        <v>0</v>
      </c>
      <c r="W544" s="47">
        <f t="shared" si="50"/>
        <v>0</v>
      </c>
      <c r="X544" s="48">
        <f t="shared" si="51"/>
        <v>0</v>
      </c>
      <c r="Y544" s="49">
        <f t="shared" si="53"/>
        <v>0</v>
      </c>
      <c r="Z544" s="50">
        <f t="shared" si="52"/>
        <v>0</v>
      </c>
    </row>
    <row r="545" spans="1:26" x14ac:dyDescent="0.25">
      <c r="A545" s="29" t="s">
        <v>991</v>
      </c>
      <c r="B545" s="29" t="s">
        <v>226</v>
      </c>
      <c r="C545" s="29" t="s">
        <v>1179</v>
      </c>
      <c r="D545" s="29">
        <v>90000151</v>
      </c>
      <c r="E545" s="32" t="s">
        <v>1180</v>
      </c>
      <c r="F545" s="29">
        <v>42012376</v>
      </c>
      <c r="G545" s="32" t="s">
        <v>810</v>
      </c>
      <c r="H545" s="32" t="s">
        <v>1096</v>
      </c>
      <c r="I545" s="33" t="s">
        <v>1181</v>
      </c>
      <c r="J545" s="42">
        <f>VLOOKUP(F545,[7]Hárok1!$F$438:$J$548,5,0)</f>
        <v>0</v>
      </c>
      <c r="K545" s="43">
        <f>VLOOKUP(F545,[7]Hárok1!$F$437:$S$548,6,0)</f>
        <v>0</v>
      </c>
      <c r="L545" s="43">
        <f>VLOOKUP(F545,[7]Hárok1!$F$437:$S$548,7,0)</f>
        <v>14</v>
      </c>
      <c r="M545" s="43">
        <f>VLOOKUP(F545,[7]Hárok1!$F$437:$S$548,8,0)</f>
        <v>0</v>
      </c>
      <c r="N545" s="43">
        <f>VLOOKUP(F545,[7]Hárok1!$F$437:$S$548,9,0)</f>
        <v>2</v>
      </c>
      <c r="O545" s="43">
        <f>VLOOKUP(F545,[7]Hárok1!$F$437:$S$548,10,0)</f>
        <v>5</v>
      </c>
      <c r="P545" s="44">
        <f>VLOOKUP(F545,[7]Hárok1!$F$437:$S$548,11,0)</f>
        <v>0</v>
      </c>
      <c r="Q545" s="42">
        <f>VLOOKUP(F545,[7]Hárok1!$F$437:$S$548,12,0)</f>
        <v>51</v>
      </c>
      <c r="R545" s="43">
        <f>VLOOKUP(F545,[7]Hárok1!$F$437:$S$548,13,0)</f>
        <v>49</v>
      </c>
      <c r="S545" s="44">
        <f>VLOOKUP(F545,[7]Hárok1!$F$437:$S$548,14,0)</f>
        <v>0</v>
      </c>
      <c r="T545" s="45">
        <f t="shared" si="48"/>
        <v>469</v>
      </c>
      <c r="U545" s="46">
        <f>VLOOKUP(F545,[7]Hárok1!$F$437:$U$548,16,0)</f>
        <v>28.5</v>
      </c>
      <c r="V545" s="47">
        <f t="shared" si="49"/>
        <v>103.5</v>
      </c>
      <c r="W545" s="47">
        <f t="shared" si="50"/>
        <v>165.5</v>
      </c>
      <c r="X545" s="48">
        <f t="shared" si="51"/>
        <v>0</v>
      </c>
      <c r="Y545" s="49">
        <f t="shared" si="53"/>
        <v>766.5</v>
      </c>
      <c r="Z545" s="50">
        <f t="shared" si="52"/>
        <v>767</v>
      </c>
    </row>
    <row r="546" spans="1:26" x14ac:dyDescent="0.25">
      <c r="A546" s="29" t="s">
        <v>991</v>
      </c>
      <c r="B546" s="29" t="s">
        <v>226</v>
      </c>
      <c r="C546" s="29" t="s">
        <v>1185</v>
      </c>
      <c r="D546" s="29">
        <v>52599493</v>
      </c>
      <c r="E546" s="32" t="s">
        <v>1186</v>
      </c>
      <c r="F546" s="29">
        <v>891461</v>
      </c>
      <c r="G546" s="32" t="s">
        <v>229</v>
      </c>
      <c r="H546" s="32" t="s">
        <v>1187</v>
      </c>
      <c r="I546" s="33" t="s">
        <v>1188</v>
      </c>
      <c r="J546" s="42">
        <f>VLOOKUP(F546,[7]Hárok1!$F$438:$J$548,5,0)</f>
        <v>1</v>
      </c>
      <c r="K546" s="43">
        <f>VLOOKUP(F546,[7]Hárok1!$F$437:$S$548,6,0)</f>
        <v>0</v>
      </c>
      <c r="L546" s="43">
        <f>VLOOKUP(F546,[7]Hárok1!$F$437:$S$548,7,0)</f>
        <v>2</v>
      </c>
      <c r="M546" s="43">
        <f>VLOOKUP(F546,[7]Hárok1!$F$437:$S$548,8,0)</f>
        <v>0</v>
      </c>
      <c r="N546" s="43">
        <f>VLOOKUP(F546,[7]Hárok1!$F$437:$S$548,9,0)</f>
        <v>0</v>
      </c>
      <c r="O546" s="43">
        <f>VLOOKUP(F546,[7]Hárok1!$F$437:$S$548,10,0)</f>
        <v>1</v>
      </c>
      <c r="P546" s="44">
        <f>VLOOKUP(F546,[7]Hárok1!$F$437:$S$548,11,0)</f>
        <v>0</v>
      </c>
      <c r="Q546" s="42">
        <f>VLOOKUP(F546,[7]Hárok1!$F$437:$S$548,12,0)</f>
        <v>0</v>
      </c>
      <c r="R546" s="43">
        <f>VLOOKUP(F546,[7]Hárok1!$F$437:$S$548,13,0)</f>
        <v>5</v>
      </c>
      <c r="S546" s="44">
        <f>VLOOKUP(F546,[7]Hárok1!$F$437:$S$548,14,0)</f>
        <v>0</v>
      </c>
      <c r="T546" s="45">
        <f t="shared" si="48"/>
        <v>67</v>
      </c>
      <c r="U546" s="46">
        <f>VLOOKUP(F546,[7]Hárok1!$F$437:$U$548,16,0)</f>
        <v>24.12</v>
      </c>
      <c r="V546" s="47">
        <f t="shared" si="49"/>
        <v>0</v>
      </c>
      <c r="W546" s="47">
        <f t="shared" si="50"/>
        <v>23.5</v>
      </c>
      <c r="X546" s="48">
        <f t="shared" si="51"/>
        <v>0</v>
      </c>
      <c r="Y546" s="49">
        <f t="shared" si="53"/>
        <v>114.62</v>
      </c>
      <c r="Z546" s="50">
        <f t="shared" si="52"/>
        <v>115</v>
      </c>
    </row>
    <row r="547" spans="1:26" x14ac:dyDescent="0.25">
      <c r="A547" s="29" t="s">
        <v>991</v>
      </c>
      <c r="B547" s="29" t="s">
        <v>226</v>
      </c>
      <c r="C547" s="29" t="s">
        <v>1189</v>
      </c>
      <c r="D547" s="29">
        <v>46055509</v>
      </c>
      <c r="E547" s="32" t="s">
        <v>1190</v>
      </c>
      <c r="F547" s="29">
        <v>161683</v>
      </c>
      <c r="G547" s="32" t="s">
        <v>806</v>
      </c>
      <c r="H547" s="32" t="s">
        <v>1020</v>
      </c>
      <c r="I547" s="33" t="s">
        <v>1191</v>
      </c>
      <c r="J547" s="42">
        <f>VLOOKUP(F547,[7]Hárok1!$F$438:$J$548,5,0)</f>
        <v>0</v>
      </c>
      <c r="K547" s="43">
        <f>VLOOKUP(F547,[7]Hárok1!$F$437:$S$548,6,0)</f>
        <v>0</v>
      </c>
      <c r="L547" s="43">
        <f>VLOOKUP(F547,[7]Hárok1!$F$437:$S$548,7,0)</f>
        <v>0</v>
      </c>
      <c r="M547" s="43">
        <f>VLOOKUP(F547,[7]Hárok1!$F$437:$S$548,8,0)</f>
        <v>0</v>
      </c>
      <c r="N547" s="43">
        <f>VLOOKUP(F547,[7]Hárok1!$F$437:$S$548,9,0)</f>
        <v>0</v>
      </c>
      <c r="O547" s="43">
        <f>VLOOKUP(F547,[7]Hárok1!$F$437:$S$548,10,0)</f>
        <v>0</v>
      </c>
      <c r="P547" s="44">
        <f>VLOOKUP(F547,[7]Hárok1!$F$437:$S$548,11,0)</f>
        <v>0</v>
      </c>
      <c r="Q547" s="42">
        <f>VLOOKUP(F547,[7]Hárok1!$F$437:$S$548,12,0)</f>
        <v>0</v>
      </c>
      <c r="R547" s="43">
        <f>VLOOKUP(F547,[7]Hárok1!$F$437:$S$548,13,0)</f>
        <v>0</v>
      </c>
      <c r="S547" s="44">
        <f>VLOOKUP(F547,[7]Hárok1!$F$437:$S$548,14,0)</f>
        <v>0</v>
      </c>
      <c r="T547" s="45">
        <f t="shared" si="48"/>
        <v>0</v>
      </c>
      <c r="U547" s="46">
        <f>VLOOKUP(F547,[7]Hárok1!$F$437:$U$548,16,0)</f>
        <v>0</v>
      </c>
      <c r="V547" s="47">
        <f t="shared" si="49"/>
        <v>0</v>
      </c>
      <c r="W547" s="47">
        <f t="shared" si="50"/>
        <v>0</v>
      </c>
      <c r="X547" s="48">
        <f t="shared" si="51"/>
        <v>0</v>
      </c>
      <c r="Y547" s="49">
        <f t="shared" si="53"/>
        <v>0</v>
      </c>
      <c r="Z547" s="50">
        <f t="shared" si="52"/>
        <v>0</v>
      </c>
    </row>
    <row r="548" spans="1:26" x14ac:dyDescent="0.25">
      <c r="A548" s="29" t="s">
        <v>991</v>
      </c>
      <c r="B548" s="29" t="s">
        <v>226</v>
      </c>
      <c r="C548" s="29" t="s">
        <v>1192</v>
      </c>
      <c r="D548" s="29">
        <v>621200</v>
      </c>
      <c r="E548" s="32" t="s">
        <v>1193</v>
      </c>
      <c r="F548" s="29">
        <v>45024006</v>
      </c>
      <c r="G548" s="32" t="s">
        <v>276</v>
      </c>
      <c r="H548" s="32" t="s">
        <v>1020</v>
      </c>
      <c r="I548" s="33" t="s">
        <v>1194</v>
      </c>
      <c r="J548" s="42">
        <f>VLOOKUP(F548,[7]Hárok1!$F$438:$J$548,5,0)</f>
        <v>1</v>
      </c>
      <c r="K548" s="43">
        <f>VLOOKUP(F548,[7]Hárok1!$F$437:$S$548,6,0)</f>
        <v>0</v>
      </c>
      <c r="L548" s="43">
        <f>VLOOKUP(F548,[7]Hárok1!$F$437:$S$548,7,0)</f>
        <v>1</v>
      </c>
      <c r="M548" s="43">
        <f>VLOOKUP(F548,[7]Hárok1!$F$437:$S$548,8,0)</f>
        <v>0</v>
      </c>
      <c r="N548" s="43">
        <f>VLOOKUP(F548,[7]Hárok1!$F$437:$S$548,9,0)</f>
        <v>0</v>
      </c>
      <c r="O548" s="43">
        <f>VLOOKUP(F548,[7]Hárok1!$F$437:$S$548,10,0)</f>
        <v>1</v>
      </c>
      <c r="P548" s="44">
        <f>VLOOKUP(F548,[7]Hárok1!$F$437:$S$548,11,0)</f>
        <v>0</v>
      </c>
      <c r="Q548" s="42">
        <f>VLOOKUP(F548,[7]Hárok1!$F$437:$S$548,12,0)</f>
        <v>0</v>
      </c>
      <c r="R548" s="43">
        <f>VLOOKUP(F548,[7]Hárok1!$F$437:$S$548,13,0)</f>
        <v>7</v>
      </c>
      <c r="S548" s="44">
        <f>VLOOKUP(F548,[7]Hárok1!$F$437:$S$548,14,0)</f>
        <v>0</v>
      </c>
      <c r="T548" s="45">
        <f t="shared" si="48"/>
        <v>33.5</v>
      </c>
      <c r="U548" s="46">
        <f>VLOOKUP(F548,[7]Hárok1!$F$437:$U$548,16,0)</f>
        <v>0</v>
      </c>
      <c r="V548" s="47">
        <f t="shared" si="49"/>
        <v>0</v>
      </c>
      <c r="W548" s="47">
        <f t="shared" si="50"/>
        <v>27.5</v>
      </c>
      <c r="X548" s="48">
        <f t="shared" si="51"/>
        <v>0</v>
      </c>
      <c r="Y548" s="49">
        <f t="shared" si="53"/>
        <v>61</v>
      </c>
      <c r="Z548" s="50">
        <f t="shared" si="52"/>
        <v>61</v>
      </c>
    </row>
    <row r="549" spans="1:26" x14ac:dyDescent="0.25">
      <c r="A549" s="29" t="s">
        <v>991</v>
      </c>
      <c r="B549" s="29" t="s">
        <v>226</v>
      </c>
      <c r="C549" s="29" t="s">
        <v>1189</v>
      </c>
      <c r="D549" s="29">
        <v>46055509</v>
      </c>
      <c r="E549" s="32" t="s">
        <v>1190</v>
      </c>
      <c r="F549" s="29">
        <v>160636</v>
      </c>
      <c r="G549" s="32" t="s">
        <v>276</v>
      </c>
      <c r="H549" s="32" t="s">
        <v>1020</v>
      </c>
      <c r="I549" s="33" t="s">
        <v>1191</v>
      </c>
      <c r="J549" s="42">
        <f>VLOOKUP(F549,[7]Hárok1!$F$438:$J$548,5,0)</f>
        <v>0</v>
      </c>
      <c r="K549" s="43">
        <f>VLOOKUP(F549,[7]Hárok1!$F$437:$S$548,6,0)</f>
        <v>0</v>
      </c>
      <c r="L549" s="43">
        <f>VLOOKUP(F549,[7]Hárok1!$F$437:$S$548,7,0)</f>
        <v>0</v>
      </c>
      <c r="M549" s="43">
        <f>VLOOKUP(F549,[7]Hárok1!$F$437:$S$548,8,0)</f>
        <v>0</v>
      </c>
      <c r="N549" s="43">
        <f>VLOOKUP(F549,[7]Hárok1!$F$437:$S$548,9,0)</f>
        <v>0</v>
      </c>
      <c r="O549" s="43">
        <f>VLOOKUP(F549,[7]Hárok1!$F$437:$S$548,10,0)</f>
        <v>0</v>
      </c>
      <c r="P549" s="44">
        <f>VLOOKUP(F549,[7]Hárok1!$F$437:$S$548,11,0)</f>
        <v>0</v>
      </c>
      <c r="Q549" s="42">
        <f>VLOOKUP(F549,[7]Hárok1!$F$437:$S$548,12,0)</f>
        <v>0</v>
      </c>
      <c r="R549" s="43">
        <f>VLOOKUP(F549,[7]Hárok1!$F$437:$S$548,13,0)</f>
        <v>0</v>
      </c>
      <c r="S549" s="44">
        <f>VLOOKUP(F549,[7]Hárok1!$F$437:$S$548,14,0)</f>
        <v>0</v>
      </c>
      <c r="T549" s="45">
        <f t="shared" si="48"/>
        <v>0</v>
      </c>
      <c r="U549" s="46">
        <f>VLOOKUP(F549,[7]Hárok1!$F$437:$U$548,16,0)</f>
        <v>0</v>
      </c>
      <c r="V549" s="47">
        <f t="shared" si="49"/>
        <v>0</v>
      </c>
      <c r="W549" s="47">
        <f t="shared" si="50"/>
        <v>0</v>
      </c>
      <c r="X549" s="48">
        <f t="shared" si="51"/>
        <v>0</v>
      </c>
      <c r="Y549" s="49">
        <f t="shared" si="53"/>
        <v>0</v>
      </c>
      <c r="Z549" s="50">
        <f t="shared" si="52"/>
        <v>0</v>
      </c>
    </row>
    <row r="550" spans="1:26" x14ac:dyDescent="0.25">
      <c r="A550" s="29" t="s">
        <v>991</v>
      </c>
      <c r="B550" s="29" t="s">
        <v>226</v>
      </c>
      <c r="C550" s="29" t="s">
        <v>1136</v>
      </c>
      <c r="D550" s="29">
        <v>47342242</v>
      </c>
      <c r="E550" s="32" t="s">
        <v>1137</v>
      </c>
      <c r="F550" s="29">
        <v>37998218</v>
      </c>
      <c r="G550" s="32" t="s">
        <v>1195</v>
      </c>
      <c r="H550" s="32" t="s">
        <v>1109</v>
      </c>
      <c r="I550" s="33" t="s">
        <v>1196</v>
      </c>
      <c r="J550" s="42">
        <f>VLOOKUP(F550,[7]Hárok1!$F$438:$J$548,5,0)</f>
        <v>2</v>
      </c>
      <c r="K550" s="43">
        <f>VLOOKUP(F550,[7]Hárok1!$F$437:$S$548,6,0)</f>
        <v>0</v>
      </c>
      <c r="L550" s="43">
        <f>VLOOKUP(F550,[7]Hárok1!$F$437:$S$548,7,0)</f>
        <v>9</v>
      </c>
      <c r="M550" s="43">
        <f>VLOOKUP(F550,[7]Hárok1!$F$437:$S$548,8,0)</f>
        <v>0</v>
      </c>
      <c r="N550" s="43">
        <f>VLOOKUP(F550,[7]Hárok1!$F$437:$S$548,9,0)</f>
        <v>0</v>
      </c>
      <c r="O550" s="43">
        <f>VLOOKUP(F550,[7]Hárok1!$F$437:$S$548,10,0)</f>
        <v>2</v>
      </c>
      <c r="P550" s="44">
        <f>VLOOKUP(F550,[7]Hárok1!$F$437:$S$548,11,0)</f>
        <v>0</v>
      </c>
      <c r="Q550" s="42">
        <f>VLOOKUP(F550,[7]Hárok1!$F$437:$S$548,12,0)</f>
        <v>0</v>
      </c>
      <c r="R550" s="43">
        <f>VLOOKUP(F550,[7]Hárok1!$F$437:$S$548,13,0)</f>
        <v>82</v>
      </c>
      <c r="S550" s="44">
        <f>VLOOKUP(F550,[7]Hárok1!$F$437:$S$548,14,0)</f>
        <v>0</v>
      </c>
      <c r="T550" s="45">
        <f t="shared" si="48"/>
        <v>301.5</v>
      </c>
      <c r="U550" s="46">
        <f>VLOOKUP(F550,[7]Hárok1!$F$437:$U$548,16,0)</f>
        <v>0</v>
      </c>
      <c r="V550" s="47">
        <f t="shared" si="49"/>
        <v>0</v>
      </c>
      <c r="W550" s="47">
        <f t="shared" si="50"/>
        <v>191</v>
      </c>
      <c r="X550" s="48">
        <f t="shared" si="51"/>
        <v>0</v>
      </c>
      <c r="Y550" s="49">
        <f t="shared" si="53"/>
        <v>492.5</v>
      </c>
      <c r="Z550" s="50">
        <f t="shared" si="52"/>
        <v>493</v>
      </c>
    </row>
    <row r="551" spans="1:26" x14ac:dyDescent="0.25">
      <c r="A551" s="29" t="s">
        <v>991</v>
      </c>
      <c r="B551" s="29" t="s">
        <v>226</v>
      </c>
      <c r="C551" s="29" t="s">
        <v>1197</v>
      </c>
      <c r="D551" s="29">
        <v>37899198</v>
      </c>
      <c r="E551" s="32" t="s">
        <v>1198</v>
      </c>
      <c r="F551" s="29">
        <v>45022631</v>
      </c>
      <c r="G551" s="32" t="s">
        <v>1199</v>
      </c>
      <c r="H551" s="32" t="s">
        <v>1109</v>
      </c>
      <c r="I551" s="33" t="s">
        <v>1200</v>
      </c>
      <c r="J551" s="42">
        <f>VLOOKUP(F551,[7]Hárok1!$F$438:$J$548,5,0)</f>
        <v>6</v>
      </c>
      <c r="K551" s="43">
        <f>VLOOKUP(F551,[7]Hárok1!$F$437:$S$548,6,0)</f>
        <v>0</v>
      </c>
      <c r="L551" s="43">
        <f>VLOOKUP(F551,[7]Hárok1!$F$437:$S$548,7,0)</f>
        <v>23</v>
      </c>
      <c r="M551" s="43">
        <f>VLOOKUP(F551,[7]Hárok1!$F$437:$S$548,8,0)</f>
        <v>0</v>
      </c>
      <c r="N551" s="43">
        <f>VLOOKUP(F551,[7]Hárok1!$F$437:$S$548,9,0)</f>
        <v>1</v>
      </c>
      <c r="O551" s="43">
        <f>VLOOKUP(F551,[7]Hárok1!$F$437:$S$548,10,0)</f>
        <v>10</v>
      </c>
      <c r="P551" s="44">
        <f>VLOOKUP(F551,[7]Hárok1!$F$437:$S$548,11,0)</f>
        <v>1</v>
      </c>
      <c r="Q551" s="42">
        <f>VLOOKUP(F551,[7]Hárok1!$F$437:$S$548,12,0)</f>
        <v>18</v>
      </c>
      <c r="R551" s="43">
        <f>VLOOKUP(F551,[7]Hárok1!$F$437:$S$548,13,0)</f>
        <v>152</v>
      </c>
      <c r="S551" s="44">
        <f>VLOOKUP(F551,[7]Hárok1!$F$437:$S$548,14,0)</f>
        <v>18</v>
      </c>
      <c r="T551" s="45">
        <f t="shared" si="48"/>
        <v>770.5</v>
      </c>
      <c r="U551" s="46">
        <f>VLOOKUP(F551,[7]Hárok1!$F$437:$U$548,16,0)</f>
        <v>149</v>
      </c>
      <c r="V551" s="47">
        <f t="shared" si="49"/>
        <v>40.5</v>
      </c>
      <c r="W551" s="47">
        <f t="shared" si="50"/>
        <v>439</v>
      </c>
      <c r="X551" s="48">
        <f t="shared" si="51"/>
        <v>54</v>
      </c>
      <c r="Y551" s="49">
        <f t="shared" si="53"/>
        <v>1453</v>
      </c>
      <c r="Z551" s="50">
        <f t="shared" si="52"/>
        <v>1453</v>
      </c>
    </row>
    <row r="552" spans="1:26" x14ac:dyDescent="0.25">
      <c r="A552" s="29" t="s">
        <v>1201</v>
      </c>
      <c r="B552" s="29" t="s">
        <v>43</v>
      </c>
      <c r="C552" s="29" t="s">
        <v>1202</v>
      </c>
      <c r="D552" s="30">
        <v>54131472</v>
      </c>
      <c r="E552" s="31" t="s">
        <v>1203</v>
      </c>
      <c r="F552" s="29">
        <v>42079322</v>
      </c>
      <c r="G552" s="32" t="s">
        <v>52</v>
      </c>
      <c r="H552" s="32" t="s">
        <v>230</v>
      </c>
      <c r="I552" s="33" t="s">
        <v>1204</v>
      </c>
      <c r="J552" s="42">
        <f>VLOOKUP($F$552,[8]Hárok1!$F$546:$S$794,5,0)</f>
        <v>1</v>
      </c>
      <c r="K552" s="43">
        <f>VLOOKUP($F$552,[8]Hárok1!$F$546:$S$794,6,0)</f>
        <v>0</v>
      </c>
      <c r="L552" s="43">
        <f>VLOOKUP($F$552,[8]Hárok1!$F$546:$S$794,7,0)</f>
        <v>2</v>
      </c>
      <c r="M552" s="43">
        <f>VLOOKUP($F$552,[8]Hárok1!$F$546:$S$794,8,0)</f>
        <v>0</v>
      </c>
      <c r="N552" s="43">
        <f>VLOOKUP($F$552,[8]Hárok1!$F$546:$S$794,9,0)</f>
        <v>0</v>
      </c>
      <c r="O552" s="43">
        <f>VLOOKUP($F$552,[8]Hárok1!$F$546:$S$794,10,0)</f>
        <v>1</v>
      </c>
      <c r="P552" s="44">
        <f>VLOOKUP($F$552,[8]Hárok1!$F$546:$S$794,11,0)</f>
        <v>0</v>
      </c>
      <c r="Q552" s="42">
        <f>VLOOKUP($F$552,[8]Hárok1!$F$546:$S$794,12,0)</f>
        <v>0</v>
      </c>
      <c r="R552" s="43">
        <f>VLOOKUP($F$552,[8]Hárok1!$F$546:$S$794,13,0)</f>
        <v>4</v>
      </c>
      <c r="S552" s="44">
        <f>VLOOKUP($F$552,[8]Hárok1!$F$546:$S$794,14,0)</f>
        <v>0</v>
      </c>
      <c r="T552" s="45">
        <f t="shared" si="48"/>
        <v>67</v>
      </c>
      <c r="U552" s="46">
        <f>VLOOKUP(F552,[8]Hárok1!$F$546:$U$794,16,0)</f>
        <v>14.6</v>
      </c>
      <c r="V552" s="47">
        <f t="shared" si="49"/>
        <v>0</v>
      </c>
      <c r="W552" s="47">
        <f t="shared" si="50"/>
        <v>21.5</v>
      </c>
      <c r="X552" s="48">
        <f t="shared" si="51"/>
        <v>0</v>
      </c>
      <c r="Y552" s="49">
        <f t="shared" si="53"/>
        <v>103.1</v>
      </c>
      <c r="Z552" s="50">
        <f t="shared" si="52"/>
        <v>103</v>
      </c>
    </row>
    <row r="553" spans="1:26" x14ac:dyDescent="0.25">
      <c r="A553" s="29" t="s">
        <v>1201</v>
      </c>
      <c r="B553" s="29" t="s">
        <v>43</v>
      </c>
      <c r="C553" s="29" t="s">
        <v>1202</v>
      </c>
      <c r="D553" s="30">
        <v>54131472</v>
      </c>
      <c r="E553" s="31" t="s">
        <v>1203</v>
      </c>
      <c r="F553" s="29">
        <v>42080487</v>
      </c>
      <c r="G553" s="32" t="s">
        <v>64</v>
      </c>
      <c r="H553" s="32" t="s">
        <v>1151</v>
      </c>
      <c r="I553" s="33" t="s">
        <v>1205</v>
      </c>
      <c r="J553" s="42">
        <f>VLOOKUP(F553,[8]Hárok1!$F$546:$S$794,5,0)</f>
        <v>1</v>
      </c>
      <c r="K553" s="43">
        <f>VLOOKUP(F553,[8]Hárok1!$F$546:$S$794,6,0)</f>
        <v>0</v>
      </c>
      <c r="L553" s="43">
        <f>VLOOKUP(F553,[8]Hárok1!$F$546:$S$794,7,0)</f>
        <v>2</v>
      </c>
      <c r="M553" s="43">
        <f>VLOOKUP(F553,[8]Hárok1!$F$546:$S$794,8,0)</f>
        <v>0</v>
      </c>
      <c r="N553" s="43">
        <f>VLOOKUP(F553,[8]Hárok1!$F$546:$S$794,9,0)</f>
        <v>0</v>
      </c>
      <c r="O553" s="43">
        <f>VLOOKUP(F553,[8]Hárok1!$F$546:$S$794,10,0)</f>
        <v>7</v>
      </c>
      <c r="P553" s="44">
        <f>VLOOKUP(F553,[8]Hárok1!$F$546:$S$794,11,0)</f>
        <v>0</v>
      </c>
      <c r="Q553" s="42">
        <f>VLOOKUP(F553,[8]Hárok1!$F$546:$S$794,12,0)</f>
        <v>0</v>
      </c>
      <c r="R553" s="43">
        <f>VLOOKUP(F553,[8]Hárok1!$F$546:$S$794,13,0)</f>
        <v>17</v>
      </c>
      <c r="S553" s="44">
        <f>VLOOKUP(F553,[8]Hárok1!$F$546:$S$794,14,0)</f>
        <v>0</v>
      </c>
      <c r="T553" s="45">
        <f t="shared" si="48"/>
        <v>67</v>
      </c>
      <c r="U553" s="46">
        <f>VLOOKUP(F553,[8]Hárok1!$F$546:$U$794,16,0)</f>
        <v>14.6</v>
      </c>
      <c r="V553" s="47">
        <f t="shared" si="49"/>
        <v>0</v>
      </c>
      <c r="W553" s="47">
        <f t="shared" si="50"/>
        <v>128.5</v>
      </c>
      <c r="X553" s="48">
        <f t="shared" si="51"/>
        <v>0</v>
      </c>
      <c r="Y553" s="49">
        <f t="shared" si="53"/>
        <v>210.1</v>
      </c>
      <c r="Z553" s="50">
        <f t="shared" si="52"/>
        <v>210</v>
      </c>
    </row>
    <row r="554" spans="1:26" x14ac:dyDescent="0.25">
      <c r="A554" s="29" t="s">
        <v>1201</v>
      </c>
      <c r="B554" s="29" t="s">
        <v>43</v>
      </c>
      <c r="C554" s="29" t="s">
        <v>1202</v>
      </c>
      <c r="D554" s="30">
        <v>54131472</v>
      </c>
      <c r="E554" s="31" t="s">
        <v>1203</v>
      </c>
      <c r="F554" s="29">
        <v>52827704</v>
      </c>
      <c r="G554" s="32" t="s">
        <v>52</v>
      </c>
      <c r="H554" s="32" t="s">
        <v>1206</v>
      </c>
      <c r="I554" s="33" t="s">
        <v>1207</v>
      </c>
      <c r="J554" s="42">
        <f>VLOOKUP(F554,[8]Hárok1!$F$546:$S$794,5,0)</f>
        <v>0</v>
      </c>
      <c r="K554" s="43">
        <f>VLOOKUP(F554,[8]Hárok1!$F$546:$S$794,6,0)</f>
        <v>0</v>
      </c>
      <c r="L554" s="43">
        <f>VLOOKUP(F554,[8]Hárok1!$F$546:$S$794,7,0)</f>
        <v>0</v>
      </c>
      <c r="M554" s="43">
        <f>VLOOKUP(F554,[8]Hárok1!$F$546:$S$794,8,0)</f>
        <v>0</v>
      </c>
      <c r="N554" s="43">
        <f>VLOOKUP(F554,[8]Hárok1!$F$546:$S$794,9,0)</f>
        <v>0</v>
      </c>
      <c r="O554" s="43">
        <f>VLOOKUP(F554,[8]Hárok1!$F$546:$S$794,10,0)</f>
        <v>0</v>
      </c>
      <c r="P554" s="44">
        <f>VLOOKUP(F554,[8]Hárok1!$F$546:$S$794,11,0)</f>
        <v>0</v>
      </c>
      <c r="Q554" s="42">
        <f>VLOOKUP(F554,[8]Hárok1!$F$546:$S$794,12,0)</f>
        <v>0</v>
      </c>
      <c r="R554" s="43">
        <f>VLOOKUP(F554,[8]Hárok1!$F$546:$S$794,13,0)</f>
        <v>0</v>
      </c>
      <c r="S554" s="44">
        <f>VLOOKUP(F554,[8]Hárok1!$F$546:$S$794,14,0)</f>
        <v>0</v>
      </c>
      <c r="T554" s="45">
        <f t="shared" si="48"/>
        <v>0</v>
      </c>
      <c r="U554" s="46">
        <f>VLOOKUP(F554,[8]Hárok1!$F$546:$U$794,16,0)</f>
        <v>0</v>
      </c>
      <c r="V554" s="47">
        <f t="shared" si="49"/>
        <v>0</v>
      </c>
      <c r="W554" s="47">
        <f t="shared" si="50"/>
        <v>0</v>
      </c>
      <c r="X554" s="48">
        <f t="shared" si="51"/>
        <v>0</v>
      </c>
      <c r="Y554" s="49">
        <f t="shared" si="53"/>
        <v>0</v>
      </c>
      <c r="Z554" s="50">
        <f t="shared" si="52"/>
        <v>0</v>
      </c>
    </row>
    <row r="555" spans="1:26" x14ac:dyDescent="0.25">
      <c r="A555" s="29" t="s">
        <v>1201</v>
      </c>
      <c r="B555" s="29" t="s">
        <v>43</v>
      </c>
      <c r="C555" s="29" t="s">
        <v>1202</v>
      </c>
      <c r="D555" s="30">
        <v>54131472</v>
      </c>
      <c r="E555" s="31" t="s">
        <v>1203</v>
      </c>
      <c r="F555" s="29">
        <v>42079209</v>
      </c>
      <c r="G555" s="32" t="s">
        <v>52</v>
      </c>
      <c r="H555" s="32" t="s">
        <v>1208</v>
      </c>
      <c r="I555" s="33" t="s">
        <v>1209</v>
      </c>
      <c r="J555" s="42">
        <f>VLOOKUP(F555,[8]Hárok1!$F$546:$S$794,5,0)</f>
        <v>1</v>
      </c>
      <c r="K555" s="43">
        <f>VLOOKUP(F555,[8]Hárok1!$F$546:$S$794,6,0)</f>
        <v>0</v>
      </c>
      <c r="L555" s="43">
        <f>VLOOKUP(F555,[8]Hárok1!$F$546:$S$794,7,0)</f>
        <v>2</v>
      </c>
      <c r="M555" s="43">
        <f>VLOOKUP(F555,[8]Hárok1!$F$546:$S$794,8,0)</f>
        <v>0</v>
      </c>
      <c r="N555" s="43">
        <f>VLOOKUP(F555,[8]Hárok1!$F$546:$S$794,9,0)</f>
        <v>0</v>
      </c>
      <c r="O555" s="43">
        <f>VLOOKUP(F555,[8]Hárok1!$F$546:$S$794,10,0)</f>
        <v>3</v>
      </c>
      <c r="P555" s="44">
        <f>VLOOKUP(F555,[8]Hárok1!$F$546:$S$794,11,0)</f>
        <v>0</v>
      </c>
      <c r="Q555" s="42">
        <f>VLOOKUP(F555,[8]Hárok1!$F$546:$S$794,12,0)</f>
        <v>0</v>
      </c>
      <c r="R555" s="43">
        <f>VLOOKUP(F555,[8]Hárok1!$F$546:$S$794,13,0)</f>
        <v>14</v>
      </c>
      <c r="S555" s="44">
        <f>VLOOKUP(F555,[8]Hárok1!$F$546:$S$794,14,0)</f>
        <v>0</v>
      </c>
      <c r="T555" s="45">
        <f t="shared" si="48"/>
        <v>67</v>
      </c>
      <c r="U555" s="46">
        <f>VLOOKUP(F555,[8]Hárok1!$F$546:$U$794,16,0)</f>
        <v>20.6</v>
      </c>
      <c r="V555" s="47">
        <f t="shared" si="49"/>
        <v>0</v>
      </c>
      <c r="W555" s="47">
        <f t="shared" si="50"/>
        <v>68.5</v>
      </c>
      <c r="X555" s="48">
        <f t="shared" si="51"/>
        <v>0</v>
      </c>
      <c r="Y555" s="49">
        <f t="shared" si="53"/>
        <v>156.1</v>
      </c>
      <c r="Z555" s="50">
        <f t="shared" si="52"/>
        <v>156</v>
      </c>
    </row>
    <row r="556" spans="1:26" x14ac:dyDescent="0.25">
      <c r="A556" s="29" t="s">
        <v>1201</v>
      </c>
      <c r="B556" s="29" t="s">
        <v>43</v>
      </c>
      <c r="C556" s="29" t="s">
        <v>1202</v>
      </c>
      <c r="D556" s="30">
        <v>54131472</v>
      </c>
      <c r="E556" s="31" t="s">
        <v>1203</v>
      </c>
      <c r="F556" s="29">
        <v>163376</v>
      </c>
      <c r="G556" s="32" t="s">
        <v>70</v>
      </c>
      <c r="H556" s="32" t="s">
        <v>1210</v>
      </c>
      <c r="I556" s="33" t="s">
        <v>1211</v>
      </c>
      <c r="J556" s="42">
        <f>VLOOKUP(F556,[8]Hárok1!$F$546:$S$794,5,0)</f>
        <v>1</v>
      </c>
      <c r="K556" s="43">
        <f>VLOOKUP(F556,[8]Hárok1!$F$546:$S$794,6,0)</f>
        <v>0</v>
      </c>
      <c r="L556" s="43">
        <f>VLOOKUP(F556,[8]Hárok1!$F$546:$S$794,7,0)</f>
        <v>2</v>
      </c>
      <c r="M556" s="43">
        <f>VLOOKUP(F556,[8]Hárok1!$F$546:$S$794,8,0)</f>
        <v>0</v>
      </c>
      <c r="N556" s="43">
        <f>VLOOKUP(F556,[8]Hárok1!$F$546:$S$794,9,0)</f>
        <v>0</v>
      </c>
      <c r="O556" s="43">
        <f>VLOOKUP(F556,[8]Hárok1!$F$546:$S$794,10,0)</f>
        <v>2</v>
      </c>
      <c r="P556" s="44">
        <f>VLOOKUP(F556,[8]Hárok1!$F$546:$S$794,11,0)</f>
        <v>0</v>
      </c>
      <c r="Q556" s="42">
        <f>VLOOKUP(F556,[8]Hárok1!$F$546:$S$794,12,0)</f>
        <v>0</v>
      </c>
      <c r="R556" s="43">
        <f>VLOOKUP(F556,[8]Hárok1!$F$546:$S$794,13,0)</f>
        <v>5</v>
      </c>
      <c r="S556" s="44">
        <f>VLOOKUP(F556,[8]Hárok1!$F$546:$S$794,14,0)</f>
        <v>0</v>
      </c>
      <c r="T556" s="45">
        <f t="shared" si="48"/>
        <v>67</v>
      </c>
      <c r="U556" s="46">
        <f>VLOOKUP(F556,[8]Hárok1!$F$546:$U$794,16,0)</f>
        <v>0</v>
      </c>
      <c r="V556" s="47">
        <f t="shared" si="49"/>
        <v>0</v>
      </c>
      <c r="W556" s="47">
        <f t="shared" si="50"/>
        <v>37</v>
      </c>
      <c r="X556" s="48">
        <f t="shared" si="51"/>
        <v>0</v>
      </c>
      <c r="Y556" s="49">
        <f t="shared" si="53"/>
        <v>104</v>
      </c>
      <c r="Z556" s="50">
        <f t="shared" si="52"/>
        <v>104</v>
      </c>
    </row>
    <row r="557" spans="1:26" x14ac:dyDescent="0.25">
      <c r="A557" s="29" t="s">
        <v>1201</v>
      </c>
      <c r="B557" s="29" t="s">
        <v>43</v>
      </c>
      <c r="C557" s="29" t="s">
        <v>1202</v>
      </c>
      <c r="D557" s="30">
        <v>54131472</v>
      </c>
      <c r="E557" s="31" t="s">
        <v>1203</v>
      </c>
      <c r="F557" s="29">
        <v>42085390</v>
      </c>
      <c r="G557" s="32" t="s">
        <v>64</v>
      </c>
      <c r="H557" s="32" t="s">
        <v>1210</v>
      </c>
      <c r="I557" s="33" t="s">
        <v>1212</v>
      </c>
      <c r="J557" s="42">
        <f>VLOOKUP(F557,[8]Hárok1!$F$546:$S$794,5,0)</f>
        <v>3</v>
      </c>
      <c r="K557" s="43">
        <f>VLOOKUP(F557,[8]Hárok1!$F$546:$S$794,6,0)</f>
        <v>0</v>
      </c>
      <c r="L557" s="43">
        <f>VLOOKUP(F557,[8]Hárok1!$F$546:$S$794,7,0)</f>
        <v>5</v>
      </c>
      <c r="M557" s="43">
        <f>VLOOKUP(F557,[8]Hárok1!$F$546:$S$794,8,0)</f>
        <v>0</v>
      </c>
      <c r="N557" s="43">
        <f>VLOOKUP(F557,[8]Hárok1!$F$546:$S$794,9,0)</f>
        <v>0</v>
      </c>
      <c r="O557" s="43">
        <f>VLOOKUP(F557,[8]Hárok1!$F$546:$S$794,10,0)</f>
        <v>5</v>
      </c>
      <c r="P557" s="44">
        <f>VLOOKUP(F557,[8]Hárok1!$F$546:$S$794,11,0)</f>
        <v>0</v>
      </c>
      <c r="Q557" s="42">
        <f>VLOOKUP(F557,[8]Hárok1!$F$546:$S$794,12,0)</f>
        <v>0</v>
      </c>
      <c r="R557" s="43">
        <f>VLOOKUP(F557,[8]Hárok1!$F$546:$S$794,13,0)</f>
        <v>10</v>
      </c>
      <c r="S557" s="44">
        <f>VLOOKUP(F557,[8]Hárok1!$F$546:$S$794,14,0)</f>
        <v>0</v>
      </c>
      <c r="T557" s="45">
        <f t="shared" si="48"/>
        <v>167.5</v>
      </c>
      <c r="U557" s="46">
        <f>VLOOKUP(F557,[8]Hárok1!$F$546:$U$794,16,0)</f>
        <v>0</v>
      </c>
      <c r="V557" s="47">
        <f t="shared" si="49"/>
        <v>0</v>
      </c>
      <c r="W557" s="47">
        <f t="shared" si="50"/>
        <v>87.5</v>
      </c>
      <c r="X557" s="48">
        <f t="shared" si="51"/>
        <v>0</v>
      </c>
      <c r="Y557" s="49">
        <f t="shared" si="53"/>
        <v>255</v>
      </c>
      <c r="Z557" s="50">
        <f t="shared" si="52"/>
        <v>255</v>
      </c>
    </row>
    <row r="558" spans="1:26" x14ac:dyDescent="0.25">
      <c r="A558" s="29" t="s">
        <v>1201</v>
      </c>
      <c r="B558" s="29" t="s">
        <v>43</v>
      </c>
      <c r="C558" s="29" t="s">
        <v>1202</v>
      </c>
      <c r="D558" s="30">
        <v>54131472</v>
      </c>
      <c r="E558" s="31" t="s">
        <v>1203</v>
      </c>
      <c r="F558" s="29">
        <v>42090199</v>
      </c>
      <c r="G558" s="32" t="s">
        <v>64</v>
      </c>
      <c r="H558" s="32" t="s">
        <v>1210</v>
      </c>
      <c r="I558" s="33" t="s">
        <v>1213</v>
      </c>
      <c r="J558" s="42">
        <f>VLOOKUP(F558,[8]Hárok1!$F$546:$S$794,5,0)</f>
        <v>1</v>
      </c>
      <c r="K558" s="43">
        <f>VLOOKUP(F558,[8]Hárok1!$F$546:$S$794,6,0)</f>
        <v>0</v>
      </c>
      <c r="L558" s="43">
        <f>VLOOKUP(F558,[8]Hárok1!$F$546:$S$794,7,0)</f>
        <v>11</v>
      </c>
      <c r="M558" s="43">
        <f>VLOOKUP(F558,[8]Hárok1!$F$546:$S$794,8,0)</f>
        <v>0</v>
      </c>
      <c r="N558" s="43">
        <f>VLOOKUP(F558,[8]Hárok1!$F$546:$S$794,9,0)</f>
        <v>0</v>
      </c>
      <c r="O558" s="43">
        <f>VLOOKUP(F558,[8]Hárok1!$F$546:$S$794,10,0)</f>
        <v>2</v>
      </c>
      <c r="P558" s="44">
        <f>VLOOKUP(F558,[8]Hárok1!$F$546:$S$794,11,0)</f>
        <v>1</v>
      </c>
      <c r="Q558" s="42">
        <f>VLOOKUP(F558,[8]Hárok1!$F$546:$S$794,12,0)</f>
        <v>0</v>
      </c>
      <c r="R558" s="43">
        <f>VLOOKUP(F558,[8]Hárok1!$F$546:$S$794,13,0)</f>
        <v>78</v>
      </c>
      <c r="S558" s="44">
        <f>VLOOKUP(F558,[8]Hárok1!$F$546:$S$794,14,0)</f>
        <v>133</v>
      </c>
      <c r="T558" s="45">
        <f t="shared" si="48"/>
        <v>368.5</v>
      </c>
      <c r="U558" s="46">
        <f>VLOOKUP(F558,[8]Hárok1!$F$546:$U$794,16,0)</f>
        <v>0</v>
      </c>
      <c r="V558" s="47">
        <f t="shared" si="49"/>
        <v>0</v>
      </c>
      <c r="W558" s="47">
        <f t="shared" si="50"/>
        <v>183</v>
      </c>
      <c r="X558" s="48">
        <f t="shared" si="51"/>
        <v>226.5</v>
      </c>
      <c r="Y558" s="49">
        <f t="shared" si="53"/>
        <v>778</v>
      </c>
      <c r="Z558" s="50">
        <f t="shared" si="52"/>
        <v>778</v>
      </c>
    </row>
    <row r="559" spans="1:26" x14ac:dyDescent="0.25">
      <c r="A559" s="29" t="s">
        <v>1201</v>
      </c>
      <c r="B559" s="29" t="s">
        <v>43</v>
      </c>
      <c r="C559" s="29" t="s">
        <v>1202</v>
      </c>
      <c r="D559" s="30">
        <v>54131472</v>
      </c>
      <c r="E559" s="31" t="s">
        <v>1203</v>
      </c>
      <c r="F559" s="29">
        <v>50617265</v>
      </c>
      <c r="G559" s="32" t="s">
        <v>64</v>
      </c>
      <c r="H559" s="32" t="s">
        <v>1214</v>
      </c>
      <c r="I559" s="33" t="s">
        <v>1215</v>
      </c>
      <c r="J559" s="42">
        <f>VLOOKUP(F559,[8]Hárok1!$F$546:$S$794,5,0)</f>
        <v>0</v>
      </c>
      <c r="K559" s="43">
        <f>VLOOKUP(F559,[8]Hárok1!$F$546:$S$794,6,0)</f>
        <v>0</v>
      </c>
      <c r="L559" s="43">
        <f>VLOOKUP(F559,[8]Hárok1!$F$546:$S$794,7,0)</f>
        <v>0</v>
      </c>
      <c r="M559" s="43">
        <f>VLOOKUP(F559,[8]Hárok1!$F$546:$S$794,8,0)</f>
        <v>0</v>
      </c>
      <c r="N559" s="43">
        <f>VLOOKUP(F559,[8]Hárok1!$F$546:$S$794,9,0)</f>
        <v>0</v>
      </c>
      <c r="O559" s="43">
        <f>VLOOKUP(F559,[8]Hárok1!$F$546:$S$794,10,0)</f>
        <v>0</v>
      </c>
      <c r="P559" s="44">
        <f>VLOOKUP(F559,[8]Hárok1!$F$546:$S$794,11,0)</f>
        <v>0</v>
      </c>
      <c r="Q559" s="42">
        <f>VLOOKUP(F559,[8]Hárok1!$F$546:$S$794,12,0)</f>
        <v>0</v>
      </c>
      <c r="R559" s="43">
        <f>VLOOKUP(F559,[8]Hárok1!$F$546:$S$794,13,0)</f>
        <v>0</v>
      </c>
      <c r="S559" s="44">
        <f>VLOOKUP(F559,[8]Hárok1!$F$546:$S$794,14,0)</f>
        <v>0</v>
      </c>
      <c r="T559" s="45">
        <f t="shared" si="48"/>
        <v>0</v>
      </c>
      <c r="U559" s="46">
        <f>VLOOKUP(F559,[8]Hárok1!$F$546:$U$794,16,0)</f>
        <v>0</v>
      </c>
      <c r="V559" s="47">
        <f t="shared" si="49"/>
        <v>0</v>
      </c>
      <c r="W559" s="47">
        <f t="shared" si="50"/>
        <v>0</v>
      </c>
      <c r="X559" s="48">
        <f t="shared" si="51"/>
        <v>0</v>
      </c>
      <c r="Y559" s="49">
        <f t="shared" si="53"/>
        <v>0</v>
      </c>
      <c r="Z559" s="50">
        <f t="shared" si="52"/>
        <v>0</v>
      </c>
    </row>
    <row r="560" spans="1:26" x14ac:dyDescent="0.25">
      <c r="A560" s="51" t="s">
        <v>1201</v>
      </c>
      <c r="B560" s="51" t="s">
        <v>43</v>
      </c>
      <c r="C560" s="51" t="s">
        <v>1202</v>
      </c>
      <c r="D560" s="30">
        <v>54131472</v>
      </c>
      <c r="E560" s="31" t="s">
        <v>1203</v>
      </c>
      <c r="F560" s="51">
        <v>162931</v>
      </c>
      <c r="G560" s="32" t="s">
        <v>536</v>
      </c>
      <c r="H560" s="32" t="s">
        <v>351</v>
      </c>
      <c r="I560" s="33" t="s">
        <v>1216</v>
      </c>
      <c r="J560" s="42">
        <f>VLOOKUP(F560,[8]Hárok1!$F$546:$S$794,5,0)</f>
        <v>2</v>
      </c>
      <c r="K560" s="43">
        <f>VLOOKUP(F560,[8]Hárok1!$F$546:$S$794,6,0)</f>
        <v>0</v>
      </c>
      <c r="L560" s="43">
        <f>VLOOKUP(F560,[8]Hárok1!$F$546:$S$794,7,0)</f>
        <v>4</v>
      </c>
      <c r="M560" s="43">
        <f>VLOOKUP(F560,[8]Hárok1!$F$546:$S$794,8,0)</f>
        <v>0</v>
      </c>
      <c r="N560" s="43">
        <f>VLOOKUP(F560,[8]Hárok1!$F$546:$S$794,9,0)</f>
        <v>0</v>
      </c>
      <c r="O560" s="43">
        <f>VLOOKUP(F560,[8]Hárok1!$F$546:$S$794,10,0)</f>
        <v>3</v>
      </c>
      <c r="P560" s="44">
        <f>VLOOKUP(F560,[8]Hárok1!$F$546:$S$794,11,0)</f>
        <v>0</v>
      </c>
      <c r="Q560" s="42">
        <f>VLOOKUP(F560,[8]Hárok1!$F$546:$S$794,12,0)</f>
        <v>0</v>
      </c>
      <c r="R560" s="43">
        <f>VLOOKUP(F560,[8]Hárok1!$F$546:$S$794,13,0)</f>
        <v>18</v>
      </c>
      <c r="S560" s="44">
        <f>VLOOKUP(F560,[8]Hárok1!$F$546:$S$794,14,0)</f>
        <v>0</v>
      </c>
      <c r="T560" s="45">
        <f t="shared" si="48"/>
        <v>134</v>
      </c>
      <c r="U560" s="46">
        <f>VLOOKUP(F560,[8]Hárok1!$F$546:$U$794,16,0)</f>
        <v>185.4</v>
      </c>
      <c r="V560" s="47">
        <f t="shared" si="49"/>
        <v>0</v>
      </c>
      <c r="W560" s="47">
        <f t="shared" si="50"/>
        <v>76.5</v>
      </c>
      <c r="X560" s="48">
        <f t="shared" si="51"/>
        <v>0</v>
      </c>
      <c r="Y560" s="49">
        <f t="shared" si="53"/>
        <v>395.9</v>
      </c>
      <c r="Z560" s="50">
        <f t="shared" si="52"/>
        <v>396</v>
      </c>
    </row>
    <row r="561" spans="1:26" x14ac:dyDescent="0.25">
      <c r="A561" s="29" t="s">
        <v>1201</v>
      </c>
      <c r="B561" s="29" t="s">
        <v>43</v>
      </c>
      <c r="C561" s="29" t="s">
        <v>1202</v>
      </c>
      <c r="D561" s="30">
        <v>54131472</v>
      </c>
      <c r="E561" s="31" t="s">
        <v>1203</v>
      </c>
      <c r="F561" s="29">
        <v>42083788</v>
      </c>
      <c r="G561" s="32" t="s">
        <v>52</v>
      </c>
      <c r="H561" s="32" t="s">
        <v>351</v>
      </c>
      <c r="I561" s="33" t="s">
        <v>1217</v>
      </c>
      <c r="J561" s="42">
        <f>VLOOKUP(F561,[8]Hárok1!$F$546:$S$794,5,0)</f>
        <v>24</v>
      </c>
      <c r="K561" s="43">
        <f>VLOOKUP(F561,[8]Hárok1!$F$546:$S$794,6,0)</f>
        <v>0</v>
      </c>
      <c r="L561" s="43">
        <f>VLOOKUP(F561,[8]Hárok1!$F$546:$S$794,7,0)</f>
        <v>60</v>
      </c>
      <c r="M561" s="43">
        <f>VLOOKUP(F561,[8]Hárok1!$F$546:$S$794,8,0)</f>
        <v>0</v>
      </c>
      <c r="N561" s="43">
        <f>VLOOKUP(F561,[8]Hárok1!$F$546:$S$794,9,0)</f>
        <v>5</v>
      </c>
      <c r="O561" s="43">
        <f>VLOOKUP(F561,[8]Hárok1!$F$546:$S$794,10,0)</f>
        <v>20</v>
      </c>
      <c r="P561" s="44">
        <f>VLOOKUP(F561,[8]Hárok1!$F$546:$S$794,11,0)</f>
        <v>1</v>
      </c>
      <c r="Q561" s="42">
        <f>VLOOKUP(F561,[8]Hárok1!$F$546:$S$794,12,0)</f>
        <v>34</v>
      </c>
      <c r="R561" s="43">
        <f>VLOOKUP(F561,[8]Hárok1!$F$546:$S$794,13,0)</f>
        <v>383</v>
      </c>
      <c r="S561" s="44">
        <f>VLOOKUP(F561,[8]Hárok1!$F$546:$S$794,14,0)</f>
        <v>93</v>
      </c>
      <c r="T561" s="45">
        <f t="shared" si="48"/>
        <v>2010</v>
      </c>
      <c r="U561" s="46">
        <f>VLOOKUP(F561,[8]Hárok1!$F$546:$U$794,16,0)</f>
        <v>0</v>
      </c>
      <c r="V561" s="47">
        <f t="shared" si="49"/>
        <v>118.5</v>
      </c>
      <c r="W561" s="47">
        <f t="shared" si="50"/>
        <v>1036</v>
      </c>
      <c r="X561" s="48">
        <f t="shared" si="51"/>
        <v>166.5</v>
      </c>
      <c r="Y561" s="49">
        <f t="shared" si="53"/>
        <v>3331</v>
      </c>
      <c r="Z561" s="50">
        <f t="shared" si="52"/>
        <v>3331</v>
      </c>
    </row>
    <row r="562" spans="1:26" x14ac:dyDescent="0.25">
      <c r="A562" s="29" t="s">
        <v>1201</v>
      </c>
      <c r="B562" s="29" t="s">
        <v>43</v>
      </c>
      <c r="C562" s="29" t="s">
        <v>1202</v>
      </c>
      <c r="D562" s="30">
        <v>54131472</v>
      </c>
      <c r="E562" s="31" t="s">
        <v>1203</v>
      </c>
      <c r="F562" s="29">
        <v>42090202</v>
      </c>
      <c r="G562" s="32" t="s">
        <v>52</v>
      </c>
      <c r="H562" s="32" t="s">
        <v>351</v>
      </c>
      <c r="I562" s="33" t="s">
        <v>1218</v>
      </c>
      <c r="J562" s="42">
        <f>VLOOKUP(F562,[8]Hárok1!$F$546:$S$794,5,0)</f>
        <v>0</v>
      </c>
      <c r="K562" s="43">
        <f>VLOOKUP(F562,[8]Hárok1!$F$546:$S$794,6,0)</f>
        <v>0</v>
      </c>
      <c r="L562" s="43">
        <f>VLOOKUP(F562,[8]Hárok1!$F$546:$S$794,7,0)</f>
        <v>0</v>
      </c>
      <c r="M562" s="43">
        <f>VLOOKUP(F562,[8]Hárok1!$F$546:$S$794,8,0)</f>
        <v>0</v>
      </c>
      <c r="N562" s="43">
        <f>VLOOKUP(F562,[8]Hárok1!$F$546:$S$794,9,0)</f>
        <v>0</v>
      </c>
      <c r="O562" s="43">
        <f>VLOOKUP(F562,[8]Hárok1!$F$546:$S$794,10,0)</f>
        <v>0</v>
      </c>
      <c r="P562" s="44">
        <f>VLOOKUP(F562,[8]Hárok1!$F$546:$S$794,11,0)</f>
        <v>0</v>
      </c>
      <c r="Q562" s="42">
        <f>VLOOKUP(F562,[8]Hárok1!$F$546:$S$794,12,0)</f>
        <v>0</v>
      </c>
      <c r="R562" s="43">
        <f>VLOOKUP(F562,[8]Hárok1!$F$546:$S$794,13,0)</f>
        <v>0</v>
      </c>
      <c r="S562" s="44">
        <f>VLOOKUP(F562,[8]Hárok1!$F$546:$S$794,14,0)</f>
        <v>0</v>
      </c>
      <c r="T562" s="45">
        <f t="shared" si="48"/>
        <v>0</v>
      </c>
      <c r="U562" s="46">
        <f>VLOOKUP(F562,[8]Hárok1!$F$546:$U$794,16,0)</f>
        <v>0</v>
      </c>
      <c r="V562" s="47">
        <f t="shared" si="49"/>
        <v>0</v>
      </c>
      <c r="W562" s="47">
        <f t="shared" si="50"/>
        <v>0</v>
      </c>
      <c r="X562" s="48">
        <f t="shared" si="51"/>
        <v>0</v>
      </c>
      <c r="Y562" s="49">
        <f t="shared" si="53"/>
        <v>0</v>
      </c>
      <c r="Z562" s="50">
        <f t="shared" si="52"/>
        <v>0</v>
      </c>
    </row>
    <row r="563" spans="1:26" x14ac:dyDescent="0.25">
      <c r="A563" s="29" t="s">
        <v>1201</v>
      </c>
      <c r="B563" s="29" t="s">
        <v>43</v>
      </c>
      <c r="C563" s="29" t="s">
        <v>1202</v>
      </c>
      <c r="D563" s="30">
        <v>54131472</v>
      </c>
      <c r="E563" s="31" t="s">
        <v>1203</v>
      </c>
      <c r="F563" s="29">
        <v>52827283</v>
      </c>
      <c r="G563" s="32" t="s">
        <v>52</v>
      </c>
      <c r="H563" s="32" t="s">
        <v>1219</v>
      </c>
      <c r="I563" s="33" t="s">
        <v>1220</v>
      </c>
      <c r="J563" s="42">
        <f>VLOOKUP(F563,[8]Hárok1!$F$546:$S$794,5,0)</f>
        <v>0</v>
      </c>
      <c r="K563" s="43">
        <f>VLOOKUP(F563,[8]Hárok1!$F$546:$S$794,6,0)</f>
        <v>0</v>
      </c>
      <c r="L563" s="43">
        <f>VLOOKUP(F563,[8]Hárok1!$F$546:$S$794,7,0)</f>
        <v>0</v>
      </c>
      <c r="M563" s="43">
        <f>VLOOKUP(F563,[8]Hárok1!$F$546:$S$794,8,0)</f>
        <v>0</v>
      </c>
      <c r="N563" s="43">
        <f>VLOOKUP(F563,[8]Hárok1!$F$546:$S$794,9,0)</f>
        <v>0</v>
      </c>
      <c r="O563" s="43">
        <f>VLOOKUP(F563,[8]Hárok1!$F$546:$S$794,10,0)</f>
        <v>0</v>
      </c>
      <c r="P563" s="44">
        <f>VLOOKUP(F563,[8]Hárok1!$F$546:$S$794,11,0)</f>
        <v>0</v>
      </c>
      <c r="Q563" s="42">
        <f>VLOOKUP(F563,[8]Hárok1!$F$546:$S$794,12,0)</f>
        <v>0</v>
      </c>
      <c r="R563" s="43">
        <f>VLOOKUP(F563,[8]Hárok1!$F$546:$S$794,13,0)</f>
        <v>0</v>
      </c>
      <c r="S563" s="44">
        <f>VLOOKUP(F563,[8]Hárok1!$F$546:$S$794,14,0)</f>
        <v>0</v>
      </c>
      <c r="T563" s="45">
        <f t="shared" si="48"/>
        <v>0</v>
      </c>
      <c r="U563" s="46">
        <f>VLOOKUP(F563,[8]Hárok1!$F$546:$U$794,16,0)</f>
        <v>0</v>
      </c>
      <c r="V563" s="47">
        <f t="shared" si="49"/>
        <v>0</v>
      </c>
      <c r="W563" s="47">
        <f t="shared" si="50"/>
        <v>0</v>
      </c>
      <c r="X563" s="48">
        <f t="shared" si="51"/>
        <v>0</v>
      </c>
      <c r="Y563" s="49">
        <f t="shared" si="53"/>
        <v>0</v>
      </c>
      <c r="Z563" s="50">
        <f t="shared" si="52"/>
        <v>0</v>
      </c>
    </row>
    <row r="564" spans="1:26" x14ac:dyDescent="0.25">
      <c r="A564" s="29" t="s">
        <v>1201</v>
      </c>
      <c r="B564" s="29" t="s">
        <v>43</v>
      </c>
      <c r="C564" s="29" t="s">
        <v>1202</v>
      </c>
      <c r="D564" s="30">
        <v>54131472</v>
      </c>
      <c r="E564" s="31" t="s">
        <v>1203</v>
      </c>
      <c r="F564" s="29">
        <v>42089841</v>
      </c>
      <c r="G564" s="32" t="s">
        <v>52</v>
      </c>
      <c r="H564" s="32" t="s">
        <v>1221</v>
      </c>
      <c r="I564" s="33" t="s">
        <v>1222</v>
      </c>
      <c r="J564" s="42">
        <f>VLOOKUP(F564,[8]Hárok1!$F$546:$S$794,5,0)</f>
        <v>1</v>
      </c>
      <c r="K564" s="43">
        <f>VLOOKUP(F564,[8]Hárok1!$F$546:$S$794,6,0)</f>
        <v>0</v>
      </c>
      <c r="L564" s="43">
        <f>VLOOKUP(F564,[8]Hárok1!$F$546:$S$794,7,0)</f>
        <v>2</v>
      </c>
      <c r="M564" s="43">
        <f>VLOOKUP(F564,[8]Hárok1!$F$546:$S$794,8,0)</f>
        <v>0</v>
      </c>
      <c r="N564" s="43">
        <f>VLOOKUP(F564,[8]Hárok1!$F$546:$S$794,9,0)</f>
        <v>0</v>
      </c>
      <c r="O564" s="43">
        <f>VLOOKUP(F564,[8]Hárok1!$F$546:$S$794,10,0)</f>
        <v>1</v>
      </c>
      <c r="P564" s="44">
        <f>VLOOKUP(F564,[8]Hárok1!$F$546:$S$794,11,0)</f>
        <v>0</v>
      </c>
      <c r="Q564" s="42">
        <f>VLOOKUP(F564,[8]Hárok1!$F$546:$S$794,12,0)</f>
        <v>0</v>
      </c>
      <c r="R564" s="43">
        <f>VLOOKUP(F564,[8]Hárok1!$F$546:$S$794,13,0)</f>
        <v>1</v>
      </c>
      <c r="S564" s="44">
        <f>VLOOKUP(F564,[8]Hárok1!$F$546:$S$794,14,0)</f>
        <v>0</v>
      </c>
      <c r="T564" s="45">
        <f t="shared" si="48"/>
        <v>67</v>
      </c>
      <c r="U564" s="46">
        <f>VLOOKUP(F564,[8]Hárok1!$F$546:$U$794,16,0)</f>
        <v>24.8</v>
      </c>
      <c r="V564" s="47">
        <f t="shared" si="49"/>
        <v>0</v>
      </c>
      <c r="W564" s="47">
        <f t="shared" si="50"/>
        <v>15.5</v>
      </c>
      <c r="X564" s="48">
        <f t="shared" si="51"/>
        <v>0</v>
      </c>
      <c r="Y564" s="49">
        <f t="shared" si="53"/>
        <v>107.3</v>
      </c>
      <c r="Z564" s="50">
        <f t="shared" si="52"/>
        <v>107</v>
      </c>
    </row>
    <row r="565" spans="1:26" x14ac:dyDescent="0.25">
      <c r="A565" s="29" t="s">
        <v>1201</v>
      </c>
      <c r="B565" s="29" t="s">
        <v>43</v>
      </c>
      <c r="C565" s="29" t="s">
        <v>1202</v>
      </c>
      <c r="D565" s="30">
        <v>54131472</v>
      </c>
      <c r="E565" s="31" t="s">
        <v>1203</v>
      </c>
      <c r="F565" s="29">
        <v>523216</v>
      </c>
      <c r="G565" s="32" t="s">
        <v>536</v>
      </c>
      <c r="H565" s="32" t="s">
        <v>1223</v>
      </c>
      <c r="I565" s="33" t="s">
        <v>1224</v>
      </c>
      <c r="J565" s="42">
        <f>VLOOKUP(F565,[8]Hárok1!$F$546:$S$794,5,0)</f>
        <v>1</v>
      </c>
      <c r="K565" s="43">
        <f>VLOOKUP(F565,[8]Hárok1!$F$546:$S$794,6,0)</f>
        <v>0</v>
      </c>
      <c r="L565" s="43">
        <f>VLOOKUP(F565,[8]Hárok1!$F$546:$S$794,7,0)</f>
        <v>2</v>
      </c>
      <c r="M565" s="43">
        <f>VLOOKUP(F565,[8]Hárok1!$F$546:$S$794,8,0)</f>
        <v>0</v>
      </c>
      <c r="N565" s="43">
        <f>VLOOKUP(F565,[8]Hárok1!$F$546:$S$794,9,0)</f>
        <v>0</v>
      </c>
      <c r="O565" s="43">
        <f>VLOOKUP(F565,[8]Hárok1!$F$546:$S$794,10,0)</f>
        <v>2</v>
      </c>
      <c r="P565" s="44">
        <f>VLOOKUP(F565,[8]Hárok1!$F$546:$S$794,11,0)</f>
        <v>0</v>
      </c>
      <c r="Q565" s="42">
        <f>VLOOKUP(F565,[8]Hárok1!$F$546:$S$794,12,0)</f>
        <v>0</v>
      </c>
      <c r="R565" s="43">
        <f>VLOOKUP(F565,[8]Hárok1!$F$546:$S$794,13,0)</f>
        <v>8</v>
      </c>
      <c r="S565" s="44">
        <f>VLOOKUP(F565,[8]Hárok1!$F$546:$S$794,14,0)</f>
        <v>0</v>
      </c>
      <c r="T565" s="45">
        <f t="shared" si="48"/>
        <v>67</v>
      </c>
      <c r="U565" s="46">
        <f>VLOOKUP(F565,[8]Hárok1!$F$546:$U$794,16,0)</f>
        <v>0</v>
      </c>
      <c r="V565" s="47">
        <f t="shared" si="49"/>
        <v>0</v>
      </c>
      <c r="W565" s="47">
        <f t="shared" si="50"/>
        <v>43</v>
      </c>
      <c r="X565" s="48">
        <f t="shared" si="51"/>
        <v>0</v>
      </c>
      <c r="Y565" s="49">
        <f t="shared" si="53"/>
        <v>110</v>
      </c>
      <c r="Z565" s="50">
        <f t="shared" si="52"/>
        <v>110</v>
      </c>
    </row>
    <row r="566" spans="1:26" x14ac:dyDescent="0.25">
      <c r="A566" s="29" t="s">
        <v>1201</v>
      </c>
      <c r="B566" s="29" t="s">
        <v>43</v>
      </c>
      <c r="C566" s="29" t="s">
        <v>1202</v>
      </c>
      <c r="D566" s="30">
        <v>54131472</v>
      </c>
      <c r="E566" s="31" t="s">
        <v>1203</v>
      </c>
      <c r="F566" s="29">
        <v>42079861</v>
      </c>
      <c r="G566" s="32" t="s">
        <v>52</v>
      </c>
      <c r="H566" s="32" t="s">
        <v>1223</v>
      </c>
      <c r="I566" s="33" t="s">
        <v>1225</v>
      </c>
      <c r="J566" s="42">
        <f>VLOOKUP(F566,[8]Hárok1!$F$546:$S$794,5,0)</f>
        <v>0</v>
      </c>
      <c r="K566" s="43">
        <f>VLOOKUP(F566,[8]Hárok1!$F$546:$S$794,6,0)</f>
        <v>0</v>
      </c>
      <c r="L566" s="43">
        <f>VLOOKUP(F566,[8]Hárok1!$F$546:$S$794,7,0)</f>
        <v>0</v>
      </c>
      <c r="M566" s="43">
        <f>VLOOKUP(F566,[8]Hárok1!$F$546:$S$794,8,0)</f>
        <v>0</v>
      </c>
      <c r="N566" s="43">
        <f>VLOOKUP(F566,[8]Hárok1!$F$546:$S$794,9,0)</f>
        <v>0</v>
      </c>
      <c r="O566" s="43">
        <f>VLOOKUP(F566,[8]Hárok1!$F$546:$S$794,10,0)</f>
        <v>0</v>
      </c>
      <c r="P566" s="44">
        <f>VLOOKUP(F566,[8]Hárok1!$F$546:$S$794,11,0)</f>
        <v>0</v>
      </c>
      <c r="Q566" s="42">
        <f>VLOOKUP(F566,[8]Hárok1!$F$546:$S$794,12,0)</f>
        <v>0</v>
      </c>
      <c r="R566" s="43">
        <f>VLOOKUP(F566,[8]Hárok1!$F$546:$S$794,13,0)</f>
        <v>0</v>
      </c>
      <c r="S566" s="44">
        <f>VLOOKUP(F566,[8]Hárok1!$F$546:$S$794,14,0)</f>
        <v>0</v>
      </c>
      <c r="T566" s="45">
        <f t="shared" si="48"/>
        <v>0</v>
      </c>
      <c r="U566" s="46">
        <f>VLOOKUP(F566,[8]Hárok1!$F$546:$U$794,16,0)</f>
        <v>0</v>
      </c>
      <c r="V566" s="47">
        <f t="shared" si="49"/>
        <v>0</v>
      </c>
      <c r="W566" s="47">
        <f t="shared" si="50"/>
        <v>0</v>
      </c>
      <c r="X566" s="48">
        <f t="shared" si="51"/>
        <v>0</v>
      </c>
      <c r="Y566" s="49">
        <f t="shared" si="53"/>
        <v>0</v>
      </c>
      <c r="Z566" s="50">
        <f t="shared" si="52"/>
        <v>0</v>
      </c>
    </row>
    <row r="567" spans="1:26" x14ac:dyDescent="0.25">
      <c r="A567" s="29" t="s">
        <v>1201</v>
      </c>
      <c r="B567" s="29" t="s">
        <v>43</v>
      </c>
      <c r="C567" s="29" t="s">
        <v>1202</v>
      </c>
      <c r="D567" s="30">
        <v>54131472</v>
      </c>
      <c r="E567" s="31" t="s">
        <v>1203</v>
      </c>
      <c r="F567" s="29">
        <v>42085381</v>
      </c>
      <c r="G567" s="32" t="s">
        <v>64</v>
      </c>
      <c r="H567" s="32" t="s">
        <v>1223</v>
      </c>
      <c r="I567" s="33" t="s">
        <v>1226</v>
      </c>
      <c r="J567" s="42">
        <f>VLOOKUP(F567,[8]Hárok1!$F$546:$S$794,5,0)</f>
        <v>0</v>
      </c>
      <c r="K567" s="43">
        <f>VLOOKUP(F567,[8]Hárok1!$F$546:$S$794,6,0)</f>
        <v>0</v>
      </c>
      <c r="L567" s="43">
        <f>VLOOKUP(F567,[8]Hárok1!$F$546:$S$794,7,0)</f>
        <v>0</v>
      </c>
      <c r="M567" s="43">
        <f>VLOOKUP(F567,[8]Hárok1!$F$546:$S$794,8,0)</f>
        <v>0</v>
      </c>
      <c r="N567" s="43">
        <f>VLOOKUP(F567,[8]Hárok1!$F$546:$S$794,9,0)</f>
        <v>0</v>
      </c>
      <c r="O567" s="43">
        <f>VLOOKUP(F567,[8]Hárok1!$F$546:$S$794,10,0)</f>
        <v>0</v>
      </c>
      <c r="P567" s="44">
        <f>VLOOKUP(F567,[8]Hárok1!$F$546:$S$794,11,0)</f>
        <v>0</v>
      </c>
      <c r="Q567" s="42">
        <f>VLOOKUP(F567,[8]Hárok1!$F$546:$S$794,12,0)</f>
        <v>0</v>
      </c>
      <c r="R567" s="43">
        <f>VLOOKUP(F567,[8]Hárok1!$F$546:$S$794,13,0)</f>
        <v>0</v>
      </c>
      <c r="S567" s="44">
        <f>VLOOKUP(F567,[8]Hárok1!$F$546:$S$794,14,0)</f>
        <v>0</v>
      </c>
      <c r="T567" s="45">
        <f t="shared" si="48"/>
        <v>0</v>
      </c>
      <c r="U567" s="46">
        <f>VLOOKUP(F567,[8]Hárok1!$F$546:$U$794,16,0)</f>
        <v>0</v>
      </c>
      <c r="V567" s="47">
        <f t="shared" si="49"/>
        <v>0</v>
      </c>
      <c r="W567" s="47">
        <f t="shared" si="50"/>
        <v>0</v>
      </c>
      <c r="X567" s="48">
        <f t="shared" si="51"/>
        <v>0</v>
      </c>
      <c r="Y567" s="49">
        <f t="shared" si="53"/>
        <v>0</v>
      </c>
      <c r="Z567" s="50">
        <f t="shared" si="52"/>
        <v>0</v>
      </c>
    </row>
    <row r="568" spans="1:26" x14ac:dyDescent="0.25">
      <c r="A568" s="29" t="s">
        <v>1201</v>
      </c>
      <c r="B568" s="29" t="s">
        <v>43</v>
      </c>
      <c r="C568" s="29" t="s">
        <v>1202</v>
      </c>
      <c r="D568" s="30">
        <v>54131472</v>
      </c>
      <c r="E568" s="31" t="s">
        <v>1203</v>
      </c>
      <c r="F568" s="29">
        <v>42037425</v>
      </c>
      <c r="G568" s="32" t="s">
        <v>1227</v>
      </c>
      <c r="H568" s="32" t="s">
        <v>1223</v>
      </c>
      <c r="I568" s="33" t="s">
        <v>1228</v>
      </c>
      <c r="J568" s="42">
        <f>VLOOKUP(F568,[8]Hárok1!$F$546:$S$794,5,0)</f>
        <v>0</v>
      </c>
      <c r="K568" s="43">
        <f>VLOOKUP(F568,[8]Hárok1!$F$546:$S$794,6,0)</f>
        <v>0</v>
      </c>
      <c r="L568" s="43">
        <f>VLOOKUP(F568,[8]Hárok1!$F$546:$S$794,7,0)</f>
        <v>0</v>
      </c>
      <c r="M568" s="43">
        <f>VLOOKUP(F568,[8]Hárok1!$F$546:$S$794,8,0)</f>
        <v>0</v>
      </c>
      <c r="N568" s="43">
        <f>VLOOKUP(F568,[8]Hárok1!$F$546:$S$794,9,0)</f>
        <v>0</v>
      </c>
      <c r="O568" s="43">
        <f>VLOOKUP(F568,[8]Hárok1!$F$546:$S$794,10,0)</f>
        <v>0</v>
      </c>
      <c r="P568" s="44">
        <f>VLOOKUP(F568,[8]Hárok1!$F$546:$S$794,11,0)</f>
        <v>0</v>
      </c>
      <c r="Q568" s="42">
        <f>VLOOKUP(F568,[8]Hárok1!$F$546:$S$794,12,0)</f>
        <v>0</v>
      </c>
      <c r="R568" s="43">
        <f>VLOOKUP(F568,[8]Hárok1!$F$546:$S$794,13,0)</f>
        <v>0</v>
      </c>
      <c r="S568" s="44">
        <f>VLOOKUP(F568,[8]Hárok1!$F$546:$S$794,14,0)</f>
        <v>0</v>
      </c>
      <c r="T568" s="45">
        <f t="shared" si="48"/>
        <v>0</v>
      </c>
      <c r="U568" s="46">
        <f>VLOOKUP(F568,[8]Hárok1!$F$546:$U$794,16,0)</f>
        <v>0</v>
      </c>
      <c r="V568" s="47">
        <f t="shared" si="49"/>
        <v>0</v>
      </c>
      <c r="W568" s="47">
        <f t="shared" si="50"/>
        <v>0</v>
      </c>
      <c r="X568" s="48">
        <f t="shared" si="51"/>
        <v>0</v>
      </c>
      <c r="Y568" s="49">
        <f t="shared" si="53"/>
        <v>0</v>
      </c>
      <c r="Z568" s="50">
        <f t="shared" si="52"/>
        <v>0</v>
      </c>
    </row>
    <row r="569" spans="1:26" x14ac:dyDescent="0.25">
      <c r="A569" s="29" t="s">
        <v>1201</v>
      </c>
      <c r="B569" s="29" t="s">
        <v>43</v>
      </c>
      <c r="C569" s="29" t="s">
        <v>1202</v>
      </c>
      <c r="D569" s="30">
        <v>54131472</v>
      </c>
      <c r="E569" s="31" t="s">
        <v>1203</v>
      </c>
      <c r="F569" s="29">
        <v>42089832</v>
      </c>
      <c r="G569" s="32" t="s">
        <v>52</v>
      </c>
      <c r="H569" s="32" t="s">
        <v>1229</v>
      </c>
      <c r="I569" s="33" t="s">
        <v>1230</v>
      </c>
      <c r="J569" s="42">
        <f>VLOOKUP(F569,[8]Hárok1!$F$546:$S$794,5,0)</f>
        <v>0</v>
      </c>
      <c r="K569" s="43">
        <f>VLOOKUP(F569,[8]Hárok1!$F$546:$S$794,6,0)</f>
        <v>0</v>
      </c>
      <c r="L569" s="43">
        <f>VLOOKUP(F569,[8]Hárok1!$F$546:$S$794,7,0)</f>
        <v>0</v>
      </c>
      <c r="M569" s="43">
        <f>VLOOKUP(F569,[8]Hárok1!$F$546:$S$794,8,0)</f>
        <v>0</v>
      </c>
      <c r="N569" s="43">
        <f>VLOOKUP(F569,[8]Hárok1!$F$546:$S$794,9,0)</f>
        <v>0</v>
      </c>
      <c r="O569" s="43">
        <f>VLOOKUP(F569,[8]Hárok1!$F$546:$S$794,10,0)</f>
        <v>0</v>
      </c>
      <c r="P569" s="44">
        <f>VLOOKUP(F569,[8]Hárok1!$F$546:$S$794,11,0)</f>
        <v>0</v>
      </c>
      <c r="Q569" s="42">
        <f>VLOOKUP(F569,[8]Hárok1!$F$546:$S$794,12,0)</f>
        <v>0</v>
      </c>
      <c r="R569" s="43">
        <f>VLOOKUP(F569,[8]Hárok1!$F$546:$S$794,13,0)</f>
        <v>0</v>
      </c>
      <c r="S569" s="44">
        <f>VLOOKUP(F569,[8]Hárok1!$F$546:$S$794,14,0)</f>
        <v>0</v>
      </c>
      <c r="T569" s="45">
        <f t="shared" si="48"/>
        <v>0</v>
      </c>
      <c r="U569" s="46">
        <f>VLOOKUP(F569,[8]Hárok1!$F$546:$U$794,16,0)</f>
        <v>0</v>
      </c>
      <c r="V569" s="47">
        <f t="shared" si="49"/>
        <v>0</v>
      </c>
      <c r="W569" s="47">
        <f t="shared" si="50"/>
        <v>0</v>
      </c>
      <c r="X569" s="48">
        <f t="shared" si="51"/>
        <v>0</v>
      </c>
      <c r="Y569" s="49">
        <f t="shared" si="53"/>
        <v>0</v>
      </c>
      <c r="Z569" s="50">
        <f t="shared" si="52"/>
        <v>0</v>
      </c>
    </row>
    <row r="570" spans="1:26" x14ac:dyDescent="0.25">
      <c r="A570" s="29" t="s">
        <v>1201</v>
      </c>
      <c r="B570" s="29" t="s">
        <v>43</v>
      </c>
      <c r="C570" s="29" t="s">
        <v>1202</v>
      </c>
      <c r="D570" s="30">
        <v>54131472</v>
      </c>
      <c r="E570" s="31" t="s">
        <v>1203</v>
      </c>
      <c r="F570" s="29">
        <v>42344751</v>
      </c>
      <c r="G570" s="32" t="s">
        <v>52</v>
      </c>
      <c r="H570" s="32" t="s">
        <v>1166</v>
      </c>
      <c r="I570" s="33" t="s">
        <v>1231</v>
      </c>
      <c r="J570" s="42">
        <f>VLOOKUP(F570,[8]Hárok1!$F$546:$S$794,5,0)</f>
        <v>0</v>
      </c>
      <c r="K570" s="43">
        <f>VLOOKUP(F570,[8]Hárok1!$F$546:$S$794,6,0)</f>
        <v>0</v>
      </c>
      <c r="L570" s="43">
        <f>VLOOKUP(F570,[8]Hárok1!$F$546:$S$794,7,0)</f>
        <v>0</v>
      </c>
      <c r="M570" s="43">
        <f>VLOOKUP(F570,[8]Hárok1!$F$546:$S$794,8,0)</f>
        <v>0</v>
      </c>
      <c r="N570" s="43">
        <f>VLOOKUP(F570,[8]Hárok1!$F$546:$S$794,9,0)</f>
        <v>0</v>
      </c>
      <c r="O570" s="43">
        <f>VLOOKUP(F570,[8]Hárok1!$F$546:$S$794,10,0)</f>
        <v>0</v>
      </c>
      <c r="P570" s="44">
        <f>VLOOKUP(F570,[8]Hárok1!$F$546:$S$794,11,0)</f>
        <v>0</v>
      </c>
      <c r="Q570" s="42">
        <f>VLOOKUP(F570,[8]Hárok1!$F$546:$S$794,12,0)</f>
        <v>0</v>
      </c>
      <c r="R570" s="43">
        <f>VLOOKUP(F570,[8]Hárok1!$F$546:$S$794,13,0)</f>
        <v>0</v>
      </c>
      <c r="S570" s="44">
        <f>VLOOKUP(F570,[8]Hárok1!$F$546:$S$794,14,0)</f>
        <v>0</v>
      </c>
      <c r="T570" s="45">
        <f t="shared" si="48"/>
        <v>0</v>
      </c>
      <c r="U570" s="46">
        <f>VLOOKUP(F570,[8]Hárok1!$F$546:$U$794,16,0)</f>
        <v>0</v>
      </c>
      <c r="V570" s="47">
        <f t="shared" si="49"/>
        <v>0</v>
      </c>
      <c r="W570" s="47">
        <f t="shared" si="50"/>
        <v>0</v>
      </c>
      <c r="X570" s="48">
        <f t="shared" si="51"/>
        <v>0</v>
      </c>
      <c r="Y570" s="49">
        <f t="shared" si="53"/>
        <v>0</v>
      </c>
      <c r="Z570" s="50">
        <f t="shared" si="52"/>
        <v>0</v>
      </c>
    </row>
    <row r="571" spans="1:26" x14ac:dyDescent="0.25">
      <c r="A571" s="29" t="s">
        <v>1201</v>
      </c>
      <c r="B571" s="29" t="s">
        <v>43</v>
      </c>
      <c r="C571" s="29" t="s">
        <v>1202</v>
      </c>
      <c r="D571" s="30">
        <v>54131472</v>
      </c>
      <c r="E571" s="31" t="s">
        <v>1203</v>
      </c>
      <c r="F571" s="29">
        <v>42382530</v>
      </c>
      <c r="G571" s="32" t="s">
        <v>64</v>
      </c>
      <c r="H571" s="32" t="s">
        <v>1232</v>
      </c>
      <c r="I571" s="33" t="s">
        <v>1233</v>
      </c>
      <c r="J571" s="42">
        <f>VLOOKUP(F571,[8]Hárok1!$F$546:$S$794,5,0)</f>
        <v>2</v>
      </c>
      <c r="K571" s="43">
        <f>VLOOKUP(F571,[8]Hárok1!$F$546:$S$794,6,0)</f>
        <v>0</v>
      </c>
      <c r="L571" s="43">
        <f>VLOOKUP(F571,[8]Hárok1!$F$546:$S$794,7,0)</f>
        <v>4</v>
      </c>
      <c r="M571" s="43">
        <f>VLOOKUP(F571,[8]Hárok1!$F$546:$S$794,8,0)</f>
        <v>0</v>
      </c>
      <c r="N571" s="43">
        <f>VLOOKUP(F571,[8]Hárok1!$F$546:$S$794,9,0)</f>
        <v>0</v>
      </c>
      <c r="O571" s="43">
        <f>VLOOKUP(F571,[8]Hárok1!$F$546:$S$794,10,0)</f>
        <v>3</v>
      </c>
      <c r="P571" s="44">
        <f>VLOOKUP(F571,[8]Hárok1!$F$546:$S$794,11,0)</f>
        <v>0</v>
      </c>
      <c r="Q571" s="42">
        <f>VLOOKUP(F571,[8]Hárok1!$F$546:$S$794,12,0)</f>
        <v>0</v>
      </c>
      <c r="R571" s="43">
        <f>VLOOKUP(F571,[8]Hárok1!$F$546:$S$794,13,0)</f>
        <v>6</v>
      </c>
      <c r="S571" s="44">
        <f>VLOOKUP(F571,[8]Hárok1!$F$546:$S$794,14,0)</f>
        <v>0</v>
      </c>
      <c r="T571" s="45">
        <f t="shared" si="48"/>
        <v>134</v>
      </c>
      <c r="U571" s="46">
        <f>VLOOKUP(F571,[8]Hárok1!$F$546:$U$794,16,0)</f>
        <v>33.799999999999997</v>
      </c>
      <c r="V571" s="47">
        <f t="shared" si="49"/>
        <v>0</v>
      </c>
      <c r="W571" s="47">
        <f t="shared" si="50"/>
        <v>52.5</v>
      </c>
      <c r="X571" s="48">
        <f t="shared" si="51"/>
        <v>0</v>
      </c>
      <c r="Y571" s="49">
        <f t="shared" si="53"/>
        <v>220.3</v>
      </c>
      <c r="Z571" s="50">
        <f t="shared" si="52"/>
        <v>220</v>
      </c>
    </row>
    <row r="572" spans="1:26" x14ac:dyDescent="0.25">
      <c r="A572" s="29" t="s">
        <v>1201</v>
      </c>
      <c r="B572" s="29" t="s">
        <v>43</v>
      </c>
      <c r="C572" s="29" t="s">
        <v>1202</v>
      </c>
      <c r="D572" s="30">
        <v>54131472</v>
      </c>
      <c r="E572" s="31" t="s">
        <v>1203</v>
      </c>
      <c r="F572" s="29">
        <v>42089824</v>
      </c>
      <c r="G572" s="32" t="s">
        <v>64</v>
      </c>
      <c r="H572" s="32" t="s">
        <v>1234</v>
      </c>
      <c r="I572" s="33" t="s">
        <v>1235</v>
      </c>
      <c r="J572" s="42">
        <f>VLOOKUP(F572,[8]Hárok1!$F$546:$S$794,5,0)</f>
        <v>2</v>
      </c>
      <c r="K572" s="43">
        <f>VLOOKUP(F572,[8]Hárok1!$F$546:$S$794,6,0)</f>
        <v>0</v>
      </c>
      <c r="L572" s="43">
        <f>VLOOKUP(F572,[8]Hárok1!$F$546:$S$794,7,0)</f>
        <v>5</v>
      </c>
      <c r="M572" s="43">
        <f>VLOOKUP(F572,[8]Hárok1!$F$546:$S$794,8,0)</f>
        <v>0</v>
      </c>
      <c r="N572" s="43">
        <f>VLOOKUP(F572,[8]Hárok1!$F$546:$S$794,9,0)</f>
        <v>0</v>
      </c>
      <c r="O572" s="43">
        <f>VLOOKUP(F572,[8]Hárok1!$F$546:$S$794,10,0)</f>
        <v>3</v>
      </c>
      <c r="P572" s="44">
        <f>VLOOKUP(F572,[8]Hárok1!$F$546:$S$794,11,0)</f>
        <v>0</v>
      </c>
      <c r="Q572" s="42">
        <f>VLOOKUP(F572,[8]Hárok1!$F$546:$S$794,12,0)</f>
        <v>0</v>
      </c>
      <c r="R572" s="43">
        <f>VLOOKUP(F572,[8]Hárok1!$F$546:$S$794,13,0)</f>
        <v>21</v>
      </c>
      <c r="S572" s="44">
        <f>VLOOKUP(F572,[8]Hárok1!$F$546:$S$794,14,0)</f>
        <v>0</v>
      </c>
      <c r="T572" s="45">
        <f t="shared" si="48"/>
        <v>167.5</v>
      </c>
      <c r="U572" s="46">
        <f>VLOOKUP(F572,[8]Hárok1!$F$546:$U$794,16,0)</f>
        <v>7.3</v>
      </c>
      <c r="V572" s="47">
        <f t="shared" si="49"/>
        <v>0</v>
      </c>
      <c r="W572" s="47">
        <f t="shared" si="50"/>
        <v>82.5</v>
      </c>
      <c r="X572" s="48">
        <f t="shared" si="51"/>
        <v>0</v>
      </c>
      <c r="Y572" s="49">
        <f t="shared" si="53"/>
        <v>257.3</v>
      </c>
      <c r="Z572" s="50">
        <f t="shared" si="52"/>
        <v>257</v>
      </c>
    </row>
    <row r="573" spans="1:26" x14ac:dyDescent="0.25">
      <c r="A573" s="29" t="s">
        <v>1201</v>
      </c>
      <c r="B573" s="29" t="s">
        <v>43</v>
      </c>
      <c r="C573" s="29" t="s">
        <v>1202</v>
      </c>
      <c r="D573" s="30">
        <v>54131472</v>
      </c>
      <c r="E573" s="31" t="s">
        <v>1203</v>
      </c>
      <c r="F573" s="29">
        <v>42090211</v>
      </c>
      <c r="G573" s="32" t="s">
        <v>64</v>
      </c>
      <c r="H573" s="32" t="s">
        <v>1236</v>
      </c>
      <c r="I573" s="33" t="s">
        <v>1237</v>
      </c>
      <c r="J573" s="42">
        <f>VLOOKUP(F573,[8]Hárok1!$F$546:$S$794,5,0)</f>
        <v>1</v>
      </c>
      <c r="K573" s="43">
        <f>VLOOKUP(F573,[8]Hárok1!$F$546:$S$794,6,0)</f>
        <v>0</v>
      </c>
      <c r="L573" s="43">
        <f>VLOOKUP(F573,[8]Hárok1!$F$546:$S$794,7,0)</f>
        <v>4</v>
      </c>
      <c r="M573" s="43">
        <f>VLOOKUP(F573,[8]Hárok1!$F$546:$S$794,8,0)</f>
        <v>0</v>
      </c>
      <c r="N573" s="43">
        <f>VLOOKUP(F573,[8]Hárok1!$F$546:$S$794,9,0)</f>
        <v>0</v>
      </c>
      <c r="O573" s="43">
        <f>VLOOKUP(F573,[8]Hárok1!$F$546:$S$794,10,0)</f>
        <v>5</v>
      </c>
      <c r="P573" s="44">
        <f>VLOOKUP(F573,[8]Hárok1!$F$546:$S$794,11,0)</f>
        <v>0</v>
      </c>
      <c r="Q573" s="42">
        <f>VLOOKUP(F573,[8]Hárok1!$F$546:$S$794,12,0)</f>
        <v>0</v>
      </c>
      <c r="R573" s="43">
        <f>VLOOKUP(F573,[8]Hárok1!$F$546:$S$794,13,0)</f>
        <v>15</v>
      </c>
      <c r="S573" s="44">
        <f>VLOOKUP(F573,[8]Hárok1!$F$546:$S$794,14,0)</f>
        <v>0</v>
      </c>
      <c r="T573" s="45">
        <f t="shared" si="48"/>
        <v>134</v>
      </c>
      <c r="U573" s="46">
        <f>VLOOKUP(F573,[8]Hárok1!$F$546:$U$794,16,0)</f>
        <v>76.400000000000006</v>
      </c>
      <c r="V573" s="47">
        <f t="shared" si="49"/>
        <v>0</v>
      </c>
      <c r="W573" s="47">
        <f t="shared" si="50"/>
        <v>97.5</v>
      </c>
      <c r="X573" s="48">
        <f t="shared" si="51"/>
        <v>0</v>
      </c>
      <c r="Y573" s="49">
        <f t="shared" si="53"/>
        <v>307.89999999999998</v>
      </c>
      <c r="Z573" s="50">
        <f t="shared" si="52"/>
        <v>308</v>
      </c>
    </row>
    <row r="574" spans="1:26" x14ac:dyDescent="0.25">
      <c r="A574" s="29" t="s">
        <v>1201</v>
      </c>
      <c r="B574" s="29" t="s">
        <v>43</v>
      </c>
      <c r="C574" s="29" t="s">
        <v>1202</v>
      </c>
      <c r="D574" s="30">
        <v>54131472</v>
      </c>
      <c r="E574" s="31" t="s">
        <v>1203</v>
      </c>
      <c r="F574" s="29">
        <v>42089816</v>
      </c>
      <c r="G574" s="32" t="s">
        <v>52</v>
      </c>
      <c r="H574" s="32" t="s">
        <v>1238</v>
      </c>
      <c r="I574" s="33" t="s">
        <v>1239</v>
      </c>
      <c r="J574" s="42">
        <f>VLOOKUP(F574,[8]Hárok1!$F$546:$S$794,5,0)</f>
        <v>0</v>
      </c>
      <c r="K574" s="43">
        <f>VLOOKUP(F574,[8]Hárok1!$F$546:$S$794,6,0)</f>
        <v>0</v>
      </c>
      <c r="L574" s="43">
        <f>VLOOKUP(F574,[8]Hárok1!$F$546:$S$794,7,0)</f>
        <v>0</v>
      </c>
      <c r="M574" s="43">
        <f>VLOOKUP(F574,[8]Hárok1!$F$546:$S$794,8,0)</f>
        <v>0</v>
      </c>
      <c r="N574" s="43">
        <f>VLOOKUP(F574,[8]Hárok1!$F$546:$S$794,9,0)</f>
        <v>0</v>
      </c>
      <c r="O574" s="43">
        <f>VLOOKUP(F574,[8]Hárok1!$F$546:$S$794,10,0)</f>
        <v>0</v>
      </c>
      <c r="P574" s="44">
        <f>VLOOKUP(F574,[8]Hárok1!$F$546:$S$794,11,0)</f>
        <v>0</v>
      </c>
      <c r="Q574" s="42">
        <f>VLOOKUP(F574,[8]Hárok1!$F$546:$S$794,12,0)</f>
        <v>0</v>
      </c>
      <c r="R574" s="43">
        <f>VLOOKUP(F574,[8]Hárok1!$F$546:$S$794,13,0)</f>
        <v>0</v>
      </c>
      <c r="S574" s="44">
        <f>VLOOKUP(F574,[8]Hárok1!$F$546:$S$794,14,0)</f>
        <v>0</v>
      </c>
      <c r="T574" s="45">
        <f t="shared" si="48"/>
        <v>0</v>
      </c>
      <c r="U574" s="46">
        <f>VLOOKUP(F574,[8]Hárok1!$F$546:$U$794,16,0)</f>
        <v>0</v>
      </c>
      <c r="V574" s="47">
        <f t="shared" si="49"/>
        <v>0</v>
      </c>
      <c r="W574" s="47">
        <f t="shared" si="50"/>
        <v>0</v>
      </c>
      <c r="X574" s="48">
        <f t="shared" si="51"/>
        <v>0</v>
      </c>
      <c r="Y574" s="49">
        <f t="shared" si="53"/>
        <v>0</v>
      </c>
      <c r="Z574" s="50">
        <f t="shared" si="52"/>
        <v>0</v>
      </c>
    </row>
    <row r="575" spans="1:26" x14ac:dyDescent="0.25">
      <c r="A575" s="29" t="s">
        <v>1201</v>
      </c>
      <c r="B575" s="29" t="s">
        <v>43</v>
      </c>
      <c r="C575" s="29" t="s">
        <v>1202</v>
      </c>
      <c r="D575" s="30">
        <v>54131472</v>
      </c>
      <c r="E575" s="31" t="s">
        <v>1203</v>
      </c>
      <c r="F575" s="29">
        <v>42089808</v>
      </c>
      <c r="G575" s="32" t="s">
        <v>64</v>
      </c>
      <c r="H575" s="32" t="s">
        <v>1238</v>
      </c>
      <c r="I575" s="33" t="s">
        <v>1240</v>
      </c>
      <c r="J575" s="42">
        <f>VLOOKUP(F575,[8]Hárok1!$F$546:$S$794,5,0)</f>
        <v>0</v>
      </c>
      <c r="K575" s="43">
        <f>VLOOKUP(F575,[8]Hárok1!$F$546:$S$794,6,0)</f>
        <v>0</v>
      </c>
      <c r="L575" s="43">
        <f>VLOOKUP(F575,[8]Hárok1!$F$546:$S$794,7,0)</f>
        <v>0</v>
      </c>
      <c r="M575" s="43">
        <f>VLOOKUP(F575,[8]Hárok1!$F$546:$S$794,8,0)</f>
        <v>0</v>
      </c>
      <c r="N575" s="43">
        <f>VLOOKUP(F575,[8]Hárok1!$F$546:$S$794,9,0)</f>
        <v>0</v>
      </c>
      <c r="O575" s="43">
        <f>VLOOKUP(F575,[8]Hárok1!$F$546:$S$794,10,0)</f>
        <v>0</v>
      </c>
      <c r="P575" s="44">
        <f>VLOOKUP(F575,[8]Hárok1!$F$546:$S$794,11,0)</f>
        <v>0</v>
      </c>
      <c r="Q575" s="42">
        <f>VLOOKUP(F575,[8]Hárok1!$F$546:$S$794,12,0)</f>
        <v>0</v>
      </c>
      <c r="R575" s="43">
        <f>VLOOKUP(F575,[8]Hárok1!$F$546:$S$794,13,0)</f>
        <v>0</v>
      </c>
      <c r="S575" s="44">
        <f>VLOOKUP(F575,[8]Hárok1!$F$546:$S$794,14,0)</f>
        <v>0</v>
      </c>
      <c r="T575" s="45">
        <f t="shared" si="48"/>
        <v>0</v>
      </c>
      <c r="U575" s="46">
        <f>VLOOKUP(F575,[8]Hárok1!$F$546:$U$794,16,0)</f>
        <v>0</v>
      </c>
      <c r="V575" s="47">
        <f t="shared" si="49"/>
        <v>0</v>
      </c>
      <c r="W575" s="47">
        <f t="shared" si="50"/>
        <v>0</v>
      </c>
      <c r="X575" s="48">
        <f t="shared" si="51"/>
        <v>0</v>
      </c>
      <c r="Y575" s="49">
        <f t="shared" si="53"/>
        <v>0</v>
      </c>
      <c r="Z575" s="50">
        <f t="shared" si="52"/>
        <v>0</v>
      </c>
    </row>
    <row r="576" spans="1:26" x14ac:dyDescent="0.25">
      <c r="A576" s="29" t="s">
        <v>1201</v>
      </c>
      <c r="B576" s="29" t="s">
        <v>79</v>
      </c>
      <c r="C576" s="29" t="s">
        <v>1241</v>
      </c>
      <c r="D576" s="29">
        <v>37870475</v>
      </c>
      <c r="E576" s="32" t="s">
        <v>1242</v>
      </c>
      <c r="F576" s="29">
        <v>160911</v>
      </c>
      <c r="G576" s="32" t="s">
        <v>1243</v>
      </c>
      <c r="H576" s="32" t="s">
        <v>230</v>
      </c>
      <c r="I576" s="33" t="s">
        <v>1244</v>
      </c>
      <c r="J576" s="42">
        <f>VLOOKUP(F576,[8]Hárok1!$F$546:$S$794,5,0)</f>
        <v>14</v>
      </c>
      <c r="K576" s="43">
        <f>VLOOKUP(F576,[8]Hárok1!$F$546:$S$794,6,0)</f>
        <v>0</v>
      </c>
      <c r="L576" s="43">
        <f>VLOOKUP(F576,[8]Hárok1!$F$546:$S$794,7,0)</f>
        <v>30</v>
      </c>
      <c r="M576" s="43">
        <f>VLOOKUP(F576,[8]Hárok1!$F$546:$S$794,8,0)</f>
        <v>0</v>
      </c>
      <c r="N576" s="43">
        <f>VLOOKUP(F576,[8]Hárok1!$F$546:$S$794,9,0)</f>
        <v>3</v>
      </c>
      <c r="O576" s="43">
        <f>VLOOKUP(F576,[8]Hárok1!$F$546:$S$794,10,0)</f>
        <v>19</v>
      </c>
      <c r="P576" s="44">
        <f>VLOOKUP(F576,[8]Hárok1!$F$546:$S$794,11,0)</f>
        <v>1</v>
      </c>
      <c r="Q576" s="42">
        <f>VLOOKUP(F576,[8]Hárok1!$F$546:$S$794,12,0)</f>
        <v>18</v>
      </c>
      <c r="R576" s="43">
        <f>VLOOKUP(F576,[8]Hárok1!$F$546:$S$794,13,0)</f>
        <v>235</v>
      </c>
      <c r="S576" s="44">
        <f>VLOOKUP(F576,[8]Hárok1!$F$546:$S$794,14,0)</f>
        <v>38</v>
      </c>
      <c r="T576" s="45">
        <f t="shared" si="48"/>
        <v>1005</v>
      </c>
      <c r="U576" s="46">
        <f>VLOOKUP(F576,[8]Hárok1!$F$546:$U$794,16,0)</f>
        <v>177.6</v>
      </c>
      <c r="V576" s="47">
        <f t="shared" si="49"/>
        <v>67.5</v>
      </c>
      <c r="W576" s="47">
        <f t="shared" si="50"/>
        <v>726.5</v>
      </c>
      <c r="X576" s="48">
        <f t="shared" si="51"/>
        <v>84</v>
      </c>
      <c r="Y576" s="49">
        <f t="shared" si="53"/>
        <v>2060.6</v>
      </c>
      <c r="Z576" s="50">
        <f t="shared" si="52"/>
        <v>2061</v>
      </c>
    </row>
    <row r="577" spans="1:26" x14ac:dyDescent="0.25">
      <c r="A577" s="29" t="s">
        <v>1201</v>
      </c>
      <c r="B577" s="29" t="s">
        <v>79</v>
      </c>
      <c r="C577" s="29" t="s">
        <v>1241</v>
      </c>
      <c r="D577" s="29">
        <v>37870475</v>
      </c>
      <c r="E577" s="32" t="s">
        <v>1242</v>
      </c>
      <c r="F577" s="29">
        <v>42077150</v>
      </c>
      <c r="G577" s="32" t="s">
        <v>52</v>
      </c>
      <c r="H577" s="32" t="s">
        <v>230</v>
      </c>
      <c r="I577" s="33" t="s">
        <v>1245</v>
      </c>
      <c r="J577" s="42">
        <f>VLOOKUP(F577,[8]Hárok1!$F$546:$S$794,5,0)</f>
        <v>8</v>
      </c>
      <c r="K577" s="43">
        <f>VLOOKUP(F577,[8]Hárok1!$F$546:$S$794,6,0)</f>
        <v>0</v>
      </c>
      <c r="L577" s="43">
        <f>VLOOKUP(F577,[8]Hárok1!$F$546:$S$794,7,0)</f>
        <v>26</v>
      </c>
      <c r="M577" s="43">
        <f>VLOOKUP(F577,[8]Hárok1!$F$546:$S$794,8,0)</f>
        <v>0</v>
      </c>
      <c r="N577" s="43">
        <f>VLOOKUP(F577,[8]Hárok1!$F$546:$S$794,9,0)</f>
        <v>0</v>
      </c>
      <c r="O577" s="43">
        <f>VLOOKUP(F577,[8]Hárok1!$F$546:$S$794,10,0)</f>
        <v>12</v>
      </c>
      <c r="P577" s="44">
        <f>VLOOKUP(F577,[8]Hárok1!$F$546:$S$794,11,0)</f>
        <v>1</v>
      </c>
      <c r="Q577" s="42">
        <f>VLOOKUP(F577,[8]Hárok1!$F$546:$S$794,12,0)</f>
        <v>0</v>
      </c>
      <c r="R577" s="43">
        <f>VLOOKUP(F577,[8]Hárok1!$F$546:$S$794,13,0)</f>
        <v>241</v>
      </c>
      <c r="S577" s="44">
        <f>VLOOKUP(F577,[8]Hárok1!$F$546:$S$794,14,0)</f>
        <v>27</v>
      </c>
      <c r="T577" s="45">
        <f t="shared" si="48"/>
        <v>871</v>
      </c>
      <c r="U577" s="46">
        <f>VLOOKUP(F577,[8]Hárok1!$F$546:$U$794,16,0)</f>
        <v>0</v>
      </c>
      <c r="V577" s="47">
        <f t="shared" si="49"/>
        <v>0</v>
      </c>
      <c r="W577" s="47">
        <f t="shared" si="50"/>
        <v>644</v>
      </c>
      <c r="X577" s="48">
        <f t="shared" si="51"/>
        <v>67.5</v>
      </c>
      <c r="Y577" s="49">
        <f t="shared" si="53"/>
        <v>1582.5</v>
      </c>
      <c r="Z577" s="50">
        <f t="shared" si="52"/>
        <v>1583</v>
      </c>
    </row>
    <row r="578" spans="1:26" x14ac:dyDescent="0.25">
      <c r="A578" s="29" t="s">
        <v>1201</v>
      </c>
      <c r="B578" s="29" t="s">
        <v>79</v>
      </c>
      <c r="C578" s="29" t="s">
        <v>1241</v>
      </c>
      <c r="D578" s="29">
        <v>37870475</v>
      </c>
      <c r="E578" s="32" t="s">
        <v>1242</v>
      </c>
      <c r="F578" s="29">
        <v>42035261</v>
      </c>
      <c r="G578" s="32" t="s">
        <v>1246</v>
      </c>
      <c r="H578" s="32" t="s">
        <v>230</v>
      </c>
      <c r="I578" s="33" t="s">
        <v>1247</v>
      </c>
      <c r="J578" s="42">
        <f>VLOOKUP(F578,[8]Hárok1!$F$546:$S$794,5,0)</f>
        <v>13</v>
      </c>
      <c r="K578" s="43">
        <f>VLOOKUP(F578,[8]Hárok1!$F$546:$S$794,6,0)</f>
        <v>0</v>
      </c>
      <c r="L578" s="43">
        <f>VLOOKUP(F578,[8]Hárok1!$F$546:$S$794,7,0)</f>
        <v>44</v>
      </c>
      <c r="M578" s="43">
        <f>VLOOKUP(F578,[8]Hárok1!$F$546:$S$794,8,0)</f>
        <v>0</v>
      </c>
      <c r="N578" s="43">
        <f>VLOOKUP(F578,[8]Hárok1!$F$546:$S$794,9,0)</f>
        <v>1</v>
      </c>
      <c r="O578" s="43">
        <f>VLOOKUP(F578,[8]Hárok1!$F$546:$S$794,10,0)</f>
        <v>16</v>
      </c>
      <c r="P578" s="44">
        <f>VLOOKUP(F578,[8]Hárok1!$F$546:$S$794,11,0)</f>
        <v>2</v>
      </c>
      <c r="Q578" s="42">
        <f>VLOOKUP(F578,[8]Hárok1!$F$546:$S$794,12,0)</f>
        <v>4</v>
      </c>
      <c r="R578" s="43">
        <f>VLOOKUP(F578,[8]Hárok1!$F$546:$S$794,13,0)</f>
        <v>336</v>
      </c>
      <c r="S578" s="44">
        <f>VLOOKUP(F578,[8]Hárok1!$F$546:$S$794,14,0)</f>
        <v>256</v>
      </c>
      <c r="T578" s="45">
        <f t="shared" si="48"/>
        <v>1474</v>
      </c>
      <c r="U578" s="46">
        <f>VLOOKUP(F578,[8]Hárok1!$F$546:$U$794,16,0)</f>
        <v>0</v>
      </c>
      <c r="V578" s="47">
        <f t="shared" si="49"/>
        <v>19.5</v>
      </c>
      <c r="W578" s="47">
        <f t="shared" si="50"/>
        <v>888</v>
      </c>
      <c r="X578" s="48">
        <f t="shared" si="51"/>
        <v>438</v>
      </c>
      <c r="Y578" s="49">
        <f t="shared" si="53"/>
        <v>2819.5</v>
      </c>
      <c r="Z578" s="50">
        <f t="shared" si="52"/>
        <v>2820</v>
      </c>
    </row>
    <row r="579" spans="1:26" x14ac:dyDescent="0.25">
      <c r="A579" s="51" t="s">
        <v>1201</v>
      </c>
      <c r="B579" s="51" t="s">
        <v>79</v>
      </c>
      <c r="C579" s="51" t="s">
        <v>1241</v>
      </c>
      <c r="D579" s="51">
        <v>37870475</v>
      </c>
      <c r="E579" s="32" t="s">
        <v>1242</v>
      </c>
      <c r="F579" s="51">
        <v>36155993</v>
      </c>
      <c r="G579" s="32" t="s">
        <v>1248</v>
      </c>
      <c r="H579" s="32" t="s">
        <v>230</v>
      </c>
      <c r="I579" s="33" t="s">
        <v>1249</v>
      </c>
      <c r="J579" s="42">
        <f>VLOOKUP(F579,[8]Hárok1!$F$546:$S$794,5,0)</f>
        <v>18</v>
      </c>
      <c r="K579" s="43">
        <f>VLOOKUP(F579,[8]Hárok1!$F$546:$S$794,6,0)</f>
        <v>0</v>
      </c>
      <c r="L579" s="43">
        <f>VLOOKUP(F579,[8]Hárok1!$F$546:$S$794,7,0)</f>
        <v>53</v>
      </c>
      <c r="M579" s="43">
        <f>VLOOKUP(F579,[8]Hárok1!$F$546:$S$794,8,0)</f>
        <v>0</v>
      </c>
      <c r="N579" s="43">
        <f>VLOOKUP(F579,[8]Hárok1!$F$546:$S$794,9,0)</f>
        <v>4</v>
      </c>
      <c r="O579" s="43">
        <f>VLOOKUP(F579,[8]Hárok1!$F$546:$S$794,10,0)</f>
        <v>25</v>
      </c>
      <c r="P579" s="44">
        <f>VLOOKUP(F579,[8]Hárok1!$F$546:$S$794,11,0)</f>
        <v>1</v>
      </c>
      <c r="Q579" s="42">
        <f>VLOOKUP(F579,[8]Hárok1!$F$546:$S$794,12,0)</f>
        <v>31</v>
      </c>
      <c r="R579" s="43">
        <f>VLOOKUP(F579,[8]Hárok1!$F$546:$S$794,13,0)</f>
        <v>445</v>
      </c>
      <c r="S579" s="44">
        <f>VLOOKUP(F579,[8]Hárok1!$F$546:$S$794,14,0)</f>
        <v>35</v>
      </c>
      <c r="T579" s="45">
        <f t="shared" si="48"/>
        <v>1775.5</v>
      </c>
      <c r="U579" s="46">
        <f>VLOOKUP(F579,[8]Hárok1!$F$546:$U$794,16,0)</f>
        <v>111.2</v>
      </c>
      <c r="V579" s="47">
        <f t="shared" si="49"/>
        <v>100.5</v>
      </c>
      <c r="W579" s="47">
        <f t="shared" si="50"/>
        <v>1227.5</v>
      </c>
      <c r="X579" s="48">
        <f t="shared" si="51"/>
        <v>79.5</v>
      </c>
      <c r="Y579" s="49">
        <f t="shared" si="53"/>
        <v>3294.2</v>
      </c>
      <c r="Z579" s="50">
        <f t="shared" si="52"/>
        <v>3294</v>
      </c>
    </row>
    <row r="580" spans="1:26" x14ac:dyDescent="0.25">
      <c r="A580" s="29" t="s">
        <v>1201</v>
      </c>
      <c r="B580" s="29" t="s">
        <v>79</v>
      </c>
      <c r="C580" s="29" t="s">
        <v>1241</v>
      </c>
      <c r="D580" s="29">
        <v>37870475</v>
      </c>
      <c r="E580" s="32" t="s">
        <v>1242</v>
      </c>
      <c r="F580" s="29">
        <v>161705</v>
      </c>
      <c r="G580" s="32" t="s">
        <v>451</v>
      </c>
      <c r="H580" s="32" t="s">
        <v>230</v>
      </c>
      <c r="I580" s="33" t="s">
        <v>1250</v>
      </c>
      <c r="J580" s="42">
        <f>VLOOKUP(F580,[8]Hárok1!$F$546:$S$794,5,0)</f>
        <v>17</v>
      </c>
      <c r="K580" s="43">
        <f>VLOOKUP(F580,[8]Hárok1!$F$546:$S$794,6,0)</f>
        <v>0</v>
      </c>
      <c r="L580" s="43">
        <f>VLOOKUP(F580,[8]Hárok1!$F$546:$S$794,7,0)</f>
        <v>82</v>
      </c>
      <c r="M580" s="43">
        <f>VLOOKUP(F580,[8]Hárok1!$F$546:$S$794,8,0)</f>
        <v>0</v>
      </c>
      <c r="N580" s="43">
        <f>VLOOKUP(F580,[8]Hárok1!$F$546:$S$794,9,0)</f>
        <v>0</v>
      </c>
      <c r="O580" s="43">
        <f>VLOOKUP(F580,[8]Hárok1!$F$546:$S$794,10,0)</f>
        <v>37</v>
      </c>
      <c r="P580" s="44">
        <f>VLOOKUP(F580,[8]Hárok1!$F$546:$S$794,11,0)</f>
        <v>2</v>
      </c>
      <c r="Q580" s="42">
        <f>VLOOKUP(F580,[8]Hárok1!$F$546:$S$794,12,0)</f>
        <v>0</v>
      </c>
      <c r="R580" s="43">
        <f>VLOOKUP(F580,[8]Hárok1!$F$546:$S$794,13,0)</f>
        <v>628</v>
      </c>
      <c r="S580" s="44">
        <f>VLOOKUP(F580,[8]Hárok1!$F$546:$S$794,14,0)</f>
        <v>333</v>
      </c>
      <c r="T580" s="45">
        <f t="shared" si="48"/>
        <v>2747</v>
      </c>
      <c r="U580" s="46">
        <f>VLOOKUP(F580,[8]Hárok1!$F$546:$U$794,16,0)</f>
        <v>0</v>
      </c>
      <c r="V580" s="47">
        <f t="shared" si="49"/>
        <v>0</v>
      </c>
      <c r="W580" s="47">
        <f t="shared" si="50"/>
        <v>1755.5</v>
      </c>
      <c r="X580" s="48">
        <f t="shared" si="51"/>
        <v>553.5</v>
      </c>
      <c r="Y580" s="49">
        <f t="shared" si="53"/>
        <v>5056</v>
      </c>
      <c r="Z580" s="50">
        <f t="shared" si="52"/>
        <v>5056</v>
      </c>
    </row>
    <row r="581" spans="1:26" x14ac:dyDescent="0.25">
      <c r="A581" s="29" t="s">
        <v>1201</v>
      </c>
      <c r="B581" s="29" t="s">
        <v>79</v>
      </c>
      <c r="C581" s="29" t="s">
        <v>1241</v>
      </c>
      <c r="D581" s="29">
        <v>37870475</v>
      </c>
      <c r="E581" s="32" t="s">
        <v>1242</v>
      </c>
      <c r="F581" s="29">
        <v>160954</v>
      </c>
      <c r="G581" s="32" t="s">
        <v>1251</v>
      </c>
      <c r="H581" s="32" t="s">
        <v>1151</v>
      </c>
      <c r="I581" s="33" t="s">
        <v>1252</v>
      </c>
      <c r="J581" s="42">
        <f>VLOOKUP(F581,[8]Hárok1!$F$546:$S$794,5,0)</f>
        <v>12</v>
      </c>
      <c r="K581" s="43">
        <f>VLOOKUP(F581,[8]Hárok1!$F$546:$S$794,6,0)</f>
        <v>0</v>
      </c>
      <c r="L581" s="43">
        <f>VLOOKUP(F581,[8]Hárok1!$F$546:$S$794,7,0)</f>
        <v>44</v>
      </c>
      <c r="M581" s="43">
        <f>VLOOKUP(F581,[8]Hárok1!$F$546:$S$794,8,0)</f>
        <v>0</v>
      </c>
      <c r="N581" s="43">
        <f>VLOOKUP(F581,[8]Hárok1!$F$546:$S$794,9,0)</f>
        <v>4</v>
      </c>
      <c r="O581" s="43">
        <f>VLOOKUP(F581,[8]Hárok1!$F$546:$S$794,10,0)</f>
        <v>12</v>
      </c>
      <c r="P581" s="44">
        <f>VLOOKUP(F581,[8]Hárok1!$F$546:$S$794,11,0)</f>
        <v>2</v>
      </c>
      <c r="Q581" s="42">
        <f>VLOOKUP(F581,[8]Hárok1!$F$546:$S$794,12,0)</f>
        <v>47</v>
      </c>
      <c r="R581" s="43">
        <f>VLOOKUP(F581,[8]Hárok1!$F$546:$S$794,13,0)</f>
        <v>336</v>
      </c>
      <c r="S581" s="44">
        <f>VLOOKUP(F581,[8]Hárok1!$F$546:$S$794,14,0)</f>
        <v>139</v>
      </c>
      <c r="T581" s="45">
        <f t="shared" si="48"/>
        <v>1474</v>
      </c>
      <c r="U581" s="46">
        <f>VLOOKUP(F581,[8]Hárok1!$F$546:$U$794,16,0)</f>
        <v>0</v>
      </c>
      <c r="V581" s="47">
        <f t="shared" si="49"/>
        <v>124.5</v>
      </c>
      <c r="W581" s="47">
        <f t="shared" si="50"/>
        <v>834</v>
      </c>
      <c r="X581" s="48">
        <f t="shared" si="51"/>
        <v>262.5</v>
      </c>
      <c r="Y581" s="49">
        <f t="shared" si="53"/>
        <v>2695</v>
      </c>
      <c r="Z581" s="50">
        <f t="shared" si="52"/>
        <v>2695</v>
      </c>
    </row>
    <row r="582" spans="1:26" x14ac:dyDescent="0.25">
      <c r="A582" s="29" t="s">
        <v>1201</v>
      </c>
      <c r="B582" s="29" t="s">
        <v>79</v>
      </c>
      <c r="C582" s="29" t="s">
        <v>1241</v>
      </c>
      <c r="D582" s="29">
        <v>37870475</v>
      </c>
      <c r="E582" s="32" t="s">
        <v>1242</v>
      </c>
      <c r="F582" s="29">
        <v>17078393</v>
      </c>
      <c r="G582" s="32" t="s">
        <v>121</v>
      </c>
      <c r="H582" s="32" t="s">
        <v>1151</v>
      </c>
      <c r="I582" s="33" t="s">
        <v>1253</v>
      </c>
      <c r="J582" s="42">
        <f>VLOOKUP(F582,[8]Hárok1!$F$546:$S$794,5,0)</f>
        <v>10</v>
      </c>
      <c r="K582" s="43">
        <f>VLOOKUP(F582,[8]Hárok1!$F$546:$S$794,6,0)</f>
        <v>0</v>
      </c>
      <c r="L582" s="43">
        <f>VLOOKUP(F582,[8]Hárok1!$F$546:$S$794,7,0)</f>
        <v>25</v>
      </c>
      <c r="M582" s="43">
        <f>VLOOKUP(F582,[8]Hárok1!$F$546:$S$794,8,0)</f>
        <v>0</v>
      </c>
      <c r="N582" s="43">
        <f>VLOOKUP(F582,[8]Hárok1!$F$546:$S$794,9,0)</f>
        <v>0</v>
      </c>
      <c r="O582" s="43">
        <f>VLOOKUP(F582,[8]Hárok1!$F$546:$S$794,10,0)</f>
        <v>18</v>
      </c>
      <c r="P582" s="44">
        <f>VLOOKUP(F582,[8]Hárok1!$F$546:$S$794,11,0)</f>
        <v>0</v>
      </c>
      <c r="Q582" s="42">
        <f>VLOOKUP(F582,[8]Hárok1!$F$546:$S$794,12,0)</f>
        <v>0</v>
      </c>
      <c r="R582" s="43">
        <f>VLOOKUP(F582,[8]Hárok1!$F$546:$S$794,13,0)</f>
        <v>227</v>
      </c>
      <c r="S582" s="44">
        <f>VLOOKUP(F582,[8]Hárok1!$F$546:$S$794,14,0)</f>
        <v>0</v>
      </c>
      <c r="T582" s="45">
        <f t="shared" si="48"/>
        <v>837.5</v>
      </c>
      <c r="U582" s="46">
        <f>VLOOKUP(F582,[8]Hárok1!$F$546:$U$794,16,0)</f>
        <v>211.3</v>
      </c>
      <c r="V582" s="47">
        <f t="shared" si="49"/>
        <v>0</v>
      </c>
      <c r="W582" s="47">
        <f t="shared" si="50"/>
        <v>697</v>
      </c>
      <c r="X582" s="48">
        <f t="shared" si="51"/>
        <v>0</v>
      </c>
      <c r="Y582" s="49">
        <f t="shared" si="53"/>
        <v>1745.8</v>
      </c>
      <c r="Z582" s="50">
        <f t="shared" si="52"/>
        <v>1746</v>
      </c>
    </row>
    <row r="583" spans="1:26" x14ac:dyDescent="0.25">
      <c r="A583" s="29" t="s">
        <v>1201</v>
      </c>
      <c r="B583" s="29" t="s">
        <v>79</v>
      </c>
      <c r="C583" s="29" t="s">
        <v>1241</v>
      </c>
      <c r="D583" s="29">
        <v>37870475</v>
      </c>
      <c r="E583" s="32" t="s">
        <v>1242</v>
      </c>
      <c r="F583" s="29">
        <v>162132</v>
      </c>
      <c r="G583" s="32" t="s">
        <v>100</v>
      </c>
      <c r="H583" s="32" t="s">
        <v>1151</v>
      </c>
      <c r="I583" s="33" t="s">
        <v>452</v>
      </c>
      <c r="J583" s="42">
        <f>VLOOKUP(F583,[8]Hárok1!$F$546:$S$794,5,0)</f>
        <v>11</v>
      </c>
      <c r="K583" s="43">
        <f>VLOOKUP(F583,[8]Hárok1!$F$546:$S$794,6,0)</f>
        <v>0</v>
      </c>
      <c r="L583" s="43">
        <f>VLOOKUP(F583,[8]Hárok1!$F$546:$S$794,7,0)</f>
        <v>39</v>
      </c>
      <c r="M583" s="43">
        <f>VLOOKUP(F583,[8]Hárok1!$F$546:$S$794,8,0)</f>
        <v>0</v>
      </c>
      <c r="N583" s="43">
        <f>VLOOKUP(F583,[8]Hárok1!$F$546:$S$794,9,0)</f>
        <v>1</v>
      </c>
      <c r="O583" s="43">
        <f>VLOOKUP(F583,[8]Hárok1!$F$546:$S$794,10,0)</f>
        <v>14</v>
      </c>
      <c r="P583" s="44">
        <f>VLOOKUP(F583,[8]Hárok1!$F$546:$S$794,11,0)</f>
        <v>2</v>
      </c>
      <c r="Q583" s="42">
        <f>VLOOKUP(F583,[8]Hárok1!$F$546:$S$794,12,0)</f>
        <v>52</v>
      </c>
      <c r="R583" s="43">
        <f>VLOOKUP(F583,[8]Hárok1!$F$546:$S$794,13,0)</f>
        <v>270</v>
      </c>
      <c r="S583" s="44">
        <f>VLOOKUP(F583,[8]Hárok1!$F$546:$S$794,14,0)</f>
        <v>132</v>
      </c>
      <c r="T583" s="45">
        <f t="shared" si="48"/>
        <v>1306.5</v>
      </c>
      <c r="U583" s="46">
        <f>VLOOKUP(F583,[8]Hárok1!$F$546:$U$794,16,0)</f>
        <v>0</v>
      </c>
      <c r="V583" s="47">
        <f t="shared" si="49"/>
        <v>91.5</v>
      </c>
      <c r="W583" s="47">
        <f t="shared" si="50"/>
        <v>729</v>
      </c>
      <c r="X583" s="48">
        <f t="shared" si="51"/>
        <v>252</v>
      </c>
      <c r="Y583" s="49">
        <f t="shared" si="53"/>
        <v>2379</v>
      </c>
      <c r="Z583" s="50">
        <f t="shared" si="52"/>
        <v>2379</v>
      </c>
    </row>
    <row r="584" spans="1:26" x14ac:dyDescent="0.25">
      <c r="A584" s="29" t="s">
        <v>1201</v>
      </c>
      <c r="B584" s="29" t="s">
        <v>79</v>
      </c>
      <c r="C584" s="29" t="s">
        <v>1241</v>
      </c>
      <c r="D584" s="29">
        <v>37870475</v>
      </c>
      <c r="E584" s="32" t="s">
        <v>1242</v>
      </c>
      <c r="F584" s="29">
        <v>617750</v>
      </c>
      <c r="G584" s="32" t="s">
        <v>402</v>
      </c>
      <c r="H584" s="32" t="s">
        <v>1151</v>
      </c>
      <c r="I584" s="33" t="s">
        <v>1254</v>
      </c>
      <c r="J584" s="42">
        <f>VLOOKUP(F584,[8]Hárok1!$F$546:$S$794,5,0)</f>
        <v>10</v>
      </c>
      <c r="K584" s="43">
        <f>VLOOKUP(F584,[8]Hárok1!$F$546:$S$794,6,0)</f>
        <v>0</v>
      </c>
      <c r="L584" s="43">
        <f>VLOOKUP(F584,[8]Hárok1!$F$546:$S$794,7,0)</f>
        <v>30</v>
      </c>
      <c r="M584" s="43">
        <f>VLOOKUP(F584,[8]Hárok1!$F$546:$S$794,8,0)</f>
        <v>0</v>
      </c>
      <c r="N584" s="43">
        <f>VLOOKUP(F584,[8]Hárok1!$F$546:$S$794,9,0)</f>
        <v>0</v>
      </c>
      <c r="O584" s="43">
        <f>VLOOKUP(F584,[8]Hárok1!$F$546:$S$794,10,0)</f>
        <v>18</v>
      </c>
      <c r="P584" s="44">
        <f>VLOOKUP(F584,[8]Hárok1!$F$546:$S$794,11,0)</f>
        <v>0</v>
      </c>
      <c r="Q584" s="42">
        <f>VLOOKUP(F584,[8]Hárok1!$F$546:$S$794,12,0)</f>
        <v>0</v>
      </c>
      <c r="R584" s="43">
        <f>VLOOKUP(F584,[8]Hárok1!$F$546:$S$794,13,0)</f>
        <v>280</v>
      </c>
      <c r="S584" s="44">
        <f>VLOOKUP(F584,[8]Hárok1!$F$546:$S$794,14,0)</f>
        <v>0</v>
      </c>
      <c r="T584" s="45">
        <f t="shared" ref="T584:T647" si="54">$T$1*L584</f>
        <v>1005</v>
      </c>
      <c r="U584" s="46">
        <f>VLOOKUP(F584,[8]Hárok1!$F$546:$U$794,16,0)</f>
        <v>0</v>
      </c>
      <c r="V584" s="47">
        <f t="shared" ref="V584:V647" si="55">$U$1*N584+$V$1*Q584</f>
        <v>0</v>
      </c>
      <c r="W584" s="47">
        <f t="shared" ref="W584:W647" si="56">$U$1*O584+$W$1*R584</f>
        <v>803</v>
      </c>
      <c r="X584" s="48">
        <f t="shared" ref="X584:X647" si="57">$X$1*P584+$V$1*S584</f>
        <v>0</v>
      </c>
      <c r="Y584" s="49">
        <f t="shared" si="53"/>
        <v>1808</v>
      </c>
      <c r="Z584" s="50">
        <f t="shared" ref="Z584:Z647" si="58">ROUND(Y584,0)</f>
        <v>1808</v>
      </c>
    </row>
    <row r="585" spans="1:26" x14ac:dyDescent="0.25">
      <c r="A585" s="29" t="s">
        <v>1201</v>
      </c>
      <c r="B585" s="29" t="s">
        <v>79</v>
      </c>
      <c r="C585" s="29" t="s">
        <v>1241</v>
      </c>
      <c r="D585" s="29">
        <v>37870475</v>
      </c>
      <c r="E585" s="32" t="s">
        <v>1242</v>
      </c>
      <c r="F585" s="29">
        <v>893358</v>
      </c>
      <c r="G585" s="32" t="s">
        <v>754</v>
      </c>
      <c r="H585" s="32" t="s">
        <v>1151</v>
      </c>
      <c r="I585" s="33" t="s">
        <v>1255</v>
      </c>
      <c r="J585" s="42">
        <f>VLOOKUP(F585,[8]Hárok1!$F$546:$S$794,5,0)</f>
        <v>7</v>
      </c>
      <c r="K585" s="43">
        <f>VLOOKUP(F585,[8]Hárok1!$F$546:$S$794,6,0)</f>
        <v>0</v>
      </c>
      <c r="L585" s="43">
        <f>VLOOKUP(F585,[8]Hárok1!$F$546:$S$794,7,0)</f>
        <v>21</v>
      </c>
      <c r="M585" s="43">
        <f>VLOOKUP(F585,[8]Hárok1!$F$546:$S$794,8,0)</f>
        <v>0</v>
      </c>
      <c r="N585" s="43">
        <f>VLOOKUP(F585,[8]Hárok1!$F$546:$S$794,9,0)</f>
        <v>0</v>
      </c>
      <c r="O585" s="43">
        <f>VLOOKUP(F585,[8]Hárok1!$F$546:$S$794,10,0)</f>
        <v>16</v>
      </c>
      <c r="P585" s="44">
        <f>VLOOKUP(F585,[8]Hárok1!$F$546:$S$794,11,0)</f>
        <v>0</v>
      </c>
      <c r="Q585" s="42">
        <f>VLOOKUP(F585,[8]Hárok1!$F$546:$S$794,12,0)</f>
        <v>0</v>
      </c>
      <c r="R585" s="43">
        <f>VLOOKUP(F585,[8]Hárok1!$F$546:$S$794,13,0)</f>
        <v>251</v>
      </c>
      <c r="S585" s="44">
        <f>VLOOKUP(F585,[8]Hárok1!$F$546:$S$794,14,0)</f>
        <v>0</v>
      </c>
      <c r="T585" s="45">
        <f t="shared" si="54"/>
        <v>703.5</v>
      </c>
      <c r="U585" s="46">
        <f>VLOOKUP(F585,[8]Hárok1!$F$546:$U$794,16,0)</f>
        <v>70.400000000000006</v>
      </c>
      <c r="V585" s="47">
        <f t="shared" si="55"/>
        <v>0</v>
      </c>
      <c r="W585" s="47">
        <f t="shared" si="56"/>
        <v>718</v>
      </c>
      <c r="X585" s="48">
        <f t="shared" si="57"/>
        <v>0</v>
      </c>
      <c r="Y585" s="49">
        <f t="shared" ref="Y585:Y648" si="59">T585+U585+V585+W585+X585</f>
        <v>1491.9</v>
      </c>
      <c r="Z585" s="50">
        <f t="shared" si="58"/>
        <v>1492</v>
      </c>
    </row>
    <row r="586" spans="1:26" x14ac:dyDescent="0.25">
      <c r="A586" s="29" t="s">
        <v>1201</v>
      </c>
      <c r="B586" s="29" t="s">
        <v>79</v>
      </c>
      <c r="C586" s="29" t="s">
        <v>1241</v>
      </c>
      <c r="D586" s="29">
        <v>37870475</v>
      </c>
      <c r="E586" s="32" t="s">
        <v>1242</v>
      </c>
      <c r="F586" s="29">
        <v>37942484</v>
      </c>
      <c r="G586" s="32" t="s">
        <v>154</v>
      </c>
      <c r="H586" s="32" t="s">
        <v>1151</v>
      </c>
      <c r="I586" s="33" t="s">
        <v>1256</v>
      </c>
      <c r="J586" s="42">
        <f>VLOOKUP(F586,[8]Hárok1!$F$546:$S$794,5,0)</f>
        <v>8</v>
      </c>
      <c r="K586" s="43">
        <f>VLOOKUP(F586,[8]Hárok1!$F$546:$S$794,6,0)</f>
        <v>0</v>
      </c>
      <c r="L586" s="43">
        <f>VLOOKUP(F586,[8]Hárok1!$F$546:$S$794,7,0)</f>
        <v>29</v>
      </c>
      <c r="M586" s="43">
        <f>VLOOKUP(F586,[8]Hárok1!$F$546:$S$794,8,0)</f>
        <v>0</v>
      </c>
      <c r="N586" s="43">
        <f>VLOOKUP(F586,[8]Hárok1!$F$546:$S$794,9,0)</f>
        <v>0</v>
      </c>
      <c r="O586" s="43">
        <f>VLOOKUP(F586,[8]Hárok1!$F$546:$S$794,10,0)</f>
        <v>8</v>
      </c>
      <c r="P586" s="44">
        <f>VLOOKUP(F586,[8]Hárok1!$F$546:$S$794,11,0)</f>
        <v>2</v>
      </c>
      <c r="Q586" s="42">
        <f>VLOOKUP(F586,[8]Hárok1!$F$546:$S$794,12,0)</f>
        <v>0</v>
      </c>
      <c r="R586" s="43">
        <f>VLOOKUP(F586,[8]Hárok1!$F$546:$S$794,13,0)</f>
        <v>306</v>
      </c>
      <c r="S586" s="44">
        <f>VLOOKUP(F586,[8]Hárok1!$F$546:$S$794,14,0)</f>
        <v>167</v>
      </c>
      <c r="T586" s="45">
        <f t="shared" si="54"/>
        <v>971.5</v>
      </c>
      <c r="U586" s="46">
        <f>VLOOKUP(F586,[8]Hárok1!$F$546:$U$794,16,0)</f>
        <v>0</v>
      </c>
      <c r="V586" s="47">
        <f t="shared" si="55"/>
        <v>0</v>
      </c>
      <c r="W586" s="47">
        <f t="shared" si="56"/>
        <v>720</v>
      </c>
      <c r="X586" s="48">
        <f t="shared" si="57"/>
        <v>304.5</v>
      </c>
      <c r="Y586" s="49">
        <f t="shared" si="59"/>
        <v>1996</v>
      </c>
      <c r="Z586" s="50">
        <f t="shared" si="58"/>
        <v>1996</v>
      </c>
    </row>
    <row r="587" spans="1:26" x14ac:dyDescent="0.25">
      <c r="A587" s="51" t="s">
        <v>1201</v>
      </c>
      <c r="B587" s="51" t="s">
        <v>79</v>
      </c>
      <c r="C587" s="51" t="s">
        <v>1241</v>
      </c>
      <c r="D587" s="51">
        <v>37870475</v>
      </c>
      <c r="E587" s="32" t="s">
        <v>1242</v>
      </c>
      <c r="F587" s="51">
        <v>606740</v>
      </c>
      <c r="G587" s="32" t="s">
        <v>117</v>
      </c>
      <c r="H587" s="32" t="s">
        <v>1151</v>
      </c>
      <c r="I587" s="33" t="s">
        <v>1257</v>
      </c>
      <c r="J587" s="42">
        <f>VLOOKUP(F587,[8]Hárok1!$F$546:$S$794,5,0)</f>
        <v>7</v>
      </c>
      <c r="K587" s="43">
        <f>VLOOKUP(F587,[8]Hárok1!$F$546:$S$794,6,0)</f>
        <v>0</v>
      </c>
      <c r="L587" s="43">
        <f>VLOOKUP(F587,[8]Hárok1!$F$546:$S$794,7,0)</f>
        <v>40</v>
      </c>
      <c r="M587" s="43">
        <f>VLOOKUP(F587,[8]Hárok1!$F$546:$S$794,8,0)</f>
        <v>0</v>
      </c>
      <c r="N587" s="43">
        <f>VLOOKUP(F587,[8]Hárok1!$F$546:$S$794,9,0)</f>
        <v>4</v>
      </c>
      <c r="O587" s="43">
        <f>VLOOKUP(F587,[8]Hárok1!$F$546:$S$794,10,0)</f>
        <v>7</v>
      </c>
      <c r="P587" s="44">
        <f>VLOOKUP(F587,[8]Hárok1!$F$546:$S$794,11,0)</f>
        <v>3</v>
      </c>
      <c r="Q587" s="42">
        <f>VLOOKUP(F587,[8]Hárok1!$F$546:$S$794,12,0)</f>
        <v>135</v>
      </c>
      <c r="R587" s="43">
        <f>VLOOKUP(F587,[8]Hárok1!$F$546:$S$794,13,0)</f>
        <v>306</v>
      </c>
      <c r="S587" s="44">
        <f>VLOOKUP(F587,[8]Hárok1!$F$546:$S$794,14,0)</f>
        <v>324</v>
      </c>
      <c r="T587" s="45">
        <f t="shared" si="54"/>
        <v>1340</v>
      </c>
      <c r="U587" s="46">
        <f>VLOOKUP(F587,[8]Hárok1!$F$546:$U$794,16,0)</f>
        <v>882</v>
      </c>
      <c r="V587" s="47">
        <f t="shared" si="55"/>
        <v>256.5</v>
      </c>
      <c r="W587" s="47">
        <f t="shared" si="56"/>
        <v>706.5</v>
      </c>
      <c r="X587" s="48">
        <f t="shared" si="57"/>
        <v>567</v>
      </c>
      <c r="Y587" s="49">
        <f t="shared" si="59"/>
        <v>3752</v>
      </c>
      <c r="Z587" s="50">
        <f t="shared" si="58"/>
        <v>3752</v>
      </c>
    </row>
    <row r="588" spans="1:26" x14ac:dyDescent="0.25">
      <c r="A588" s="29" t="s">
        <v>1201</v>
      </c>
      <c r="B588" s="29" t="s">
        <v>79</v>
      </c>
      <c r="C588" s="29" t="s">
        <v>1241</v>
      </c>
      <c r="D588" s="29">
        <v>37870475</v>
      </c>
      <c r="E588" s="32" t="s">
        <v>1242</v>
      </c>
      <c r="F588" s="29">
        <v>160962</v>
      </c>
      <c r="G588" s="32" t="s">
        <v>862</v>
      </c>
      <c r="H588" s="32" t="s">
        <v>1206</v>
      </c>
      <c r="I588" s="33" t="s">
        <v>1258</v>
      </c>
      <c r="J588" s="42">
        <f>VLOOKUP(F588,[8]Hárok1!$F$546:$S$794,5,0)</f>
        <v>2</v>
      </c>
      <c r="K588" s="43">
        <f>VLOOKUP(F588,[8]Hárok1!$F$546:$S$794,6,0)</f>
        <v>0</v>
      </c>
      <c r="L588" s="43">
        <f>VLOOKUP(F588,[8]Hárok1!$F$546:$S$794,7,0)</f>
        <v>8</v>
      </c>
      <c r="M588" s="43">
        <f>VLOOKUP(F588,[8]Hárok1!$F$546:$S$794,8,0)</f>
        <v>0</v>
      </c>
      <c r="N588" s="43">
        <f>VLOOKUP(F588,[8]Hárok1!$F$546:$S$794,9,0)</f>
        <v>0</v>
      </c>
      <c r="O588" s="43">
        <f>VLOOKUP(F588,[8]Hárok1!$F$546:$S$794,10,0)</f>
        <v>2</v>
      </c>
      <c r="P588" s="44">
        <f>VLOOKUP(F588,[8]Hárok1!$F$546:$S$794,11,0)</f>
        <v>1</v>
      </c>
      <c r="Q588" s="42">
        <f>VLOOKUP(F588,[8]Hárok1!$F$546:$S$794,12,0)</f>
        <v>0</v>
      </c>
      <c r="R588" s="43">
        <f>VLOOKUP(F588,[8]Hárok1!$F$546:$S$794,13,0)</f>
        <v>28</v>
      </c>
      <c r="S588" s="44">
        <f>VLOOKUP(F588,[8]Hárok1!$F$546:$S$794,14,0)</f>
        <v>14</v>
      </c>
      <c r="T588" s="45">
        <f t="shared" si="54"/>
        <v>268</v>
      </c>
      <c r="U588" s="46">
        <f>VLOOKUP(F588,[8]Hárok1!$F$546:$U$794,16,0)</f>
        <v>0</v>
      </c>
      <c r="V588" s="47">
        <f t="shared" si="55"/>
        <v>0</v>
      </c>
      <c r="W588" s="47">
        <f t="shared" si="56"/>
        <v>83</v>
      </c>
      <c r="X588" s="48">
        <f t="shared" si="57"/>
        <v>48</v>
      </c>
      <c r="Y588" s="49">
        <f t="shared" si="59"/>
        <v>399</v>
      </c>
      <c r="Z588" s="50">
        <f t="shared" si="58"/>
        <v>399</v>
      </c>
    </row>
    <row r="589" spans="1:26" x14ac:dyDescent="0.25">
      <c r="A589" s="29" t="s">
        <v>1201</v>
      </c>
      <c r="B589" s="29" t="s">
        <v>79</v>
      </c>
      <c r="C589" s="29" t="s">
        <v>1241</v>
      </c>
      <c r="D589" s="29">
        <v>37870475</v>
      </c>
      <c r="E589" s="32" t="s">
        <v>1242</v>
      </c>
      <c r="F589" s="29">
        <v>162175</v>
      </c>
      <c r="G589" s="32" t="s">
        <v>1259</v>
      </c>
      <c r="H589" s="32" t="s">
        <v>1206</v>
      </c>
      <c r="I589" s="33" t="s">
        <v>1260</v>
      </c>
      <c r="J589" s="42">
        <f>VLOOKUP(F589,[8]Hárok1!$F$546:$S$794,5,0)</f>
        <v>8</v>
      </c>
      <c r="K589" s="43">
        <f>VLOOKUP(F589,[8]Hárok1!$F$546:$S$794,6,0)</f>
        <v>2</v>
      </c>
      <c r="L589" s="43">
        <f>VLOOKUP(F589,[8]Hárok1!$F$546:$S$794,7,0)</f>
        <v>26</v>
      </c>
      <c r="M589" s="43">
        <f>VLOOKUP(F589,[8]Hárok1!$F$546:$S$794,8,0)</f>
        <v>5</v>
      </c>
      <c r="N589" s="43">
        <f>VLOOKUP(F589,[8]Hárok1!$F$546:$S$794,9,0)</f>
        <v>4</v>
      </c>
      <c r="O589" s="43">
        <f>VLOOKUP(F589,[8]Hárok1!$F$546:$S$794,10,0)</f>
        <v>11</v>
      </c>
      <c r="P589" s="44">
        <f>VLOOKUP(F589,[8]Hárok1!$F$546:$S$794,11,0)</f>
        <v>0</v>
      </c>
      <c r="Q589" s="42">
        <f>VLOOKUP(F589,[8]Hárok1!$F$546:$S$794,12,0)</f>
        <v>89</v>
      </c>
      <c r="R589" s="43">
        <f>VLOOKUP(F589,[8]Hárok1!$F$546:$S$794,13,0)</f>
        <v>197</v>
      </c>
      <c r="S589" s="44">
        <f>VLOOKUP(F589,[8]Hárok1!$F$546:$S$794,14,0)</f>
        <v>0</v>
      </c>
      <c r="T589" s="45">
        <f t="shared" si="54"/>
        <v>871</v>
      </c>
      <c r="U589" s="46">
        <f>VLOOKUP(F589,[8]Hárok1!$F$546:$U$794,16,0)</f>
        <v>797.1</v>
      </c>
      <c r="V589" s="47">
        <f t="shared" si="55"/>
        <v>187.5</v>
      </c>
      <c r="W589" s="47">
        <f t="shared" si="56"/>
        <v>542.5</v>
      </c>
      <c r="X589" s="48">
        <f t="shared" si="57"/>
        <v>0</v>
      </c>
      <c r="Y589" s="49">
        <f t="shared" si="59"/>
        <v>2398.1</v>
      </c>
      <c r="Z589" s="50">
        <f t="shared" si="58"/>
        <v>2398</v>
      </c>
    </row>
    <row r="590" spans="1:26" x14ac:dyDescent="0.25">
      <c r="A590" s="29" t="s">
        <v>1201</v>
      </c>
      <c r="B590" s="29" t="s">
        <v>79</v>
      </c>
      <c r="C590" s="29" t="s">
        <v>1241</v>
      </c>
      <c r="D590" s="29">
        <v>37870475</v>
      </c>
      <c r="E590" s="32" t="s">
        <v>1242</v>
      </c>
      <c r="F590" s="29">
        <v>37880012</v>
      </c>
      <c r="G590" s="32" t="s">
        <v>575</v>
      </c>
      <c r="H590" s="32" t="s">
        <v>1206</v>
      </c>
      <c r="I590" s="33" t="s">
        <v>1261</v>
      </c>
      <c r="J590" s="42">
        <f>VLOOKUP(F590,[8]Hárok1!$F$546:$S$794,5,0)</f>
        <v>18</v>
      </c>
      <c r="K590" s="43">
        <f>VLOOKUP(F590,[8]Hárok1!$F$546:$S$794,6,0)</f>
        <v>0</v>
      </c>
      <c r="L590" s="43">
        <f>VLOOKUP(F590,[8]Hárok1!$F$546:$S$794,7,0)</f>
        <v>75</v>
      </c>
      <c r="M590" s="43">
        <f>VLOOKUP(F590,[8]Hárok1!$F$546:$S$794,8,0)</f>
        <v>0</v>
      </c>
      <c r="N590" s="43">
        <f>VLOOKUP(F590,[8]Hárok1!$F$546:$S$794,9,0)</f>
        <v>0</v>
      </c>
      <c r="O590" s="43">
        <f>VLOOKUP(F590,[8]Hárok1!$F$546:$S$794,10,0)</f>
        <v>31</v>
      </c>
      <c r="P590" s="44">
        <f>VLOOKUP(F590,[8]Hárok1!$F$546:$S$794,11,0)</f>
        <v>7</v>
      </c>
      <c r="Q590" s="42">
        <f>VLOOKUP(F590,[8]Hárok1!$F$546:$S$794,12,0)</f>
        <v>0</v>
      </c>
      <c r="R590" s="43">
        <f>VLOOKUP(F590,[8]Hárok1!$F$546:$S$794,13,0)</f>
        <v>489</v>
      </c>
      <c r="S590" s="44">
        <f>VLOOKUP(F590,[8]Hárok1!$F$546:$S$794,14,0)</f>
        <v>116</v>
      </c>
      <c r="T590" s="45">
        <f t="shared" si="54"/>
        <v>2512.5</v>
      </c>
      <c r="U590" s="46">
        <f>VLOOKUP(F590,[8]Hárok1!$F$546:$U$794,16,0)</f>
        <v>575</v>
      </c>
      <c r="V590" s="47">
        <f t="shared" si="55"/>
        <v>0</v>
      </c>
      <c r="W590" s="47">
        <f t="shared" si="56"/>
        <v>1396.5</v>
      </c>
      <c r="X590" s="48">
        <f t="shared" si="57"/>
        <v>363</v>
      </c>
      <c r="Y590" s="49">
        <f t="shared" si="59"/>
        <v>4847</v>
      </c>
      <c r="Z590" s="50">
        <f t="shared" si="58"/>
        <v>4847</v>
      </c>
    </row>
    <row r="591" spans="1:26" x14ac:dyDescent="0.25">
      <c r="A591" s="29" t="s">
        <v>1201</v>
      </c>
      <c r="B591" s="29" t="s">
        <v>79</v>
      </c>
      <c r="C591" s="29" t="s">
        <v>1241</v>
      </c>
      <c r="D591" s="29">
        <v>37870475</v>
      </c>
      <c r="E591" s="32" t="s">
        <v>1242</v>
      </c>
      <c r="F591" s="29">
        <v>159468</v>
      </c>
      <c r="G591" s="32" t="s">
        <v>1262</v>
      </c>
      <c r="H591" s="32" t="s">
        <v>1206</v>
      </c>
      <c r="I591" s="33" t="s">
        <v>1263</v>
      </c>
      <c r="J591" s="42">
        <f>VLOOKUP(F591,[8]Hárok1!$F$546:$S$794,5,0)</f>
        <v>9</v>
      </c>
      <c r="K591" s="43">
        <f>VLOOKUP(F591,[8]Hárok1!$F$546:$S$794,6,0)</f>
        <v>0</v>
      </c>
      <c r="L591" s="43">
        <f>VLOOKUP(F591,[8]Hárok1!$F$546:$S$794,7,0)</f>
        <v>33</v>
      </c>
      <c r="M591" s="43">
        <f>VLOOKUP(F591,[8]Hárok1!$F$546:$S$794,8,0)</f>
        <v>0</v>
      </c>
      <c r="N591" s="43">
        <f>VLOOKUP(F591,[8]Hárok1!$F$546:$S$794,9,0)</f>
        <v>0</v>
      </c>
      <c r="O591" s="43">
        <f>VLOOKUP(F591,[8]Hárok1!$F$546:$S$794,10,0)</f>
        <v>19</v>
      </c>
      <c r="P591" s="44">
        <f>VLOOKUP(F591,[8]Hárok1!$F$546:$S$794,11,0)</f>
        <v>1</v>
      </c>
      <c r="Q591" s="42">
        <f>VLOOKUP(F591,[8]Hárok1!$F$546:$S$794,12,0)</f>
        <v>0</v>
      </c>
      <c r="R591" s="43">
        <f>VLOOKUP(F591,[8]Hárok1!$F$546:$S$794,13,0)</f>
        <v>268</v>
      </c>
      <c r="S591" s="44">
        <f>VLOOKUP(F591,[8]Hárok1!$F$546:$S$794,14,0)</f>
        <v>32</v>
      </c>
      <c r="T591" s="45">
        <f t="shared" si="54"/>
        <v>1105.5</v>
      </c>
      <c r="U591" s="46">
        <f>VLOOKUP(F591,[8]Hárok1!$F$546:$U$794,16,0)</f>
        <v>0</v>
      </c>
      <c r="V591" s="47">
        <f t="shared" si="55"/>
        <v>0</v>
      </c>
      <c r="W591" s="47">
        <f t="shared" si="56"/>
        <v>792.5</v>
      </c>
      <c r="X591" s="48">
        <f t="shared" si="57"/>
        <v>75</v>
      </c>
      <c r="Y591" s="49">
        <f t="shared" si="59"/>
        <v>1973</v>
      </c>
      <c r="Z591" s="50">
        <f t="shared" si="58"/>
        <v>1973</v>
      </c>
    </row>
    <row r="592" spans="1:26" x14ac:dyDescent="0.25">
      <c r="A592" s="29" t="s">
        <v>1201</v>
      </c>
      <c r="B592" s="29" t="s">
        <v>79</v>
      </c>
      <c r="C592" s="29" t="s">
        <v>1241</v>
      </c>
      <c r="D592" s="29">
        <v>37870475</v>
      </c>
      <c r="E592" s="32" t="s">
        <v>1242</v>
      </c>
      <c r="F592" s="29">
        <v>36155667</v>
      </c>
      <c r="G592" s="32" t="s">
        <v>119</v>
      </c>
      <c r="H592" s="32" t="s">
        <v>1206</v>
      </c>
      <c r="I592" s="33" t="s">
        <v>1264</v>
      </c>
      <c r="J592" s="42">
        <f>VLOOKUP(F592,[8]Hárok1!$F$546:$S$794,5,0)</f>
        <v>7</v>
      </c>
      <c r="K592" s="43">
        <f>VLOOKUP(F592,[8]Hárok1!$F$546:$S$794,6,0)</f>
        <v>0</v>
      </c>
      <c r="L592" s="43">
        <f>VLOOKUP(F592,[8]Hárok1!$F$546:$S$794,7,0)</f>
        <v>18</v>
      </c>
      <c r="M592" s="43">
        <f>VLOOKUP(F592,[8]Hárok1!$F$546:$S$794,8,0)</f>
        <v>0</v>
      </c>
      <c r="N592" s="43">
        <f>VLOOKUP(F592,[8]Hárok1!$F$546:$S$794,9,0)</f>
        <v>0</v>
      </c>
      <c r="O592" s="43">
        <f>VLOOKUP(F592,[8]Hárok1!$F$546:$S$794,10,0)</f>
        <v>11</v>
      </c>
      <c r="P592" s="44">
        <f>VLOOKUP(F592,[8]Hárok1!$F$546:$S$794,11,0)</f>
        <v>0</v>
      </c>
      <c r="Q592" s="42">
        <f>VLOOKUP(F592,[8]Hárok1!$F$546:$S$794,12,0)</f>
        <v>0</v>
      </c>
      <c r="R592" s="43">
        <f>VLOOKUP(F592,[8]Hárok1!$F$546:$S$794,13,0)</f>
        <v>171</v>
      </c>
      <c r="S592" s="44">
        <f>VLOOKUP(F592,[8]Hárok1!$F$546:$S$794,14,0)</f>
        <v>0</v>
      </c>
      <c r="T592" s="45">
        <f t="shared" si="54"/>
        <v>603</v>
      </c>
      <c r="U592" s="46">
        <f>VLOOKUP(F592,[8]Hárok1!$F$546:$U$794,16,0)</f>
        <v>0</v>
      </c>
      <c r="V592" s="47">
        <f t="shared" si="55"/>
        <v>0</v>
      </c>
      <c r="W592" s="47">
        <f t="shared" si="56"/>
        <v>490.5</v>
      </c>
      <c r="X592" s="48">
        <f t="shared" si="57"/>
        <v>0</v>
      </c>
      <c r="Y592" s="49">
        <f t="shared" si="59"/>
        <v>1093.5</v>
      </c>
      <c r="Z592" s="50">
        <f t="shared" si="58"/>
        <v>1094</v>
      </c>
    </row>
    <row r="593" spans="1:26" x14ac:dyDescent="0.25">
      <c r="A593" s="29" t="s">
        <v>1201</v>
      </c>
      <c r="B593" s="29" t="s">
        <v>79</v>
      </c>
      <c r="C593" s="29" t="s">
        <v>1241</v>
      </c>
      <c r="D593" s="29">
        <v>37870475</v>
      </c>
      <c r="E593" s="32" t="s">
        <v>1242</v>
      </c>
      <c r="F593" s="29">
        <v>161039</v>
      </c>
      <c r="G593" s="32" t="s">
        <v>1265</v>
      </c>
      <c r="H593" s="32" t="s">
        <v>1210</v>
      </c>
      <c r="I593" s="33" t="s">
        <v>1266</v>
      </c>
      <c r="J593" s="42">
        <f>VLOOKUP(F593,[8]Hárok1!$F$546:$S$794,5,0)</f>
        <v>7</v>
      </c>
      <c r="K593" s="43">
        <f>VLOOKUP(F593,[8]Hárok1!$F$546:$S$794,6,0)</f>
        <v>0</v>
      </c>
      <c r="L593" s="43">
        <f>VLOOKUP(F593,[8]Hárok1!$F$546:$S$794,7,0)</f>
        <v>21</v>
      </c>
      <c r="M593" s="43">
        <f>VLOOKUP(F593,[8]Hárok1!$F$546:$S$794,8,0)</f>
        <v>0</v>
      </c>
      <c r="N593" s="43">
        <f>VLOOKUP(F593,[8]Hárok1!$F$546:$S$794,9,0)</f>
        <v>1</v>
      </c>
      <c r="O593" s="43">
        <f>VLOOKUP(F593,[8]Hárok1!$F$546:$S$794,10,0)</f>
        <v>7</v>
      </c>
      <c r="P593" s="44">
        <f>VLOOKUP(F593,[8]Hárok1!$F$546:$S$794,11,0)</f>
        <v>0</v>
      </c>
      <c r="Q593" s="42">
        <f>VLOOKUP(F593,[8]Hárok1!$F$546:$S$794,12,0)</f>
        <v>14</v>
      </c>
      <c r="R593" s="43">
        <f>VLOOKUP(F593,[8]Hárok1!$F$546:$S$794,13,0)</f>
        <v>226</v>
      </c>
      <c r="S593" s="44">
        <f>VLOOKUP(F593,[8]Hárok1!$F$546:$S$794,14,0)</f>
        <v>0</v>
      </c>
      <c r="T593" s="45">
        <f t="shared" si="54"/>
        <v>703.5</v>
      </c>
      <c r="U593" s="46">
        <f>VLOOKUP(F593,[8]Hárok1!$F$546:$U$794,16,0)</f>
        <v>0</v>
      </c>
      <c r="V593" s="47">
        <f t="shared" si="55"/>
        <v>34.5</v>
      </c>
      <c r="W593" s="47">
        <f t="shared" si="56"/>
        <v>546.5</v>
      </c>
      <c r="X593" s="48">
        <f t="shared" si="57"/>
        <v>0</v>
      </c>
      <c r="Y593" s="49">
        <f t="shared" si="59"/>
        <v>1284.5</v>
      </c>
      <c r="Z593" s="50">
        <f t="shared" si="58"/>
        <v>1285</v>
      </c>
    </row>
    <row r="594" spans="1:26" x14ac:dyDescent="0.25">
      <c r="A594" s="29" t="s">
        <v>1201</v>
      </c>
      <c r="B594" s="29" t="s">
        <v>79</v>
      </c>
      <c r="C594" s="29" t="s">
        <v>1241</v>
      </c>
      <c r="D594" s="29">
        <v>37870475</v>
      </c>
      <c r="E594" s="32" t="s">
        <v>1242</v>
      </c>
      <c r="F594" s="29">
        <v>162833</v>
      </c>
      <c r="G594" s="32" t="s">
        <v>141</v>
      </c>
      <c r="H594" s="32" t="s">
        <v>1210</v>
      </c>
      <c r="I594" s="33" t="s">
        <v>1267</v>
      </c>
      <c r="J594" s="42">
        <f>VLOOKUP(F594,[8]Hárok1!$F$546:$S$794,5,0)</f>
        <v>11</v>
      </c>
      <c r="K594" s="43">
        <f>VLOOKUP(F594,[8]Hárok1!$F$546:$S$794,6,0)</f>
        <v>1</v>
      </c>
      <c r="L594" s="43">
        <f>VLOOKUP(F594,[8]Hárok1!$F$546:$S$794,7,0)</f>
        <v>23</v>
      </c>
      <c r="M594" s="43">
        <f>VLOOKUP(F594,[8]Hárok1!$F$546:$S$794,8,0)</f>
        <v>4</v>
      </c>
      <c r="N594" s="43">
        <f>VLOOKUP(F594,[8]Hárok1!$F$546:$S$794,9,0)</f>
        <v>3</v>
      </c>
      <c r="O594" s="43">
        <f>VLOOKUP(F594,[8]Hárok1!$F$546:$S$794,10,0)</f>
        <v>13</v>
      </c>
      <c r="P594" s="44">
        <f>VLOOKUP(F594,[8]Hárok1!$F$546:$S$794,11,0)</f>
        <v>2</v>
      </c>
      <c r="Q594" s="42">
        <f>VLOOKUP(F594,[8]Hárok1!$F$546:$S$794,12,0)</f>
        <v>18</v>
      </c>
      <c r="R594" s="43">
        <f>VLOOKUP(F594,[8]Hárok1!$F$546:$S$794,13,0)</f>
        <v>171</v>
      </c>
      <c r="S594" s="44">
        <f>VLOOKUP(F594,[8]Hárok1!$F$546:$S$794,14,0)</f>
        <v>31</v>
      </c>
      <c r="T594" s="45">
        <f t="shared" si="54"/>
        <v>770.5</v>
      </c>
      <c r="U594" s="46">
        <f>VLOOKUP(F594,[8]Hárok1!$F$546:$U$794,16,0)</f>
        <v>0</v>
      </c>
      <c r="V594" s="47">
        <f t="shared" si="55"/>
        <v>67.5</v>
      </c>
      <c r="W594" s="47">
        <f t="shared" si="56"/>
        <v>517.5</v>
      </c>
      <c r="X594" s="48">
        <f t="shared" si="57"/>
        <v>100.5</v>
      </c>
      <c r="Y594" s="49">
        <f t="shared" si="59"/>
        <v>1456</v>
      </c>
      <c r="Z594" s="50">
        <f t="shared" si="58"/>
        <v>1456</v>
      </c>
    </row>
    <row r="595" spans="1:26" x14ac:dyDescent="0.25">
      <c r="A595" s="29" t="s">
        <v>1201</v>
      </c>
      <c r="B595" s="29" t="s">
        <v>79</v>
      </c>
      <c r="C595" s="29" t="s">
        <v>1241</v>
      </c>
      <c r="D595" s="29">
        <v>37870475</v>
      </c>
      <c r="E595" s="32" t="s">
        <v>1242</v>
      </c>
      <c r="F595" s="29">
        <v>159514</v>
      </c>
      <c r="G595" s="32" t="s">
        <v>1268</v>
      </c>
      <c r="H595" s="32" t="s">
        <v>1210</v>
      </c>
      <c r="I595" s="33" t="s">
        <v>1269</v>
      </c>
      <c r="J595" s="42">
        <f>VLOOKUP(F595,[8]Hárok1!$F$546:$S$794,5,0)</f>
        <v>5</v>
      </c>
      <c r="K595" s="43">
        <f>VLOOKUP(F595,[8]Hárok1!$F$546:$S$794,6,0)</f>
        <v>0</v>
      </c>
      <c r="L595" s="43">
        <f>VLOOKUP(F595,[8]Hárok1!$F$546:$S$794,7,0)</f>
        <v>16</v>
      </c>
      <c r="M595" s="43">
        <f>VLOOKUP(F595,[8]Hárok1!$F$546:$S$794,8,0)</f>
        <v>0</v>
      </c>
      <c r="N595" s="43">
        <f>VLOOKUP(F595,[8]Hárok1!$F$546:$S$794,9,0)</f>
        <v>0</v>
      </c>
      <c r="O595" s="43">
        <f>VLOOKUP(F595,[8]Hárok1!$F$546:$S$794,10,0)</f>
        <v>11</v>
      </c>
      <c r="P595" s="44">
        <f>VLOOKUP(F595,[8]Hárok1!$F$546:$S$794,11,0)</f>
        <v>1</v>
      </c>
      <c r="Q595" s="42">
        <f>VLOOKUP(F595,[8]Hárok1!$F$546:$S$794,12,0)</f>
        <v>0</v>
      </c>
      <c r="R595" s="43">
        <f>VLOOKUP(F595,[8]Hárok1!$F$546:$S$794,13,0)</f>
        <v>128</v>
      </c>
      <c r="S595" s="44">
        <f>VLOOKUP(F595,[8]Hárok1!$F$546:$S$794,14,0)</f>
        <v>8</v>
      </c>
      <c r="T595" s="45">
        <f t="shared" si="54"/>
        <v>536</v>
      </c>
      <c r="U595" s="46">
        <f>VLOOKUP(F595,[8]Hárok1!$F$546:$U$794,16,0)</f>
        <v>41.1</v>
      </c>
      <c r="V595" s="47">
        <f t="shared" si="55"/>
        <v>0</v>
      </c>
      <c r="W595" s="47">
        <f t="shared" si="56"/>
        <v>404.5</v>
      </c>
      <c r="X595" s="48">
        <f t="shared" si="57"/>
        <v>39</v>
      </c>
      <c r="Y595" s="49">
        <f t="shared" si="59"/>
        <v>1020.6</v>
      </c>
      <c r="Z595" s="50">
        <f t="shared" si="58"/>
        <v>1021</v>
      </c>
    </row>
    <row r="596" spans="1:26" x14ac:dyDescent="0.25">
      <c r="A596" s="29" t="s">
        <v>1201</v>
      </c>
      <c r="B596" s="29" t="s">
        <v>79</v>
      </c>
      <c r="C596" s="29" t="s">
        <v>1241</v>
      </c>
      <c r="D596" s="29">
        <v>37870475</v>
      </c>
      <c r="E596" s="32" t="s">
        <v>1242</v>
      </c>
      <c r="F596" s="29">
        <v>54018404</v>
      </c>
      <c r="G596" s="32" t="s">
        <v>52</v>
      </c>
      <c r="H596" s="32" t="s">
        <v>1214</v>
      </c>
      <c r="I596" s="33" t="s">
        <v>1270</v>
      </c>
      <c r="J596" s="42">
        <f>VLOOKUP(F596,[8]Hárok1!$F$546:$S$794,5,0)</f>
        <v>7</v>
      </c>
      <c r="K596" s="43">
        <f>VLOOKUP(F596,[8]Hárok1!$F$546:$S$794,6,0)</f>
        <v>3</v>
      </c>
      <c r="L596" s="43">
        <f>VLOOKUP(F596,[8]Hárok1!$F$546:$S$794,7,0)</f>
        <v>24</v>
      </c>
      <c r="M596" s="43">
        <f>VLOOKUP(F596,[8]Hárok1!$F$546:$S$794,8,0)</f>
        <v>4</v>
      </c>
      <c r="N596" s="43">
        <f>VLOOKUP(F596,[8]Hárok1!$F$546:$S$794,9,0)</f>
        <v>5</v>
      </c>
      <c r="O596" s="43">
        <f>VLOOKUP(F596,[8]Hárok1!$F$546:$S$794,10,0)</f>
        <v>11</v>
      </c>
      <c r="P596" s="44">
        <f>VLOOKUP(F596,[8]Hárok1!$F$546:$S$794,11,0)</f>
        <v>0</v>
      </c>
      <c r="Q596" s="42">
        <f>VLOOKUP(F596,[8]Hárok1!$F$546:$S$794,12,0)</f>
        <v>44</v>
      </c>
      <c r="R596" s="43">
        <f>VLOOKUP(F596,[8]Hárok1!$F$546:$S$794,13,0)</f>
        <v>319</v>
      </c>
      <c r="S596" s="44">
        <f>VLOOKUP(F596,[8]Hárok1!$F$546:$S$794,14,0)</f>
        <v>0</v>
      </c>
      <c r="T596" s="45">
        <f t="shared" si="54"/>
        <v>804</v>
      </c>
      <c r="U596" s="46">
        <f>VLOOKUP(F596,[8]Hárok1!$F$546:$U$794,16,0)</f>
        <v>131.69999999999999</v>
      </c>
      <c r="V596" s="47">
        <f t="shared" si="55"/>
        <v>133.5</v>
      </c>
      <c r="W596" s="47">
        <f t="shared" si="56"/>
        <v>786.5</v>
      </c>
      <c r="X596" s="48">
        <f t="shared" si="57"/>
        <v>0</v>
      </c>
      <c r="Y596" s="49">
        <f t="shared" si="59"/>
        <v>1855.7</v>
      </c>
      <c r="Z596" s="50">
        <f t="shared" si="58"/>
        <v>1856</v>
      </c>
    </row>
    <row r="597" spans="1:26" x14ac:dyDescent="0.25">
      <c r="A597" s="29" t="s">
        <v>1201</v>
      </c>
      <c r="B597" s="29" t="s">
        <v>79</v>
      </c>
      <c r="C597" s="29" t="s">
        <v>1241</v>
      </c>
      <c r="D597" s="29">
        <v>37870475</v>
      </c>
      <c r="E597" s="32" t="s">
        <v>1242</v>
      </c>
      <c r="F597" s="29">
        <v>161098</v>
      </c>
      <c r="G597" s="32" t="s">
        <v>49</v>
      </c>
      <c r="H597" s="32" t="s">
        <v>351</v>
      </c>
      <c r="I597" s="33" t="s">
        <v>1271</v>
      </c>
      <c r="J597" s="42">
        <f>VLOOKUP(F597,[8]Hárok1!$F$546:$S$794,5,0)</f>
        <v>18</v>
      </c>
      <c r="K597" s="43">
        <f>VLOOKUP(F597,[8]Hárok1!$F$546:$S$794,6,0)</f>
        <v>0</v>
      </c>
      <c r="L597" s="43">
        <f>VLOOKUP(F597,[8]Hárok1!$F$546:$S$794,7,0)</f>
        <v>48</v>
      </c>
      <c r="M597" s="43">
        <f>VLOOKUP(F597,[8]Hárok1!$F$546:$S$794,8,0)</f>
        <v>0</v>
      </c>
      <c r="N597" s="43">
        <f>VLOOKUP(F597,[8]Hárok1!$F$546:$S$794,9,0)</f>
        <v>1</v>
      </c>
      <c r="O597" s="43">
        <f>VLOOKUP(F597,[8]Hárok1!$F$546:$S$794,10,0)</f>
        <v>20</v>
      </c>
      <c r="P597" s="44">
        <f>VLOOKUP(F597,[8]Hárok1!$F$546:$S$794,11,0)</f>
        <v>2</v>
      </c>
      <c r="Q597" s="42">
        <f>VLOOKUP(F597,[8]Hárok1!$F$546:$S$794,12,0)</f>
        <v>6</v>
      </c>
      <c r="R597" s="43">
        <f>VLOOKUP(F597,[8]Hárok1!$F$546:$S$794,13,0)</f>
        <v>233</v>
      </c>
      <c r="S597" s="44">
        <f>VLOOKUP(F597,[8]Hárok1!$F$546:$S$794,14,0)</f>
        <v>69</v>
      </c>
      <c r="T597" s="45">
        <f t="shared" si="54"/>
        <v>1608</v>
      </c>
      <c r="U597" s="46">
        <f>VLOOKUP(F597,[8]Hárok1!$F$546:$U$794,16,0)</f>
        <v>0</v>
      </c>
      <c r="V597" s="47">
        <f t="shared" si="55"/>
        <v>22.5</v>
      </c>
      <c r="W597" s="47">
        <f t="shared" si="56"/>
        <v>736</v>
      </c>
      <c r="X597" s="48">
        <f t="shared" si="57"/>
        <v>157.5</v>
      </c>
      <c r="Y597" s="49">
        <f t="shared" si="59"/>
        <v>2524</v>
      </c>
      <c r="Z597" s="50">
        <f t="shared" si="58"/>
        <v>2524</v>
      </c>
    </row>
    <row r="598" spans="1:26" x14ac:dyDescent="0.25">
      <c r="A598" s="29" t="s">
        <v>1201</v>
      </c>
      <c r="B598" s="29" t="s">
        <v>79</v>
      </c>
      <c r="C598" s="29" t="s">
        <v>1241</v>
      </c>
      <c r="D598" s="29">
        <v>37870475</v>
      </c>
      <c r="E598" s="32" t="s">
        <v>1242</v>
      </c>
      <c r="F598" s="29">
        <v>162167</v>
      </c>
      <c r="G598" s="32" t="s">
        <v>100</v>
      </c>
      <c r="H598" s="32" t="s">
        <v>351</v>
      </c>
      <c r="I598" s="33" t="s">
        <v>1272</v>
      </c>
      <c r="J598" s="42">
        <f>VLOOKUP(F598,[8]Hárok1!$F$546:$S$794,5,0)</f>
        <v>10</v>
      </c>
      <c r="K598" s="43">
        <f>VLOOKUP(F598,[8]Hárok1!$F$546:$S$794,6,0)</f>
        <v>0</v>
      </c>
      <c r="L598" s="43">
        <f>VLOOKUP(F598,[8]Hárok1!$F$546:$S$794,7,0)</f>
        <v>43</v>
      </c>
      <c r="M598" s="43">
        <f>VLOOKUP(F598,[8]Hárok1!$F$546:$S$794,8,0)</f>
        <v>0</v>
      </c>
      <c r="N598" s="43">
        <f>VLOOKUP(F598,[8]Hárok1!$F$546:$S$794,9,0)</f>
        <v>3</v>
      </c>
      <c r="O598" s="43">
        <f>VLOOKUP(F598,[8]Hárok1!$F$546:$S$794,10,0)</f>
        <v>13</v>
      </c>
      <c r="P598" s="44">
        <f>VLOOKUP(F598,[8]Hárok1!$F$546:$S$794,11,0)</f>
        <v>2</v>
      </c>
      <c r="Q598" s="42">
        <f>VLOOKUP(F598,[8]Hárok1!$F$546:$S$794,12,0)</f>
        <v>18</v>
      </c>
      <c r="R598" s="43">
        <f>VLOOKUP(F598,[8]Hárok1!$F$546:$S$794,13,0)</f>
        <v>305</v>
      </c>
      <c r="S598" s="44">
        <f>VLOOKUP(F598,[8]Hárok1!$F$546:$S$794,14,0)</f>
        <v>146</v>
      </c>
      <c r="T598" s="45">
        <f t="shared" si="54"/>
        <v>1440.5</v>
      </c>
      <c r="U598" s="46">
        <f>VLOOKUP(F598,[8]Hárok1!$F$546:$U$794,16,0)</f>
        <v>0</v>
      </c>
      <c r="V598" s="47">
        <f t="shared" si="55"/>
        <v>67.5</v>
      </c>
      <c r="W598" s="47">
        <f t="shared" si="56"/>
        <v>785.5</v>
      </c>
      <c r="X598" s="48">
        <f t="shared" si="57"/>
        <v>273</v>
      </c>
      <c r="Y598" s="49">
        <f t="shared" si="59"/>
        <v>2566.5</v>
      </c>
      <c r="Z598" s="50">
        <f t="shared" si="58"/>
        <v>2567</v>
      </c>
    </row>
    <row r="599" spans="1:26" x14ac:dyDescent="0.25">
      <c r="A599" s="29" t="s">
        <v>1201</v>
      </c>
      <c r="B599" s="29" t="s">
        <v>79</v>
      </c>
      <c r="C599" s="29" t="s">
        <v>1241</v>
      </c>
      <c r="D599" s="29">
        <v>37870475</v>
      </c>
      <c r="E599" s="32" t="s">
        <v>1242</v>
      </c>
      <c r="F599" s="29">
        <v>893102</v>
      </c>
      <c r="G599" s="32" t="s">
        <v>138</v>
      </c>
      <c r="H599" s="32" t="s">
        <v>351</v>
      </c>
      <c r="I599" s="33" t="s">
        <v>1273</v>
      </c>
      <c r="J599" s="42">
        <f>VLOOKUP(F599,[8]Hárok1!$F$546:$S$794,5,0)</f>
        <v>5</v>
      </c>
      <c r="K599" s="43">
        <f>VLOOKUP(F599,[8]Hárok1!$F$546:$S$794,6,0)</f>
        <v>0</v>
      </c>
      <c r="L599" s="43">
        <f>VLOOKUP(F599,[8]Hárok1!$F$546:$S$794,7,0)</f>
        <v>29</v>
      </c>
      <c r="M599" s="43">
        <f>VLOOKUP(F599,[8]Hárok1!$F$546:$S$794,8,0)</f>
        <v>0</v>
      </c>
      <c r="N599" s="43">
        <f>VLOOKUP(F599,[8]Hárok1!$F$546:$S$794,9,0)</f>
        <v>0</v>
      </c>
      <c r="O599" s="43">
        <f>VLOOKUP(F599,[8]Hárok1!$F$546:$S$794,10,0)</f>
        <v>9</v>
      </c>
      <c r="P599" s="44">
        <f>VLOOKUP(F599,[8]Hárok1!$F$546:$S$794,11,0)</f>
        <v>1</v>
      </c>
      <c r="Q599" s="42">
        <f>VLOOKUP(F599,[8]Hárok1!$F$546:$S$794,12,0)</f>
        <v>0</v>
      </c>
      <c r="R599" s="43">
        <f>VLOOKUP(F599,[8]Hárok1!$F$546:$S$794,13,0)</f>
        <v>306</v>
      </c>
      <c r="S599" s="44">
        <f>VLOOKUP(F599,[8]Hárok1!$F$546:$S$794,14,0)</f>
        <v>106</v>
      </c>
      <c r="T599" s="45">
        <f t="shared" si="54"/>
        <v>971.5</v>
      </c>
      <c r="U599" s="46">
        <f>VLOOKUP(F599,[8]Hárok1!$F$546:$U$794,16,0)</f>
        <v>0</v>
      </c>
      <c r="V599" s="47">
        <f t="shared" si="55"/>
        <v>0</v>
      </c>
      <c r="W599" s="47">
        <f t="shared" si="56"/>
        <v>733.5</v>
      </c>
      <c r="X599" s="48">
        <f t="shared" si="57"/>
        <v>186</v>
      </c>
      <c r="Y599" s="49">
        <f t="shared" si="59"/>
        <v>1891</v>
      </c>
      <c r="Z599" s="50">
        <f t="shared" si="58"/>
        <v>1891</v>
      </c>
    </row>
    <row r="600" spans="1:26" x14ac:dyDescent="0.25">
      <c r="A600" s="29" t="s">
        <v>1201</v>
      </c>
      <c r="B600" s="29" t="s">
        <v>79</v>
      </c>
      <c r="C600" s="29" t="s">
        <v>1241</v>
      </c>
      <c r="D600" s="29">
        <v>37870475</v>
      </c>
      <c r="E600" s="32" t="s">
        <v>1242</v>
      </c>
      <c r="F600" s="29">
        <v>42077133</v>
      </c>
      <c r="G600" s="32" t="s">
        <v>1274</v>
      </c>
      <c r="H600" s="32" t="s">
        <v>351</v>
      </c>
      <c r="I600" s="33" t="s">
        <v>1275</v>
      </c>
      <c r="J600" s="42">
        <f>VLOOKUP(F600,[8]Hárok1!$F$546:$S$794,5,0)</f>
        <v>7</v>
      </c>
      <c r="K600" s="43">
        <f>VLOOKUP(F600,[8]Hárok1!$F$546:$S$794,6,0)</f>
        <v>0</v>
      </c>
      <c r="L600" s="43">
        <f>VLOOKUP(F600,[8]Hárok1!$F$546:$S$794,7,0)</f>
        <v>32</v>
      </c>
      <c r="M600" s="43">
        <f>VLOOKUP(F600,[8]Hárok1!$F$546:$S$794,8,0)</f>
        <v>0</v>
      </c>
      <c r="N600" s="43">
        <f>VLOOKUP(F600,[8]Hárok1!$F$546:$S$794,9,0)</f>
        <v>0</v>
      </c>
      <c r="O600" s="43">
        <f>VLOOKUP(F600,[8]Hárok1!$F$546:$S$794,10,0)</f>
        <v>16</v>
      </c>
      <c r="P600" s="44">
        <f>VLOOKUP(F600,[8]Hárok1!$F$546:$S$794,11,0)</f>
        <v>1</v>
      </c>
      <c r="Q600" s="42">
        <f>VLOOKUP(F600,[8]Hárok1!$F$546:$S$794,12,0)</f>
        <v>0</v>
      </c>
      <c r="R600" s="43">
        <f>VLOOKUP(F600,[8]Hárok1!$F$546:$S$794,13,0)</f>
        <v>228</v>
      </c>
      <c r="S600" s="44">
        <f>VLOOKUP(F600,[8]Hárok1!$F$546:$S$794,14,0)</f>
        <v>85</v>
      </c>
      <c r="T600" s="45">
        <f t="shared" si="54"/>
        <v>1072</v>
      </c>
      <c r="U600" s="46">
        <f>VLOOKUP(F600,[8]Hárok1!$F$546:$U$794,16,0)</f>
        <v>0</v>
      </c>
      <c r="V600" s="47">
        <f t="shared" si="55"/>
        <v>0</v>
      </c>
      <c r="W600" s="47">
        <f t="shared" si="56"/>
        <v>672</v>
      </c>
      <c r="X600" s="48">
        <f t="shared" si="57"/>
        <v>154.5</v>
      </c>
      <c r="Y600" s="49">
        <f t="shared" si="59"/>
        <v>1898.5</v>
      </c>
      <c r="Z600" s="50">
        <f t="shared" si="58"/>
        <v>1899</v>
      </c>
    </row>
    <row r="601" spans="1:26" x14ac:dyDescent="0.25">
      <c r="A601" s="29" t="s">
        <v>1201</v>
      </c>
      <c r="B601" s="29" t="s">
        <v>79</v>
      </c>
      <c r="C601" s="29" t="s">
        <v>1241</v>
      </c>
      <c r="D601" s="29">
        <v>37870475</v>
      </c>
      <c r="E601" s="32" t="s">
        <v>1242</v>
      </c>
      <c r="F601" s="29">
        <v>891541</v>
      </c>
      <c r="G601" s="32" t="s">
        <v>154</v>
      </c>
      <c r="H601" s="32" t="s">
        <v>351</v>
      </c>
      <c r="I601" s="33" t="s">
        <v>1276</v>
      </c>
      <c r="J601" s="42">
        <f>VLOOKUP(F601,[8]Hárok1!$F$546:$S$794,5,0)</f>
        <v>5</v>
      </c>
      <c r="K601" s="43">
        <f>VLOOKUP(F601,[8]Hárok1!$F$546:$S$794,6,0)</f>
        <v>0</v>
      </c>
      <c r="L601" s="43">
        <f>VLOOKUP(F601,[8]Hárok1!$F$546:$S$794,7,0)</f>
        <v>35</v>
      </c>
      <c r="M601" s="43">
        <f>VLOOKUP(F601,[8]Hárok1!$F$546:$S$794,8,0)</f>
        <v>0</v>
      </c>
      <c r="N601" s="43">
        <f>VLOOKUP(F601,[8]Hárok1!$F$546:$S$794,9,0)</f>
        <v>0</v>
      </c>
      <c r="O601" s="43">
        <f>VLOOKUP(F601,[8]Hárok1!$F$546:$S$794,10,0)</f>
        <v>16</v>
      </c>
      <c r="P601" s="44">
        <f>VLOOKUP(F601,[8]Hárok1!$F$546:$S$794,11,0)</f>
        <v>0</v>
      </c>
      <c r="Q601" s="42">
        <f>VLOOKUP(F601,[8]Hárok1!$F$546:$S$794,12,0)</f>
        <v>0</v>
      </c>
      <c r="R601" s="43">
        <f>VLOOKUP(F601,[8]Hárok1!$F$546:$S$794,13,0)</f>
        <v>319</v>
      </c>
      <c r="S601" s="44">
        <f>VLOOKUP(F601,[8]Hárok1!$F$546:$S$794,14,0)</f>
        <v>0</v>
      </c>
      <c r="T601" s="45">
        <f t="shared" si="54"/>
        <v>1172.5</v>
      </c>
      <c r="U601" s="46">
        <f>VLOOKUP(F601,[8]Hárok1!$F$546:$U$794,16,0)</f>
        <v>0</v>
      </c>
      <c r="V601" s="47">
        <f t="shared" si="55"/>
        <v>0</v>
      </c>
      <c r="W601" s="47">
        <f t="shared" si="56"/>
        <v>854</v>
      </c>
      <c r="X601" s="48">
        <f t="shared" si="57"/>
        <v>0</v>
      </c>
      <c r="Y601" s="49">
        <f t="shared" si="59"/>
        <v>2026.5</v>
      </c>
      <c r="Z601" s="50">
        <f t="shared" si="58"/>
        <v>2027</v>
      </c>
    </row>
    <row r="602" spans="1:26" x14ac:dyDescent="0.25">
      <c r="A602" s="29" t="s">
        <v>1201</v>
      </c>
      <c r="B602" s="29" t="s">
        <v>79</v>
      </c>
      <c r="C602" s="29" t="s">
        <v>1241</v>
      </c>
      <c r="D602" s="29">
        <v>37870475</v>
      </c>
      <c r="E602" s="32" t="s">
        <v>1242</v>
      </c>
      <c r="F602" s="29">
        <v>161802</v>
      </c>
      <c r="G602" s="32" t="s">
        <v>1277</v>
      </c>
      <c r="H602" s="32" t="s">
        <v>351</v>
      </c>
      <c r="I602" s="33" t="s">
        <v>1278</v>
      </c>
      <c r="J602" s="42">
        <f>VLOOKUP(F602,[8]Hárok1!$F$546:$S$794,5,0)</f>
        <v>10</v>
      </c>
      <c r="K602" s="43">
        <f>VLOOKUP(F602,[8]Hárok1!$F$546:$S$794,6,0)</f>
        <v>0</v>
      </c>
      <c r="L602" s="43">
        <f>VLOOKUP(F602,[8]Hárok1!$F$546:$S$794,7,0)</f>
        <v>35</v>
      </c>
      <c r="M602" s="43">
        <f>VLOOKUP(F602,[8]Hárok1!$F$546:$S$794,8,0)</f>
        <v>0</v>
      </c>
      <c r="N602" s="43">
        <f>VLOOKUP(F602,[8]Hárok1!$F$546:$S$794,9,0)</f>
        <v>0</v>
      </c>
      <c r="O602" s="43">
        <f>VLOOKUP(F602,[8]Hárok1!$F$546:$S$794,10,0)</f>
        <v>13</v>
      </c>
      <c r="P602" s="44">
        <f>VLOOKUP(F602,[8]Hárok1!$F$546:$S$794,11,0)</f>
        <v>1</v>
      </c>
      <c r="Q602" s="42">
        <f>VLOOKUP(F602,[8]Hárok1!$F$546:$S$794,12,0)</f>
        <v>0</v>
      </c>
      <c r="R602" s="43">
        <f>VLOOKUP(F602,[8]Hárok1!$F$546:$S$794,13,0)</f>
        <v>245</v>
      </c>
      <c r="S602" s="44">
        <f>VLOOKUP(F602,[8]Hárok1!$F$546:$S$794,14,0)</f>
        <v>83</v>
      </c>
      <c r="T602" s="45">
        <f t="shared" si="54"/>
        <v>1172.5</v>
      </c>
      <c r="U602" s="46">
        <f>VLOOKUP(F602,[8]Hárok1!$F$546:$U$794,16,0)</f>
        <v>0</v>
      </c>
      <c r="V602" s="47">
        <f t="shared" si="55"/>
        <v>0</v>
      </c>
      <c r="W602" s="47">
        <f t="shared" si="56"/>
        <v>665.5</v>
      </c>
      <c r="X602" s="48">
        <f t="shared" si="57"/>
        <v>151.5</v>
      </c>
      <c r="Y602" s="49">
        <f t="shared" si="59"/>
        <v>1989.5</v>
      </c>
      <c r="Z602" s="50">
        <f t="shared" si="58"/>
        <v>1990</v>
      </c>
    </row>
    <row r="603" spans="1:26" x14ac:dyDescent="0.25">
      <c r="A603" s="29" t="s">
        <v>1201</v>
      </c>
      <c r="B603" s="29" t="s">
        <v>79</v>
      </c>
      <c r="C603" s="29" t="s">
        <v>1241</v>
      </c>
      <c r="D603" s="29">
        <v>37870475</v>
      </c>
      <c r="E603" s="32" t="s">
        <v>1242</v>
      </c>
      <c r="F603" s="29">
        <v>52439534</v>
      </c>
      <c r="G603" s="32" t="s">
        <v>615</v>
      </c>
      <c r="H603" s="32" t="s">
        <v>351</v>
      </c>
      <c r="I603" s="33" t="s">
        <v>1279</v>
      </c>
      <c r="J603" s="42">
        <f>VLOOKUP(F603,[8]Hárok1!$F$546:$S$794,5,0)</f>
        <v>5</v>
      </c>
      <c r="K603" s="43">
        <f>VLOOKUP(F603,[8]Hárok1!$F$546:$S$794,6,0)</f>
        <v>0</v>
      </c>
      <c r="L603" s="43">
        <f>VLOOKUP(F603,[8]Hárok1!$F$546:$S$794,7,0)</f>
        <v>8</v>
      </c>
      <c r="M603" s="43">
        <f>VLOOKUP(F603,[8]Hárok1!$F$546:$S$794,8,0)</f>
        <v>0</v>
      </c>
      <c r="N603" s="43">
        <f>VLOOKUP(F603,[8]Hárok1!$F$546:$S$794,9,0)</f>
        <v>1</v>
      </c>
      <c r="O603" s="43">
        <f>VLOOKUP(F603,[8]Hárok1!$F$546:$S$794,10,0)</f>
        <v>4</v>
      </c>
      <c r="P603" s="44">
        <f>VLOOKUP(F603,[8]Hárok1!$F$546:$S$794,11,0)</f>
        <v>0</v>
      </c>
      <c r="Q603" s="42">
        <f>VLOOKUP(F603,[8]Hárok1!$F$546:$S$794,12,0)</f>
        <v>23</v>
      </c>
      <c r="R603" s="43">
        <f>VLOOKUP(F603,[8]Hárok1!$F$546:$S$794,13,0)</f>
        <v>40</v>
      </c>
      <c r="S603" s="44">
        <f>VLOOKUP(F603,[8]Hárok1!$F$546:$S$794,14,0)</f>
        <v>0</v>
      </c>
      <c r="T603" s="45">
        <f t="shared" si="54"/>
        <v>268</v>
      </c>
      <c r="U603" s="46">
        <f>VLOOKUP(F603,[8]Hárok1!$F$546:$U$794,16,0)</f>
        <v>0</v>
      </c>
      <c r="V603" s="47">
        <f t="shared" si="55"/>
        <v>48</v>
      </c>
      <c r="W603" s="47">
        <f t="shared" si="56"/>
        <v>134</v>
      </c>
      <c r="X603" s="48">
        <f t="shared" si="57"/>
        <v>0</v>
      </c>
      <c r="Y603" s="49">
        <f t="shared" si="59"/>
        <v>450</v>
      </c>
      <c r="Z603" s="50">
        <f t="shared" si="58"/>
        <v>450</v>
      </c>
    </row>
    <row r="604" spans="1:26" x14ac:dyDescent="0.25">
      <c r="A604" s="29" t="s">
        <v>1201</v>
      </c>
      <c r="B604" s="29" t="s">
        <v>79</v>
      </c>
      <c r="C604" s="29" t="s">
        <v>1241</v>
      </c>
      <c r="D604" s="29">
        <v>37870475</v>
      </c>
      <c r="E604" s="32" t="s">
        <v>1242</v>
      </c>
      <c r="F604" s="29">
        <v>606791</v>
      </c>
      <c r="G604" s="32" t="s">
        <v>117</v>
      </c>
      <c r="H604" s="32" t="s">
        <v>351</v>
      </c>
      <c r="I604" s="33" t="s">
        <v>1280</v>
      </c>
      <c r="J604" s="42">
        <f>VLOOKUP(F604,[8]Hárok1!$F$546:$S$794,5,0)</f>
        <v>11</v>
      </c>
      <c r="K604" s="43">
        <f>VLOOKUP(F604,[8]Hárok1!$F$546:$S$794,6,0)</f>
        <v>0</v>
      </c>
      <c r="L604" s="43">
        <f>VLOOKUP(F604,[8]Hárok1!$F$546:$S$794,7,0)</f>
        <v>51</v>
      </c>
      <c r="M604" s="43">
        <f>VLOOKUP(F604,[8]Hárok1!$F$546:$S$794,8,0)</f>
        <v>0</v>
      </c>
      <c r="N604" s="43">
        <f>VLOOKUP(F604,[8]Hárok1!$F$546:$S$794,9,0)</f>
        <v>0</v>
      </c>
      <c r="O604" s="43">
        <f>VLOOKUP(F604,[8]Hárok1!$F$546:$S$794,10,0)</f>
        <v>19</v>
      </c>
      <c r="P604" s="44">
        <f>VLOOKUP(F604,[8]Hárok1!$F$546:$S$794,11,0)</f>
        <v>1</v>
      </c>
      <c r="Q604" s="42">
        <f>VLOOKUP(F604,[8]Hárok1!$F$546:$S$794,12,0)</f>
        <v>0</v>
      </c>
      <c r="R604" s="43">
        <f>VLOOKUP(F604,[8]Hárok1!$F$546:$S$794,13,0)</f>
        <v>383</v>
      </c>
      <c r="S604" s="44">
        <f>VLOOKUP(F604,[8]Hárok1!$F$546:$S$794,14,0)</f>
        <v>114</v>
      </c>
      <c r="T604" s="45">
        <f t="shared" si="54"/>
        <v>1708.5</v>
      </c>
      <c r="U604" s="46">
        <f>VLOOKUP(F604,[8]Hárok1!$F$546:$U$794,16,0)</f>
        <v>189.7</v>
      </c>
      <c r="V604" s="47">
        <f t="shared" si="55"/>
        <v>0</v>
      </c>
      <c r="W604" s="47">
        <f t="shared" si="56"/>
        <v>1022.5</v>
      </c>
      <c r="X604" s="48">
        <f t="shared" si="57"/>
        <v>198</v>
      </c>
      <c r="Y604" s="49">
        <f t="shared" si="59"/>
        <v>3118.7</v>
      </c>
      <c r="Z604" s="50">
        <f t="shared" si="58"/>
        <v>3119</v>
      </c>
    </row>
    <row r="605" spans="1:26" x14ac:dyDescent="0.25">
      <c r="A605" s="29" t="s">
        <v>1201</v>
      </c>
      <c r="B605" s="29" t="s">
        <v>79</v>
      </c>
      <c r="C605" s="29" t="s">
        <v>1241</v>
      </c>
      <c r="D605" s="29">
        <v>37870475</v>
      </c>
      <c r="E605" s="32" t="s">
        <v>1242</v>
      </c>
      <c r="F605" s="29">
        <v>37947541</v>
      </c>
      <c r="G605" s="32" t="s">
        <v>1281</v>
      </c>
      <c r="H605" s="32" t="s">
        <v>1282</v>
      </c>
      <c r="I605" s="33" t="s">
        <v>1283</v>
      </c>
      <c r="J605" s="42">
        <f>VLOOKUP(F605,[8]Hárok1!$F$546:$S$794,5,0)</f>
        <v>14</v>
      </c>
      <c r="K605" s="43">
        <f>VLOOKUP(F605,[8]Hárok1!$F$546:$S$794,6,0)</f>
        <v>0</v>
      </c>
      <c r="L605" s="43">
        <f>VLOOKUP(F605,[8]Hárok1!$F$546:$S$794,7,0)</f>
        <v>74</v>
      </c>
      <c r="M605" s="43">
        <f>VLOOKUP(F605,[8]Hárok1!$F$546:$S$794,8,0)</f>
        <v>0</v>
      </c>
      <c r="N605" s="43">
        <f>VLOOKUP(F605,[8]Hárok1!$F$546:$S$794,9,0)</f>
        <v>0</v>
      </c>
      <c r="O605" s="43">
        <f>VLOOKUP(F605,[8]Hárok1!$F$546:$S$794,10,0)</f>
        <v>18</v>
      </c>
      <c r="P605" s="44">
        <f>VLOOKUP(F605,[8]Hárok1!$F$546:$S$794,11,0)</f>
        <v>3</v>
      </c>
      <c r="Q605" s="42">
        <f>VLOOKUP(F605,[8]Hárok1!$F$546:$S$794,12,0)</f>
        <v>0</v>
      </c>
      <c r="R605" s="43">
        <f>VLOOKUP(F605,[8]Hárok1!$F$546:$S$794,13,0)</f>
        <v>534</v>
      </c>
      <c r="S605" s="44">
        <f>VLOOKUP(F605,[8]Hárok1!$F$546:$S$794,14,0)</f>
        <v>187</v>
      </c>
      <c r="T605" s="45">
        <f t="shared" si="54"/>
        <v>2479</v>
      </c>
      <c r="U605" s="46">
        <f>VLOOKUP(F605,[8]Hárok1!$F$546:$U$794,16,0)</f>
        <v>386.2</v>
      </c>
      <c r="V605" s="47">
        <f t="shared" si="55"/>
        <v>0</v>
      </c>
      <c r="W605" s="47">
        <f t="shared" si="56"/>
        <v>1311</v>
      </c>
      <c r="X605" s="48">
        <f t="shared" si="57"/>
        <v>361.5</v>
      </c>
      <c r="Y605" s="49">
        <f t="shared" si="59"/>
        <v>4537.7</v>
      </c>
      <c r="Z605" s="50">
        <f t="shared" si="58"/>
        <v>4538</v>
      </c>
    </row>
    <row r="606" spans="1:26" x14ac:dyDescent="0.25">
      <c r="A606" s="29" t="s">
        <v>1201</v>
      </c>
      <c r="B606" s="29" t="s">
        <v>79</v>
      </c>
      <c r="C606" s="29" t="s">
        <v>1241</v>
      </c>
      <c r="D606" s="29">
        <v>37870475</v>
      </c>
      <c r="E606" s="32" t="s">
        <v>1242</v>
      </c>
      <c r="F606" s="29">
        <v>893552</v>
      </c>
      <c r="G606" s="32" t="s">
        <v>1284</v>
      </c>
      <c r="H606" s="32" t="s">
        <v>1285</v>
      </c>
      <c r="I606" s="33" t="s">
        <v>1286</v>
      </c>
      <c r="J606" s="42">
        <f>VLOOKUP(F606,[8]Hárok1!$F$546:$S$794,5,0)</f>
        <v>3</v>
      </c>
      <c r="K606" s="43">
        <f>VLOOKUP(F606,[8]Hárok1!$F$546:$S$794,6,0)</f>
        <v>0</v>
      </c>
      <c r="L606" s="43">
        <f>VLOOKUP(F606,[8]Hárok1!$F$546:$S$794,7,0)</f>
        <v>10</v>
      </c>
      <c r="M606" s="43">
        <f>VLOOKUP(F606,[8]Hárok1!$F$546:$S$794,8,0)</f>
        <v>0</v>
      </c>
      <c r="N606" s="43">
        <f>VLOOKUP(F606,[8]Hárok1!$F$546:$S$794,9,0)</f>
        <v>0</v>
      </c>
      <c r="O606" s="43">
        <f>VLOOKUP(F606,[8]Hárok1!$F$546:$S$794,10,0)</f>
        <v>5</v>
      </c>
      <c r="P606" s="44">
        <f>VLOOKUP(F606,[8]Hárok1!$F$546:$S$794,11,0)</f>
        <v>0</v>
      </c>
      <c r="Q606" s="42">
        <f>VLOOKUP(F606,[8]Hárok1!$F$546:$S$794,12,0)</f>
        <v>0</v>
      </c>
      <c r="R606" s="43">
        <f>VLOOKUP(F606,[8]Hárok1!$F$546:$S$794,13,0)</f>
        <v>76</v>
      </c>
      <c r="S606" s="44">
        <f>VLOOKUP(F606,[8]Hárok1!$F$546:$S$794,14,0)</f>
        <v>0</v>
      </c>
      <c r="T606" s="45">
        <f t="shared" si="54"/>
        <v>335</v>
      </c>
      <c r="U606" s="46">
        <f>VLOOKUP(F606,[8]Hárok1!$F$546:$U$794,16,0)</f>
        <v>0</v>
      </c>
      <c r="V606" s="47">
        <f t="shared" si="55"/>
        <v>0</v>
      </c>
      <c r="W606" s="47">
        <f t="shared" si="56"/>
        <v>219.5</v>
      </c>
      <c r="X606" s="48">
        <f t="shared" si="57"/>
        <v>0</v>
      </c>
      <c r="Y606" s="49">
        <f t="shared" si="59"/>
        <v>554.5</v>
      </c>
      <c r="Z606" s="50">
        <f t="shared" si="58"/>
        <v>555</v>
      </c>
    </row>
    <row r="607" spans="1:26" x14ac:dyDescent="0.25">
      <c r="A607" s="29" t="s">
        <v>1201</v>
      </c>
      <c r="B607" s="29" t="s">
        <v>79</v>
      </c>
      <c r="C607" s="29" t="s">
        <v>1241</v>
      </c>
      <c r="D607" s="29">
        <v>37870475</v>
      </c>
      <c r="E607" s="32" t="s">
        <v>1242</v>
      </c>
      <c r="F607" s="29">
        <v>161110</v>
      </c>
      <c r="G607" s="32" t="s">
        <v>49</v>
      </c>
      <c r="H607" s="32" t="s">
        <v>1223</v>
      </c>
      <c r="I607" s="33" t="s">
        <v>1287</v>
      </c>
      <c r="J607" s="42">
        <f>VLOOKUP(F607,[8]Hárok1!$F$546:$S$794,5,0)</f>
        <v>30</v>
      </c>
      <c r="K607" s="43">
        <f>VLOOKUP(F607,[8]Hárok1!$F$546:$S$794,6,0)</f>
        <v>0</v>
      </c>
      <c r="L607" s="43">
        <f>VLOOKUP(F607,[8]Hárok1!$F$546:$S$794,7,0)</f>
        <v>119</v>
      </c>
      <c r="M607" s="43">
        <f>VLOOKUP(F607,[8]Hárok1!$F$546:$S$794,8,0)</f>
        <v>0</v>
      </c>
      <c r="N607" s="43">
        <f>VLOOKUP(F607,[8]Hárok1!$F$546:$S$794,9,0)</f>
        <v>5</v>
      </c>
      <c r="O607" s="43">
        <f>VLOOKUP(F607,[8]Hárok1!$F$546:$S$794,10,0)</f>
        <v>41</v>
      </c>
      <c r="P607" s="44">
        <f>VLOOKUP(F607,[8]Hárok1!$F$546:$S$794,11,0)</f>
        <v>3</v>
      </c>
      <c r="Q607" s="42">
        <f>VLOOKUP(F607,[8]Hárok1!$F$546:$S$794,12,0)</f>
        <v>78</v>
      </c>
      <c r="R607" s="43">
        <f>VLOOKUP(F607,[8]Hárok1!$F$546:$S$794,13,0)</f>
        <v>962</v>
      </c>
      <c r="S607" s="44">
        <f>VLOOKUP(F607,[8]Hárok1!$F$546:$S$794,14,0)</f>
        <v>246</v>
      </c>
      <c r="T607" s="45">
        <f t="shared" si="54"/>
        <v>3986.5</v>
      </c>
      <c r="U607" s="46">
        <f>VLOOKUP(F607,[8]Hárok1!$F$546:$U$794,16,0)</f>
        <v>0</v>
      </c>
      <c r="V607" s="47">
        <f t="shared" si="55"/>
        <v>184.5</v>
      </c>
      <c r="W607" s="47">
        <f t="shared" si="56"/>
        <v>2477.5</v>
      </c>
      <c r="X607" s="48">
        <f t="shared" si="57"/>
        <v>450</v>
      </c>
      <c r="Y607" s="49">
        <f t="shared" si="59"/>
        <v>7098.5</v>
      </c>
      <c r="Z607" s="50">
        <f t="shared" si="58"/>
        <v>7099</v>
      </c>
    </row>
    <row r="608" spans="1:26" x14ac:dyDescent="0.25">
      <c r="A608" s="29" t="s">
        <v>1201</v>
      </c>
      <c r="B608" s="29" t="s">
        <v>79</v>
      </c>
      <c r="C608" s="29" t="s">
        <v>1241</v>
      </c>
      <c r="D608" s="29">
        <v>37870475</v>
      </c>
      <c r="E608" s="32" t="s">
        <v>1242</v>
      </c>
      <c r="F608" s="29">
        <v>161101</v>
      </c>
      <c r="G608" s="32" t="s">
        <v>1288</v>
      </c>
      <c r="H608" s="32" t="s">
        <v>1223</v>
      </c>
      <c r="I608" s="33" t="s">
        <v>1289</v>
      </c>
      <c r="J608" s="42">
        <f>VLOOKUP(F608,[8]Hárok1!$F$546:$S$794,5,0)</f>
        <v>6</v>
      </c>
      <c r="K608" s="43">
        <f>VLOOKUP(F608,[8]Hárok1!$F$546:$S$794,6,0)</f>
        <v>0</v>
      </c>
      <c r="L608" s="43">
        <f>VLOOKUP(F608,[8]Hárok1!$F$546:$S$794,7,0)</f>
        <v>29</v>
      </c>
      <c r="M608" s="43">
        <f>VLOOKUP(F608,[8]Hárok1!$F$546:$S$794,8,0)</f>
        <v>0</v>
      </c>
      <c r="N608" s="43">
        <f>VLOOKUP(F608,[8]Hárok1!$F$546:$S$794,9,0)</f>
        <v>0</v>
      </c>
      <c r="O608" s="43">
        <f>VLOOKUP(F608,[8]Hárok1!$F$546:$S$794,10,0)</f>
        <v>6</v>
      </c>
      <c r="P608" s="44">
        <f>VLOOKUP(F608,[8]Hárok1!$F$546:$S$794,11,0)</f>
        <v>2</v>
      </c>
      <c r="Q608" s="42">
        <f>VLOOKUP(F608,[8]Hárok1!$F$546:$S$794,12,0)</f>
        <v>0</v>
      </c>
      <c r="R608" s="43">
        <f>VLOOKUP(F608,[8]Hárok1!$F$546:$S$794,13,0)</f>
        <v>160</v>
      </c>
      <c r="S608" s="44">
        <f>VLOOKUP(F608,[8]Hárok1!$F$546:$S$794,14,0)</f>
        <v>194</v>
      </c>
      <c r="T608" s="45">
        <f t="shared" si="54"/>
        <v>971.5</v>
      </c>
      <c r="U608" s="46">
        <f>VLOOKUP(F608,[8]Hárok1!$F$546:$U$794,16,0)</f>
        <v>0</v>
      </c>
      <c r="V608" s="47">
        <f t="shared" si="55"/>
        <v>0</v>
      </c>
      <c r="W608" s="47">
        <f t="shared" si="56"/>
        <v>401</v>
      </c>
      <c r="X608" s="48">
        <f t="shared" si="57"/>
        <v>345</v>
      </c>
      <c r="Y608" s="49">
        <f t="shared" si="59"/>
        <v>1717.5</v>
      </c>
      <c r="Z608" s="50">
        <f t="shared" si="58"/>
        <v>1718</v>
      </c>
    </row>
    <row r="609" spans="1:26" x14ac:dyDescent="0.25">
      <c r="A609" s="51" t="s">
        <v>1201</v>
      </c>
      <c r="B609" s="51" t="s">
        <v>79</v>
      </c>
      <c r="C609" s="51" t="s">
        <v>1241</v>
      </c>
      <c r="D609" s="51">
        <v>37870475</v>
      </c>
      <c r="E609" s="32" t="s">
        <v>1242</v>
      </c>
      <c r="F609" s="51">
        <v>162191</v>
      </c>
      <c r="G609" s="32" t="s">
        <v>121</v>
      </c>
      <c r="H609" s="32" t="s">
        <v>1223</v>
      </c>
      <c r="I609" s="33" t="s">
        <v>1290</v>
      </c>
      <c r="J609" s="42">
        <f>VLOOKUP(F609,[8]Hárok1!$F$546:$S$794,5,0)</f>
        <v>8</v>
      </c>
      <c r="K609" s="43">
        <f>VLOOKUP(F609,[8]Hárok1!$F$546:$S$794,6,0)</f>
        <v>0</v>
      </c>
      <c r="L609" s="43">
        <f>VLOOKUP(F609,[8]Hárok1!$F$546:$S$794,7,0)</f>
        <v>46</v>
      </c>
      <c r="M609" s="43">
        <f>VLOOKUP(F609,[8]Hárok1!$F$546:$S$794,8,0)</f>
        <v>0</v>
      </c>
      <c r="N609" s="43">
        <f>VLOOKUP(F609,[8]Hárok1!$F$546:$S$794,9,0)</f>
        <v>0</v>
      </c>
      <c r="O609" s="43">
        <f>VLOOKUP(F609,[8]Hárok1!$F$546:$S$794,10,0)</f>
        <v>15</v>
      </c>
      <c r="P609" s="44">
        <f>VLOOKUP(F609,[8]Hárok1!$F$546:$S$794,11,0)</f>
        <v>1</v>
      </c>
      <c r="Q609" s="42">
        <f>VLOOKUP(F609,[8]Hárok1!$F$546:$S$794,12,0)</f>
        <v>0</v>
      </c>
      <c r="R609" s="43">
        <f>VLOOKUP(F609,[8]Hárok1!$F$546:$S$794,13,0)</f>
        <v>424</v>
      </c>
      <c r="S609" s="44">
        <f>VLOOKUP(F609,[8]Hárok1!$F$546:$S$794,14,0)</f>
        <v>54</v>
      </c>
      <c r="T609" s="45">
        <f t="shared" si="54"/>
        <v>1541</v>
      </c>
      <c r="U609" s="46">
        <f>VLOOKUP(F609,[8]Hárok1!$F$546:$U$794,16,0)</f>
        <v>149.94999999999999</v>
      </c>
      <c r="V609" s="47">
        <f t="shared" si="55"/>
        <v>0</v>
      </c>
      <c r="W609" s="47">
        <f t="shared" si="56"/>
        <v>1050.5</v>
      </c>
      <c r="X609" s="48">
        <f t="shared" si="57"/>
        <v>108</v>
      </c>
      <c r="Y609" s="49">
        <f t="shared" si="59"/>
        <v>2849.45</v>
      </c>
      <c r="Z609" s="50">
        <f t="shared" si="58"/>
        <v>2849</v>
      </c>
    </row>
    <row r="610" spans="1:26" x14ac:dyDescent="0.25">
      <c r="A610" s="29" t="s">
        <v>1201</v>
      </c>
      <c r="B610" s="29" t="s">
        <v>79</v>
      </c>
      <c r="C610" s="29" t="s">
        <v>1241</v>
      </c>
      <c r="D610" s="29">
        <v>37870475</v>
      </c>
      <c r="E610" s="32" t="s">
        <v>1242</v>
      </c>
      <c r="F610" s="29">
        <v>37946765</v>
      </c>
      <c r="G610" s="32" t="s">
        <v>52</v>
      </c>
      <c r="H610" s="32" t="s">
        <v>1223</v>
      </c>
      <c r="I610" s="33" t="s">
        <v>1291</v>
      </c>
      <c r="J610" s="42">
        <f>VLOOKUP(F610,[8]Hárok1!$F$546:$S$794,5,0)</f>
        <v>11</v>
      </c>
      <c r="K610" s="43">
        <f>VLOOKUP(F610,[8]Hárok1!$F$546:$S$794,6,0)</f>
        <v>4</v>
      </c>
      <c r="L610" s="43">
        <f>VLOOKUP(F610,[8]Hárok1!$F$546:$S$794,7,0)</f>
        <v>43</v>
      </c>
      <c r="M610" s="43">
        <f>VLOOKUP(F610,[8]Hárok1!$F$546:$S$794,8,0)</f>
        <v>27</v>
      </c>
      <c r="N610" s="43">
        <f>VLOOKUP(F610,[8]Hárok1!$F$546:$S$794,9,0)</f>
        <v>13</v>
      </c>
      <c r="O610" s="43">
        <f>VLOOKUP(F610,[8]Hárok1!$F$546:$S$794,10,0)</f>
        <v>24</v>
      </c>
      <c r="P610" s="44">
        <f>VLOOKUP(F610,[8]Hárok1!$F$546:$S$794,11,0)</f>
        <v>1</v>
      </c>
      <c r="Q610" s="42">
        <f>VLOOKUP(F610,[8]Hárok1!$F$546:$S$794,12,0)</f>
        <v>288</v>
      </c>
      <c r="R610" s="43">
        <f>VLOOKUP(F610,[8]Hárok1!$F$546:$S$794,13,0)</f>
        <v>423</v>
      </c>
      <c r="S610" s="44">
        <f>VLOOKUP(F610,[8]Hárok1!$F$546:$S$794,14,0)</f>
        <v>26</v>
      </c>
      <c r="T610" s="45">
        <f t="shared" si="54"/>
        <v>1440.5</v>
      </c>
      <c r="U610" s="46">
        <f>VLOOKUP(F610,[8]Hárok1!$F$546:$U$794,16,0)</f>
        <v>0</v>
      </c>
      <c r="V610" s="47">
        <f t="shared" si="55"/>
        <v>607.5</v>
      </c>
      <c r="W610" s="47">
        <f t="shared" si="56"/>
        <v>1170</v>
      </c>
      <c r="X610" s="48">
        <f t="shared" si="57"/>
        <v>66</v>
      </c>
      <c r="Y610" s="49">
        <f t="shared" si="59"/>
        <v>3284</v>
      </c>
      <c r="Z610" s="50">
        <f t="shared" si="58"/>
        <v>3284</v>
      </c>
    </row>
    <row r="611" spans="1:26" x14ac:dyDescent="0.25">
      <c r="A611" s="29" t="s">
        <v>1201</v>
      </c>
      <c r="B611" s="29" t="s">
        <v>79</v>
      </c>
      <c r="C611" s="29" t="s">
        <v>1241</v>
      </c>
      <c r="D611" s="29">
        <v>37870475</v>
      </c>
      <c r="E611" s="32" t="s">
        <v>1242</v>
      </c>
      <c r="F611" s="29">
        <v>54018391</v>
      </c>
      <c r="G611" s="32" t="s">
        <v>52</v>
      </c>
      <c r="H611" s="32" t="s">
        <v>1223</v>
      </c>
      <c r="I611" s="33" t="s">
        <v>1292</v>
      </c>
      <c r="J611" s="42">
        <f>VLOOKUP(F611,[8]Hárok1!$F$546:$S$794,5,0)</f>
        <v>11</v>
      </c>
      <c r="K611" s="43">
        <f>VLOOKUP(F611,[8]Hárok1!$F$546:$S$794,6,0)</f>
        <v>0</v>
      </c>
      <c r="L611" s="43">
        <f>VLOOKUP(F611,[8]Hárok1!$F$546:$S$794,7,0)</f>
        <v>50</v>
      </c>
      <c r="M611" s="43">
        <f>VLOOKUP(F611,[8]Hárok1!$F$546:$S$794,8,0)</f>
        <v>0</v>
      </c>
      <c r="N611" s="43">
        <f>VLOOKUP(F611,[8]Hárok1!$F$546:$S$794,9,0)</f>
        <v>0</v>
      </c>
      <c r="O611" s="43">
        <f>VLOOKUP(F611,[8]Hárok1!$F$546:$S$794,10,0)</f>
        <v>18</v>
      </c>
      <c r="P611" s="44">
        <f>VLOOKUP(F611,[8]Hárok1!$F$546:$S$794,11,0)</f>
        <v>1</v>
      </c>
      <c r="Q611" s="42">
        <f>VLOOKUP(F611,[8]Hárok1!$F$546:$S$794,12,0)</f>
        <v>0</v>
      </c>
      <c r="R611" s="43">
        <f>VLOOKUP(F611,[8]Hárok1!$F$546:$S$794,13,0)</f>
        <v>347</v>
      </c>
      <c r="S611" s="44">
        <f>VLOOKUP(F611,[8]Hárok1!$F$546:$S$794,14,0)</f>
        <v>69</v>
      </c>
      <c r="T611" s="45">
        <f t="shared" si="54"/>
        <v>1675</v>
      </c>
      <c r="U611" s="46">
        <f>VLOOKUP(F611,[8]Hárok1!$F$546:$U$794,16,0)</f>
        <v>0</v>
      </c>
      <c r="V611" s="47">
        <f t="shared" si="55"/>
        <v>0</v>
      </c>
      <c r="W611" s="47">
        <f t="shared" si="56"/>
        <v>937</v>
      </c>
      <c r="X611" s="48">
        <f t="shared" si="57"/>
        <v>130.5</v>
      </c>
      <c r="Y611" s="49">
        <f t="shared" si="59"/>
        <v>2742.5</v>
      </c>
      <c r="Z611" s="50">
        <f t="shared" si="58"/>
        <v>2743</v>
      </c>
    </row>
    <row r="612" spans="1:26" x14ac:dyDescent="0.25">
      <c r="A612" s="29" t="s">
        <v>1201</v>
      </c>
      <c r="B612" s="29" t="s">
        <v>79</v>
      </c>
      <c r="C612" s="29" t="s">
        <v>1241</v>
      </c>
      <c r="D612" s="29">
        <v>37870475</v>
      </c>
      <c r="E612" s="32" t="s">
        <v>1242</v>
      </c>
      <c r="F612" s="29">
        <v>37947923</v>
      </c>
      <c r="G612" s="32" t="s">
        <v>1293</v>
      </c>
      <c r="H612" s="32" t="s">
        <v>1223</v>
      </c>
      <c r="I612" s="33" t="s">
        <v>1294</v>
      </c>
      <c r="J612" s="42">
        <f>VLOOKUP(F612,[8]Hárok1!$F$546:$S$794,5,0)</f>
        <v>8</v>
      </c>
      <c r="K612" s="43">
        <f>VLOOKUP(F612,[8]Hárok1!$F$546:$S$794,6,0)</f>
        <v>0</v>
      </c>
      <c r="L612" s="43">
        <f>VLOOKUP(F612,[8]Hárok1!$F$546:$S$794,7,0)</f>
        <v>32</v>
      </c>
      <c r="M612" s="43">
        <f>VLOOKUP(F612,[8]Hárok1!$F$546:$S$794,8,0)</f>
        <v>0</v>
      </c>
      <c r="N612" s="43">
        <f>VLOOKUP(F612,[8]Hárok1!$F$546:$S$794,9,0)</f>
        <v>4</v>
      </c>
      <c r="O612" s="43">
        <f>VLOOKUP(F612,[8]Hárok1!$F$546:$S$794,10,0)</f>
        <v>11</v>
      </c>
      <c r="P612" s="44">
        <f>VLOOKUP(F612,[8]Hárok1!$F$546:$S$794,11,0)</f>
        <v>1</v>
      </c>
      <c r="Q612" s="42">
        <f>VLOOKUP(F612,[8]Hárok1!$F$546:$S$794,12,0)</f>
        <v>102</v>
      </c>
      <c r="R612" s="43">
        <f>VLOOKUP(F612,[8]Hárok1!$F$546:$S$794,13,0)</f>
        <v>270</v>
      </c>
      <c r="S612" s="44">
        <f>VLOOKUP(F612,[8]Hárok1!$F$546:$S$794,14,0)</f>
        <v>134</v>
      </c>
      <c r="T612" s="45">
        <f t="shared" si="54"/>
        <v>1072</v>
      </c>
      <c r="U612" s="46">
        <f>VLOOKUP(F612,[8]Hárok1!$F$546:$U$794,16,0)</f>
        <v>0</v>
      </c>
      <c r="V612" s="47">
        <f t="shared" si="55"/>
        <v>207</v>
      </c>
      <c r="W612" s="47">
        <f t="shared" si="56"/>
        <v>688.5</v>
      </c>
      <c r="X612" s="48">
        <f t="shared" si="57"/>
        <v>228</v>
      </c>
      <c r="Y612" s="49">
        <f t="shared" si="59"/>
        <v>2195.5</v>
      </c>
      <c r="Z612" s="50">
        <f t="shared" si="58"/>
        <v>2196</v>
      </c>
    </row>
    <row r="613" spans="1:26" x14ac:dyDescent="0.25">
      <c r="A613" s="29" t="s">
        <v>1201</v>
      </c>
      <c r="B613" s="29" t="s">
        <v>79</v>
      </c>
      <c r="C613" s="29" t="s">
        <v>1241</v>
      </c>
      <c r="D613" s="29">
        <v>37870475</v>
      </c>
      <c r="E613" s="32" t="s">
        <v>1242</v>
      </c>
      <c r="F613" s="29">
        <v>17078440</v>
      </c>
      <c r="G613" s="32" t="s">
        <v>104</v>
      </c>
      <c r="H613" s="32" t="s">
        <v>1223</v>
      </c>
      <c r="I613" s="33" t="s">
        <v>1295</v>
      </c>
      <c r="J613" s="42">
        <f>VLOOKUP(F613,[8]Hárok1!$F$546:$S$794,5,0)</f>
        <v>3</v>
      </c>
      <c r="K613" s="43">
        <f>VLOOKUP(F613,[8]Hárok1!$F$546:$S$794,6,0)</f>
        <v>0</v>
      </c>
      <c r="L613" s="43">
        <f>VLOOKUP(F613,[8]Hárok1!$F$546:$S$794,7,0)</f>
        <v>14</v>
      </c>
      <c r="M613" s="43">
        <f>VLOOKUP(F613,[8]Hárok1!$F$546:$S$794,8,0)</f>
        <v>0</v>
      </c>
      <c r="N613" s="43">
        <f>VLOOKUP(F613,[8]Hárok1!$F$546:$S$794,9,0)</f>
        <v>0</v>
      </c>
      <c r="O613" s="43">
        <f>VLOOKUP(F613,[8]Hárok1!$F$546:$S$794,10,0)</f>
        <v>9</v>
      </c>
      <c r="P613" s="44">
        <f>VLOOKUP(F613,[8]Hárok1!$F$546:$S$794,11,0)</f>
        <v>1</v>
      </c>
      <c r="Q613" s="42">
        <f>VLOOKUP(F613,[8]Hárok1!$F$546:$S$794,12,0)</f>
        <v>0</v>
      </c>
      <c r="R613" s="43">
        <f>VLOOKUP(F613,[8]Hárok1!$F$546:$S$794,13,0)</f>
        <v>123</v>
      </c>
      <c r="S613" s="44">
        <f>VLOOKUP(F613,[8]Hárok1!$F$546:$S$794,14,0)</f>
        <v>60</v>
      </c>
      <c r="T613" s="45">
        <f t="shared" si="54"/>
        <v>469</v>
      </c>
      <c r="U613" s="46">
        <f>VLOOKUP(F613,[8]Hárok1!$F$546:$U$794,16,0)</f>
        <v>0</v>
      </c>
      <c r="V613" s="47">
        <f t="shared" si="55"/>
        <v>0</v>
      </c>
      <c r="W613" s="47">
        <f t="shared" si="56"/>
        <v>367.5</v>
      </c>
      <c r="X613" s="48">
        <f t="shared" si="57"/>
        <v>117</v>
      </c>
      <c r="Y613" s="49">
        <f t="shared" si="59"/>
        <v>953.5</v>
      </c>
      <c r="Z613" s="50">
        <f t="shared" si="58"/>
        <v>954</v>
      </c>
    </row>
    <row r="614" spans="1:26" x14ac:dyDescent="0.25">
      <c r="A614" s="29" t="s">
        <v>1201</v>
      </c>
      <c r="B614" s="29" t="s">
        <v>79</v>
      </c>
      <c r="C614" s="29" t="s">
        <v>1241</v>
      </c>
      <c r="D614" s="29">
        <v>37870475</v>
      </c>
      <c r="E614" s="32" t="s">
        <v>1242</v>
      </c>
      <c r="F614" s="29">
        <v>17078482</v>
      </c>
      <c r="G614" s="32" t="s">
        <v>733</v>
      </c>
      <c r="H614" s="32" t="s">
        <v>1223</v>
      </c>
      <c r="I614" s="33" t="s">
        <v>1296</v>
      </c>
      <c r="J614" s="42">
        <f>VLOOKUP(F614,[8]Hárok1!$F$546:$S$794,5,0)</f>
        <v>8</v>
      </c>
      <c r="K614" s="43">
        <f>VLOOKUP(F614,[8]Hárok1!$F$546:$S$794,6,0)</f>
        <v>0</v>
      </c>
      <c r="L614" s="43">
        <f>VLOOKUP(F614,[8]Hárok1!$F$546:$S$794,7,0)</f>
        <v>30</v>
      </c>
      <c r="M614" s="43">
        <f>VLOOKUP(F614,[8]Hárok1!$F$546:$S$794,8,0)</f>
        <v>0</v>
      </c>
      <c r="N614" s="43">
        <f>VLOOKUP(F614,[8]Hárok1!$F$546:$S$794,9,0)</f>
        <v>0</v>
      </c>
      <c r="O614" s="43">
        <f>VLOOKUP(F614,[8]Hárok1!$F$546:$S$794,10,0)</f>
        <v>12</v>
      </c>
      <c r="P614" s="44">
        <f>VLOOKUP(F614,[8]Hárok1!$F$546:$S$794,11,0)</f>
        <v>1</v>
      </c>
      <c r="Q614" s="42">
        <f>VLOOKUP(F614,[8]Hárok1!$F$546:$S$794,12,0)</f>
        <v>0</v>
      </c>
      <c r="R614" s="43">
        <f>VLOOKUP(F614,[8]Hárok1!$F$546:$S$794,13,0)</f>
        <v>303</v>
      </c>
      <c r="S614" s="44">
        <f>VLOOKUP(F614,[8]Hárok1!$F$546:$S$794,14,0)</f>
        <v>101</v>
      </c>
      <c r="T614" s="45">
        <f t="shared" si="54"/>
        <v>1005</v>
      </c>
      <c r="U614" s="46">
        <f>VLOOKUP(F614,[8]Hárok1!$F$546:$U$794,16,0)</f>
        <v>0</v>
      </c>
      <c r="V614" s="47">
        <f t="shared" si="55"/>
        <v>0</v>
      </c>
      <c r="W614" s="47">
        <f t="shared" si="56"/>
        <v>768</v>
      </c>
      <c r="X614" s="48">
        <f t="shared" si="57"/>
        <v>178.5</v>
      </c>
      <c r="Y614" s="49">
        <f t="shared" si="59"/>
        <v>1951.5</v>
      </c>
      <c r="Z614" s="50">
        <f t="shared" si="58"/>
        <v>1952</v>
      </c>
    </row>
    <row r="615" spans="1:26" x14ac:dyDescent="0.25">
      <c r="A615" s="29" t="s">
        <v>1201</v>
      </c>
      <c r="B615" s="29" t="s">
        <v>79</v>
      </c>
      <c r="C615" s="29" t="s">
        <v>1241</v>
      </c>
      <c r="D615" s="29">
        <v>37870475</v>
      </c>
      <c r="E615" s="32" t="s">
        <v>1242</v>
      </c>
      <c r="F615" s="29">
        <v>51896109</v>
      </c>
      <c r="G615" s="32" t="s">
        <v>907</v>
      </c>
      <c r="H615" s="32" t="s">
        <v>1223</v>
      </c>
      <c r="I615" s="33" t="s">
        <v>1297</v>
      </c>
      <c r="J615" s="42">
        <f>VLOOKUP(F615,[8]Hárok1!$F$546:$S$794,5,0)</f>
        <v>8</v>
      </c>
      <c r="K615" s="43">
        <f>VLOOKUP(F615,[8]Hárok1!$F$546:$S$794,6,0)</f>
        <v>0</v>
      </c>
      <c r="L615" s="43">
        <f>VLOOKUP(F615,[8]Hárok1!$F$546:$S$794,7,0)</f>
        <v>34</v>
      </c>
      <c r="M615" s="43">
        <f>VLOOKUP(F615,[8]Hárok1!$F$546:$S$794,8,0)</f>
        <v>0</v>
      </c>
      <c r="N615" s="43">
        <f>VLOOKUP(F615,[8]Hárok1!$F$546:$S$794,9,0)</f>
        <v>0</v>
      </c>
      <c r="O615" s="43">
        <f>VLOOKUP(F615,[8]Hárok1!$F$546:$S$794,10,0)</f>
        <v>11</v>
      </c>
      <c r="P615" s="44">
        <f>VLOOKUP(F615,[8]Hárok1!$F$546:$S$794,11,0)</f>
        <v>1</v>
      </c>
      <c r="Q615" s="42">
        <f>VLOOKUP(F615,[8]Hárok1!$F$546:$S$794,12,0)</f>
        <v>0</v>
      </c>
      <c r="R615" s="43">
        <f>VLOOKUP(F615,[8]Hárok1!$F$546:$S$794,13,0)</f>
        <v>317</v>
      </c>
      <c r="S615" s="44">
        <f>VLOOKUP(F615,[8]Hárok1!$F$546:$S$794,14,0)</f>
        <v>80</v>
      </c>
      <c r="T615" s="45">
        <f t="shared" si="54"/>
        <v>1139</v>
      </c>
      <c r="U615" s="46">
        <f>VLOOKUP(F615,[8]Hárok1!$F$546:$U$794,16,0)</f>
        <v>353.74</v>
      </c>
      <c r="V615" s="47">
        <f t="shared" si="55"/>
        <v>0</v>
      </c>
      <c r="W615" s="47">
        <f t="shared" si="56"/>
        <v>782.5</v>
      </c>
      <c r="X615" s="48">
        <f t="shared" si="57"/>
        <v>147</v>
      </c>
      <c r="Y615" s="49">
        <f t="shared" si="59"/>
        <v>2422.2399999999998</v>
      </c>
      <c r="Z615" s="50">
        <f t="shared" si="58"/>
        <v>2422</v>
      </c>
    </row>
    <row r="616" spans="1:26" x14ac:dyDescent="0.25">
      <c r="A616" s="29" t="s">
        <v>1201</v>
      </c>
      <c r="B616" s="29" t="s">
        <v>79</v>
      </c>
      <c r="C616" s="29" t="s">
        <v>1241</v>
      </c>
      <c r="D616" s="29">
        <v>37870475</v>
      </c>
      <c r="E616" s="32" t="s">
        <v>1242</v>
      </c>
      <c r="F616" s="29">
        <v>162825</v>
      </c>
      <c r="G616" s="32" t="s">
        <v>141</v>
      </c>
      <c r="H616" s="32" t="s">
        <v>1223</v>
      </c>
      <c r="I616" s="33" t="s">
        <v>1298</v>
      </c>
      <c r="J616" s="42">
        <f>VLOOKUP(F616,[8]Hárok1!$F$546:$S$794,5,0)</f>
        <v>19</v>
      </c>
      <c r="K616" s="43">
        <f>VLOOKUP(F616,[8]Hárok1!$F$546:$S$794,6,0)</f>
        <v>0</v>
      </c>
      <c r="L616" s="43">
        <f>VLOOKUP(F616,[8]Hárok1!$F$546:$S$794,7,0)</f>
        <v>73</v>
      </c>
      <c r="M616" s="43">
        <f>VLOOKUP(F616,[8]Hárok1!$F$546:$S$794,8,0)</f>
        <v>0</v>
      </c>
      <c r="N616" s="43">
        <f>VLOOKUP(F616,[8]Hárok1!$F$546:$S$794,9,0)</f>
        <v>1</v>
      </c>
      <c r="O616" s="43">
        <f>VLOOKUP(F616,[8]Hárok1!$F$546:$S$794,10,0)</f>
        <v>24</v>
      </c>
      <c r="P616" s="44">
        <f>VLOOKUP(F616,[8]Hárok1!$F$546:$S$794,11,0)</f>
        <v>2</v>
      </c>
      <c r="Q616" s="42">
        <f>VLOOKUP(F616,[8]Hárok1!$F$546:$S$794,12,0)</f>
        <v>9</v>
      </c>
      <c r="R616" s="43">
        <f>VLOOKUP(F616,[8]Hárok1!$F$546:$S$794,13,0)</f>
        <v>661</v>
      </c>
      <c r="S616" s="44">
        <f>VLOOKUP(F616,[8]Hárok1!$F$546:$S$794,14,0)</f>
        <v>284</v>
      </c>
      <c r="T616" s="45">
        <f t="shared" si="54"/>
        <v>2445.5</v>
      </c>
      <c r="U616" s="46">
        <f>VLOOKUP(F616,[8]Hárok1!$F$546:$U$794,16,0)</f>
        <v>0</v>
      </c>
      <c r="V616" s="47">
        <f t="shared" si="55"/>
        <v>27</v>
      </c>
      <c r="W616" s="47">
        <f t="shared" si="56"/>
        <v>1646</v>
      </c>
      <c r="X616" s="48">
        <f t="shared" si="57"/>
        <v>480</v>
      </c>
      <c r="Y616" s="49">
        <f t="shared" si="59"/>
        <v>4598.5</v>
      </c>
      <c r="Z616" s="50">
        <f t="shared" si="58"/>
        <v>4599</v>
      </c>
    </row>
    <row r="617" spans="1:26" x14ac:dyDescent="0.25">
      <c r="A617" s="29" t="s">
        <v>1201</v>
      </c>
      <c r="B617" s="29" t="s">
        <v>79</v>
      </c>
      <c r="C617" s="29" t="s">
        <v>1241</v>
      </c>
      <c r="D617" s="29">
        <v>37870475</v>
      </c>
      <c r="E617" s="32" t="s">
        <v>1242</v>
      </c>
      <c r="F617" s="29">
        <v>37880080</v>
      </c>
      <c r="G617" s="32" t="s">
        <v>677</v>
      </c>
      <c r="H617" s="32" t="s">
        <v>1223</v>
      </c>
      <c r="I617" s="33" t="s">
        <v>1299</v>
      </c>
      <c r="J617" s="42">
        <f>VLOOKUP(F617,[8]Hárok1!$F$546:$S$794,5,0)</f>
        <v>4</v>
      </c>
      <c r="K617" s="43">
        <f>VLOOKUP(F617,[8]Hárok1!$F$546:$S$794,6,0)</f>
        <v>0</v>
      </c>
      <c r="L617" s="43">
        <f>VLOOKUP(F617,[8]Hárok1!$F$546:$S$794,7,0)</f>
        <v>30</v>
      </c>
      <c r="M617" s="43">
        <f>VLOOKUP(F617,[8]Hárok1!$F$546:$S$794,8,0)</f>
        <v>0</v>
      </c>
      <c r="N617" s="43">
        <f>VLOOKUP(F617,[8]Hárok1!$F$546:$S$794,9,0)</f>
        <v>0</v>
      </c>
      <c r="O617" s="43">
        <f>VLOOKUP(F617,[8]Hárok1!$F$546:$S$794,10,0)</f>
        <v>9</v>
      </c>
      <c r="P617" s="44">
        <f>VLOOKUP(F617,[8]Hárok1!$F$546:$S$794,11,0)</f>
        <v>2</v>
      </c>
      <c r="Q617" s="42">
        <f>VLOOKUP(F617,[8]Hárok1!$F$546:$S$794,12,0)</f>
        <v>0</v>
      </c>
      <c r="R617" s="43">
        <f>VLOOKUP(F617,[8]Hárok1!$F$546:$S$794,13,0)</f>
        <v>242</v>
      </c>
      <c r="S617" s="44">
        <f>VLOOKUP(F617,[8]Hárok1!$F$546:$S$794,14,0)</f>
        <v>56</v>
      </c>
      <c r="T617" s="45">
        <f t="shared" si="54"/>
        <v>1005</v>
      </c>
      <c r="U617" s="46">
        <f>VLOOKUP(F617,[8]Hárok1!$F$546:$U$794,16,0)</f>
        <v>29.7</v>
      </c>
      <c r="V617" s="47">
        <f t="shared" si="55"/>
        <v>0</v>
      </c>
      <c r="W617" s="47">
        <f t="shared" si="56"/>
        <v>605.5</v>
      </c>
      <c r="X617" s="48">
        <f t="shared" si="57"/>
        <v>138</v>
      </c>
      <c r="Y617" s="49">
        <f t="shared" si="59"/>
        <v>1778.2</v>
      </c>
      <c r="Z617" s="50">
        <f t="shared" si="58"/>
        <v>1778</v>
      </c>
    </row>
    <row r="618" spans="1:26" x14ac:dyDescent="0.25">
      <c r="A618" s="29" t="s">
        <v>1201</v>
      </c>
      <c r="B618" s="29" t="s">
        <v>79</v>
      </c>
      <c r="C618" s="29" t="s">
        <v>1241</v>
      </c>
      <c r="D618" s="29">
        <v>37870475</v>
      </c>
      <c r="E618" s="32" t="s">
        <v>1242</v>
      </c>
      <c r="F618" s="29">
        <v>893251</v>
      </c>
      <c r="G618" s="32" t="s">
        <v>154</v>
      </c>
      <c r="H618" s="32" t="s">
        <v>1223</v>
      </c>
      <c r="I618" s="33" t="s">
        <v>1300</v>
      </c>
      <c r="J618" s="42">
        <f>VLOOKUP(F618,[8]Hárok1!$F$546:$S$794,5,0)</f>
        <v>13</v>
      </c>
      <c r="K618" s="43">
        <f>VLOOKUP(F618,[8]Hárok1!$F$546:$S$794,6,0)</f>
        <v>0</v>
      </c>
      <c r="L618" s="43">
        <f>VLOOKUP(F618,[8]Hárok1!$F$546:$S$794,7,0)</f>
        <v>67</v>
      </c>
      <c r="M618" s="43">
        <f>VLOOKUP(F618,[8]Hárok1!$F$546:$S$794,8,0)</f>
        <v>0</v>
      </c>
      <c r="N618" s="43">
        <f>VLOOKUP(F618,[8]Hárok1!$F$546:$S$794,9,0)</f>
        <v>0</v>
      </c>
      <c r="O618" s="43">
        <f>VLOOKUP(F618,[8]Hárok1!$F$546:$S$794,10,0)</f>
        <v>27</v>
      </c>
      <c r="P618" s="44">
        <f>VLOOKUP(F618,[8]Hárok1!$F$546:$S$794,11,0)</f>
        <v>2</v>
      </c>
      <c r="Q618" s="42">
        <f>VLOOKUP(F618,[8]Hárok1!$F$546:$S$794,12,0)</f>
        <v>0</v>
      </c>
      <c r="R618" s="43">
        <f>VLOOKUP(F618,[8]Hárok1!$F$546:$S$794,13,0)</f>
        <v>427</v>
      </c>
      <c r="S618" s="44">
        <f>VLOOKUP(F618,[8]Hárok1!$F$546:$S$794,14,0)</f>
        <v>68</v>
      </c>
      <c r="T618" s="45">
        <f t="shared" si="54"/>
        <v>2244.5</v>
      </c>
      <c r="U618" s="46">
        <f>VLOOKUP(F618,[8]Hárok1!$F$546:$U$794,16,0)</f>
        <v>0</v>
      </c>
      <c r="V618" s="47">
        <f t="shared" si="55"/>
        <v>0</v>
      </c>
      <c r="W618" s="47">
        <f t="shared" si="56"/>
        <v>1218.5</v>
      </c>
      <c r="X618" s="48">
        <f t="shared" si="57"/>
        <v>156</v>
      </c>
      <c r="Y618" s="49">
        <f t="shared" si="59"/>
        <v>3619</v>
      </c>
      <c r="Z618" s="50">
        <f t="shared" si="58"/>
        <v>3619</v>
      </c>
    </row>
    <row r="619" spans="1:26" x14ac:dyDescent="0.25">
      <c r="A619" s="29" t="s">
        <v>1201</v>
      </c>
      <c r="B619" s="29" t="s">
        <v>79</v>
      </c>
      <c r="C619" s="29" t="s">
        <v>1241</v>
      </c>
      <c r="D619" s="29">
        <v>37870475</v>
      </c>
      <c r="E619" s="32" t="s">
        <v>1242</v>
      </c>
      <c r="F619" s="29">
        <v>161829</v>
      </c>
      <c r="G619" s="32" t="s">
        <v>88</v>
      </c>
      <c r="H619" s="32" t="s">
        <v>1223</v>
      </c>
      <c r="I619" s="33" t="s">
        <v>1301</v>
      </c>
      <c r="J619" s="42">
        <f>VLOOKUP(F619,[8]Hárok1!$F$546:$S$794,5,0)</f>
        <v>13</v>
      </c>
      <c r="K619" s="43">
        <f>VLOOKUP(F619,[8]Hárok1!$F$546:$S$794,6,0)</f>
        <v>0</v>
      </c>
      <c r="L619" s="43">
        <f>VLOOKUP(F619,[8]Hárok1!$F$546:$S$794,7,0)</f>
        <v>51</v>
      </c>
      <c r="M619" s="43">
        <f>VLOOKUP(F619,[8]Hárok1!$F$546:$S$794,8,0)</f>
        <v>0</v>
      </c>
      <c r="N619" s="43">
        <f>VLOOKUP(F619,[8]Hárok1!$F$546:$S$794,9,0)</f>
        <v>0</v>
      </c>
      <c r="O619" s="43">
        <f>VLOOKUP(F619,[8]Hárok1!$F$546:$S$794,10,0)</f>
        <v>21</v>
      </c>
      <c r="P619" s="44">
        <f>VLOOKUP(F619,[8]Hárok1!$F$546:$S$794,11,0)</f>
        <v>0</v>
      </c>
      <c r="Q619" s="42">
        <f>VLOOKUP(F619,[8]Hárok1!$F$546:$S$794,12,0)</f>
        <v>0</v>
      </c>
      <c r="R619" s="43">
        <f>VLOOKUP(F619,[8]Hárok1!$F$546:$S$794,13,0)</f>
        <v>498</v>
      </c>
      <c r="S619" s="44">
        <f>VLOOKUP(F619,[8]Hárok1!$F$546:$S$794,14,0)</f>
        <v>0</v>
      </c>
      <c r="T619" s="45">
        <f t="shared" si="54"/>
        <v>1708.5</v>
      </c>
      <c r="U619" s="46">
        <f>VLOOKUP(F619,[8]Hárok1!$F$546:$U$794,16,0)</f>
        <v>0</v>
      </c>
      <c r="V619" s="47">
        <f t="shared" si="55"/>
        <v>0</v>
      </c>
      <c r="W619" s="47">
        <f t="shared" si="56"/>
        <v>1279.5</v>
      </c>
      <c r="X619" s="48">
        <f t="shared" si="57"/>
        <v>0</v>
      </c>
      <c r="Y619" s="49">
        <f t="shared" si="59"/>
        <v>2988</v>
      </c>
      <c r="Z619" s="50">
        <f t="shared" si="58"/>
        <v>2988</v>
      </c>
    </row>
    <row r="620" spans="1:26" x14ac:dyDescent="0.25">
      <c r="A620" s="29" t="s">
        <v>1201</v>
      </c>
      <c r="B620" s="29" t="s">
        <v>79</v>
      </c>
      <c r="C620" s="29" t="s">
        <v>1241</v>
      </c>
      <c r="D620" s="29">
        <v>37870475</v>
      </c>
      <c r="E620" s="32" t="s">
        <v>1242</v>
      </c>
      <c r="F620" s="29">
        <v>161837</v>
      </c>
      <c r="G620" s="32" t="s">
        <v>706</v>
      </c>
      <c r="H620" s="32" t="s">
        <v>1223</v>
      </c>
      <c r="I620" s="33" t="s">
        <v>1302</v>
      </c>
      <c r="J620" s="42">
        <f>VLOOKUP(F620,[8]Hárok1!$F$546:$S$794,5,0)</f>
        <v>6</v>
      </c>
      <c r="K620" s="43">
        <f>VLOOKUP(F620,[8]Hárok1!$F$546:$S$794,6,0)</f>
        <v>0</v>
      </c>
      <c r="L620" s="43">
        <f>VLOOKUP(F620,[8]Hárok1!$F$546:$S$794,7,0)</f>
        <v>28</v>
      </c>
      <c r="M620" s="43">
        <f>VLOOKUP(F620,[8]Hárok1!$F$546:$S$794,8,0)</f>
        <v>0</v>
      </c>
      <c r="N620" s="43">
        <f>VLOOKUP(F620,[8]Hárok1!$F$546:$S$794,9,0)</f>
        <v>0</v>
      </c>
      <c r="O620" s="43">
        <f>VLOOKUP(F620,[8]Hárok1!$F$546:$S$794,10,0)</f>
        <v>15</v>
      </c>
      <c r="P620" s="44">
        <f>VLOOKUP(F620,[8]Hárok1!$F$546:$S$794,11,0)</f>
        <v>0</v>
      </c>
      <c r="Q620" s="42">
        <f>VLOOKUP(F620,[8]Hárok1!$F$546:$S$794,12,0)</f>
        <v>0</v>
      </c>
      <c r="R620" s="43">
        <f>VLOOKUP(F620,[8]Hárok1!$F$546:$S$794,13,0)</f>
        <v>263</v>
      </c>
      <c r="S620" s="44">
        <f>VLOOKUP(F620,[8]Hárok1!$F$546:$S$794,14,0)</f>
        <v>0</v>
      </c>
      <c r="T620" s="45">
        <f t="shared" si="54"/>
        <v>938</v>
      </c>
      <c r="U620" s="46">
        <f>VLOOKUP(F620,[8]Hárok1!$F$546:$U$794,16,0)</f>
        <v>200.55</v>
      </c>
      <c r="V620" s="47">
        <f t="shared" si="55"/>
        <v>0</v>
      </c>
      <c r="W620" s="47">
        <f t="shared" si="56"/>
        <v>728.5</v>
      </c>
      <c r="X620" s="48">
        <f t="shared" si="57"/>
        <v>0</v>
      </c>
      <c r="Y620" s="49">
        <f t="shared" si="59"/>
        <v>1867.05</v>
      </c>
      <c r="Z620" s="50">
        <f t="shared" si="58"/>
        <v>1867</v>
      </c>
    </row>
    <row r="621" spans="1:26" x14ac:dyDescent="0.25">
      <c r="A621" s="29" t="s">
        <v>1201</v>
      </c>
      <c r="B621" s="29" t="s">
        <v>79</v>
      </c>
      <c r="C621" s="29" t="s">
        <v>1241</v>
      </c>
      <c r="D621" s="29">
        <v>37870475</v>
      </c>
      <c r="E621" s="32" t="s">
        <v>1242</v>
      </c>
      <c r="F621" s="29">
        <v>161845</v>
      </c>
      <c r="G621" s="32" t="s">
        <v>90</v>
      </c>
      <c r="H621" s="32" t="s">
        <v>1223</v>
      </c>
      <c r="I621" s="33" t="s">
        <v>1303</v>
      </c>
      <c r="J621" s="42">
        <f>VLOOKUP(F621,[8]Hárok1!$F$546:$S$794,5,0)</f>
        <v>4</v>
      </c>
      <c r="K621" s="43">
        <f>VLOOKUP(F621,[8]Hárok1!$F$546:$S$794,6,0)</f>
        <v>0</v>
      </c>
      <c r="L621" s="43">
        <f>VLOOKUP(F621,[8]Hárok1!$F$546:$S$794,7,0)</f>
        <v>28</v>
      </c>
      <c r="M621" s="43">
        <f>VLOOKUP(F621,[8]Hárok1!$F$546:$S$794,8,0)</f>
        <v>0</v>
      </c>
      <c r="N621" s="43">
        <f>VLOOKUP(F621,[8]Hárok1!$F$546:$S$794,9,0)</f>
        <v>0</v>
      </c>
      <c r="O621" s="43">
        <f>VLOOKUP(F621,[8]Hárok1!$F$546:$S$794,10,0)</f>
        <v>15</v>
      </c>
      <c r="P621" s="44">
        <f>VLOOKUP(F621,[8]Hárok1!$F$546:$S$794,11,0)</f>
        <v>0</v>
      </c>
      <c r="Q621" s="42">
        <f>VLOOKUP(F621,[8]Hárok1!$F$546:$S$794,12,0)</f>
        <v>0</v>
      </c>
      <c r="R621" s="43">
        <f>VLOOKUP(F621,[8]Hárok1!$F$546:$S$794,13,0)</f>
        <v>326</v>
      </c>
      <c r="S621" s="44">
        <f>VLOOKUP(F621,[8]Hárok1!$F$546:$S$794,14,0)</f>
        <v>0</v>
      </c>
      <c r="T621" s="45">
        <f t="shared" si="54"/>
        <v>938</v>
      </c>
      <c r="U621" s="46">
        <f>VLOOKUP(F621,[8]Hárok1!$F$546:$U$794,16,0)</f>
        <v>0</v>
      </c>
      <c r="V621" s="47">
        <f t="shared" si="55"/>
        <v>0</v>
      </c>
      <c r="W621" s="47">
        <f t="shared" si="56"/>
        <v>854.5</v>
      </c>
      <c r="X621" s="48">
        <f t="shared" si="57"/>
        <v>0</v>
      </c>
      <c r="Y621" s="49">
        <f t="shared" si="59"/>
        <v>1792.5</v>
      </c>
      <c r="Z621" s="50">
        <f t="shared" si="58"/>
        <v>1793</v>
      </c>
    </row>
    <row r="622" spans="1:26" x14ac:dyDescent="0.25">
      <c r="A622" s="29" t="s">
        <v>1201</v>
      </c>
      <c r="B622" s="29" t="s">
        <v>79</v>
      </c>
      <c r="C622" s="29" t="s">
        <v>1241</v>
      </c>
      <c r="D622" s="29">
        <v>37870475</v>
      </c>
      <c r="E622" s="32" t="s">
        <v>1242</v>
      </c>
      <c r="F622" s="29">
        <v>606804</v>
      </c>
      <c r="G622" s="32" t="s">
        <v>117</v>
      </c>
      <c r="H622" s="32" t="s">
        <v>1223</v>
      </c>
      <c r="I622" s="33" t="s">
        <v>1304</v>
      </c>
      <c r="J622" s="42">
        <f>VLOOKUP(F622,[8]Hárok1!$F$546:$S$794,5,0)</f>
        <v>15</v>
      </c>
      <c r="K622" s="43">
        <f>VLOOKUP(F622,[8]Hárok1!$F$546:$S$794,6,0)</f>
        <v>0</v>
      </c>
      <c r="L622" s="43">
        <f>VLOOKUP(F622,[8]Hárok1!$F$546:$S$794,7,0)</f>
        <v>100</v>
      </c>
      <c r="M622" s="43">
        <f>VLOOKUP(F622,[8]Hárok1!$F$546:$S$794,8,0)</f>
        <v>0</v>
      </c>
      <c r="N622" s="43">
        <f>VLOOKUP(F622,[8]Hárok1!$F$546:$S$794,9,0)</f>
        <v>0</v>
      </c>
      <c r="O622" s="43">
        <f>VLOOKUP(F622,[8]Hárok1!$F$546:$S$794,10,0)</f>
        <v>34</v>
      </c>
      <c r="P622" s="44">
        <f>VLOOKUP(F622,[8]Hárok1!$F$546:$S$794,11,0)</f>
        <v>5</v>
      </c>
      <c r="Q622" s="42">
        <f>VLOOKUP(F622,[8]Hárok1!$F$546:$S$794,12,0)</f>
        <v>0</v>
      </c>
      <c r="R622" s="43">
        <f>VLOOKUP(F622,[8]Hárok1!$F$546:$S$794,13,0)</f>
        <v>813</v>
      </c>
      <c r="S622" s="44">
        <f>VLOOKUP(F622,[8]Hárok1!$F$546:$S$794,14,0)</f>
        <v>215</v>
      </c>
      <c r="T622" s="45">
        <f t="shared" si="54"/>
        <v>3350</v>
      </c>
      <c r="U622" s="46">
        <f>VLOOKUP(F622,[8]Hárok1!$F$546:$U$794,16,0)</f>
        <v>3396.7</v>
      </c>
      <c r="V622" s="47">
        <f t="shared" si="55"/>
        <v>0</v>
      </c>
      <c r="W622" s="47">
        <f t="shared" si="56"/>
        <v>2085</v>
      </c>
      <c r="X622" s="48">
        <f t="shared" si="57"/>
        <v>457.5</v>
      </c>
      <c r="Y622" s="49">
        <f t="shared" si="59"/>
        <v>9289.2000000000007</v>
      </c>
      <c r="Z622" s="50">
        <f t="shared" si="58"/>
        <v>9289</v>
      </c>
    </row>
    <row r="623" spans="1:26" x14ac:dyDescent="0.25">
      <c r="A623" s="29" t="s">
        <v>1201</v>
      </c>
      <c r="B623" s="29" t="s">
        <v>79</v>
      </c>
      <c r="C623" s="29" t="s">
        <v>1241</v>
      </c>
      <c r="D623" s="29">
        <v>37870475</v>
      </c>
      <c r="E623" s="32" t="s">
        <v>1242</v>
      </c>
      <c r="F623" s="29">
        <v>17078466</v>
      </c>
      <c r="G623" s="32" t="s">
        <v>119</v>
      </c>
      <c r="H623" s="32" t="s">
        <v>1223</v>
      </c>
      <c r="I623" s="33" t="s">
        <v>1305</v>
      </c>
      <c r="J623" s="42">
        <f>VLOOKUP(F623,[8]Hárok1!$F$546:$S$794,5,0)</f>
        <v>11</v>
      </c>
      <c r="K623" s="43">
        <f>VLOOKUP(F623,[8]Hárok1!$F$546:$S$794,6,0)</f>
        <v>0</v>
      </c>
      <c r="L623" s="43">
        <f>VLOOKUP(F623,[8]Hárok1!$F$546:$S$794,7,0)</f>
        <v>25</v>
      </c>
      <c r="M623" s="43">
        <f>VLOOKUP(F623,[8]Hárok1!$F$546:$S$794,8,0)</f>
        <v>0</v>
      </c>
      <c r="N623" s="43">
        <f>VLOOKUP(F623,[8]Hárok1!$F$546:$S$794,9,0)</f>
        <v>0</v>
      </c>
      <c r="O623" s="43">
        <f>VLOOKUP(F623,[8]Hárok1!$F$546:$S$794,10,0)</f>
        <v>26</v>
      </c>
      <c r="P623" s="44">
        <f>VLOOKUP(F623,[8]Hárok1!$F$546:$S$794,11,0)</f>
        <v>0</v>
      </c>
      <c r="Q623" s="42">
        <f>VLOOKUP(F623,[8]Hárok1!$F$546:$S$794,12,0)</f>
        <v>0</v>
      </c>
      <c r="R623" s="43">
        <f>VLOOKUP(F623,[8]Hárok1!$F$546:$S$794,13,0)</f>
        <v>274</v>
      </c>
      <c r="S623" s="44">
        <f>VLOOKUP(F623,[8]Hárok1!$F$546:$S$794,14,0)</f>
        <v>0</v>
      </c>
      <c r="T623" s="45">
        <f t="shared" si="54"/>
        <v>837.5</v>
      </c>
      <c r="U623" s="46">
        <f>VLOOKUP(F623,[8]Hárok1!$F$546:$U$794,16,0)</f>
        <v>421.64</v>
      </c>
      <c r="V623" s="47">
        <f t="shared" si="55"/>
        <v>0</v>
      </c>
      <c r="W623" s="47">
        <f t="shared" si="56"/>
        <v>899</v>
      </c>
      <c r="X623" s="48">
        <f t="shared" si="57"/>
        <v>0</v>
      </c>
      <c r="Y623" s="49">
        <f t="shared" si="59"/>
        <v>2158.14</v>
      </c>
      <c r="Z623" s="50">
        <f t="shared" si="58"/>
        <v>2158</v>
      </c>
    </row>
    <row r="624" spans="1:26" x14ac:dyDescent="0.25">
      <c r="A624" s="29" t="s">
        <v>1201</v>
      </c>
      <c r="B624" s="29" t="s">
        <v>79</v>
      </c>
      <c r="C624" s="29" t="s">
        <v>1241</v>
      </c>
      <c r="D624" s="29">
        <v>37870475</v>
      </c>
      <c r="E624" s="32" t="s">
        <v>1242</v>
      </c>
      <c r="F624" s="29">
        <v>161047</v>
      </c>
      <c r="G624" s="32" t="s">
        <v>49</v>
      </c>
      <c r="H624" s="32" t="s">
        <v>1229</v>
      </c>
      <c r="I624" s="33" t="s">
        <v>410</v>
      </c>
      <c r="J624" s="42">
        <f>VLOOKUP(F624,[8]Hárok1!$F$546:$S$794,5,0)</f>
        <v>10</v>
      </c>
      <c r="K624" s="43">
        <f>VLOOKUP(F624,[8]Hárok1!$F$546:$S$794,6,0)</f>
        <v>0</v>
      </c>
      <c r="L624" s="43">
        <f>VLOOKUP(F624,[8]Hárok1!$F$546:$S$794,7,0)</f>
        <v>34</v>
      </c>
      <c r="M624" s="43">
        <f>VLOOKUP(F624,[8]Hárok1!$F$546:$S$794,8,0)</f>
        <v>0</v>
      </c>
      <c r="N624" s="43">
        <f>VLOOKUP(F624,[8]Hárok1!$F$546:$S$794,9,0)</f>
        <v>2</v>
      </c>
      <c r="O624" s="43">
        <f>VLOOKUP(F624,[8]Hárok1!$F$546:$S$794,10,0)</f>
        <v>13</v>
      </c>
      <c r="P624" s="44">
        <f>VLOOKUP(F624,[8]Hárok1!$F$546:$S$794,11,0)</f>
        <v>2</v>
      </c>
      <c r="Q624" s="42">
        <f>VLOOKUP(F624,[8]Hárok1!$F$546:$S$794,12,0)</f>
        <v>17</v>
      </c>
      <c r="R624" s="43">
        <f>VLOOKUP(F624,[8]Hárok1!$F$546:$S$794,13,0)</f>
        <v>189</v>
      </c>
      <c r="S624" s="44">
        <f>VLOOKUP(F624,[8]Hárok1!$F$546:$S$794,14,0)</f>
        <v>115</v>
      </c>
      <c r="T624" s="45">
        <f t="shared" si="54"/>
        <v>1139</v>
      </c>
      <c r="U624" s="46">
        <f>VLOOKUP(F624,[8]Hárok1!$F$546:$U$794,16,0)</f>
        <v>543</v>
      </c>
      <c r="V624" s="47">
        <f t="shared" si="55"/>
        <v>52.5</v>
      </c>
      <c r="W624" s="47">
        <f t="shared" si="56"/>
        <v>553.5</v>
      </c>
      <c r="X624" s="48">
        <f t="shared" si="57"/>
        <v>226.5</v>
      </c>
      <c r="Y624" s="49">
        <f t="shared" si="59"/>
        <v>2514.5</v>
      </c>
      <c r="Z624" s="50">
        <f t="shared" si="58"/>
        <v>2515</v>
      </c>
    </row>
    <row r="625" spans="1:26" x14ac:dyDescent="0.25">
      <c r="A625" s="29" t="s">
        <v>1201</v>
      </c>
      <c r="B625" s="29" t="s">
        <v>79</v>
      </c>
      <c r="C625" s="29" t="s">
        <v>1241</v>
      </c>
      <c r="D625" s="29">
        <v>37870475</v>
      </c>
      <c r="E625" s="32" t="s">
        <v>1242</v>
      </c>
      <c r="F625" s="29">
        <v>159476</v>
      </c>
      <c r="G625" s="32" t="s">
        <v>166</v>
      </c>
      <c r="H625" s="32" t="s">
        <v>1229</v>
      </c>
      <c r="I625" s="33" t="s">
        <v>1306</v>
      </c>
      <c r="J625" s="42">
        <f>VLOOKUP(F625,[8]Hárok1!$F$546:$S$794,5,0)</f>
        <v>16</v>
      </c>
      <c r="K625" s="43">
        <f>VLOOKUP(F625,[8]Hárok1!$F$546:$S$794,6,0)</f>
        <v>0</v>
      </c>
      <c r="L625" s="43">
        <f>VLOOKUP(F625,[8]Hárok1!$F$546:$S$794,7,0)</f>
        <v>65</v>
      </c>
      <c r="M625" s="43">
        <f>VLOOKUP(F625,[8]Hárok1!$F$546:$S$794,8,0)</f>
        <v>0</v>
      </c>
      <c r="N625" s="43">
        <f>VLOOKUP(F625,[8]Hárok1!$F$546:$S$794,9,0)</f>
        <v>1</v>
      </c>
      <c r="O625" s="43">
        <f>VLOOKUP(F625,[8]Hárok1!$F$546:$S$794,10,0)</f>
        <v>41</v>
      </c>
      <c r="P625" s="44">
        <f>VLOOKUP(F625,[8]Hárok1!$F$546:$S$794,11,0)</f>
        <v>3</v>
      </c>
      <c r="Q625" s="42">
        <f>VLOOKUP(F625,[8]Hárok1!$F$546:$S$794,12,0)</f>
        <v>8</v>
      </c>
      <c r="R625" s="43">
        <f>VLOOKUP(F625,[8]Hárok1!$F$546:$S$794,13,0)</f>
        <v>465</v>
      </c>
      <c r="S625" s="44">
        <f>VLOOKUP(F625,[8]Hárok1!$F$546:$S$794,14,0)</f>
        <v>160</v>
      </c>
      <c r="T625" s="45">
        <f t="shared" si="54"/>
        <v>2177.5</v>
      </c>
      <c r="U625" s="46">
        <f>VLOOKUP(F625,[8]Hárok1!$F$546:$U$794,16,0)</f>
        <v>598.6</v>
      </c>
      <c r="V625" s="47">
        <f t="shared" si="55"/>
        <v>25.5</v>
      </c>
      <c r="W625" s="47">
        <f t="shared" si="56"/>
        <v>1483.5</v>
      </c>
      <c r="X625" s="48">
        <f t="shared" si="57"/>
        <v>321</v>
      </c>
      <c r="Y625" s="49">
        <f t="shared" si="59"/>
        <v>4606.1000000000004</v>
      </c>
      <c r="Z625" s="50">
        <f t="shared" si="58"/>
        <v>4606</v>
      </c>
    </row>
    <row r="626" spans="1:26" x14ac:dyDescent="0.25">
      <c r="A626" s="29" t="s">
        <v>1201</v>
      </c>
      <c r="B626" s="29" t="s">
        <v>79</v>
      </c>
      <c r="C626" s="29" t="s">
        <v>1241</v>
      </c>
      <c r="D626" s="29">
        <v>37870475</v>
      </c>
      <c r="E626" s="32" t="s">
        <v>1242</v>
      </c>
      <c r="F626" s="29">
        <v>42383153</v>
      </c>
      <c r="G626" s="32" t="s">
        <v>52</v>
      </c>
      <c r="H626" s="32" t="s">
        <v>1166</v>
      </c>
      <c r="I626" s="33" t="s">
        <v>1307</v>
      </c>
      <c r="J626" s="42">
        <f>VLOOKUP(F626,[8]Hárok1!$F$546:$S$794,5,0)</f>
        <v>13</v>
      </c>
      <c r="K626" s="43" t="str">
        <f>VLOOKUP(F626,[8]Hárok1!$F$546:$S$794,6,0)</f>
        <v>,</v>
      </c>
      <c r="L626" s="43">
        <f>VLOOKUP(F626,[8]Hárok1!$F$546:$S$794,7,0)</f>
        <v>47</v>
      </c>
      <c r="M626" s="43">
        <f>VLOOKUP(F626,[8]Hárok1!$F$546:$S$794,8,0)</f>
        <v>0</v>
      </c>
      <c r="N626" s="43">
        <f>VLOOKUP(F626,[8]Hárok1!$F$546:$S$794,9,0)</f>
        <v>0</v>
      </c>
      <c r="O626" s="43">
        <f>VLOOKUP(F626,[8]Hárok1!$F$546:$S$794,10,0)</f>
        <v>24</v>
      </c>
      <c r="P626" s="44">
        <f>VLOOKUP(F626,[8]Hárok1!$F$546:$S$794,11,0)</f>
        <v>1</v>
      </c>
      <c r="Q626" s="42">
        <f>VLOOKUP(F626,[8]Hárok1!$F$546:$S$794,12,0)</f>
        <v>0</v>
      </c>
      <c r="R626" s="43">
        <f>VLOOKUP(F626,[8]Hárok1!$F$546:$S$794,13,0)</f>
        <v>253</v>
      </c>
      <c r="S626" s="44">
        <f>VLOOKUP(F626,[8]Hárok1!$F$546:$S$794,14,0)</f>
        <v>38</v>
      </c>
      <c r="T626" s="45">
        <f t="shared" si="54"/>
        <v>1574.5</v>
      </c>
      <c r="U626" s="46">
        <f>VLOOKUP(F626,[8]Hárok1!$F$546:$U$794,16,0)</f>
        <v>57.1</v>
      </c>
      <c r="V626" s="47">
        <f t="shared" si="55"/>
        <v>0</v>
      </c>
      <c r="W626" s="47">
        <f t="shared" si="56"/>
        <v>830</v>
      </c>
      <c r="X626" s="48">
        <f t="shared" si="57"/>
        <v>84</v>
      </c>
      <c r="Y626" s="49">
        <f t="shared" si="59"/>
        <v>2545.6</v>
      </c>
      <c r="Z626" s="50">
        <f t="shared" si="58"/>
        <v>2546</v>
      </c>
    </row>
    <row r="627" spans="1:26" x14ac:dyDescent="0.25">
      <c r="A627" s="29" t="s">
        <v>1201</v>
      </c>
      <c r="B627" s="29" t="s">
        <v>79</v>
      </c>
      <c r="C627" s="29" t="s">
        <v>1241</v>
      </c>
      <c r="D627" s="29">
        <v>37870475</v>
      </c>
      <c r="E627" s="32" t="s">
        <v>1242</v>
      </c>
      <c r="F627" s="29">
        <v>161179</v>
      </c>
      <c r="G627" s="32" t="s">
        <v>49</v>
      </c>
      <c r="H627" s="32" t="s">
        <v>1232</v>
      </c>
      <c r="I627" s="33" t="s">
        <v>1308</v>
      </c>
      <c r="J627" s="42">
        <f>VLOOKUP(F627,[8]Hárok1!$F$546:$S$794,5,0)</f>
        <v>8</v>
      </c>
      <c r="K627" s="43">
        <f>VLOOKUP(F627,[8]Hárok1!$F$546:$S$794,6,0)</f>
        <v>0</v>
      </c>
      <c r="L627" s="43">
        <f>VLOOKUP(F627,[8]Hárok1!$F$546:$S$794,7,0)</f>
        <v>23</v>
      </c>
      <c r="M627" s="43">
        <f>VLOOKUP(F627,[8]Hárok1!$F$546:$S$794,8,0)</f>
        <v>0</v>
      </c>
      <c r="N627" s="43">
        <f>VLOOKUP(F627,[8]Hárok1!$F$546:$S$794,9,0)</f>
        <v>1</v>
      </c>
      <c r="O627" s="43">
        <f>VLOOKUP(F627,[8]Hárok1!$F$546:$S$794,10,0)</f>
        <v>11</v>
      </c>
      <c r="P627" s="44">
        <f>VLOOKUP(F627,[8]Hárok1!$F$546:$S$794,11,0)</f>
        <v>2</v>
      </c>
      <c r="Q627" s="42">
        <f>VLOOKUP(F627,[8]Hárok1!$F$546:$S$794,12,0)</f>
        <v>36</v>
      </c>
      <c r="R627" s="43">
        <f>VLOOKUP(F627,[8]Hárok1!$F$546:$S$794,13,0)</f>
        <v>223</v>
      </c>
      <c r="S627" s="44">
        <f>VLOOKUP(F627,[8]Hárok1!$F$546:$S$794,14,0)</f>
        <v>109</v>
      </c>
      <c r="T627" s="45">
        <f t="shared" si="54"/>
        <v>770.5</v>
      </c>
      <c r="U627" s="46">
        <f>VLOOKUP(F627,[8]Hárok1!$F$546:$U$794,16,0)</f>
        <v>0</v>
      </c>
      <c r="V627" s="47">
        <f t="shared" si="55"/>
        <v>67.5</v>
      </c>
      <c r="W627" s="47">
        <f t="shared" si="56"/>
        <v>594.5</v>
      </c>
      <c r="X627" s="48">
        <f t="shared" si="57"/>
        <v>217.5</v>
      </c>
      <c r="Y627" s="49">
        <f t="shared" si="59"/>
        <v>1650</v>
      </c>
      <c r="Z627" s="50">
        <f t="shared" si="58"/>
        <v>1650</v>
      </c>
    </row>
    <row r="628" spans="1:26" x14ac:dyDescent="0.25">
      <c r="A628" s="29" t="s">
        <v>1201</v>
      </c>
      <c r="B628" s="29" t="s">
        <v>79</v>
      </c>
      <c r="C628" s="29" t="s">
        <v>1241</v>
      </c>
      <c r="D628" s="29">
        <v>37870475</v>
      </c>
      <c r="E628" s="32" t="s">
        <v>1242</v>
      </c>
      <c r="F628" s="29">
        <v>37878247</v>
      </c>
      <c r="G628" s="32" t="s">
        <v>575</v>
      </c>
      <c r="H628" s="32" t="s">
        <v>1232</v>
      </c>
      <c r="I628" s="33" t="s">
        <v>1309</v>
      </c>
      <c r="J628" s="42">
        <f>VLOOKUP(F628,[8]Hárok1!$F$546:$S$794,5,0)</f>
        <v>4</v>
      </c>
      <c r="K628" s="43">
        <f>VLOOKUP(F628,[8]Hárok1!$F$546:$S$794,6,0)</f>
        <v>2</v>
      </c>
      <c r="L628" s="43">
        <f>VLOOKUP(F628,[8]Hárok1!$F$546:$S$794,7,0)</f>
        <v>15</v>
      </c>
      <c r="M628" s="43">
        <f>VLOOKUP(F628,[8]Hárok1!$F$546:$S$794,8,0)</f>
        <v>6</v>
      </c>
      <c r="N628" s="43">
        <f>VLOOKUP(F628,[8]Hárok1!$F$546:$S$794,9,0)</f>
        <v>2</v>
      </c>
      <c r="O628" s="43">
        <f>VLOOKUP(F628,[8]Hárok1!$F$546:$S$794,10,0)</f>
        <v>9</v>
      </c>
      <c r="P628" s="44">
        <f>VLOOKUP(F628,[8]Hárok1!$F$546:$S$794,11,0)</f>
        <v>0</v>
      </c>
      <c r="Q628" s="42">
        <f>VLOOKUP(F628,[8]Hárok1!$F$546:$S$794,12,0)</f>
        <v>27</v>
      </c>
      <c r="R628" s="43">
        <f>VLOOKUP(F628,[8]Hárok1!$F$546:$S$794,13,0)</f>
        <v>181</v>
      </c>
      <c r="S628" s="44">
        <f>VLOOKUP(F628,[8]Hárok1!$F$546:$S$794,14,0)</f>
        <v>0</v>
      </c>
      <c r="T628" s="45">
        <f t="shared" si="54"/>
        <v>502.5</v>
      </c>
      <c r="U628" s="46">
        <f>VLOOKUP(F628,[8]Hárok1!$F$546:$U$794,16,0)</f>
        <v>28.8</v>
      </c>
      <c r="V628" s="47">
        <f t="shared" si="55"/>
        <v>67.5</v>
      </c>
      <c r="W628" s="47">
        <f t="shared" si="56"/>
        <v>483.5</v>
      </c>
      <c r="X628" s="48">
        <f t="shared" si="57"/>
        <v>0</v>
      </c>
      <c r="Y628" s="49">
        <f t="shared" si="59"/>
        <v>1082.3</v>
      </c>
      <c r="Z628" s="50">
        <f t="shared" si="58"/>
        <v>1082</v>
      </c>
    </row>
    <row r="629" spans="1:26" x14ac:dyDescent="0.25">
      <c r="A629" s="29" t="s">
        <v>1201</v>
      </c>
      <c r="B629" s="29" t="s">
        <v>79</v>
      </c>
      <c r="C629" s="29" t="s">
        <v>1241</v>
      </c>
      <c r="D629" s="29">
        <v>37870475</v>
      </c>
      <c r="E629" s="32" t="s">
        <v>1242</v>
      </c>
      <c r="F629" s="29">
        <v>161721</v>
      </c>
      <c r="G629" s="32" t="s">
        <v>573</v>
      </c>
      <c r="H629" s="32" t="s">
        <v>1232</v>
      </c>
      <c r="I629" s="33" t="s">
        <v>1310</v>
      </c>
      <c r="J629" s="42">
        <f>VLOOKUP(F629,[8]Hárok1!$F$546:$S$794,5,0)</f>
        <v>10</v>
      </c>
      <c r="K629" s="43">
        <f>VLOOKUP(F629,[8]Hárok1!$F$546:$S$794,6,0)</f>
        <v>0</v>
      </c>
      <c r="L629" s="43">
        <f>VLOOKUP(F629,[8]Hárok1!$F$546:$S$794,7,0)</f>
        <v>22</v>
      </c>
      <c r="M629" s="43">
        <f>VLOOKUP(F629,[8]Hárok1!$F$546:$S$794,8,0)</f>
        <v>0</v>
      </c>
      <c r="N629" s="43">
        <f>VLOOKUP(F629,[8]Hárok1!$F$546:$S$794,9,0)</f>
        <v>0</v>
      </c>
      <c r="O629" s="43">
        <f>VLOOKUP(F629,[8]Hárok1!$F$546:$S$794,10,0)</f>
        <v>12</v>
      </c>
      <c r="P629" s="44">
        <f>VLOOKUP(F629,[8]Hárok1!$F$546:$S$794,11,0)</f>
        <v>0</v>
      </c>
      <c r="Q629" s="42">
        <f>VLOOKUP(F629,[8]Hárok1!$F$546:$S$794,12,0)</f>
        <v>0</v>
      </c>
      <c r="R629" s="43">
        <f>VLOOKUP(F629,[8]Hárok1!$F$546:$S$794,13,0)</f>
        <v>204</v>
      </c>
      <c r="S629" s="44">
        <f>VLOOKUP(F629,[8]Hárok1!$F$546:$S$794,14,0)</f>
        <v>0</v>
      </c>
      <c r="T629" s="45">
        <f t="shared" si="54"/>
        <v>737</v>
      </c>
      <c r="U629" s="46">
        <f>VLOOKUP(F629,[8]Hárok1!$F$546:$U$794,16,0)</f>
        <v>0</v>
      </c>
      <c r="V629" s="47">
        <f t="shared" si="55"/>
        <v>0</v>
      </c>
      <c r="W629" s="47">
        <f t="shared" si="56"/>
        <v>570</v>
      </c>
      <c r="X629" s="48">
        <f t="shared" si="57"/>
        <v>0</v>
      </c>
      <c r="Y629" s="49">
        <f t="shared" si="59"/>
        <v>1307</v>
      </c>
      <c r="Z629" s="50">
        <f t="shared" si="58"/>
        <v>1307</v>
      </c>
    </row>
    <row r="630" spans="1:26" x14ac:dyDescent="0.25">
      <c r="A630" s="29" t="s">
        <v>1201</v>
      </c>
      <c r="B630" s="29" t="s">
        <v>79</v>
      </c>
      <c r="C630" s="29" t="s">
        <v>1241</v>
      </c>
      <c r="D630" s="29">
        <v>37870475</v>
      </c>
      <c r="E630" s="32" t="s">
        <v>1242</v>
      </c>
      <c r="F630" s="29">
        <v>161217</v>
      </c>
      <c r="G630" s="32" t="s">
        <v>1311</v>
      </c>
      <c r="H630" s="32" t="s">
        <v>1234</v>
      </c>
      <c r="I630" s="33" t="s">
        <v>1312</v>
      </c>
      <c r="J630" s="42">
        <f>VLOOKUP(F630,[8]Hárok1!$F$546:$S$794,5,0)</f>
        <v>8</v>
      </c>
      <c r="K630" s="43">
        <f>VLOOKUP(F630,[8]Hárok1!$F$546:$S$794,6,0)</f>
        <v>0</v>
      </c>
      <c r="L630" s="43">
        <f>VLOOKUP(F630,[8]Hárok1!$F$546:$S$794,7,0)</f>
        <v>25</v>
      </c>
      <c r="M630" s="43">
        <f>VLOOKUP(F630,[8]Hárok1!$F$546:$S$794,8,0)</f>
        <v>0</v>
      </c>
      <c r="N630" s="43">
        <f>VLOOKUP(F630,[8]Hárok1!$F$546:$S$794,9,0)</f>
        <v>0</v>
      </c>
      <c r="O630" s="43">
        <f>VLOOKUP(F630,[8]Hárok1!$F$546:$S$794,10,0)</f>
        <v>12</v>
      </c>
      <c r="P630" s="44">
        <f>VLOOKUP(F630,[8]Hárok1!$F$546:$S$794,11,0)</f>
        <v>2</v>
      </c>
      <c r="Q630" s="42">
        <f>VLOOKUP(F630,[8]Hárok1!$F$546:$S$794,12,0)</f>
        <v>0</v>
      </c>
      <c r="R630" s="43">
        <f>VLOOKUP(F630,[8]Hárok1!$F$546:$S$794,13,0)</f>
        <v>176</v>
      </c>
      <c r="S630" s="44">
        <f>VLOOKUP(F630,[8]Hárok1!$F$546:$S$794,14,0)</f>
        <v>81</v>
      </c>
      <c r="T630" s="45">
        <f t="shared" si="54"/>
        <v>837.5</v>
      </c>
      <c r="U630" s="46">
        <f>VLOOKUP(F630,[8]Hárok1!$F$546:$U$794,16,0)</f>
        <v>122.45</v>
      </c>
      <c r="V630" s="47">
        <f t="shared" si="55"/>
        <v>0</v>
      </c>
      <c r="W630" s="47">
        <f t="shared" si="56"/>
        <v>514</v>
      </c>
      <c r="X630" s="48">
        <f t="shared" si="57"/>
        <v>175.5</v>
      </c>
      <c r="Y630" s="49">
        <f t="shared" si="59"/>
        <v>1649.45</v>
      </c>
      <c r="Z630" s="50">
        <f t="shared" si="58"/>
        <v>1649</v>
      </c>
    </row>
    <row r="631" spans="1:26" x14ac:dyDescent="0.25">
      <c r="A631" s="29" t="s">
        <v>1201</v>
      </c>
      <c r="B631" s="29" t="s">
        <v>79</v>
      </c>
      <c r="C631" s="29" t="s">
        <v>1241</v>
      </c>
      <c r="D631" s="29">
        <v>37870475</v>
      </c>
      <c r="E631" s="32" t="s">
        <v>1242</v>
      </c>
      <c r="F631" s="29">
        <v>53265301</v>
      </c>
      <c r="G631" s="32" t="s">
        <v>52</v>
      </c>
      <c r="H631" s="32" t="s">
        <v>1234</v>
      </c>
      <c r="I631" s="33" t="s">
        <v>1313</v>
      </c>
      <c r="J631" s="42">
        <f>VLOOKUP(F631,[8]Hárok1!$F$546:$S$794,5,0)</f>
        <v>13</v>
      </c>
      <c r="K631" s="43">
        <f>VLOOKUP(F631,[8]Hárok1!$F$546:$S$794,6,0)</f>
        <v>0</v>
      </c>
      <c r="L631" s="43">
        <f>VLOOKUP(F631,[8]Hárok1!$F$546:$S$794,7,0)</f>
        <v>46</v>
      </c>
      <c r="M631" s="43">
        <f>VLOOKUP(F631,[8]Hárok1!$F$546:$S$794,8,0)</f>
        <v>0</v>
      </c>
      <c r="N631" s="43">
        <f>VLOOKUP(F631,[8]Hárok1!$F$546:$S$794,9,0)</f>
        <v>1</v>
      </c>
      <c r="O631" s="43">
        <f>VLOOKUP(F631,[8]Hárok1!$F$546:$S$794,10,0)</f>
        <v>24</v>
      </c>
      <c r="P631" s="44">
        <f>VLOOKUP(F631,[8]Hárok1!$F$546:$S$794,11,0)</f>
        <v>2</v>
      </c>
      <c r="Q631" s="42">
        <f>VLOOKUP(F631,[8]Hárok1!$F$546:$S$794,12,0)</f>
        <v>35</v>
      </c>
      <c r="R631" s="43">
        <f>VLOOKUP(F631,[8]Hárok1!$F$546:$S$794,13,0)</f>
        <v>256</v>
      </c>
      <c r="S631" s="44">
        <f>VLOOKUP(F631,[8]Hárok1!$F$546:$S$794,14,0)</f>
        <v>114</v>
      </c>
      <c r="T631" s="45">
        <f t="shared" si="54"/>
        <v>1541</v>
      </c>
      <c r="U631" s="46">
        <f>VLOOKUP(F631,[8]Hárok1!$F$546:$U$794,16,0)</f>
        <v>0</v>
      </c>
      <c r="V631" s="47">
        <f t="shared" si="55"/>
        <v>66</v>
      </c>
      <c r="W631" s="47">
        <f t="shared" si="56"/>
        <v>836</v>
      </c>
      <c r="X631" s="48">
        <f t="shared" si="57"/>
        <v>225</v>
      </c>
      <c r="Y631" s="49">
        <f t="shared" si="59"/>
        <v>2668</v>
      </c>
      <c r="Z631" s="50">
        <f t="shared" si="58"/>
        <v>2668</v>
      </c>
    </row>
    <row r="632" spans="1:26" x14ac:dyDescent="0.25">
      <c r="A632" s="29" t="s">
        <v>1201</v>
      </c>
      <c r="B632" s="29" t="s">
        <v>79</v>
      </c>
      <c r="C632" s="29" t="s">
        <v>1241</v>
      </c>
      <c r="D632" s="29">
        <v>37870475</v>
      </c>
      <c r="E632" s="32" t="s">
        <v>1242</v>
      </c>
      <c r="F632" s="29">
        <v>17050405</v>
      </c>
      <c r="G632" s="32" t="s">
        <v>154</v>
      </c>
      <c r="H632" s="32" t="s">
        <v>1234</v>
      </c>
      <c r="I632" s="33" t="s">
        <v>1314</v>
      </c>
      <c r="J632" s="42">
        <f>VLOOKUP(F632,[8]Hárok1!$F$546:$S$794,5,0)</f>
        <v>6</v>
      </c>
      <c r="K632" s="43">
        <f>VLOOKUP(F632,[8]Hárok1!$F$546:$S$794,6,0)</f>
        <v>0</v>
      </c>
      <c r="L632" s="43">
        <f>VLOOKUP(F632,[8]Hárok1!$F$546:$S$794,7,0)</f>
        <v>16</v>
      </c>
      <c r="M632" s="43">
        <f>VLOOKUP(F632,[8]Hárok1!$F$546:$S$794,8,0)</f>
        <v>0</v>
      </c>
      <c r="N632" s="43">
        <f>VLOOKUP(F632,[8]Hárok1!$F$546:$S$794,9,0)</f>
        <v>2</v>
      </c>
      <c r="O632" s="43">
        <f>VLOOKUP(F632,[8]Hárok1!$F$546:$S$794,10,0)</f>
        <v>9</v>
      </c>
      <c r="P632" s="44">
        <f>VLOOKUP(F632,[8]Hárok1!$F$546:$S$794,11,0)</f>
        <v>0</v>
      </c>
      <c r="Q632" s="42">
        <f>VLOOKUP(F632,[8]Hárok1!$F$546:$S$794,12,0)</f>
        <v>9</v>
      </c>
      <c r="R632" s="43">
        <f>VLOOKUP(F632,[8]Hárok1!$F$546:$S$794,13,0)</f>
        <v>115</v>
      </c>
      <c r="S632" s="44">
        <f>VLOOKUP(F632,[8]Hárok1!$F$546:$S$794,14,0)</f>
        <v>0</v>
      </c>
      <c r="T632" s="45">
        <f t="shared" si="54"/>
        <v>536</v>
      </c>
      <c r="U632" s="46">
        <f>VLOOKUP(F632,[8]Hárok1!$F$546:$U$794,16,0)</f>
        <v>0</v>
      </c>
      <c r="V632" s="47">
        <f t="shared" si="55"/>
        <v>40.5</v>
      </c>
      <c r="W632" s="47">
        <f t="shared" si="56"/>
        <v>351.5</v>
      </c>
      <c r="X632" s="48">
        <f t="shared" si="57"/>
        <v>0</v>
      </c>
      <c r="Y632" s="49">
        <f t="shared" si="59"/>
        <v>928</v>
      </c>
      <c r="Z632" s="50">
        <f t="shared" si="58"/>
        <v>928</v>
      </c>
    </row>
    <row r="633" spans="1:26" x14ac:dyDescent="0.25">
      <c r="A633" s="29" t="s">
        <v>1201</v>
      </c>
      <c r="B633" s="29" t="s">
        <v>79</v>
      </c>
      <c r="C633" s="29" t="s">
        <v>1241</v>
      </c>
      <c r="D633" s="29">
        <v>37870475</v>
      </c>
      <c r="E633" s="32" t="s">
        <v>1242</v>
      </c>
      <c r="F633" s="29">
        <v>161225</v>
      </c>
      <c r="G633" s="32" t="s">
        <v>49</v>
      </c>
      <c r="H633" s="32" t="s">
        <v>1315</v>
      </c>
      <c r="I633" s="33" t="s">
        <v>1316</v>
      </c>
      <c r="J633" s="42">
        <f>VLOOKUP(F633,[8]Hárok1!$F$546:$S$794,5,0)</f>
        <v>6</v>
      </c>
      <c r="K633" s="43">
        <f>VLOOKUP(F633,[8]Hárok1!$F$546:$S$794,6,0)</f>
        <v>0</v>
      </c>
      <c r="L633" s="43">
        <f>VLOOKUP(F633,[8]Hárok1!$F$546:$S$794,7,0)</f>
        <v>15</v>
      </c>
      <c r="M633" s="43">
        <f>VLOOKUP(F633,[8]Hárok1!$F$546:$S$794,8,0)</f>
        <v>0</v>
      </c>
      <c r="N633" s="43">
        <f>VLOOKUP(F633,[8]Hárok1!$F$546:$S$794,9,0)</f>
        <v>1</v>
      </c>
      <c r="O633" s="43">
        <f>VLOOKUP(F633,[8]Hárok1!$F$546:$S$794,10,0)</f>
        <v>7</v>
      </c>
      <c r="P633" s="44">
        <f>VLOOKUP(F633,[8]Hárok1!$F$546:$S$794,11,0)</f>
        <v>1</v>
      </c>
      <c r="Q633" s="42">
        <f>VLOOKUP(F633,[8]Hárok1!$F$546:$S$794,12,0)</f>
        <v>3</v>
      </c>
      <c r="R633" s="43">
        <f>VLOOKUP(F633,[8]Hárok1!$F$546:$S$794,13,0)</f>
        <v>37</v>
      </c>
      <c r="S633" s="44">
        <f>VLOOKUP(F633,[8]Hárok1!$F$546:$S$794,14,0)</f>
        <v>45</v>
      </c>
      <c r="T633" s="45">
        <f t="shared" si="54"/>
        <v>502.5</v>
      </c>
      <c r="U633" s="46">
        <f>VLOOKUP(F633,[8]Hárok1!$F$546:$U$794,16,0)</f>
        <v>139.5</v>
      </c>
      <c r="V633" s="47">
        <f t="shared" si="55"/>
        <v>18</v>
      </c>
      <c r="W633" s="47">
        <f t="shared" si="56"/>
        <v>168.5</v>
      </c>
      <c r="X633" s="48">
        <f t="shared" si="57"/>
        <v>94.5</v>
      </c>
      <c r="Y633" s="49">
        <f t="shared" si="59"/>
        <v>923</v>
      </c>
      <c r="Z633" s="50">
        <f t="shared" si="58"/>
        <v>923</v>
      </c>
    </row>
    <row r="634" spans="1:26" x14ac:dyDescent="0.25">
      <c r="A634" s="29" t="s">
        <v>1201</v>
      </c>
      <c r="B634" s="29" t="s">
        <v>79</v>
      </c>
      <c r="C634" s="29" t="s">
        <v>1241</v>
      </c>
      <c r="D634" s="29">
        <v>37870475</v>
      </c>
      <c r="E634" s="32" t="s">
        <v>1242</v>
      </c>
      <c r="F634" s="29">
        <v>37947915</v>
      </c>
      <c r="G634" s="32" t="s">
        <v>138</v>
      </c>
      <c r="H634" s="32" t="s">
        <v>1315</v>
      </c>
      <c r="I634" s="33" t="s">
        <v>1317</v>
      </c>
      <c r="J634" s="42">
        <f>VLOOKUP(F634,[8]Hárok1!$F$546:$S$794,5,0)</f>
        <v>5</v>
      </c>
      <c r="K634" s="43">
        <f>VLOOKUP(F634,[8]Hárok1!$F$546:$S$794,6,0)</f>
        <v>2</v>
      </c>
      <c r="L634" s="43">
        <f>VLOOKUP(F634,[8]Hárok1!$F$546:$S$794,7,0)</f>
        <v>12</v>
      </c>
      <c r="M634" s="43">
        <f>VLOOKUP(F634,[8]Hárok1!$F$546:$S$794,8,0)</f>
        <v>5</v>
      </c>
      <c r="N634" s="43">
        <f>VLOOKUP(F634,[8]Hárok1!$F$546:$S$794,9,0)</f>
        <v>1</v>
      </c>
      <c r="O634" s="43">
        <f>VLOOKUP(F634,[8]Hárok1!$F$546:$S$794,10,0)</f>
        <v>11</v>
      </c>
      <c r="P634" s="44">
        <f>VLOOKUP(F634,[8]Hárok1!$F$546:$S$794,11,0)</f>
        <v>0</v>
      </c>
      <c r="Q634" s="42">
        <f>VLOOKUP(F634,[8]Hárok1!$F$546:$S$794,12,0)</f>
        <v>29</v>
      </c>
      <c r="R634" s="43">
        <f>VLOOKUP(F634,[8]Hárok1!$F$546:$S$794,13,0)</f>
        <v>130</v>
      </c>
      <c r="S634" s="44">
        <f>VLOOKUP(F634,[8]Hárok1!$F$546:$S$794,14,0)</f>
        <v>0</v>
      </c>
      <c r="T634" s="45">
        <f t="shared" si="54"/>
        <v>402</v>
      </c>
      <c r="U634" s="46">
        <f>VLOOKUP(F634,[8]Hárok1!$F$546:$U$794,16,0)</f>
        <v>51.2</v>
      </c>
      <c r="V634" s="47">
        <f t="shared" si="55"/>
        <v>57</v>
      </c>
      <c r="W634" s="47">
        <f t="shared" si="56"/>
        <v>408.5</v>
      </c>
      <c r="X634" s="48">
        <f t="shared" si="57"/>
        <v>0</v>
      </c>
      <c r="Y634" s="49">
        <f t="shared" si="59"/>
        <v>918.7</v>
      </c>
      <c r="Z634" s="50">
        <f t="shared" si="58"/>
        <v>919</v>
      </c>
    </row>
    <row r="635" spans="1:26" x14ac:dyDescent="0.25">
      <c r="A635" s="29" t="s">
        <v>1201</v>
      </c>
      <c r="B635" s="29" t="s">
        <v>79</v>
      </c>
      <c r="C635" s="29" t="s">
        <v>1241</v>
      </c>
      <c r="D635" s="29">
        <v>37870475</v>
      </c>
      <c r="E635" s="32" t="s">
        <v>1242</v>
      </c>
      <c r="F635" s="29">
        <v>161233</v>
      </c>
      <c r="G635" s="32" t="s">
        <v>1318</v>
      </c>
      <c r="H635" s="32" t="s">
        <v>1236</v>
      </c>
      <c r="I635" s="33" t="s">
        <v>1306</v>
      </c>
      <c r="J635" s="42">
        <f>VLOOKUP(F635,[8]Hárok1!$F$546:$S$794,5,0)</f>
        <v>8</v>
      </c>
      <c r="K635" s="43">
        <f>VLOOKUP(F635,[8]Hárok1!$F$546:$S$794,6,0)</f>
        <v>0</v>
      </c>
      <c r="L635" s="43">
        <f>VLOOKUP(F635,[8]Hárok1!$F$546:$S$794,7,0)</f>
        <v>22</v>
      </c>
      <c r="M635" s="43">
        <f>VLOOKUP(F635,[8]Hárok1!$F$546:$S$794,8,0)</f>
        <v>0</v>
      </c>
      <c r="N635" s="43">
        <f>VLOOKUP(F635,[8]Hárok1!$F$546:$S$794,9,0)</f>
        <v>1</v>
      </c>
      <c r="O635" s="43">
        <f>VLOOKUP(F635,[8]Hárok1!$F$546:$S$794,10,0)</f>
        <v>10</v>
      </c>
      <c r="P635" s="44">
        <f>VLOOKUP(F635,[8]Hárok1!$F$546:$S$794,11,0)</f>
        <v>2</v>
      </c>
      <c r="Q635" s="42">
        <f>VLOOKUP(F635,[8]Hárok1!$F$546:$S$794,12,0)</f>
        <v>0</v>
      </c>
      <c r="R635" s="43">
        <f>VLOOKUP(F635,[8]Hárok1!$F$546:$S$794,13,0)</f>
        <v>152</v>
      </c>
      <c r="S635" s="44">
        <f>VLOOKUP(F635,[8]Hárok1!$F$546:$S$794,14,0)</f>
        <v>41</v>
      </c>
      <c r="T635" s="45">
        <f t="shared" si="54"/>
        <v>737</v>
      </c>
      <c r="U635" s="46">
        <f>VLOOKUP(F635,[8]Hárok1!$F$546:$U$794,16,0)</f>
        <v>0</v>
      </c>
      <c r="V635" s="47">
        <f t="shared" si="55"/>
        <v>13.5</v>
      </c>
      <c r="W635" s="47">
        <f t="shared" si="56"/>
        <v>439</v>
      </c>
      <c r="X635" s="48">
        <f t="shared" si="57"/>
        <v>115.5</v>
      </c>
      <c r="Y635" s="49">
        <f t="shared" si="59"/>
        <v>1305</v>
      </c>
      <c r="Z635" s="50">
        <f t="shared" si="58"/>
        <v>1305</v>
      </c>
    </row>
    <row r="636" spans="1:26" x14ac:dyDescent="0.25">
      <c r="A636" s="29" t="s">
        <v>1201</v>
      </c>
      <c r="B636" s="29" t="s">
        <v>79</v>
      </c>
      <c r="C636" s="29" t="s">
        <v>1241</v>
      </c>
      <c r="D636" s="29">
        <v>37870475</v>
      </c>
      <c r="E636" s="32" t="s">
        <v>1242</v>
      </c>
      <c r="F636" s="29">
        <v>37947931</v>
      </c>
      <c r="G636" s="32" t="s">
        <v>52</v>
      </c>
      <c r="H636" s="32" t="s">
        <v>1236</v>
      </c>
      <c r="I636" s="33" t="s">
        <v>1319</v>
      </c>
      <c r="J636" s="42">
        <f>VLOOKUP(F636,[8]Hárok1!$F$546:$S$794,5,0)</f>
        <v>6</v>
      </c>
      <c r="K636" s="43">
        <f>VLOOKUP(F636,[8]Hárok1!$F$546:$S$794,6,0)</f>
        <v>0</v>
      </c>
      <c r="L636" s="43">
        <f>VLOOKUP(F636,[8]Hárok1!$F$546:$S$794,7,0)</f>
        <v>17</v>
      </c>
      <c r="M636" s="43">
        <f>VLOOKUP(F636,[8]Hárok1!$F$546:$S$794,8,0)</f>
        <v>0</v>
      </c>
      <c r="N636" s="43">
        <f>VLOOKUP(F636,[8]Hárok1!$F$546:$S$794,9,0)</f>
        <v>1</v>
      </c>
      <c r="O636" s="43">
        <f>VLOOKUP(F636,[8]Hárok1!$F$546:$S$794,10,0)</f>
        <v>7</v>
      </c>
      <c r="P636" s="44">
        <f>VLOOKUP(F636,[8]Hárok1!$F$546:$S$794,11,0)</f>
        <v>1</v>
      </c>
      <c r="Q636" s="42">
        <f>VLOOKUP(F636,[8]Hárok1!$F$546:$S$794,12,0)</f>
        <v>20</v>
      </c>
      <c r="R636" s="43">
        <f>VLOOKUP(F636,[8]Hárok1!$F$546:$S$794,13,0)</f>
        <v>88</v>
      </c>
      <c r="S636" s="44">
        <f>VLOOKUP(F636,[8]Hárok1!$F$546:$S$794,14,0)</f>
        <v>24</v>
      </c>
      <c r="T636" s="45">
        <f t="shared" si="54"/>
        <v>569.5</v>
      </c>
      <c r="U636" s="46">
        <f>VLOOKUP(F636,[8]Hárok1!$F$546:$U$794,16,0)</f>
        <v>0</v>
      </c>
      <c r="V636" s="47">
        <f t="shared" si="55"/>
        <v>43.5</v>
      </c>
      <c r="W636" s="47">
        <f t="shared" si="56"/>
        <v>270.5</v>
      </c>
      <c r="X636" s="48">
        <f t="shared" si="57"/>
        <v>63</v>
      </c>
      <c r="Y636" s="49">
        <f t="shared" si="59"/>
        <v>946.5</v>
      </c>
      <c r="Z636" s="50">
        <f t="shared" si="58"/>
        <v>947</v>
      </c>
    </row>
    <row r="637" spans="1:26" x14ac:dyDescent="0.25">
      <c r="A637" s="29" t="s">
        <v>1201</v>
      </c>
      <c r="B637" s="29" t="s">
        <v>79</v>
      </c>
      <c r="C637" s="29" t="s">
        <v>1241</v>
      </c>
      <c r="D637" s="29">
        <v>37870475</v>
      </c>
      <c r="E637" s="32" t="s">
        <v>1242</v>
      </c>
      <c r="F637" s="29">
        <v>893692</v>
      </c>
      <c r="G637" s="32" t="s">
        <v>1320</v>
      </c>
      <c r="H637" s="32" t="s">
        <v>1236</v>
      </c>
      <c r="I637" s="33" t="s">
        <v>1321</v>
      </c>
      <c r="J637" s="42">
        <f>VLOOKUP(F637,[8]Hárok1!$F$546:$S$794,5,0)</f>
        <v>12</v>
      </c>
      <c r="K637" s="43">
        <f>VLOOKUP(F637,[8]Hárok1!$F$546:$S$794,6,0)</f>
        <v>0</v>
      </c>
      <c r="L637" s="43">
        <f>VLOOKUP(F637,[8]Hárok1!$F$546:$S$794,7,0)</f>
        <v>50</v>
      </c>
      <c r="M637" s="43">
        <f>VLOOKUP(F637,[8]Hárok1!$F$546:$S$794,8,0)</f>
        <v>0</v>
      </c>
      <c r="N637" s="43">
        <f>VLOOKUP(F637,[8]Hárok1!$F$546:$S$794,9,0)</f>
        <v>0</v>
      </c>
      <c r="O637" s="43">
        <f>VLOOKUP(F637,[8]Hárok1!$F$546:$S$794,10,0)</f>
        <v>36</v>
      </c>
      <c r="P637" s="44">
        <f>VLOOKUP(F637,[8]Hárok1!$F$546:$S$794,11,0)</f>
        <v>1</v>
      </c>
      <c r="Q637" s="42">
        <f>VLOOKUP(F637,[8]Hárok1!$F$546:$S$794,12,0)</f>
        <v>0</v>
      </c>
      <c r="R637" s="43">
        <f>VLOOKUP(F637,[8]Hárok1!$F$546:$S$794,13,0)</f>
        <v>319</v>
      </c>
      <c r="S637" s="44">
        <f>VLOOKUP(F637,[8]Hárok1!$F$546:$S$794,14,0)</f>
        <v>77</v>
      </c>
      <c r="T637" s="45">
        <f t="shared" si="54"/>
        <v>1675</v>
      </c>
      <c r="U637" s="46">
        <f>VLOOKUP(F637,[8]Hárok1!$F$546:$U$794,16,0)</f>
        <v>43.8</v>
      </c>
      <c r="V637" s="47">
        <f t="shared" si="55"/>
        <v>0</v>
      </c>
      <c r="W637" s="47">
        <f t="shared" si="56"/>
        <v>1124</v>
      </c>
      <c r="X637" s="48">
        <f t="shared" si="57"/>
        <v>142.5</v>
      </c>
      <c r="Y637" s="49">
        <f t="shared" si="59"/>
        <v>2985.3</v>
      </c>
      <c r="Z637" s="50">
        <f t="shared" si="58"/>
        <v>2985</v>
      </c>
    </row>
    <row r="638" spans="1:26" x14ac:dyDescent="0.25">
      <c r="A638" s="29" t="s">
        <v>1201</v>
      </c>
      <c r="B638" s="29" t="s">
        <v>79</v>
      </c>
      <c r="C638" s="29" t="s">
        <v>1241</v>
      </c>
      <c r="D638" s="29">
        <v>37870475</v>
      </c>
      <c r="E638" s="32" t="s">
        <v>1242</v>
      </c>
      <c r="F638" s="29">
        <v>52915654</v>
      </c>
      <c r="G638" s="32" t="s">
        <v>119</v>
      </c>
      <c r="H638" s="32" t="s">
        <v>1236</v>
      </c>
      <c r="I638" s="33" t="s">
        <v>1322</v>
      </c>
      <c r="J638" s="42">
        <f>VLOOKUP(F638,[8]Hárok1!$F$546:$S$794,5,0)</f>
        <v>6</v>
      </c>
      <c r="K638" s="43">
        <f>VLOOKUP(F638,[8]Hárok1!$F$546:$S$794,6,0)</f>
        <v>0</v>
      </c>
      <c r="L638" s="43">
        <f>VLOOKUP(F638,[8]Hárok1!$F$546:$S$794,7,0)</f>
        <v>17</v>
      </c>
      <c r="M638" s="43">
        <f>VLOOKUP(F638,[8]Hárok1!$F$546:$S$794,8,0)</f>
        <v>0</v>
      </c>
      <c r="N638" s="43">
        <f>VLOOKUP(F638,[8]Hárok1!$F$546:$S$794,9,0)</f>
        <v>1</v>
      </c>
      <c r="O638" s="43">
        <f>VLOOKUP(F638,[8]Hárok1!$F$546:$S$794,10,0)</f>
        <v>5</v>
      </c>
      <c r="P638" s="44">
        <f>VLOOKUP(F638,[8]Hárok1!$F$546:$S$794,11,0)</f>
        <v>1</v>
      </c>
      <c r="Q638" s="42">
        <f>VLOOKUP(F638,[8]Hárok1!$F$546:$S$794,12,0)</f>
        <v>3</v>
      </c>
      <c r="R638" s="43">
        <f>VLOOKUP(F638,[8]Hárok1!$F$546:$S$794,13,0)</f>
        <v>140</v>
      </c>
      <c r="S638" s="44">
        <f>VLOOKUP(F638,[8]Hárok1!$F$546:$S$794,14,0)</f>
        <v>40</v>
      </c>
      <c r="T638" s="45">
        <f t="shared" si="54"/>
        <v>569.5</v>
      </c>
      <c r="U638" s="46">
        <f>VLOOKUP(F638,[8]Hárok1!$F$546:$U$794,16,0)</f>
        <v>0</v>
      </c>
      <c r="V638" s="47">
        <f t="shared" si="55"/>
        <v>18</v>
      </c>
      <c r="W638" s="47">
        <f t="shared" si="56"/>
        <v>347.5</v>
      </c>
      <c r="X638" s="48">
        <f t="shared" si="57"/>
        <v>87</v>
      </c>
      <c r="Y638" s="49">
        <f t="shared" si="59"/>
        <v>1022</v>
      </c>
      <c r="Z638" s="50">
        <f t="shared" si="58"/>
        <v>1022</v>
      </c>
    </row>
    <row r="639" spans="1:26" x14ac:dyDescent="0.25">
      <c r="A639" s="29" t="s">
        <v>1201</v>
      </c>
      <c r="B639" s="29" t="s">
        <v>79</v>
      </c>
      <c r="C639" s="29" t="s">
        <v>1241</v>
      </c>
      <c r="D639" s="29">
        <v>37870475</v>
      </c>
      <c r="E639" s="32" t="s">
        <v>1242</v>
      </c>
      <c r="F639" s="29">
        <v>42076439</v>
      </c>
      <c r="G639" s="32" t="s">
        <v>52</v>
      </c>
      <c r="H639" s="32" t="s">
        <v>1323</v>
      </c>
      <c r="I639" s="33" t="s">
        <v>1324</v>
      </c>
      <c r="J639" s="42">
        <f>VLOOKUP(F639,[8]Hárok1!$F$546:$S$794,5,0)</f>
        <v>2</v>
      </c>
      <c r="K639" s="43">
        <f>VLOOKUP(F639,[8]Hárok1!$F$546:$S$794,6,0)</f>
        <v>0</v>
      </c>
      <c r="L639" s="43">
        <f>VLOOKUP(F639,[8]Hárok1!$F$546:$S$794,7,0)</f>
        <v>3</v>
      </c>
      <c r="M639" s="43">
        <f>VLOOKUP(F639,[8]Hárok1!$F$546:$S$794,8,0)</f>
        <v>0</v>
      </c>
      <c r="N639" s="43">
        <f>VLOOKUP(F639,[8]Hárok1!$F$546:$S$794,9,0)</f>
        <v>0</v>
      </c>
      <c r="O639" s="43">
        <f>VLOOKUP(F639,[8]Hárok1!$F$546:$S$794,10,0)</f>
        <v>3</v>
      </c>
      <c r="P639" s="44">
        <f>VLOOKUP(F639,[8]Hárok1!$F$546:$S$794,11,0)</f>
        <v>0</v>
      </c>
      <c r="Q639" s="42">
        <f>VLOOKUP(F639,[8]Hárok1!$F$546:$S$794,12,0)</f>
        <v>0</v>
      </c>
      <c r="R639" s="43">
        <f>VLOOKUP(F639,[8]Hárok1!$F$546:$S$794,13,0)</f>
        <v>21</v>
      </c>
      <c r="S639" s="44">
        <f>VLOOKUP(F639,[8]Hárok1!$F$546:$S$794,14,0)</f>
        <v>0</v>
      </c>
      <c r="T639" s="45">
        <f t="shared" si="54"/>
        <v>100.5</v>
      </c>
      <c r="U639" s="46">
        <f>VLOOKUP(F639,[8]Hárok1!$F$546:$U$794,16,0)</f>
        <v>20.9</v>
      </c>
      <c r="V639" s="47">
        <f t="shared" si="55"/>
        <v>0</v>
      </c>
      <c r="W639" s="47">
        <f t="shared" si="56"/>
        <v>82.5</v>
      </c>
      <c r="X639" s="48">
        <f t="shared" si="57"/>
        <v>0</v>
      </c>
      <c r="Y639" s="49">
        <f t="shared" si="59"/>
        <v>203.9</v>
      </c>
      <c r="Z639" s="50">
        <f t="shared" si="58"/>
        <v>204</v>
      </c>
    </row>
    <row r="640" spans="1:26" x14ac:dyDescent="0.25">
      <c r="A640" s="29" t="s">
        <v>1201</v>
      </c>
      <c r="B640" s="29" t="s">
        <v>79</v>
      </c>
      <c r="C640" s="29" t="s">
        <v>1241</v>
      </c>
      <c r="D640" s="29">
        <v>37870475</v>
      </c>
      <c r="E640" s="32" t="s">
        <v>1242</v>
      </c>
      <c r="F640" s="29">
        <v>161268</v>
      </c>
      <c r="G640" s="32" t="s">
        <v>1325</v>
      </c>
      <c r="H640" s="32" t="s">
        <v>1238</v>
      </c>
      <c r="I640" s="33" t="s">
        <v>1326</v>
      </c>
      <c r="J640" s="42">
        <f>VLOOKUP(F640,[8]Hárok1!$F$546:$S$794,5,0)</f>
        <v>7</v>
      </c>
      <c r="K640" s="43">
        <f>VLOOKUP(F640,[8]Hárok1!$F$546:$S$794,6,0)</f>
        <v>0</v>
      </c>
      <c r="L640" s="43">
        <f>VLOOKUP(F640,[8]Hárok1!$F$546:$S$794,7,0)</f>
        <v>35</v>
      </c>
      <c r="M640" s="43">
        <f>VLOOKUP(F640,[8]Hárok1!$F$546:$S$794,8,0)</f>
        <v>0</v>
      </c>
      <c r="N640" s="43">
        <f>VLOOKUP(F640,[8]Hárok1!$F$546:$S$794,9,0)</f>
        <v>1</v>
      </c>
      <c r="O640" s="43">
        <f>VLOOKUP(F640,[8]Hárok1!$F$546:$S$794,10,0)</f>
        <v>6</v>
      </c>
      <c r="P640" s="44">
        <f>VLOOKUP(F640,[8]Hárok1!$F$546:$S$794,11,0)</f>
        <v>3</v>
      </c>
      <c r="Q640" s="42">
        <f>VLOOKUP(F640,[8]Hárok1!$F$546:$S$794,12,0)</f>
        <v>0</v>
      </c>
      <c r="R640" s="43">
        <f>VLOOKUP(F640,[8]Hárok1!$F$546:$S$794,13,0)</f>
        <v>245</v>
      </c>
      <c r="S640" s="44">
        <f>VLOOKUP(F640,[8]Hárok1!$F$546:$S$794,14,0)</f>
        <v>140</v>
      </c>
      <c r="T640" s="45">
        <f t="shared" si="54"/>
        <v>1172.5</v>
      </c>
      <c r="U640" s="46">
        <f>VLOOKUP(F640,[8]Hárok1!$F$546:$U$794,16,0)</f>
        <v>0</v>
      </c>
      <c r="V640" s="47">
        <f t="shared" si="55"/>
        <v>13.5</v>
      </c>
      <c r="W640" s="47">
        <f t="shared" si="56"/>
        <v>571</v>
      </c>
      <c r="X640" s="48">
        <f t="shared" si="57"/>
        <v>291</v>
      </c>
      <c r="Y640" s="49">
        <f t="shared" si="59"/>
        <v>2048</v>
      </c>
      <c r="Z640" s="50">
        <f t="shared" si="58"/>
        <v>2048</v>
      </c>
    </row>
    <row r="641" spans="1:26" x14ac:dyDescent="0.25">
      <c r="A641" s="29" t="s">
        <v>1201</v>
      </c>
      <c r="B641" s="29" t="s">
        <v>79</v>
      </c>
      <c r="C641" s="29" t="s">
        <v>1241</v>
      </c>
      <c r="D641" s="29">
        <v>37870475</v>
      </c>
      <c r="E641" s="32" t="s">
        <v>1242</v>
      </c>
      <c r="F641" s="29">
        <v>162230</v>
      </c>
      <c r="G641" s="32" t="s">
        <v>100</v>
      </c>
      <c r="H641" s="32" t="s">
        <v>1238</v>
      </c>
      <c r="I641" s="33" t="s">
        <v>1327</v>
      </c>
      <c r="J641" s="42">
        <f>VLOOKUP(F641,[8]Hárok1!$F$546:$S$794,5,0)</f>
        <v>6</v>
      </c>
      <c r="K641" s="43">
        <f>VLOOKUP(F641,[8]Hárok1!$F$546:$S$794,6,0)</f>
        <v>0</v>
      </c>
      <c r="L641" s="43">
        <f>VLOOKUP(F641,[8]Hárok1!$F$546:$S$794,7,0)</f>
        <v>29</v>
      </c>
      <c r="M641" s="43">
        <f>VLOOKUP(F641,[8]Hárok1!$F$546:$S$794,8,0)</f>
        <v>0</v>
      </c>
      <c r="N641" s="43">
        <f>VLOOKUP(F641,[8]Hárok1!$F$546:$S$794,9,0)</f>
        <v>0</v>
      </c>
      <c r="O641" s="43">
        <f>VLOOKUP(F641,[8]Hárok1!$F$546:$S$794,10,0)</f>
        <v>9</v>
      </c>
      <c r="P641" s="44">
        <f>VLOOKUP(F641,[8]Hárok1!$F$546:$S$794,11,0)</f>
        <v>1</v>
      </c>
      <c r="Q641" s="42">
        <f>VLOOKUP(F641,[8]Hárok1!$F$546:$S$794,12,0)</f>
        <v>0</v>
      </c>
      <c r="R641" s="43">
        <f>VLOOKUP(F641,[8]Hárok1!$F$546:$S$794,13,0)</f>
        <v>290</v>
      </c>
      <c r="S641" s="44">
        <f>VLOOKUP(F641,[8]Hárok1!$F$546:$S$794,14,0)</f>
        <v>80</v>
      </c>
      <c r="T641" s="45">
        <f t="shared" si="54"/>
        <v>971.5</v>
      </c>
      <c r="U641" s="46">
        <f>VLOOKUP(F641,[8]Hárok1!$F$546:$U$794,16,0)</f>
        <v>0</v>
      </c>
      <c r="V641" s="47">
        <f t="shared" si="55"/>
        <v>0</v>
      </c>
      <c r="W641" s="47">
        <f t="shared" si="56"/>
        <v>701.5</v>
      </c>
      <c r="X641" s="48">
        <f t="shared" si="57"/>
        <v>147</v>
      </c>
      <c r="Y641" s="49">
        <f t="shared" si="59"/>
        <v>1820</v>
      </c>
      <c r="Z641" s="50">
        <f t="shared" si="58"/>
        <v>1820</v>
      </c>
    </row>
    <row r="642" spans="1:26" x14ac:dyDescent="0.25">
      <c r="A642" s="29" t="s">
        <v>1201</v>
      </c>
      <c r="B642" s="29" t="s">
        <v>79</v>
      </c>
      <c r="C642" s="29" t="s">
        <v>1241</v>
      </c>
      <c r="D642" s="29">
        <v>37870475</v>
      </c>
      <c r="E642" s="32" t="s">
        <v>1242</v>
      </c>
      <c r="F642" s="29">
        <v>37946773</v>
      </c>
      <c r="G642" s="32" t="s">
        <v>575</v>
      </c>
      <c r="H642" s="32" t="s">
        <v>1238</v>
      </c>
      <c r="I642" s="33" t="s">
        <v>1328</v>
      </c>
      <c r="J642" s="42">
        <f>VLOOKUP(F642,[8]Hárok1!$F$546:$S$794,5,0)</f>
        <v>7</v>
      </c>
      <c r="K642" s="43">
        <f>VLOOKUP(F642,[8]Hárok1!$F$546:$S$794,6,0)</f>
        <v>0</v>
      </c>
      <c r="L642" s="43">
        <f>VLOOKUP(F642,[8]Hárok1!$F$546:$S$794,7,0)</f>
        <v>26</v>
      </c>
      <c r="M642" s="43">
        <f>VLOOKUP(F642,[8]Hárok1!$F$546:$S$794,8,0)</f>
        <v>0</v>
      </c>
      <c r="N642" s="43">
        <f>VLOOKUP(F642,[8]Hárok1!$F$546:$S$794,9,0)</f>
        <v>0</v>
      </c>
      <c r="O642" s="43">
        <f>VLOOKUP(F642,[8]Hárok1!$F$546:$S$794,10,0)</f>
        <v>19</v>
      </c>
      <c r="P642" s="44">
        <f>VLOOKUP(F642,[8]Hárok1!$F$546:$S$794,11,0)</f>
        <v>0</v>
      </c>
      <c r="Q642" s="42">
        <f>VLOOKUP(F642,[8]Hárok1!$F$546:$S$794,12,0)</f>
        <v>0</v>
      </c>
      <c r="R642" s="43">
        <f>VLOOKUP(F642,[8]Hárok1!$F$546:$S$794,13,0)</f>
        <v>166</v>
      </c>
      <c r="S642" s="44">
        <f>VLOOKUP(F642,[8]Hárok1!$F$546:$S$794,14,0)</f>
        <v>0</v>
      </c>
      <c r="T642" s="45">
        <f t="shared" si="54"/>
        <v>871</v>
      </c>
      <c r="U642" s="46">
        <f>VLOOKUP(F642,[8]Hárok1!$F$546:$U$794,16,0)</f>
        <v>114.9</v>
      </c>
      <c r="V642" s="47">
        <f t="shared" si="55"/>
        <v>0</v>
      </c>
      <c r="W642" s="47">
        <f t="shared" si="56"/>
        <v>588.5</v>
      </c>
      <c r="X642" s="48">
        <f t="shared" si="57"/>
        <v>0</v>
      </c>
      <c r="Y642" s="49">
        <f t="shared" si="59"/>
        <v>1574.4</v>
      </c>
      <c r="Z642" s="50">
        <f t="shared" si="58"/>
        <v>1574</v>
      </c>
    </row>
    <row r="643" spans="1:26" x14ac:dyDescent="0.25">
      <c r="A643" s="29" t="s">
        <v>1201</v>
      </c>
      <c r="B643" s="29" t="s">
        <v>79</v>
      </c>
      <c r="C643" s="29" t="s">
        <v>1241</v>
      </c>
      <c r="D643" s="29">
        <v>37870475</v>
      </c>
      <c r="E643" s="32" t="s">
        <v>1242</v>
      </c>
      <c r="F643" s="29">
        <v>37942492</v>
      </c>
      <c r="G643" s="32" t="s">
        <v>745</v>
      </c>
      <c r="H643" s="32" t="s">
        <v>1238</v>
      </c>
      <c r="I643" s="33" t="s">
        <v>1329</v>
      </c>
      <c r="J643" s="42">
        <f>VLOOKUP(F643,[8]Hárok1!$F$546:$S$794,5,0)</f>
        <v>10</v>
      </c>
      <c r="K643" s="43">
        <f>VLOOKUP(F643,[8]Hárok1!$F$546:$S$794,6,0)</f>
        <v>5</v>
      </c>
      <c r="L643" s="43">
        <f>VLOOKUP(F643,[8]Hárok1!$F$546:$S$794,7,0)</f>
        <v>27</v>
      </c>
      <c r="M643" s="43">
        <f>VLOOKUP(F643,[8]Hárok1!$F$546:$S$794,8,0)</f>
        <v>18</v>
      </c>
      <c r="N643" s="43">
        <f>VLOOKUP(F643,[8]Hárok1!$F$546:$S$794,9,0)</f>
        <v>10</v>
      </c>
      <c r="O643" s="43">
        <f>VLOOKUP(F643,[8]Hárok1!$F$546:$S$794,10,0)</f>
        <v>18</v>
      </c>
      <c r="P643" s="44">
        <f>VLOOKUP(F643,[8]Hárok1!$F$546:$S$794,11,0)</f>
        <v>1</v>
      </c>
      <c r="Q643" s="42">
        <f>VLOOKUP(F643,[8]Hárok1!$F$546:$S$794,12,0)</f>
        <v>122</v>
      </c>
      <c r="R643" s="43">
        <f>VLOOKUP(F643,[8]Hárok1!$F$546:$S$794,13,0)</f>
        <v>227</v>
      </c>
      <c r="S643" s="44">
        <f>VLOOKUP(F643,[8]Hárok1!$F$546:$S$794,14,0)</f>
        <v>30</v>
      </c>
      <c r="T643" s="45">
        <f t="shared" si="54"/>
        <v>904.5</v>
      </c>
      <c r="U643" s="46">
        <f>VLOOKUP(F643,[8]Hárok1!$F$546:$U$794,16,0)</f>
        <v>96.05</v>
      </c>
      <c r="V643" s="47">
        <f t="shared" si="55"/>
        <v>318</v>
      </c>
      <c r="W643" s="47">
        <f t="shared" si="56"/>
        <v>697</v>
      </c>
      <c r="X643" s="48">
        <f t="shared" si="57"/>
        <v>72</v>
      </c>
      <c r="Y643" s="49">
        <f t="shared" si="59"/>
        <v>2087.5500000000002</v>
      </c>
      <c r="Z643" s="50">
        <f t="shared" si="58"/>
        <v>2088</v>
      </c>
    </row>
    <row r="644" spans="1:26" x14ac:dyDescent="0.25">
      <c r="A644" s="29" t="s">
        <v>1201</v>
      </c>
      <c r="B644" s="29" t="s">
        <v>177</v>
      </c>
      <c r="C644" s="29" t="s">
        <v>1330</v>
      </c>
      <c r="D644" s="29">
        <v>326526</v>
      </c>
      <c r="E644" s="32" t="s">
        <v>1331</v>
      </c>
      <c r="F644" s="29">
        <v>42232228</v>
      </c>
      <c r="G644" s="32" t="s">
        <v>52</v>
      </c>
      <c r="H644" s="32" t="s">
        <v>1332</v>
      </c>
      <c r="I644" s="33" t="s">
        <v>1333</v>
      </c>
      <c r="J644" s="42">
        <f>VLOOKUP(F644,[8]Hárok1!$F$546:$S$794,5,0)</f>
        <v>9</v>
      </c>
      <c r="K644" s="43">
        <f>VLOOKUP(F644,[8]Hárok1!$F$546:$S$794,6,0)</f>
        <v>0</v>
      </c>
      <c r="L644" s="43">
        <f>VLOOKUP(F644,[8]Hárok1!$F$546:$S$794,7,0)</f>
        <v>20</v>
      </c>
      <c r="M644" s="43">
        <f>VLOOKUP(F644,[8]Hárok1!$F$546:$S$794,8,0)</f>
        <v>0</v>
      </c>
      <c r="N644" s="43">
        <f>VLOOKUP(F644,[8]Hárok1!$F$546:$S$794,9,0)</f>
        <v>1</v>
      </c>
      <c r="O644" s="43">
        <f>VLOOKUP(F644,[8]Hárok1!$F$546:$S$794,10,0)</f>
        <v>8</v>
      </c>
      <c r="P644" s="44">
        <f>VLOOKUP(F644,[8]Hárok1!$F$546:$S$794,11,0)</f>
        <v>1</v>
      </c>
      <c r="Q644" s="42">
        <f>VLOOKUP(F644,[8]Hárok1!$F$546:$S$794,12,0)</f>
        <v>19</v>
      </c>
      <c r="R644" s="43">
        <f>VLOOKUP(F644,[8]Hárok1!$F$546:$S$794,13,0)</f>
        <v>171</v>
      </c>
      <c r="S644" s="44">
        <f>VLOOKUP(F644,[8]Hárok1!$F$546:$S$794,14,0)</f>
        <v>62</v>
      </c>
      <c r="T644" s="45">
        <f t="shared" si="54"/>
        <v>670</v>
      </c>
      <c r="U644" s="46">
        <f>VLOOKUP(F644,[8]Hárok1!$F$546:$U$794,16,0)</f>
        <v>0</v>
      </c>
      <c r="V644" s="47">
        <f t="shared" si="55"/>
        <v>42</v>
      </c>
      <c r="W644" s="47">
        <f t="shared" si="56"/>
        <v>450</v>
      </c>
      <c r="X644" s="48">
        <f t="shared" si="57"/>
        <v>120</v>
      </c>
      <c r="Y644" s="49">
        <f t="shared" si="59"/>
        <v>1282</v>
      </c>
      <c r="Z644" s="50">
        <f t="shared" si="58"/>
        <v>1282</v>
      </c>
    </row>
    <row r="645" spans="1:26" x14ac:dyDescent="0.25">
      <c r="A645" s="84" t="s">
        <v>1201</v>
      </c>
      <c r="B645" s="51" t="s">
        <v>177</v>
      </c>
      <c r="C645" s="51" t="s">
        <v>1334</v>
      </c>
      <c r="D645" s="51">
        <v>331007</v>
      </c>
      <c r="E645" s="32" t="s">
        <v>1335</v>
      </c>
      <c r="F645" s="51">
        <v>37873172</v>
      </c>
      <c r="G645" s="32" t="s">
        <v>529</v>
      </c>
      <c r="H645" s="32" t="s">
        <v>1315</v>
      </c>
      <c r="I645" s="85" t="s">
        <v>1316</v>
      </c>
      <c r="J645" s="42">
        <f>VLOOKUP(F645,[8]Hárok1!$F$546:$S$794,5,0)</f>
        <v>3</v>
      </c>
      <c r="K645" s="43">
        <f>VLOOKUP(F645,[8]Hárok1!$F$546:$S$794,6,0)</f>
        <v>0</v>
      </c>
      <c r="L645" s="43">
        <f>VLOOKUP(F645,[8]Hárok1!$F$546:$S$794,7,0)</f>
        <v>3</v>
      </c>
      <c r="M645" s="43">
        <f>VLOOKUP(F645,[8]Hárok1!$F$546:$S$794,8,0)</f>
        <v>0</v>
      </c>
      <c r="N645" s="43">
        <f>VLOOKUP(F645,[8]Hárok1!$F$546:$S$794,9,0)</f>
        <v>3</v>
      </c>
      <c r="O645" s="43">
        <f>VLOOKUP(F645,[8]Hárok1!$F$546:$S$794,10,0)</f>
        <v>0</v>
      </c>
      <c r="P645" s="44">
        <f>VLOOKUP(F645,[8]Hárok1!$F$546:$S$794,11,0)</f>
        <v>0</v>
      </c>
      <c r="Q645" s="42">
        <f>VLOOKUP(F645,[8]Hárok1!$F$546:$S$794,12,0)</f>
        <v>33</v>
      </c>
      <c r="R645" s="43">
        <f>VLOOKUP(F645,[8]Hárok1!$F$546:$S$794,13,0)</f>
        <v>0</v>
      </c>
      <c r="S645" s="44">
        <f>VLOOKUP(F645,[8]Hárok1!$F$546:$S$794,14,0)</f>
        <v>0</v>
      </c>
      <c r="T645" s="45">
        <f t="shared" si="54"/>
        <v>100.5</v>
      </c>
      <c r="U645" s="46">
        <f>VLOOKUP(F645,[8]Hárok1!$F$546:$U$794,16,0)</f>
        <v>0</v>
      </c>
      <c r="V645" s="47">
        <f t="shared" si="55"/>
        <v>90</v>
      </c>
      <c r="W645" s="47">
        <f t="shared" si="56"/>
        <v>0</v>
      </c>
      <c r="X645" s="48">
        <f t="shared" si="57"/>
        <v>0</v>
      </c>
      <c r="Y645" s="49">
        <f t="shared" si="59"/>
        <v>190.5</v>
      </c>
      <c r="Z645" s="50">
        <f t="shared" si="58"/>
        <v>191</v>
      </c>
    </row>
    <row r="646" spans="1:26" x14ac:dyDescent="0.25">
      <c r="A646" s="86" t="s">
        <v>1201</v>
      </c>
      <c r="B646" s="86" t="s">
        <v>177</v>
      </c>
      <c r="C646" s="86" t="s">
        <v>1336</v>
      </c>
      <c r="D646" s="86">
        <v>321982</v>
      </c>
      <c r="E646" s="87" t="s">
        <v>1337</v>
      </c>
      <c r="F646" s="86">
        <v>52800318</v>
      </c>
      <c r="G646" s="87" t="s">
        <v>52</v>
      </c>
      <c r="H646" s="87" t="s">
        <v>1338</v>
      </c>
      <c r="I646" s="88" t="s">
        <v>1339</v>
      </c>
      <c r="J646" s="42">
        <f>VLOOKUP(F646,[8]Hárok1!$F$546:$S$794,5,0)</f>
        <v>8</v>
      </c>
      <c r="K646" s="43">
        <f>VLOOKUP(F646,[8]Hárok1!$F$546:$S$794,6,0)</f>
        <v>0</v>
      </c>
      <c r="L646" s="43">
        <f>VLOOKUP(F646,[8]Hárok1!$F$546:$S$794,7,0)</f>
        <v>14</v>
      </c>
      <c r="M646" s="43">
        <f>VLOOKUP(F646,[8]Hárok1!$F$546:$S$794,8,0)</f>
        <v>14</v>
      </c>
      <c r="N646" s="43">
        <f>VLOOKUP(F646,[8]Hárok1!$F$546:$S$794,9,0)</f>
        <v>1</v>
      </c>
      <c r="O646" s="43">
        <f>VLOOKUP(F646,[8]Hárok1!$F$546:$S$794,10,0)</f>
        <v>7</v>
      </c>
      <c r="P646" s="44">
        <f>VLOOKUP(F646,[8]Hárok1!$F$546:$S$794,11,0)</f>
        <v>0</v>
      </c>
      <c r="Q646" s="42">
        <f>VLOOKUP(F646,[8]Hárok1!$F$546:$S$794,12,0)</f>
        <v>7</v>
      </c>
      <c r="R646" s="43">
        <f>VLOOKUP(F646,[8]Hárok1!$F$546:$S$794,13,0)</f>
        <v>132</v>
      </c>
      <c r="S646" s="44">
        <f>VLOOKUP(F646,[8]Hárok1!$F$546:$S$794,14,0)</f>
        <v>0</v>
      </c>
      <c r="T646" s="45">
        <f t="shared" si="54"/>
        <v>469</v>
      </c>
      <c r="U646" s="46">
        <f>VLOOKUP(F646,[8]Hárok1!$F$546:$U$794,16,0)</f>
        <v>0</v>
      </c>
      <c r="V646" s="47">
        <f t="shared" si="55"/>
        <v>24</v>
      </c>
      <c r="W646" s="47">
        <f t="shared" si="56"/>
        <v>358.5</v>
      </c>
      <c r="X646" s="48">
        <f t="shared" si="57"/>
        <v>0</v>
      </c>
      <c r="Y646" s="49">
        <f t="shared" si="59"/>
        <v>851.5</v>
      </c>
      <c r="Z646" s="50">
        <f t="shared" si="58"/>
        <v>852</v>
      </c>
    </row>
    <row r="647" spans="1:26" x14ac:dyDescent="0.25">
      <c r="A647" s="29" t="s">
        <v>1201</v>
      </c>
      <c r="B647" s="29" t="s">
        <v>181</v>
      </c>
      <c r="C647" s="29" t="s">
        <v>1340</v>
      </c>
      <c r="D647" s="29">
        <v>179124</v>
      </c>
      <c r="E647" s="32" t="s">
        <v>1341</v>
      </c>
      <c r="F647" s="29">
        <v>42071399</v>
      </c>
      <c r="G647" s="32" t="s">
        <v>1342</v>
      </c>
      <c r="H647" s="32" t="s">
        <v>863</v>
      </c>
      <c r="I647" s="33" t="s">
        <v>1343</v>
      </c>
      <c r="J647" s="42">
        <f>VLOOKUP(F647,[8]Hárok1!$F$546:$S$794,5,0)</f>
        <v>6</v>
      </c>
      <c r="K647" s="43">
        <f>VLOOKUP(F647,[8]Hárok1!$F$546:$S$794,6,0)</f>
        <v>0</v>
      </c>
      <c r="L647" s="43">
        <f>VLOOKUP(F647,[8]Hárok1!$F$546:$S$794,7,0)</f>
        <v>21</v>
      </c>
      <c r="M647" s="43">
        <f>VLOOKUP(F647,[8]Hárok1!$F$546:$S$794,8,0)</f>
        <v>0</v>
      </c>
      <c r="N647" s="43">
        <f>VLOOKUP(F647,[8]Hárok1!$F$546:$S$794,9,0)</f>
        <v>0</v>
      </c>
      <c r="O647" s="43">
        <f>VLOOKUP(F647,[8]Hárok1!$F$546:$S$794,10,0)</f>
        <v>7</v>
      </c>
      <c r="P647" s="44">
        <f>VLOOKUP(F647,[8]Hárok1!$F$546:$S$794,11,0)</f>
        <v>1</v>
      </c>
      <c r="Q647" s="42">
        <f>VLOOKUP(F647,[8]Hárok1!$F$546:$S$794,12,0)</f>
        <v>0</v>
      </c>
      <c r="R647" s="43">
        <f>VLOOKUP(F647,[8]Hárok1!$F$546:$S$794,13,0)</f>
        <v>312</v>
      </c>
      <c r="S647" s="44">
        <f>VLOOKUP(F647,[8]Hárok1!$F$546:$S$794,14,0)</f>
        <v>31</v>
      </c>
      <c r="T647" s="45">
        <f t="shared" si="54"/>
        <v>703.5</v>
      </c>
      <c r="U647" s="46">
        <f>VLOOKUP(F647,[8]Hárok1!$F$546:$U$794,16,0)</f>
        <v>111.45</v>
      </c>
      <c r="V647" s="47">
        <f t="shared" si="55"/>
        <v>0</v>
      </c>
      <c r="W647" s="47">
        <f t="shared" si="56"/>
        <v>718.5</v>
      </c>
      <c r="X647" s="48">
        <f t="shared" si="57"/>
        <v>73.5</v>
      </c>
      <c r="Y647" s="49">
        <f t="shared" si="59"/>
        <v>1606.95</v>
      </c>
      <c r="Z647" s="50">
        <f t="shared" si="58"/>
        <v>1607</v>
      </c>
    </row>
    <row r="648" spans="1:26" x14ac:dyDescent="0.25">
      <c r="A648" s="29" t="s">
        <v>1201</v>
      </c>
      <c r="B648" s="29" t="s">
        <v>181</v>
      </c>
      <c r="C648" s="29" t="s">
        <v>1344</v>
      </c>
      <c r="D648" s="29">
        <v>179205</v>
      </c>
      <c r="E648" s="32" t="s">
        <v>1345</v>
      </c>
      <c r="F648" s="29">
        <v>36161667</v>
      </c>
      <c r="G648" s="32" t="s">
        <v>1346</v>
      </c>
      <c r="H648" s="32" t="s">
        <v>1151</v>
      </c>
      <c r="I648" s="33" t="s">
        <v>1347</v>
      </c>
      <c r="J648" s="42">
        <f>VLOOKUP(F648,[8]Hárok1!$F$546:$S$794,5,0)</f>
        <v>8</v>
      </c>
      <c r="K648" s="43">
        <f>VLOOKUP(F648,[8]Hárok1!$F$546:$S$794,6,0)</f>
        <v>0</v>
      </c>
      <c r="L648" s="43">
        <f>VLOOKUP(F648,[8]Hárok1!$F$546:$S$794,7,0)</f>
        <v>20</v>
      </c>
      <c r="M648" s="43">
        <f>VLOOKUP(F648,[8]Hárok1!$F$546:$S$794,8,0)</f>
        <v>0</v>
      </c>
      <c r="N648" s="43">
        <f>VLOOKUP(F648,[8]Hárok1!$F$546:$S$794,9,0)</f>
        <v>1</v>
      </c>
      <c r="O648" s="43">
        <f>VLOOKUP(F648,[8]Hárok1!$F$546:$S$794,10,0)</f>
        <v>11</v>
      </c>
      <c r="P648" s="44">
        <f>VLOOKUP(F648,[8]Hárok1!$F$546:$S$794,11,0)</f>
        <v>0</v>
      </c>
      <c r="Q648" s="42">
        <f>VLOOKUP(F648,[8]Hárok1!$F$546:$S$794,12,0)</f>
        <v>2</v>
      </c>
      <c r="R648" s="43">
        <f>VLOOKUP(F648,[8]Hárok1!$F$546:$S$794,13,0)</f>
        <v>151</v>
      </c>
      <c r="S648" s="44">
        <f>VLOOKUP(F648,[8]Hárok1!$F$546:$S$794,14,0)</f>
        <v>0</v>
      </c>
      <c r="T648" s="45">
        <f t="shared" ref="T648:T712" si="60">$T$1*L648</f>
        <v>670</v>
      </c>
      <c r="U648" s="46">
        <f>VLOOKUP(F648,[8]Hárok1!$F$546:$U$794,16,0)</f>
        <v>0</v>
      </c>
      <c r="V648" s="47">
        <f t="shared" ref="V648:V711" si="61">$U$1*N648+$V$1*Q648</f>
        <v>16.5</v>
      </c>
      <c r="W648" s="47">
        <f t="shared" ref="W648:W711" si="62">$U$1*O648+$W$1*R648</f>
        <v>450.5</v>
      </c>
      <c r="X648" s="48">
        <f t="shared" ref="X648:X711" si="63">$X$1*P648+$V$1*S648</f>
        <v>0</v>
      </c>
      <c r="Y648" s="49">
        <f t="shared" si="59"/>
        <v>1137</v>
      </c>
      <c r="Z648" s="50">
        <f t="shared" ref="Z648:Z711" si="64">ROUND(Y648,0)</f>
        <v>1137</v>
      </c>
    </row>
    <row r="649" spans="1:26" x14ac:dyDescent="0.25">
      <c r="A649" s="29" t="s">
        <v>1201</v>
      </c>
      <c r="B649" s="29" t="s">
        <v>181</v>
      </c>
      <c r="C649" s="29" t="s">
        <v>1348</v>
      </c>
      <c r="D649" s="29">
        <v>31997520</v>
      </c>
      <c r="E649" s="32" t="s">
        <v>1349</v>
      </c>
      <c r="F649" s="29">
        <v>31305288</v>
      </c>
      <c r="G649" s="32" t="s">
        <v>1350</v>
      </c>
      <c r="H649" s="32" t="s">
        <v>214</v>
      </c>
      <c r="I649" s="33" t="s">
        <v>1351</v>
      </c>
      <c r="J649" s="42">
        <f>VLOOKUP(F649,[8]Hárok1!$F$546:$S$794,5,0)</f>
        <v>25</v>
      </c>
      <c r="K649" s="43">
        <f>VLOOKUP(F649,[8]Hárok1!$F$546:$S$794,6,0)</f>
        <v>1</v>
      </c>
      <c r="L649" s="43">
        <f>VLOOKUP(F649,[8]Hárok1!$F$546:$S$794,7,0)</f>
        <v>78</v>
      </c>
      <c r="M649" s="43">
        <f>VLOOKUP(F649,[8]Hárok1!$F$546:$S$794,8,0)</f>
        <v>1</v>
      </c>
      <c r="N649" s="43">
        <f>VLOOKUP(F649,[8]Hárok1!$F$546:$S$794,9,0)</f>
        <v>2</v>
      </c>
      <c r="O649" s="43">
        <f>VLOOKUP(F649,[8]Hárok1!$F$546:$S$794,10,0)</f>
        <v>25</v>
      </c>
      <c r="P649" s="44">
        <f>VLOOKUP(F649,[8]Hárok1!$F$546:$S$794,11,0)</f>
        <v>1</v>
      </c>
      <c r="Q649" s="42">
        <f>VLOOKUP(F649,[8]Hárok1!$F$546:$S$794,12,0)</f>
        <v>15</v>
      </c>
      <c r="R649" s="43">
        <f>VLOOKUP(F649,[8]Hárok1!$F$546:$S$794,13,0)</f>
        <v>839</v>
      </c>
      <c r="S649" s="44">
        <f>VLOOKUP(F649,[8]Hárok1!$F$546:$S$794,14,0)</f>
        <v>182</v>
      </c>
      <c r="T649" s="45">
        <f t="shared" si="60"/>
        <v>2613</v>
      </c>
      <c r="U649" s="46">
        <f>VLOOKUP(F649,[8]Hárok1!$F$546:$U$794,16,0)</f>
        <v>0</v>
      </c>
      <c r="V649" s="47">
        <f t="shared" si="61"/>
        <v>49.5</v>
      </c>
      <c r="W649" s="47">
        <f t="shared" si="62"/>
        <v>2015.5</v>
      </c>
      <c r="X649" s="48">
        <f t="shared" si="63"/>
        <v>300</v>
      </c>
      <c r="Y649" s="49">
        <f t="shared" ref="Y649:Y713" si="65">T649+U649+V649+W649+X649</f>
        <v>4978</v>
      </c>
      <c r="Z649" s="50">
        <f t="shared" si="64"/>
        <v>4978</v>
      </c>
    </row>
    <row r="650" spans="1:26" x14ac:dyDescent="0.25">
      <c r="A650" s="29" t="s">
        <v>1201</v>
      </c>
      <c r="B650" s="29" t="s">
        <v>181</v>
      </c>
      <c r="C650" s="29" t="s">
        <v>1340</v>
      </c>
      <c r="D650" s="29">
        <v>179124</v>
      </c>
      <c r="E650" s="32" t="s">
        <v>1341</v>
      </c>
      <c r="F650" s="29">
        <v>17082447</v>
      </c>
      <c r="G650" s="32" t="s">
        <v>1352</v>
      </c>
      <c r="H650" s="32" t="s">
        <v>1210</v>
      </c>
      <c r="I650" s="33" t="s">
        <v>1353</v>
      </c>
      <c r="J650" s="42">
        <f>VLOOKUP(F650,[8]Hárok1!$F$546:$S$794,5,0)</f>
        <v>4</v>
      </c>
      <c r="K650" s="43">
        <f>VLOOKUP(F650,[8]Hárok1!$F$546:$S$794,6,0)</f>
        <v>0</v>
      </c>
      <c r="L650" s="43">
        <f>VLOOKUP(F650,[8]Hárok1!$F$546:$S$794,7,0)</f>
        <v>12</v>
      </c>
      <c r="M650" s="43">
        <f>VLOOKUP(F650,[8]Hárok1!$F$546:$S$794,8,0)</f>
        <v>0</v>
      </c>
      <c r="N650" s="43">
        <f>VLOOKUP(F650,[8]Hárok1!$F$546:$S$794,9,0)</f>
        <v>0</v>
      </c>
      <c r="O650" s="43">
        <f>VLOOKUP(F650,[8]Hárok1!$F$546:$S$794,10,0)</f>
        <v>5</v>
      </c>
      <c r="P650" s="44">
        <f>VLOOKUP(F650,[8]Hárok1!$F$546:$S$794,11,0)</f>
        <v>0</v>
      </c>
      <c r="Q650" s="42">
        <f>VLOOKUP(F650,[8]Hárok1!$F$546:$S$794,12,0)</f>
        <v>0</v>
      </c>
      <c r="R650" s="43">
        <f>VLOOKUP(F650,[8]Hárok1!$F$546:$S$794,13,0)</f>
        <v>129</v>
      </c>
      <c r="S650" s="44">
        <f>VLOOKUP(F650,[8]Hárok1!$F$546:$S$794,14,0)</f>
        <v>0</v>
      </c>
      <c r="T650" s="45">
        <f t="shared" si="60"/>
        <v>402</v>
      </c>
      <c r="U650" s="46">
        <f>VLOOKUP(F650,[8]Hárok1!$F$546:$U$794,16,0)</f>
        <v>0</v>
      </c>
      <c r="V650" s="47">
        <f t="shared" si="61"/>
        <v>0</v>
      </c>
      <c r="W650" s="47">
        <f t="shared" si="62"/>
        <v>325.5</v>
      </c>
      <c r="X650" s="48">
        <f t="shared" si="63"/>
        <v>0</v>
      </c>
      <c r="Y650" s="49">
        <f t="shared" si="65"/>
        <v>727.5</v>
      </c>
      <c r="Z650" s="50">
        <f t="shared" si="64"/>
        <v>728</v>
      </c>
    </row>
    <row r="651" spans="1:26" x14ac:dyDescent="0.25">
      <c r="A651" s="51" t="s">
        <v>1201</v>
      </c>
      <c r="B651" s="51" t="s">
        <v>181</v>
      </c>
      <c r="C651" s="51" t="s">
        <v>1340</v>
      </c>
      <c r="D651" s="51">
        <v>179124</v>
      </c>
      <c r="E651" s="32" t="s">
        <v>1341</v>
      </c>
      <c r="F651" s="51">
        <v>42090598</v>
      </c>
      <c r="G651" s="32" t="s">
        <v>1354</v>
      </c>
      <c r="H651" s="32" t="s">
        <v>1210</v>
      </c>
      <c r="I651" s="33" t="s">
        <v>1355</v>
      </c>
      <c r="J651" s="42">
        <f>VLOOKUP(F651,[8]Hárok1!$F$546:$S$794,5,0)</f>
        <v>1</v>
      </c>
      <c r="K651" s="43">
        <f>VLOOKUP(F651,[8]Hárok1!$F$546:$S$794,6,0)</f>
        <v>0</v>
      </c>
      <c r="L651" s="43">
        <f>VLOOKUP(F651,[8]Hárok1!$F$546:$S$794,7,0)</f>
        <v>2</v>
      </c>
      <c r="M651" s="43">
        <f>VLOOKUP(F651,[8]Hárok1!$F$546:$S$794,8,0)</f>
        <v>0</v>
      </c>
      <c r="N651" s="43">
        <f>VLOOKUP(F651,[8]Hárok1!$F$546:$S$794,9,0)</f>
        <v>0</v>
      </c>
      <c r="O651" s="43">
        <f>VLOOKUP(F651,[8]Hárok1!$F$546:$S$794,10,0)</f>
        <v>1</v>
      </c>
      <c r="P651" s="44">
        <f>VLOOKUP(F651,[8]Hárok1!$F$546:$S$794,11,0)</f>
        <v>0</v>
      </c>
      <c r="Q651" s="42">
        <f>VLOOKUP(F651,[8]Hárok1!$F$546:$S$794,12,0)</f>
        <v>0</v>
      </c>
      <c r="R651" s="43">
        <f>VLOOKUP(F651,[8]Hárok1!$F$546:$S$794,13,0)</f>
        <v>34</v>
      </c>
      <c r="S651" s="44">
        <f>VLOOKUP(F651,[8]Hárok1!$F$546:$S$794,14,0)</f>
        <v>0</v>
      </c>
      <c r="T651" s="45">
        <f t="shared" si="60"/>
        <v>67</v>
      </c>
      <c r="U651" s="46">
        <f>VLOOKUP(F651,[8]Hárok1!$F$546:$U$794,16,0)</f>
        <v>86.28</v>
      </c>
      <c r="V651" s="47">
        <f t="shared" si="61"/>
        <v>0</v>
      </c>
      <c r="W651" s="47">
        <f t="shared" si="62"/>
        <v>81.5</v>
      </c>
      <c r="X651" s="48">
        <f t="shared" si="63"/>
        <v>0</v>
      </c>
      <c r="Y651" s="49">
        <f t="shared" si="65"/>
        <v>234.78</v>
      </c>
      <c r="Z651" s="50">
        <f t="shared" si="64"/>
        <v>235</v>
      </c>
    </row>
    <row r="652" spans="1:26" x14ac:dyDescent="0.25">
      <c r="A652" s="29" t="s">
        <v>1201</v>
      </c>
      <c r="B652" s="29" t="s">
        <v>181</v>
      </c>
      <c r="C652" s="29" t="s">
        <v>1340</v>
      </c>
      <c r="D652" s="29">
        <v>179124</v>
      </c>
      <c r="E652" s="32" t="s">
        <v>1341</v>
      </c>
      <c r="F652" s="29">
        <v>37937731</v>
      </c>
      <c r="G652" s="32" t="s">
        <v>1356</v>
      </c>
      <c r="H652" s="32" t="s">
        <v>1210</v>
      </c>
      <c r="I652" s="33" t="s">
        <v>1357</v>
      </c>
      <c r="J652" s="42">
        <f>VLOOKUP(F652,[8]Hárok1!$F$546:$S$794,5,0)</f>
        <v>15</v>
      </c>
      <c r="K652" s="43">
        <f>VLOOKUP(F652,[8]Hárok1!$F$546:$S$794,6,0)</f>
        <v>0</v>
      </c>
      <c r="L652" s="43">
        <f>VLOOKUP(F652,[8]Hárok1!$F$546:$S$794,7,0)</f>
        <v>56</v>
      </c>
      <c r="M652" s="43">
        <f>VLOOKUP(F652,[8]Hárok1!$F$546:$S$794,8,0)</f>
        <v>0</v>
      </c>
      <c r="N652" s="43">
        <f>VLOOKUP(F652,[8]Hárok1!$F$546:$S$794,9,0)</f>
        <v>2</v>
      </c>
      <c r="O652" s="43">
        <f>VLOOKUP(F652,[8]Hárok1!$F$546:$S$794,10,0)</f>
        <v>18</v>
      </c>
      <c r="P652" s="44">
        <f>VLOOKUP(F652,[8]Hárok1!$F$546:$S$794,11,0)</f>
        <v>2</v>
      </c>
      <c r="Q652" s="42">
        <f>VLOOKUP(F652,[8]Hárok1!$F$546:$S$794,12,0)</f>
        <v>21</v>
      </c>
      <c r="R652" s="43">
        <f>VLOOKUP(F652,[8]Hárok1!$F$546:$S$794,13,0)</f>
        <v>436</v>
      </c>
      <c r="S652" s="44">
        <f>VLOOKUP(F652,[8]Hárok1!$F$546:$S$794,14,0)</f>
        <v>89</v>
      </c>
      <c r="T652" s="45">
        <f t="shared" si="60"/>
        <v>1876</v>
      </c>
      <c r="U652" s="46">
        <f>VLOOKUP(F652,[8]Hárok1!$F$546:$U$794,16,0)</f>
        <v>1410.77</v>
      </c>
      <c r="V652" s="47">
        <f t="shared" si="61"/>
        <v>58.5</v>
      </c>
      <c r="W652" s="47">
        <f t="shared" si="62"/>
        <v>1115</v>
      </c>
      <c r="X652" s="48">
        <f t="shared" si="63"/>
        <v>187.5</v>
      </c>
      <c r="Y652" s="49">
        <f t="shared" si="65"/>
        <v>4647.7700000000004</v>
      </c>
      <c r="Z652" s="50">
        <f t="shared" si="64"/>
        <v>4648</v>
      </c>
    </row>
    <row r="653" spans="1:26" x14ac:dyDescent="0.25">
      <c r="A653" s="29" t="s">
        <v>1201</v>
      </c>
      <c r="B653" s="29" t="s">
        <v>181</v>
      </c>
      <c r="C653" s="29" t="s">
        <v>1348</v>
      </c>
      <c r="D653" s="29">
        <v>31997520</v>
      </c>
      <c r="E653" s="32" t="s">
        <v>1349</v>
      </c>
      <c r="F653" s="29">
        <v>37975650</v>
      </c>
      <c r="G653" s="32" t="s">
        <v>1358</v>
      </c>
      <c r="H653" s="32" t="s">
        <v>833</v>
      </c>
      <c r="I653" s="33" t="s">
        <v>1359</v>
      </c>
      <c r="J653" s="42">
        <f>VLOOKUP(F653,[8]Hárok1!$F$546:$S$794,5,0)</f>
        <v>14</v>
      </c>
      <c r="K653" s="43">
        <f>VLOOKUP(F653,[8]Hárok1!$F$546:$S$794,6,0)</f>
        <v>0</v>
      </c>
      <c r="L653" s="43">
        <f>VLOOKUP(F653,[8]Hárok1!$F$546:$S$794,7,0)</f>
        <v>30</v>
      </c>
      <c r="M653" s="43">
        <f>VLOOKUP(F653,[8]Hárok1!$F$546:$S$794,8,0)</f>
        <v>0</v>
      </c>
      <c r="N653" s="43">
        <f>VLOOKUP(F653,[8]Hárok1!$F$546:$S$794,9,0)</f>
        <v>0</v>
      </c>
      <c r="O653" s="43">
        <f>VLOOKUP(F653,[8]Hárok1!$F$546:$S$794,10,0)</f>
        <v>16</v>
      </c>
      <c r="P653" s="44">
        <f>VLOOKUP(F653,[8]Hárok1!$F$546:$S$794,11,0)</f>
        <v>2</v>
      </c>
      <c r="Q653" s="42">
        <f>VLOOKUP(F653,[8]Hárok1!$F$546:$S$794,12,0)</f>
        <v>0</v>
      </c>
      <c r="R653" s="43">
        <f>VLOOKUP(F653,[8]Hárok1!$F$546:$S$794,13,0)</f>
        <v>240</v>
      </c>
      <c r="S653" s="44">
        <f>VLOOKUP(F653,[8]Hárok1!$F$546:$S$794,14,0)</f>
        <v>71</v>
      </c>
      <c r="T653" s="45">
        <f t="shared" si="60"/>
        <v>1005</v>
      </c>
      <c r="U653" s="46">
        <f>VLOOKUP(F653,[8]Hárok1!$F$546:$U$794,16,0)</f>
        <v>216.9</v>
      </c>
      <c r="V653" s="47">
        <f t="shared" si="61"/>
        <v>0</v>
      </c>
      <c r="W653" s="47">
        <f t="shared" si="62"/>
        <v>696</v>
      </c>
      <c r="X653" s="48">
        <f t="shared" si="63"/>
        <v>160.5</v>
      </c>
      <c r="Y653" s="49">
        <f t="shared" si="65"/>
        <v>2078.4</v>
      </c>
      <c r="Z653" s="50">
        <f t="shared" si="64"/>
        <v>2078</v>
      </c>
    </row>
    <row r="654" spans="1:26" x14ac:dyDescent="0.25">
      <c r="A654" s="29" t="s">
        <v>1201</v>
      </c>
      <c r="B654" s="29" t="s">
        <v>181</v>
      </c>
      <c r="C654" s="29" t="s">
        <v>1348</v>
      </c>
      <c r="D654" s="29">
        <v>31997520</v>
      </c>
      <c r="E654" s="32" t="s">
        <v>1349</v>
      </c>
      <c r="F654" s="29">
        <v>42224055</v>
      </c>
      <c r="G654" s="32" t="s">
        <v>1358</v>
      </c>
      <c r="H654" s="32" t="s">
        <v>836</v>
      </c>
      <c r="I654" s="33" t="s">
        <v>1360</v>
      </c>
      <c r="J654" s="42">
        <f>VLOOKUP(F654,[8]Hárok1!$F$546:$S$794,5,0)</f>
        <v>12</v>
      </c>
      <c r="K654" s="43">
        <f>VLOOKUP(F654,[8]Hárok1!$F$546:$S$794,6,0)</f>
        <v>0</v>
      </c>
      <c r="L654" s="43">
        <f>VLOOKUP(F654,[8]Hárok1!$F$546:$S$794,7,0)</f>
        <v>30</v>
      </c>
      <c r="M654" s="43">
        <f>VLOOKUP(F654,[8]Hárok1!$F$546:$S$794,8,0)</f>
        <v>0</v>
      </c>
      <c r="N654" s="43">
        <f>VLOOKUP(F654,[8]Hárok1!$F$546:$S$794,9,0)</f>
        <v>1</v>
      </c>
      <c r="O654" s="43">
        <f>VLOOKUP(F654,[8]Hárok1!$F$546:$S$794,10,0)</f>
        <v>15</v>
      </c>
      <c r="P654" s="44">
        <f>VLOOKUP(F654,[8]Hárok1!$F$546:$S$794,11,0)</f>
        <v>1</v>
      </c>
      <c r="Q654" s="42">
        <f>VLOOKUP(F654,[8]Hárok1!$F$546:$S$794,12,0)</f>
        <v>1</v>
      </c>
      <c r="R654" s="43">
        <f>VLOOKUP(F654,[8]Hárok1!$F$546:$S$794,13,0)</f>
        <v>168</v>
      </c>
      <c r="S654" s="44">
        <f>VLOOKUP(F654,[8]Hárok1!$F$546:$S$794,14,0)</f>
        <v>148</v>
      </c>
      <c r="T654" s="45">
        <f t="shared" si="60"/>
        <v>1005</v>
      </c>
      <c r="U654" s="46">
        <f>VLOOKUP(F654,[8]Hárok1!$F$546:$U$794,16,0)</f>
        <v>469.16</v>
      </c>
      <c r="V654" s="47">
        <f t="shared" si="61"/>
        <v>15</v>
      </c>
      <c r="W654" s="47">
        <f t="shared" si="62"/>
        <v>538.5</v>
      </c>
      <c r="X654" s="48">
        <f t="shared" si="63"/>
        <v>249</v>
      </c>
      <c r="Y654" s="49">
        <f t="shared" si="65"/>
        <v>2276.66</v>
      </c>
      <c r="Z654" s="50">
        <f t="shared" si="64"/>
        <v>2277</v>
      </c>
    </row>
    <row r="655" spans="1:26" x14ac:dyDescent="0.25">
      <c r="A655" s="29" t="s">
        <v>1201</v>
      </c>
      <c r="B655" s="29" t="s">
        <v>181</v>
      </c>
      <c r="C655" s="29" t="s">
        <v>1340</v>
      </c>
      <c r="D655" s="29">
        <v>179124</v>
      </c>
      <c r="E655" s="32" t="s">
        <v>1341</v>
      </c>
      <c r="F655" s="29">
        <v>37942743</v>
      </c>
      <c r="G655" s="32" t="s">
        <v>1361</v>
      </c>
      <c r="H655" s="32" t="s">
        <v>351</v>
      </c>
      <c r="I655" s="33" t="s">
        <v>1362</v>
      </c>
      <c r="J655" s="42">
        <f>VLOOKUP(F655,[8]Hárok1!$F$546:$S$794,5,0)</f>
        <v>2</v>
      </c>
      <c r="K655" s="43">
        <f>VLOOKUP(F655,[8]Hárok1!$F$546:$S$794,6,0)</f>
        <v>0</v>
      </c>
      <c r="L655" s="43">
        <f>VLOOKUP(F655,[8]Hárok1!$F$546:$S$794,7,0)</f>
        <v>5</v>
      </c>
      <c r="M655" s="43">
        <f>VLOOKUP(F655,[8]Hárok1!$F$546:$S$794,8,0)</f>
        <v>0</v>
      </c>
      <c r="N655" s="43">
        <f>VLOOKUP(F655,[8]Hárok1!$F$546:$S$794,9,0)</f>
        <v>0</v>
      </c>
      <c r="O655" s="43">
        <f>VLOOKUP(F655,[8]Hárok1!$F$546:$S$794,10,0)</f>
        <v>2</v>
      </c>
      <c r="P655" s="44">
        <f>VLOOKUP(F655,[8]Hárok1!$F$546:$S$794,11,0)</f>
        <v>1</v>
      </c>
      <c r="Q655" s="42">
        <f>VLOOKUP(F655,[8]Hárok1!$F$546:$S$794,12,0)</f>
        <v>0</v>
      </c>
      <c r="R655" s="43">
        <f>VLOOKUP(F655,[8]Hárok1!$F$546:$S$794,13,0)</f>
        <v>32</v>
      </c>
      <c r="S655" s="44">
        <f>VLOOKUP(F655,[8]Hárok1!$F$546:$S$794,14,0)</f>
        <v>24</v>
      </c>
      <c r="T655" s="45">
        <f t="shared" si="60"/>
        <v>167.5</v>
      </c>
      <c r="U655" s="46">
        <f>VLOOKUP(F655,[8]Hárok1!$F$546:$U$794,16,0)</f>
        <v>0</v>
      </c>
      <c r="V655" s="47">
        <f t="shared" si="61"/>
        <v>0</v>
      </c>
      <c r="W655" s="47">
        <f t="shared" si="62"/>
        <v>91</v>
      </c>
      <c r="X655" s="48">
        <f t="shared" si="63"/>
        <v>63</v>
      </c>
      <c r="Y655" s="49">
        <f t="shared" si="65"/>
        <v>321.5</v>
      </c>
      <c r="Z655" s="50">
        <f t="shared" si="64"/>
        <v>322</v>
      </c>
    </row>
    <row r="656" spans="1:26" x14ac:dyDescent="0.25">
      <c r="A656" s="29" t="s">
        <v>1201</v>
      </c>
      <c r="B656" s="29" t="s">
        <v>181</v>
      </c>
      <c r="C656" s="29" t="s">
        <v>1348</v>
      </c>
      <c r="D656" s="29">
        <v>31997520</v>
      </c>
      <c r="E656" s="32" t="s">
        <v>1349</v>
      </c>
      <c r="F656" s="29">
        <v>42227372</v>
      </c>
      <c r="G656" s="32" t="s">
        <v>1363</v>
      </c>
      <c r="H656" s="32" t="s">
        <v>1364</v>
      </c>
      <c r="I656" s="33" t="s">
        <v>1365</v>
      </c>
      <c r="J656" s="42">
        <f>VLOOKUP(F656,[8]Hárok1!$F$546:$S$794,5,0)</f>
        <v>0</v>
      </c>
      <c r="K656" s="43">
        <f>VLOOKUP(F656,[8]Hárok1!$F$546:$S$794,6,0)</f>
        <v>0</v>
      </c>
      <c r="L656" s="43">
        <f>VLOOKUP(F656,[8]Hárok1!$F$546:$S$794,7,0)</f>
        <v>0</v>
      </c>
      <c r="M656" s="43">
        <f>VLOOKUP(F656,[8]Hárok1!$F$546:$S$794,8,0)</f>
        <v>0</v>
      </c>
      <c r="N656" s="43">
        <f>VLOOKUP(F656,[8]Hárok1!$F$546:$S$794,9,0)</f>
        <v>0</v>
      </c>
      <c r="O656" s="43">
        <f>VLOOKUP(F656,[8]Hárok1!$F$546:$S$794,10,0)</f>
        <v>0</v>
      </c>
      <c r="P656" s="44">
        <f>VLOOKUP(F656,[8]Hárok1!$F$546:$S$794,11,0)</f>
        <v>0</v>
      </c>
      <c r="Q656" s="42">
        <f>VLOOKUP(F656,[8]Hárok1!$F$546:$S$794,12,0)</f>
        <v>0</v>
      </c>
      <c r="R656" s="43">
        <f>VLOOKUP(F656,[8]Hárok1!$F$546:$S$794,13,0)</f>
        <v>0</v>
      </c>
      <c r="S656" s="44">
        <f>VLOOKUP(F656,[8]Hárok1!$F$546:$S$794,14,0)</f>
        <v>0</v>
      </c>
      <c r="T656" s="45">
        <f t="shared" si="60"/>
        <v>0</v>
      </c>
      <c r="U656" s="46">
        <f>VLOOKUP(F656,[8]Hárok1!$F$546:$U$794,16,0)</f>
        <v>0</v>
      </c>
      <c r="V656" s="47">
        <f t="shared" si="61"/>
        <v>0</v>
      </c>
      <c r="W656" s="47">
        <f t="shared" si="62"/>
        <v>0</v>
      </c>
      <c r="X656" s="48">
        <f t="shared" si="63"/>
        <v>0</v>
      </c>
      <c r="Y656" s="49">
        <f t="shared" si="65"/>
        <v>0</v>
      </c>
      <c r="Z656" s="50">
        <f t="shared" si="64"/>
        <v>0</v>
      </c>
    </row>
    <row r="657" spans="1:26" x14ac:dyDescent="0.25">
      <c r="A657" s="29" t="s">
        <v>1201</v>
      </c>
      <c r="B657" s="29" t="s">
        <v>181</v>
      </c>
      <c r="C657" s="29" t="s">
        <v>1348</v>
      </c>
      <c r="D657" s="29">
        <v>31997520</v>
      </c>
      <c r="E657" s="32" t="s">
        <v>1349</v>
      </c>
      <c r="F657" s="29">
        <v>42227496</v>
      </c>
      <c r="G657" s="32" t="s">
        <v>1358</v>
      </c>
      <c r="H657" s="32" t="s">
        <v>1223</v>
      </c>
      <c r="I657" s="33" t="s">
        <v>1366</v>
      </c>
      <c r="J657" s="42">
        <f>VLOOKUP(F657,[8]Hárok1!$F$546:$S$794,5,0)</f>
        <v>9</v>
      </c>
      <c r="K657" s="43">
        <f>VLOOKUP(F657,[8]Hárok1!$F$546:$S$794,6,0)</f>
        <v>0</v>
      </c>
      <c r="L657" s="43">
        <f>VLOOKUP(F657,[8]Hárok1!$F$546:$S$794,7,0)</f>
        <v>24</v>
      </c>
      <c r="M657" s="43">
        <f>VLOOKUP(F657,[8]Hárok1!$F$546:$S$794,8,0)</f>
        <v>0</v>
      </c>
      <c r="N657" s="43">
        <f>VLOOKUP(F657,[8]Hárok1!$F$546:$S$794,9,0)</f>
        <v>1</v>
      </c>
      <c r="O657" s="43">
        <f>VLOOKUP(F657,[8]Hárok1!$F$546:$S$794,10,0)</f>
        <v>11</v>
      </c>
      <c r="P657" s="44">
        <f>VLOOKUP(F657,[8]Hárok1!$F$546:$S$794,11,0)</f>
        <v>1</v>
      </c>
      <c r="Q657" s="42">
        <f>VLOOKUP(F657,[8]Hárok1!$F$546:$S$794,12,0)</f>
        <v>20</v>
      </c>
      <c r="R657" s="43">
        <f>VLOOKUP(F657,[8]Hárok1!$F$546:$S$794,13,0)</f>
        <v>166</v>
      </c>
      <c r="S657" s="44">
        <f>VLOOKUP(F657,[8]Hárok1!$F$546:$S$794,14,0)</f>
        <v>42</v>
      </c>
      <c r="T657" s="45">
        <f t="shared" si="60"/>
        <v>804</v>
      </c>
      <c r="U657" s="46">
        <f>VLOOKUP(F657,[8]Hárok1!$F$546:$U$794,16,0)</f>
        <v>2.7</v>
      </c>
      <c r="V657" s="47">
        <f t="shared" si="61"/>
        <v>43.5</v>
      </c>
      <c r="W657" s="47">
        <f t="shared" si="62"/>
        <v>480.5</v>
      </c>
      <c r="X657" s="48">
        <f t="shared" si="63"/>
        <v>90</v>
      </c>
      <c r="Y657" s="49">
        <f t="shared" si="65"/>
        <v>1420.7</v>
      </c>
      <c r="Z657" s="50">
        <f t="shared" si="64"/>
        <v>1421</v>
      </c>
    </row>
    <row r="658" spans="1:26" x14ac:dyDescent="0.25">
      <c r="A658" s="29" t="s">
        <v>1201</v>
      </c>
      <c r="B658" s="29" t="s">
        <v>181</v>
      </c>
      <c r="C658" s="29" t="s">
        <v>1344</v>
      </c>
      <c r="D658" s="29">
        <v>179205</v>
      </c>
      <c r="E658" s="32" t="s">
        <v>1345</v>
      </c>
      <c r="F658" s="29">
        <v>53200284</v>
      </c>
      <c r="G658" s="32" t="s">
        <v>1367</v>
      </c>
      <c r="H658" s="32" t="s">
        <v>1223</v>
      </c>
      <c r="I658" s="33" t="s">
        <v>1368</v>
      </c>
      <c r="J658" s="42">
        <f>VLOOKUP(F658,[8]Hárok1!$F$546:$S$794,5,0)</f>
        <v>7</v>
      </c>
      <c r="K658" s="43">
        <f>VLOOKUP(F658,[8]Hárok1!$F$546:$S$794,6,0)</f>
        <v>0</v>
      </c>
      <c r="L658" s="43">
        <f>VLOOKUP(F658,[8]Hárok1!$F$546:$S$794,7,0)</f>
        <v>15</v>
      </c>
      <c r="M658" s="43">
        <f>VLOOKUP(F658,[8]Hárok1!$F$546:$S$794,8,0)</f>
        <v>0</v>
      </c>
      <c r="N658" s="43">
        <f>VLOOKUP(F658,[8]Hárok1!$F$546:$S$794,9,0)</f>
        <v>1</v>
      </c>
      <c r="O658" s="43">
        <f>VLOOKUP(F658,[8]Hárok1!$F$546:$S$794,10,0)</f>
        <v>8</v>
      </c>
      <c r="P658" s="44">
        <f>VLOOKUP(F658,[8]Hárok1!$F$546:$S$794,11,0)</f>
        <v>2</v>
      </c>
      <c r="Q658" s="42">
        <f>VLOOKUP(F658,[8]Hárok1!$F$546:$S$794,12,0)</f>
        <v>3</v>
      </c>
      <c r="R658" s="43">
        <f>VLOOKUP(F658,[8]Hárok1!$F$546:$S$794,13,0)</f>
        <v>50</v>
      </c>
      <c r="S658" s="44">
        <f>VLOOKUP(F658,[8]Hárok1!$F$546:$S$794,14,0)</f>
        <v>18</v>
      </c>
      <c r="T658" s="45">
        <f t="shared" si="60"/>
        <v>502.5</v>
      </c>
      <c r="U658" s="46">
        <f>VLOOKUP(F658,[8]Hárok1!$F$546:$U$794,16,0)</f>
        <v>0</v>
      </c>
      <c r="V658" s="47">
        <f t="shared" si="61"/>
        <v>18</v>
      </c>
      <c r="W658" s="47">
        <f t="shared" si="62"/>
        <v>208</v>
      </c>
      <c r="X658" s="48">
        <f t="shared" si="63"/>
        <v>81</v>
      </c>
      <c r="Y658" s="49">
        <f t="shared" si="65"/>
        <v>809.5</v>
      </c>
      <c r="Z658" s="50">
        <f t="shared" si="64"/>
        <v>810</v>
      </c>
    </row>
    <row r="659" spans="1:26" x14ac:dyDescent="0.25">
      <c r="A659" s="29" t="s">
        <v>1201</v>
      </c>
      <c r="B659" s="29" t="s">
        <v>181</v>
      </c>
      <c r="C659" s="29" t="s">
        <v>1369</v>
      </c>
      <c r="D659" s="29">
        <v>586439</v>
      </c>
      <c r="E659" s="32" t="s">
        <v>1370</v>
      </c>
      <c r="F659" s="29">
        <v>698288</v>
      </c>
      <c r="G659" s="32" t="s">
        <v>1371</v>
      </c>
      <c r="H659" s="32" t="s">
        <v>1223</v>
      </c>
      <c r="I659" s="33" t="s">
        <v>1372</v>
      </c>
      <c r="J659" s="42">
        <f>VLOOKUP(F659,[8]Hárok1!$F$546:$S$794,5,0)</f>
        <v>8</v>
      </c>
      <c r="K659" s="43">
        <f>VLOOKUP(F659,[8]Hárok1!$F$546:$S$794,6,0)</f>
        <v>0</v>
      </c>
      <c r="L659" s="43">
        <f>VLOOKUP(F659,[8]Hárok1!$F$546:$S$794,7,0)</f>
        <v>52</v>
      </c>
      <c r="M659" s="43">
        <f>VLOOKUP(F659,[8]Hárok1!$F$546:$S$794,8,0)</f>
        <v>0</v>
      </c>
      <c r="N659" s="43">
        <f>VLOOKUP(F659,[8]Hárok1!$F$546:$S$794,9,0)</f>
        <v>0</v>
      </c>
      <c r="O659" s="43">
        <f>VLOOKUP(F659,[8]Hárok1!$F$546:$S$794,10,0)</f>
        <v>13</v>
      </c>
      <c r="P659" s="44">
        <f>VLOOKUP(F659,[8]Hárok1!$F$546:$S$794,11,0)</f>
        <v>17</v>
      </c>
      <c r="Q659" s="42">
        <f>VLOOKUP(F659,[8]Hárok1!$F$546:$S$794,12,0)</f>
        <v>0</v>
      </c>
      <c r="R659" s="43">
        <f>VLOOKUP(F659,[8]Hárok1!$F$546:$S$794,13,0)</f>
        <v>428</v>
      </c>
      <c r="S659" s="44">
        <f>VLOOKUP(F659,[8]Hárok1!$F$546:$S$794,14,0)</f>
        <v>210</v>
      </c>
      <c r="T659" s="45">
        <f t="shared" si="60"/>
        <v>1742</v>
      </c>
      <c r="U659" s="46">
        <f>VLOOKUP(F659,[8]Hárok1!$F$546:$U$794,16,0)</f>
        <v>210.4</v>
      </c>
      <c r="V659" s="47">
        <f t="shared" si="61"/>
        <v>0</v>
      </c>
      <c r="W659" s="47">
        <f t="shared" si="62"/>
        <v>1031.5</v>
      </c>
      <c r="X659" s="48">
        <f t="shared" si="63"/>
        <v>774</v>
      </c>
      <c r="Y659" s="49">
        <f t="shared" si="65"/>
        <v>3757.9</v>
      </c>
      <c r="Z659" s="50">
        <f t="shared" si="64"/>
        <v>3758</v>
      </c>
    </row>
    <row r="660" spans="1:26" x14ac:dyDescent="0.25">
      <c r="A660" s="29" t="s">
        <v>1201</v>
      </c>
      <c r="B660" s="29" t="s">
        <v>181</v>
      </c>
      <c r="C660" s="29" t="s">
        <v>1340</v>
      </c>
      <c r="D660" s="29">
        <v>179124</v>
      </c>
      <c r="E660" s="32" t="s">
        <v>1341</v>
      </c>
      <c r="F660" s="29">
        <v>17060532</v>
      </c>
      <c r="G660" s="32" t="s">
        <v>1373</v>
      </c>
      <c r="H660" s="32" t="s">
        <v>462</v>
      </c>
      <c r="I660" s="33" t="s">
        <v>1374</v>
      </c>
      <c r="J660" s="42">
        <f>VLOOKUP(F660,[8]Hárok1!$F$546:$S$794,5,0)</f>
        <v>13</v>
      </c>
      <c r="K660" s="43">
        <f>VLOOKUP(F660,[8]Hárok1!$F$546:$S$794,6,0)</f>
        <v>0</v>
      </c>
      <c r="L660" s="43">
        <f>VLOOKUP(F660,[8]Hárok1!$F$546:$S$794,7,0)</f>
        <v>38</v>
      </c>
      <c r="M660" s="43">
        <f>VLOOKUP(F660,[8]Hárok1!$F$546:$S$794,8,0)</f>
        <v>0</v>
      </c>
      <c r="N660" s="43">
        <f>VLOOKUP(F660,[8]Hárok1!$F$546:$S$794,9,0)</f>
        <v>1</v>
      </c>
      <c r="O660" s="43">
        <f>VLOOKUP(F660,[8]Hárok1!$F$546:$S$794,10,0)</f>
        <v>12</v>
      </c>
      <c r="P660" s="44">
        <f>VLOOKUP(F660,[8]Hárok1!$F$546:$S$794,11,0)</f>
        <v>1</v>
      </c>
      <c r="Q660" s="42">
        <f>VLOOKUP(F660,[8]Hárok1!$F$546:$S$794,12,0)</f>
        <v>5</v>
      </c>
      <c r="R660" s="43">
        <f>VLOOKUP(F660,[8]Hárok1!$F$546:$S$794,13,0)</f>
        <v>333</v>
      </c>
      <c r="S660" s="44">
        <f>VLOOKUP(F660,[8]Hárok1!$F$546:$S$794,14,0)</f>
        <v>77</v>
      </c>
      <c r="T660" s="45">
        <f t="shared" si="60"/>
        <v>1273</v>
      </c>
      <c r="U660" s="46">
        <f>VLOOKUP(F660,[8]Hárok1!$F$546:$U$794,16,0)</f>
        <v>5.8</v>
      </c>
      <c r="V660" s="47">
        <f t="shared" si="61"/>
        <v>21</v>
      </c>
      <c r="W660" s="47">
        <f t="shared" si="62"/>
        <v>828</v>
      </c>
      <c r="X660" s="48">
        <f t="shared" si="63"/>
        <v>142.5</v>
      </c>
      <c r="Y660" s="49">
        <f t="shared" si="65"/>
        <v>2270.3000000000002</v>
      </c>
      <c r="Z660" s="50">
        <f t="shared" si="64"/>
        <v>2270</v>
      </c>
    </row>
    <row r="661" spans="1:26" x14ac:dyDescent="0.25">
      <c r="A661" s="29" t="s">
        <v>1201</v>
      </c>
      <c r="B661" s="29" t="s">
        <v>181</v>
      </c>
      <c r="C661" s="29" t="s">
        <v>1340</v>
      </c>
      <c r="D661" s="29">
        <v>179124</v>
      </c>
      <c r="E661" s="32" t="s">
        <v>1341</v>
      </c>
      <c r="F661" s="29">
        <v>35565136</v>
      </c>
      <c r="G661" s="32" t="s">
        <v>1375</v>
      </c>
      <c r="H661" s="32" t="s">
        <v>1376</v>
      </c>
      <c r="I661" s="33" t="s">
        <v>1377</v>
      </c>
      <c r="J661" s="42">
        <f>VLOOKUP(F661,[8]Hárok1!$F$546:$S$794,5,0)</f>
        <v>4</v>
      </c>
      <c r="K661" s="43">
        <f>VLOOKUP(F661,[8]Hárok1!$F$546:$S$794,6,0)</f>
        <v>0</v>
      </c>
      <c r="L661" s="43">
        <f>VLOOKUP(F661,[8]Hárok1!$F$546:$S$794,7,0)</f>
        <v>11</v>
      </c>
      <c r="M661" s="43">
        <f>VLOOKUP(F661,[8]Hárok1!$F$546:$S$794,8,0)</f>
        <v>0</v>
      </c>
      <c r="N661" s="43">
        <f>VLOOKUP(F661,[8]Hárok1!$F$546:$S$794,9,0)</f>
        <v>0</v>
      </c>
      <c r="O661" s="43">
        <f>VLOOKUP(F661,[8]Hárok1!$F$546:$S$794,10,0)</f>
        <v>4</v>
      </c>
      <c r="P661" s="44">
        <f>VLOOKUP(F661,[8]Hárok1!$F$546:$S$794,11,0)</f>
        <v>1</v>
      </c>
      <c r="Q661" s="42">
        <f>VLOOKUP(F661,[8]Hárok1!$F$546:$S$794,12,0)</f>
        <v>0</v>
      </c>
      <c r="R661" s="43">
        <f>VLOOKUP(F661,[8]Hárok1!$F$546:$S$794,13,0)</f>
        <v>60</v>
      </c>
      <c r="S661" s="44">
        <f>VLOOKUP(F661,[8]Hárok1!$F$546:$S$794,14,0)</f>
        <v>61</v>
      </c>
      <c r="T661" s="45">
        <f t="shared" si="60"/>
        <v>368.5</v>
      </c>
      <c r="U661" s="46">
        <f>VLOOKUP(F661,[8]Hárok1!$F$546:$U$794,16,0)</f>
        <v>6.8</v>
      </c>
      <c r="V661" s="47">
        <f t="shared" si="61"/>
        <v>0</v>
      </c>
      <c r="W661" s="47">
        <f t="shared" si="62"/>
        <v>174</v>
      </c>
      <c r="X661" s="48">
        <f t="shared" si="63"/>
        <v>118.5</v>
      </c>
      <c r="Y661" s="49">
        <f t="shared" si="65"/>
        <v>667.8</v>
      </c>
      <c r="Z661" s="50">
        <f t="shared" si="64"/>
        <v>668</v>
      </c>
    </row>
    <row r="662" spans="1:26" x14ac:dyDescent="0.25">
      <c r="A662" s="29" t="s">
        <v>1201</v>
      </c>
      <c r="B662" s="29" t="s">
        <v>181</v>
      </c>
      <c r="C662" s="29" t="s">
        <v>1340</v>
      </c>
      <c r="D662" s="29">
        <v>179124</v>
      </c>
      <c r="E662" s="32" t="s">
        <v>1341</v>
      </c>
      <c r="F662" s="29">
        <v>51906228</v>
      </c>
      <c r="G662" s="32" t="s">
        <v>1378</v>
      </c>
      <c r="H662" s="32" t="s">
        <v>1379</v>
      </c>
      <c r="I662" s="33" t="s">
        <v>1380</v>
      </c>
      <c r="J662" s="42">
        <f>VLOOKUP(F662,[8]Hárok1!$F$546:$S$794,5,0)</f>
        <v>0</v>
      </c>
      <c r="K662" s="43">
        <f>VLOOKUP(F662,[8]Hárok1!$F$546:$S$794,6,0)</f>
        <v>0</v>
      </c>
      <c r="L662" s="43">
        <f>VLOOKUP(F662,[8]Hárok1!$F$546:$S$794,7,0)</f>
        <v>0</v>
      </c>
      <c r="M662" s="43">
        <f>VLOOKUP(F662,[8]Hárok1!$F$546:$S$794,8,0)</f>
        <v>0</v>
      </c>
      <c r="N662" s="43">
        <f>VLOOKUP(F662,[8]Hárok1!$F$546:$S$794,9,0)</f>
        <v>0</v>
      </c>
      <c r="O662" s="43">
        <f>VLOOKUP(F662,[8]Hárok1!$F$546:$S$794,10,0)</f>
        <v>0</v>
      </c>
      <c r="P662" s="44">
        <f>VLOOKUP(F662,[8]Hárok1!$F$546:$S$794,11,0)</f>
        <v>0</v>
      </c>
      <c r="Q662" s="42">
        <f>VLOOKUP(F662,[8]Hárok1!$F$546:$S$794,12,0)</f>
        <v>0</v>
      </c>
      <c r="R662" s="43">
        <f>VLOOKUP(F662,[8]Hárok1!$F$546:$S$794,13,0)</f>
        <v>0</v>
      </c>
      <c r="S662" s="44">
        <f>VLOOKUP(F662,[8]Hárok1!$F$546:$S$794,14,0)</f>
        <v>0</v>
      </c>
      <c r="T662" s="45">
        <f t="shared" si="60"/>
        <v>0</v>
      </c>
      <c r="U662" s="46">
        <f>VLOOKUP(F662,[8]Hárok1!$F$546:$U$794,16,0)</f>
        <v>0</v>
      </c>
      <c r="V662" s="47">
        <f t="shared" si="61"/>
        <v>0</v>
      </c>
      <c r="W662" s="47">
        <f t="shared" si="62"/>
        <v>0</v>
      </c>
      <c r="X662" s="48">
        <f t="shared" si="63"/>
        <v>0</v>
      </c>
      <c r="Y662" s="49">
        <f t="shared" si="65"/>
        <v>0</v>
      </c>
      <c r="Z662" s="50">
        <f t="shared" si="64"/>
        <v>0</v>
      </c>
    </row>
    <row r="663" spans="1:26" x14ac:dyDescent="0.25">
      <c r="A663" s="29" t="s">
        <v>1201</v>
      </c>
      <c r="B663" s="29" t="s">
        <v>181</v>
      </c>
      <c r="C663" s="29" t="s">
        <v>1340</v>
      </c>
      <c r="D663" s="29">
        <v>179124</v>
      </c>
      <c r="E663" s="32" t="s">
        <v>1341</v>
      </c>
      <c r="F663" s="29">
        <v>17151481</v>
      </c>
      <c r="G663" s="32" t="s">
        <v>1381</v>
      </c>
      <c r="H663" s="32" t="s">
        <v>1379</v>
      </c>
      <c r="I663" s="33" t="s">
        <v>1380</v>
      </c>
      <c r="J663" s="42">
        <f>VLOOKUP(F663,[8]Hárok1!$F$546:$S$794,5,0)</f>
        <v>7</v>
      </c>
      <c r="K663" s="43">
        <f>VLOOKUP(F663,[8]Hárok1!$F$546:$S$794,6,0)</f>
        <v>0</v>
      </c>
      <c r="L663" s="43">
        <f>VLOOKUP(F663,[8]Hárok1!$F$546:$S$794,7,0)</f>
        <v>23</v>
      </c>
      <c r="M663" s="43">
        <f>VLOOKUP(F663,[8]Hárok1!$F$546:$S$794,8,0)</f>
        <v>0</v>
      </c>
      <c r="N663" s="43">
        <f>VLOOKUP(F663,[8]Hárok1!$F$546:$S$794,9,0)</f>
        <v>1</v>
      </c>
      <c r="O663" s="43">
        <f>VLOOKUP(F663,[8]Hárok1!$F$546:$S$794,10,0)</f>
        <v>8</v>
      </c>
      <c r="P663" s="44">
        <f>VLOOKUP(F663,[8]Hárok1!$F$546:$S$794,11,0)</f>
        <v>1</v>
      </c>
      <c r="Q663" s="42">
        <f>VLOOKUP(F663,[8]Hárok1!$F$546:$S$794,12,0)</f>
        <v>3</v>
      </c>
      <c r="R663" s="43">
        <f>VLOOKUP(F663,[8]Hárok1!$F$546:$S$794,13,0)</f>
        <v>107</v>
      </c>
      <c r="S663" s="44">
        <f>VLOOKUP(F663,[8]Hárok1!$F$546:$S$794,14,0)</f>
        <v>46</v>
      </c>
      <c r="T663" s="45">
        <f t="shared" si="60"/>
        <v>770.5</v>
      </c>
      <c r="U663" s="46">
        <f>VLOOKUP(F663,[8]Hárok1!$F$546:$U$794,16,0)</f>
        <v>33.6</v>
      </c>
      <c r="V663" s="47">
        <f t="shared" si="61"/>
        <v>18</v>
      </c>
      <c r="W663" s="47">
        <f t="shared" si="62"/>
        <v>322</v>
      </c>
      <c r="X663" s="48">
        <f t="shared" si="63"/>
        <v>96</v>
      </c>
      <c r="Y663" s="49">
        <f t="shared" si="65"/>
        <v>1240.0999999999999</v>
      </c>
      <c r="Z663" s="50">
        <f t="shared" si="64"/>
        <v>1240</v>
      </c>
    </row>
    <row r="664" spans="1:26" x14ac:dyDescent="0.25">
      <c r="A664" s="29" t="s">
        <v>1201</v>
      </c>
      <c r="B664" s="29" t="s">
        <v>181</v>
      </c>
      <c r="C664" s="29" t="s">
        <v>1340</v>
      </c>
      <c r="D664" s="29">
        <v>179124</v>
      </c>
      <c r="E664" s="32" t="s">
        <v>1341</v>
      </c>
      <c r="F664" s="29">
        <v>37945785</v>
      </c>
      <c r="G664" s="32" t="s">
        <v>1382</v>
      </c>
      <c r="H664" s="32" t="s">
        <v>1234</v>
      </c>
      <c r="I664" s="33" t="s">
        <v>1383</v>
      </c>
      <c r="J664" s="42">
        <f>VLOOKUP(F664,[8]Hárok1!$F$546:$S$794,5,0)</f>
        <v>10</v>
      </c>
      <c r="K664" s="43">
        <f>VLOOKUP(F664,[8]Hárok1!$F$546:$S$794,6,0)</f>
        <v>0</v>
      </c>
      <c r="L664" s="43">
        <f>VLOOKUP(F664,[8]Hárok1!$F$546:$S$794,7,0)</f>
        <v>25</v>
      </c>
      <c r="M664" s="43">
        <f>VLOOKUP(F664,[8]Hárok1!$F$546:$S$794,8,0)</f>
        <v>0</v>
      </c>
      <c r="N664" s="43">
        <f>VLOOKUP(F664,[8]Hárok1!$F$546:$S$794,9,0)</f>
        <v>1</v>
      </c>
      <c r="O664" s="43">
        <f>VLOOKUP(F664,[8]Hárok1!$F$546:$S$794,10,0)</f>
        <v>8</v>
      </c>
      <c r="P664" s="44">
        <f>VLOOKUP(F664,[8]Hárok1!$F$546:$S$794,11,0)</f>
        <v>2</v>
      </c>
      <c r="Q664" s="42">
        <f>VLOOKUP(F664,[8]Hárok1!$F$546:$S$794,12,0)</f>
        <v>7</v>
      </c>
      <c r="R664" s="43">
        <f>VLOOKUP(F664,[8]Hárok1!$F$546:$S$794,13,0)</f>
        <v>116</v>
      </c>
      <c r="S664" s="44">
        <f>VLOOKUP(F664,[8]Hárok1!$F$546:$S$794,14,0)</f>
        <v>49</v>
      </c>
      <c r="T664" s="45">
        <f t="shared" si="60"/>
        <v>837.5</v>
      </c>
      <c r="U664" s="46">
        <f>VLOOKUP(F664,[8]Hárok1!$F$546:$U$794,16,0)</f>
        <v>0</v>
      </c>
      <c r="V664" s="47">
        <f t="shared" si="61"/>
        <v>24</v>
      </c>
      <c r="W664" s="47">
        <f t="shared" si="62"/>
        <v>340</v>
      </c>
      <c r="X664" s="48">
        <f t="shared" si="63"/>
        <v>127.5</v>
      </c>
      <c r="Y664" s="49">
        <f t="shared" si="65"/>
        <v>1329</v>
      </c>
      <c r="Z664" s="50">
        <f t="shared" si="64"/>
        <v>1329</v>
      </c>
    </row>
    <row r="665" spans="1:26" x14ac:dyDescent="0.25">
      <c r="A665" s="29" t="s">
        <v>1201</v>
      </c>
      <c r="B665" s="29" t="s">
        <v>226</v>
      </c>
      <c r="C665" s="29" t="s">
        <v>1384</v>
      </c>
      <c r="D665" s="29">
        <v>42092167</v>
      </c>
      <c r="E665" s="32" t="s">
        <v>1385</v>
      </c>
      <c r="F665" s="29">
        <v>51076438</v>
      </c>
      <c r="G665" s="32" t="s">
        <v>1386</v>
      </c>
      <c r="H665" s="32" t="s">
        <v>1206</v>
      </c>
      <c r="I665" s="33" t="s">
        <v>1387</v>
      </c>
      <c r="J665" s="42">
        <f>VLOOKUP(F665,[8]Hárok1!$F$546:$S$794,5,0)</f>
        <v>5</v>
      </c>
      <c r="K665" s="43">
        <f>VLOOKUP(F665,[8]Hárok1!$F$546:$S$794,6,0)</f>
        <v>0</v>
      </c>
      <c r="L665" s="43">
        <f>VLOOKUP(F665,[8]Hárok1!$F$546:$S$794,7,0)</f>
        <v>14</v>
      </c>
      <c r="M665" s="43">
        <f>VLOOKUP(F665,[8]Hárok1!$F$546:$S$794,8,0)</f>
        <v>0</v>
      </c>
      <c r="N665" s="43">
        <f>VLOOKUP(F665,[8]Hárok1!$F$546:$S$794,9,0)</f>
        <v>0</v>
      </c>
      <c r="O665" s="43">
        <f>VLOOKUP(F665,[8]Hárok1!$F$546:$S$794,10,0)</f>
        <v>13</v>
      </c>
      <c r="P665" s="44">
        <f>VLOOKUP(F665,[8]Hárok1!$F$546:$S$794,11,0)</f>
        <v>0</v>
      </c>
      <c r="Q665" s="42">
        <f>VLOOKUP(F665,[8]Hárok1!$F$546:$S$794,12,0)</f>
        <v>0</v>
      </c>
      <c r="R665" s="43">
        <f>VLOOKUP(F665,[8]Hárok1!$F$546:$S$794,13,0)</f>
        <v>77</v>
      </c>
      <c r="S665" s="44">
        <f>VLOOKUP(F665,[8]Hárok1!$F$546:$S$794,14,0)</f>
        <v>0</v>
      </c>
      <c r="T665" s="45">
        <f t="shared" si="60"/>
        <v>469</v>
      </c>
      <c r="U665" s="46">
        <f>VLOOKUP(F665,[8]Hárok1!$F$546:$U$794,16,0)</f>
        <v>193.01</v>
      </c>
      <c r="V665" s="47">
        <f t="shared" si="61"/>
        <v>0</v>
      </c>
      <c r="W665" s="47">
        <f t="shared" si="62"/>
        <v>329.5</v>
      </c>
      <c r="X665" s="48">
        <f t="shared" si="63"/>
        <v>0</v>
      </c>
      <c r="Y665" s="49">
        <f t="shared" si="65"/>
        <v>991.51</v>
      </c>
      <c r="Z665" s="50">
        <f t="shared" si="64"/>
        <v>992</v>
      </c>
    </row>
    <row r="666" spans="1:26" x14ac:dyDescent="0.25">
      <c r="A666" s="29" t="s">
        <v>1201</v>
      </c>
      <c r="B666" s="29" t="s">
        <v>226</v>
      </c>
      <c r="C666" s="29" t="s">
        <v>1388</v>
      </c>
      <c r="D666" s="29">
        <v>44405847</v>
      </c>
      <c r="E666" s="32" t="s">
        <v>1389</v>
      </c>
      <c r="F666" s="29">
        <v>52108163</v>
      </c>
      <c r="G666" s="32" t="s">
        <v>814</v>
      </c>
      <c r="H666" s="32" t="s">
        <v>351</v>
      </c>
      <c r="I666" s="33" t="s">
        <v>1390</v>
      </c>
      <c r="J666" s="42">
        <f>VLOOKUP(F666,[8]Hárok1!$F$546:$S$794,5,0)</f>
        <v>6</v>
      </c>
      <c r="K666" s="43">
        <f>VLOOKUP(F666,[8]Hárok1!$F$546:$S$794,6,0)</f>
        <v>0</v>
      </c>
      <c r="L666" s="43">
        <f>VLOOKUP(F666,[8]Hárok1!$F$546:$S$794,7,0)</f>
        <v>28</v>
      </c>
      <c r="M666" s="43">
        <f>VLOOKUP(F666,[8]Hárok1!$F$546:$S$794,8,0)</f>
        <v>0</v>
      </c>
      <c r="N666" s="43">
        <f>VLOOKUP(F666,[8]Hárok1!$F$546:$S$794,9,0)</f>
        <v>0</v>
      </c>
      <c r="O666" s="43">
        <f>VLOOKUP(F666,[8]Hárok1!$F$546:$S$794,10,0)</f>
        <v>8</v>
      </c>
      <c r="P666" s="44">
        <f>VLOOKUP(F666,[8]Hárok1!$F$546:$S$794,11,0)</f>
        <v>1</v>
      </c>
      <c r="Q666" s="42">
        <f>VLOOKUP(F666,[8]Hárok1!$F$546:$S$794,12,0)</f>
        <v>0</v>
      </c>
      <c r="R666" s="43">
        <f>VLOOKUP(F666,[8]Hárok1!$F$546:$S$794,13,0)</f>
        <v>275</v>
      </c>
      <c r="S666" s="44">
        <f>VLOOKUP(F666,[8]Hárok1!$F$546:$S$794,14,0)</f>
        <v>25</v>
      </c>
      <c r="T666" s="45">
        <f t="shared" si="60"/>
        <v>938</v>
      </c>
      <c r="U666" s="46">
        <f>VLOOKUP(F666,[8]Hárok1!$F$546:$U$794,16,0)</f>
        <v>0</v>
      </c>
      <c r="V666" s="47">
        <f t="shared" si="61"/>
        <v>0</v>
      </c>
      <c r="W666" s="47">
        <f t="shared" si="62"/>
        <v>658</v>
      </c>
      <c r="X666" s="48">
        <f t="shared" si="63"/>
        <v>64.5</v>
      </c>
      <c r="Y666" s="49">
        <f t="shared" si="65"/>
        <v>1660.5</v>
      </c>
      <c r="Z666" s="50">
        <f t="shared" si="64"/>
        <v>1661</v>
      </c>
    </row>
    <row r="667" spans="1:26" x14ac:dyDescent="0.25">
      <c r="A667" s="29" t="s">
        <v>1201</v>
      </c>
      <c r="B667" s="29" t="s">
        <v>226</v>
      </c>
      <c r="C667" s="29" t="s">
        <v>1391</v>
      </c>
      <c r="D667" s="29">
        <v>37886223</v>
      </c>
      <c r="E667" s="32" t="s">
        <v>1392</v>
      </c>
      <c r="F667" s="29">
        <v>42039371</v>
      </c>
      <c r="G667" s="32" t="s">
        <v>229</v>
      </c>
      <c r="H667" s="32" t="s">
        <v>351</v>
      </c>
      <c r="I667" s="33" t="s">
        <v>1393</v>
      </c>
      <c r="J667" s="42">
        <f>VLOOKUP(F667,[8]Hárok1!$F$546:$S$794,5,0)</f>
        <v>5</v>
      </c>
      <c r="K667" s="43">
        <f>VLOOKUP(F667,[8]Hárok1!$F$546:$S$794,6,0)</f>
        <v>0</v>
      </c>
      <c r="L667" s="43">
        <f>VLOOKUP(F667,[8]Hárok1!$F$546:$S$794,7,0)</f>
        <v>15</v>
      </c>
      <c r="M667" s="43">
        <f>VLOOKUP(F667,[8]Hárok1!$F$546:$S$794,8,0)</f>
        <v>0</v>
      </c>
      <c r="N667" s="43">
        <f>VLOOKUP(F667,[8]Hárok1!$F$546:$S$794,9,0)</f>
        <v>0</v>
      </c>
      <c r="O667" s="43">
        <f>VLOOKUP(F667,[8]Hárok1!$F$546:$S$794,10,0)</f>
        <v>5</v>
      </c>
      <c r="P667" s="44">
        <f>VLOOKUP(F667,[8]Hárok1!$F$546:$S$794,11,0)</f>
        <v>1</v>
      </c>
      <c r="Q667" s="42">
        <f>VLOOKUP(F667,[8]Hárok1!$F$546:$S$794,12,0)</f>
        <v>0</v>
      </c>
      <c r="R667" s="43">
        <f>VLOOKUP(F667,[8]Hárok1!$F$546:$S$794,13,0)</f>
        <v>96</v>
      </c>
      <c r="S667" s="44">
        <f>VLOOKUP(F667,[8]Hárok1!$F$546:$S$794,14,0)</f>
        <v>56</v>
      </c>
      <c r="T667" s="45">
        <f t="shared" si="60"/>
        <v>502.5</v>
      </c>
      <c r="U667" s="46">
        <f>VLOOKUP(F667,[8]Hárok1!$F$546:$U$794,16,0)</f>
        <v>0</v>
      </c>
      <c r="V667" s="47">
        <f t="shared" si="61"/>
        <v>0</v>
      </c>
      <c r="W667" s="47">
        <f t="shared" si="62"/>
        <v>259.5</v>
      </c>
      <c r="X667" s="48">
        <f t="shared" si="63"/>
        <v>111</v>
      </c>
      <c r="Y667" s="49">
        <f t="shared" si="65"/>
        <v>873</v>
      </c>
      <c r="Z667" s="50">
        <f t="shared" si="64"/>
        <v>873</v>
      </c>
    </row>
    <row r="668" spans="1:26" x14ac:dyDescent="0.25">
      <c r="A668" s="29" t="s">
        <v>1201</v>
      </c>
      <c r="B668" s="29" t="s">
        <v>226</v>
      </c>
      <c r="C668" s="29" t="s">
        <v>1394</v>
      </c>
      <c r="D668" s="29">
        <v>30310873</v>
      </c>
      <c r="E668" s="32" t="s">
        <v>1395</v>
      </c>
      <c r="F668" s="29">
        <v>37870548</v>
      </c>
      <c r="G668" s="32" t="s">
        <v>313</v>
      </c>
      <c r="H668" s="32" t="s">
        <v>1223</v>
      </c>
      <c r="I668" s="33" t="s">
        <v>1396</v>
      </c>
      <c r="J668" s="42">
        <f>VLOOKUP(F668,[8]Hárok1!$F$546:$S$794,5,0)</f>
        <v>0</v>
      </c>
      <c r="K668" s="43">
        <f>VLOOKUP(F668,[8]Hárok1!$F$546:$S$794,6,0)</f>
        <v>0</v>
      </c>
      <c r="L668" s="43">
        <f>VLOOKUP(F668,[8]Hárok1!$F$546:$S$794,7,0)</f>
        <v>0</v>
      </c>
      <c r="M668" s="43">
        <f>VLOOKUP(F668,[8]Hárok1!$F$546:$S$794,8,0)</f>
        <v>0</v>
      </c>
      <c r="N668" s="43">
        <f>VLOOKUP(F668,[8]Hárok1!$F$546:$S$794,9,0)</f>
        <v>0</v>
      </c>
      <c r="O668" s="43">
        <f>VLOOKUP(F668,[8]Hárok1!$F$546:$S$794,10,0)</f>
        <v>0</v>
      </c>
      <c r="P668" s="44">
        <f>VLOOKUP(F668,[8]Hárok1!$F$546:$S$794,11,0)</f>
        <v>0</v>
      </c>
      <c r="Q668" s="42">
        <f>VLOOKUP(F668,[8]Hárok1!$F$546:$S$794,12,0)</f>
        <v>0</v>
      </c>
      <c r="R668" s="43">
        <f>VLOOKUP(F668,[8]Hárok1!$F$546:$S$794,13,0)</f>
        <v>0</v>
      </c>
      <c r="S668" s="44">
        <f>VLOOKUP(F668,[8]Hárok1!$F$546:$S$794,14,0)</f>
        <v>0</v>
      </c>
      <c r="T668" s="45">
        <f t="shared" si="60"/>
        <v>0</v>
      </c>
      <c r="U668" s="46">
        <f>VLOOKUP(F668,[8]Hárok1!$F$546:$U$794,16,0)</f>
        <v>0</v>
      </c>
      <c r="V668" s="47">
        <f t="shared" si="61"/>
        <v>0</v>
      </c>
      <c r="W668" s="47">
        <f t="shared" si="62"/>
        <v>0</v>
      </c>
      <c r="X668" s="48">
        <f t="shared" si="63"/>
        <v>0</v>
      </c>
      <c r="Y668" s="49">
        <f t="shared" si="65"/>
        <v>0</v>
      </c>
      <c r="Z668" s="50">
        <f t="shared" si="64"/>
        <v>0</v>
      </c>
    </row>
    <row r="669" spans="1:26" x14ac:dyDescent="0.25">
      <c r="A669" s="29" t="s">
        <v>1201</v>
      </c>
      <c r="B669" s="29" t="s">
        <v>226</v>
      </c>
      <c r="C669" s="29" t="s">
        <v>1397</v>
      </c>
      <c r="D669" s="29">
        <v>90000177</v>
      </c>
      <c r="E669" s="32" t="s">
        <v>1398</v>
      </c>
      <c r="F669" s="29">
        <v>50535421</v>
      </c>
      <c r="G669" s="32" t="s">
        <v>814</v>
      </c>
      <c r="H669" s="32" t="s">
        <v>1223</v>
      </c>
      <c r="I669" s="33" t="s">
        <v>1305</v>
      </c>
      <c r="J669" s="42">
        <f>VLOOKUP(F669,[8]Hárok1!$F$546:$S$794,5,0)</f>
        <v>0</v>
      </c>
      <c r="K669" s="43">
        <f>VLOOKUP(F669,[8]Hárok1!$F$546:$S$794,6,0)</f>
        <v>0</v>
      </c>
      <c r="L669" s="43">
        <f>VLOOKUP(F669,[8]Hárok1!$F$546:$S$794,7,0)</f>
        <v>0</v>
      </c>
      <c r="M669" s="43">
        <f>VLOOKUP(F669,[8]Hárok1!$F$546:$S$794,8,0)</f>
        <v>0</v>
      </c>
      <c r="N669" s="43">
        <f>VLOOKUP(F669,[8]Hárok1!$F$546:$S$794,9,0)</f>
        <v>0</v>
      </c>
      <c r="O669" s="43">
        <f>VLOOKUP(F669,[8]Hárok1!$F$546:$S$794,10,0)</f>
        <v>0</v>
      </c>
      <c r="P669" s="44">
        <f>VLOOKUP(F669,[8]Hárok1!$F$546:$S$794,11,0)</f>
        <v>0</v>
      </c>
      <c r="Q669" s="42">
        <f>VLOOKUP(F669,[8]Hárok1!$F$546:$S$794,12,0)</f>
        <v>0</v>
      </c>
      <c r="R669" s="43">
        <f>VLOOKUP(F669,[8]Hárok1!$F$546:$S$794,13,0)</f>
        <v>0</v>
      </c>
      <c r="S669" s="44">
        <f>VLOOKUP(F669,[8]Hárok1!$F$546:$S$794,14,0)</f>
        <v>0</v>
      </c>
      <c r="T669" s="45">
        <f t="shared" si="60"/>
        <v>0</v>
      </c>
      <c r="U669" s="46">
        <f>VLOOKUP(F669,[8]Hárok1!$F$546:$U$794,16,0)</f>
        <v>0</v>
      </c>
      <c r="V669" s="47">
        <f t="shared" si="61"/>
        <v>0</v>
      </c>
      <c r="W669" s="47">
        <f t="shared" si="62"/>
        <v>0</v>
      </c>
      <c r="X669" s="48">
        <f t="shared" si="63"/>
        <v>0</v>
      </c>
      <c r="Y669" s="49">
        <f t="shared" si="65"/>
        <v>0</v>
      </c>
      <c r="Z669" s="50">
        <f t="shared" si="64"/>
        <v>0</v>
      </c>
    </row>
    <row r="670" spans="1:26" x14ac:dyDescent="0.25">
      <c r="A670" s="29" t="s">
        <v>1201</v>
      </c>
      <c r="B670" s="29" t="s">
        <v>226</v>
      </c>
      <c r="C670" s="29" t="s">
        <v>1399</v>
      </c>
      <c r="D670" s="29">
        <v>45731047</v>
      </c>
      <c r="E670" s="32" t="s">
        <v>1400</v>
      </c>
      <c r="F670" s="29">
        <v>42384010</v>
      </c>
      <c r="G670" s="32" t="s">
        <v>1401</v>
      </c>
      <c r="H670" s="32" t="s">
        <v>1223</v>
      </c>
      <c r="I670" s="33" t="s">
        <v>1402</v>
      </c>
      <c r="J670" s="42">
        <f>VLOOKUP(F670,[8]Hárok1!$F$546:$S$794,5,0)</f>
        <v>9</v>
      </c>
      <c r="K670" s="43">
        <f>VLOOKUP(F670,[8]Hárok1!$F$546:$S$794,6,0)</f>
        <v>2</v>
      </c>
      <c r="L670" s="43">
        <f>VLOOKUP(F670,[8]Hárok1!$F$546:$S$794,7,0)</f>
        <v>13</v>
      </c>
      <c r="M670" s="43">
        <f>VLOOKUP(F670,[8]Hárok1!$F$546:$S$794,8,0)</f>
        <v>4</v>
      </c>
      <c r="N670" s="43">
        <f>VLOOKUP(F670,[8]Hárok1!$F$546:$S$794,9,0)</f>
        <v>5</v>
      </c>
      <c r="O670" s="43">
        <f>VLOOKUP(F670,[8]Hárok1!$F$546:$S$794,10,0)</f>
        <v>7</v>
      </c>
      <c r="P670" s="44">
        <f>VLOOKUP(F670,[8]Hárok1!$F$546:$S$794,11,0)</f>
        <v>1</v>
      </c>
      <c r="Q670" s="42">
        <f>VLOOKUP(F670,[8]Hárok1!$F$546:$S$794,12,0)</f>
        <v>44</v>
      </c>
      <c r="R670" s="43">
        <f>VLOOKUP(F670,[8]Hárok1!$F$546:$S$794,13,0)</f>
        <v>123</v>
      </c>
      <c r="S670" s="44">
        <f>VLOOKUP(F670,[8]Hárok1!$F$546:$S$794,14,0)</f>
        <v>21</v>
      </c>
      <c r="T670" s="45">
        <f t="shared" si="60"/>
        <v>435.5</v>
      </c>
      <c r="U670" s="46">
        <f>VLOOKUP(F670,[8]Hárok1!$F$546:$U$794,16,0)</f>
        <v>0</v>
      </c>
      <c r="V670" s="47">
        <f t="shared" si="61"/>
        <v>133.5</v>
      </c>
      <c r="W670" s="47">
        <f t="shared" si="62"/>
        <v>340.5</v>
      </c>
      <c r="X670" s="48">
        <f t="shared" si="63"/>
        <v>58.5</v>
      </c>
      <c r="Y670" s="49">
        <f t="shared" si="65"/>
        <v>968</v>
      </c>
      <c r="Z670" s="50">
        <f t="shared" si="64"/>
        <v>968</v>
      </c>
    </row>
    <row r="671" spans="1:26" x14ac:dyDescent="0.25">
      <c r="A671" s="29" t="s">
        <v>1201</v>
      </c>
      <c r="B671" s="29" t="s">
        <v>226</v>
      </c>
      <c r="C671" s="29" t="s">
        <v>1403</v>
      </c>
      <c r="D671" s="29">
        <v>37051890</v>
      </c>
      <c r="E671" s="32" t="s">
        <v>1404</v>
      </c>
      <c r="F671" s="29">
        <v>37784722</v>
      </c>
      <c r="G671" s="32" t="s">
        <v>1405</v>
      </c>
      <c r="H671" s="32" t="s">
        <v>1223</v>
      </c>
      <c r="I671" s="33" t="s">
        <v>1406</v>
      </c>
      <c r="J671" s="42">
        <f>VLOOKUP(F671,[8]Hárok1!$F$546:$S$794,5,0)</f>
        <v>0</v>
      </c>
      <c r="K671" s="43">
        <f>VLOOKUP(F671,[8]Hárok1!$F$546:$S$794,6,0)</f>
        <v>0</v>
      </c>
      <c r="L671" s="43">
        <f>VLOOKUP(F671,[8]Hárok1!$F$546:$S$794,7,0)</f>
        <v>0</v>
      </c>
      <c r="M671" s="43">
        <f>VLOOKUP(F671,[8]Hárok1!$F$546:$S$794,8,0)</f>
        <v>0</v>
      </c>
      <c r="N671" s="43">
        <f>VLOOKUP(F671,[8]Hárok1!$F$546:$S$794,9,0)</f>
        <v>0</v>
      </c>
      <c r="O671" s="43">
        <f>VLOOKUP(F671,[8]Hárok1!$F$546:$S$794,10,0)</f>
        <v>0</v>
      </c>
      <c r="P671" s="44">
        <f>VLOOKUP(F671,[8]Hárok1!$F$546:$S$794,11,0)</f>
        <v>0</v>
      </c>
      <c r="Q671" s="42">
        <f>VLOOKUP(F671,[8]Hárok1!$F$546:$S$794,12,0)</f>
        <v>0</v>
      </c>
      <c r="R671" s="43">
        <f>VLOOKUP(F671,[8]Hárok1!$F$546:$S$794,13,0)</f>
        <v>0</v>
      </c>
      <c r="S671" s="44">
        <f>VLOOKUP(F671,[8]Hárok1!$F$546:$S$794,14,0)</f>
        <v>0</v>
      </c>
      <c r="T671" s="45">
        <f t="shared" si="60"/>
        <v>0</v>
      </c>
      <c r="U671" s="46">
        <f>VLOOKUP(F671,[8]Hárok1!$F$546:$U$794,16,0)</f>
        <v>0</v>
      </c>
      <c r="V671" s="47">
        <f t="shared" si="61"/>
        <v>0</v>
      </c>
      <c r="W671" s="47">
        <f t="shared" si="62"/>
        <v>0</v>
      </c>
      <c r="X671" s="48">
        <f t="shared" si="63"/>
        <v>0</v>
      </c>
      <c r="Y671" s="49">
        <f t="shared" si="65"/>
        <v>0</v>
      </c>
      <c r="Z671" s="50">
        <f t="shared" si="64"/>
        <v>0</v>
      </c>
    </row>
    <row r="672" spans="1:26" x14ac:dyDescent="0.25">
      <c r="A672" s="29" t="s">
        <v>1201</v>
      </c>
      <c r="B672" s="29" t="s">
        <v>226</v>
      </c>
      <c r="C672" s="29" t="s">
        <v>1407</v>
      </c>
      <c r="D672" s="29">
        <v>45732108</v>
      </c>
      <c r="E672" s="32" t="s">
        <v>1408</v>
      </c>
      <c r="F672" s="29">
        <v>686514</v>
      </c>
      <c r="G672" s="32" t="s">
        <v>1409</v>
      </c>
      <c r="H672" s="32" t="s">
        <v>1223</v>
      </c>
      <c r="I672" s="33" t="s">
        <v>1410</v>
      </c>
      <c r="J672" s="42">
        <f>VLOOKUP(F672,[8]Hárok1!$F$546:$S$794,5,0)</f>
        <v>8</v>
      </c>
      <c r="K672" s="43">
        <f>VLOOKUP(F672,[8]Hárok1!$F$546:$S$794,6,0)</f>
        <v>0</v>
      </c>
      <c r="L672" s="43">
        <f>VLOOKUP(F672,[8]Hárok1!$F$546:$S$794,7,0)</f>
        <v>25</v>
      </c>
      <c r="M672" s="43">
        <f>VLOOKUP(F672,[8]Hárok1!$F$546:$S$794,8,0)</f>
        <v>0</v>
      </c>
      <c r="N672" s="43">
        <f>VLOOKUP(F672,[8]Hárok1!$F$546:$S$794,9,0)</f>
        <v>1</v>
      </c>
      <c r="O672" s="43">
        <f>VLOOKUP(F672,[8]Hárok1!$F$546:$S$794,10,0)</f>
        <v>11</v>
      </c>
      <c r="P672" s="44">
        <f>VLOOKUP(F672,[8]Hárok1!$F$546:$S$794,11,0)</f>
        <v>2</v>
      </c>
      <c r="Q672" s="42">
        <f>VLOOKUP(F672,[8]Hárok1!$F$546:$S$794,12,0)</f>
        <v>20</v>
      </c>
      <c r="R672" s="43">
        <f>VLOOKUP(F672,[8]Hárok1!$F$546:$S$794,13,0)</f>
        <v>135</v>
      </c>
      <c r="S672" s="44">
        <f>VLOOKUP(F672,[8]Hárok1!$F$546:$S$794,14,0)</f>
        <v>32</v>
      </c>
      <c r="T672" s="45">
        <f t="shared" si="60"/>
        <v>837.5</v>
      </c>
      <c r="U672" s="46">
        <f>VLOOKUP(F672,[8]Hárok1!$F$546:$U$794,16,0)</f>
        <v>72.8</v>
      </c>
      <c r="V672" s="47">
        <f t="shared" si="61"/>
        <v>43.5</v>
      </c>
      <c r="W672" s="47">
        <f t="shared" si="62"/>
        <v>418.5</v>
      </c>
      <c r="X672" s="48">
        <f t="shared" si="63"/>
        <v>102</v>
      </c>
      <c r="Y672" s="49">
        <f t="shared" si="65"/>
        <v>1474.3</v>
      </c>
      <c r="Z672" s="50">
        <f t="shared" si="64"/>
        <v>1474</v>
      </c>
    </row>
    <row r="673" spans="1:26" x14ac:dyDescent="0.25">
      <c r="A673" s="29" t="s">
        <v>1201</v>
      </c>
      <c r="B673" s="29" t="s">
        <v>226</v>
      </c>
      <c r="C673" s="29" t="s">
        <v>1403</v>
      </c>
      <c r="D673" s="29">
        <v>37051890</v>
      </c>
      <c r="E673" s="32" t="s">
        <v>1404</v>
      </c>
      <c r="F673" s="29">
        <v>37945653</v>
      </c>
      <c r="G673" s="32" t="s">
        <v>1411</v>
      </c>
      <c r="H673" s="32" t="s">
        <v>1223</v>
      </c>
      <c r="I673" s="33" t="s">
        <v>1406</v>
      </c>
      <c r="J673" s="42">
        <f>VLOOKUP(F673,[8]Hárok1!$F$546:$S$794,5,0)</f>
        <v>9</v>
      </c>
      <c r="K673" s="43">
        <f>VLOOKUP(F673,[8]Hárok1!$F$546:$S$794,6,0)</f>
        <v>0</v>
      </c>
      <c r="L673" s="43">
        <f>VLOOKUP(F673,[8]Hárok1!$F$546:$S$794,7,0)</f>
        <v>18</v>
      </c>
      <c r="M673" s="43">
        <f>VLOOKUP(F673,[8]Hárok1!$F$546:$S$794,8,0)</f>
        <v>0</v>
      </c>
      <c r="N673" s="43">
        <f>VLOOKUP(F673,[8]Hárok1!$F$546:$S$794,9,0)</f>
        <v>4</v>
      </c>
      <c r="O673" s="43">
        <f>VLOOKUP(F673,[8]Hárok1!$F$546:$S$794,10,0)</f>
        <v>5</v>
      </c>
      <c r="P673" s="44">
        <f>VLOOKUP(F673,[8]Hárok1!$F$546:$S$794,11,0)</f>
        <v>0</v>
      </c>
      <c r="Q673" s="42">
        <f>VLOOKUP(F673,[8]Hárok1!$F$546:$S$794,12,0)</f>
        <v>27</v>
      </c>
      <c r="R673" s="43">
        <f>VLOOKUP(F673,[8]Hárok1!$F$546:$S$794,13,0)</f>
        <v>121</v>
      </c>
      <c r="S673" s="44">
        <f>VLOOKUP(F673,[8]Hárok1!$F$546:$S$794,14,0)</f>
        <v>0</v>
      </c>
      <c r="T673" s="45">
        <f t="shared" si="60"/>
        <v>603</v>
      </c>
      <c r="U673" s="46">
        <f>VLOOKUP(F673,[8]Hárok1!$F$546:$U$794,16,0)</f>
        <v>0</v>
      </c>
      <c r="V673" s="47">
        <f t="shared" si="61"/>
        <v>94.5</v>
      </c>
      <c r="W673" s="47">
        <f t="shared" si="62"/>
        <v>309.5</v>
      </c>
      <c r="X673" s="48">
        <f t="shared" si="63"/>
        <v>0</v>
      </c>
      <c r="Y673" s="49">
        <f t="shared" si="65"/>
        <v>1007</v>
      </c>
      <c r="Z673" s="50">
        <f t="shared" si="64"/>
        <v>1007</v>
      </c>
    </row>
    <row r="674" spans="1:26" x14ac:dyDescent="0.25">
      <c r="A674" s="51" t="s">
        <v>1201</v>
      </c>
      <c r="B674" s="51" t="s">
        <v>226</v>
      </c>
      <c r="C674" s="51" t="s">
        <v>1412</v>
      </c>
      <c r="D674" s="51">
        <v>51785102</v>
      </c>
      <c r="E674" s="32" t="s">
        <v>1413</v>
      </c>
      <c r="F674" s="51">
        <v>42421560</v>
      </c>
      <c r="G674" s="32" t="s">
        <v>821</v>
      </c>
      <c r="H674" s="32" t="s">
        <v>1223</v>
      </c>
      <c r="I674" s="33" t="s">
        <v>1414</v>
      </c>
      <c r="J674" s="42">
        <f>VLOOKUP(F674,[8]Hárok1!$F$546:$S$794,5,0)</f>
        <v>5</v>
      </c>
      <c r="K674" s="43">
        <f>VLOOKUP(F674,[8]Hárok1!$F$546:$S$794,6,0)</f>
        <v>0</v>
      </c>
      <c r="L674" s="43">
        <f>VLOOKUP(F674,[8]Hárok1!$F$546:$S$794,7,0)</f>
        <v>28</v>
      </c>
      <c r="M674" s="43">
        <f>VLOOKUP(F674,[8]Hárok1!$F$546:$S$794,8,0)</f>
        <v>0</v>
      </c>
      <c r="N674" s="43">
        <f>VLOOKUP(F674,[8]Hárok1!$F$546:$S$794,9,0)</f>
        <v>0</v>
      </c>
      <c r="O674" s="43">
        <f>VLOOKUP(F674,[8]Hárok1!$F$546:$S$794,10,0)</f>
        <v>9</v>
      </c>
      <c r="P674" s="44">
        <f>VLOOKUP(F674,[8]Hárok1!$F$546:$S$794,11,0)</f>
        <v>1</v>
      </c>
      <c r="Q674" s="42">
        <f>VLOOKUP(F674,[8]Hárok1!$F$546:$S$794,12,0)</f>
        <v>0</v>
      </c>
      <c r="R674" s="43">
        <f>VLOOKUP(F674,[8]Hárok1!$F$546:$S$794,13,0)</f>
        <v>192</v>
      </c>
      <c r="S674" s="44">
        <f>VLOOKUP(F674,[8]Hárok1!$F$546:$S$794,14,0)</f>
        <v>31</v>
      </c>
      <c r="T674" s="45">
        <f t="shared" si="60"/>
        <v>938</v>
      </c>
      <c r="U674" s="46">
        <f>VLOOKUP(F674,[8]Hárok1!$F$546:$U$794,16,0)</f>
        <v>0</v>
      </c>
      <c r="V674" s="47">
        <f t="shared" si="61"/>
        <v>0</v>
      </c>
      <c r="W674" s="47">
        <f t="shared" si="62"/>
        <v>505.5</v>
      </c>
      <c r="X674" s="48">
        <f t="shared" si="63"/>
        <v>73.5</v>
      </c>
      <c r="Y674" s="49">
        <f t="shared" si="65"/>
        <v>1517</v>
      </c>
      <c r="Z674" s="50">
        <f t="shared" si="64"/>
        <v>1517</v>
      </c>
    </row>
    <row r="675" spans="1:26" x14ac:dyDescent="0.25">
      <c r="A675" s="51" t="s">
        <v>1201</v>
      </c>
      <c r="B675" s="51" t="s">
        <v>226</v>
      </c>
      <c r="C675" s="51" t="s">
        <v>1403</v>
      </c>
      <c r="D675" s="51">
        <v>37051890</v>
      </c>
      <c r="E675" s="32" t="s">
        <v>1404</v>
      </c>
      <c r="F675" s="51">
        <v>50328026</v>
      </c>
      <c r="G675" s="32" t="s">
        <v>1415</v>
      </c>
      <c r="H675" s="32" t="s">
        <v>1416</v>
      </c>
      <c r="I675" s="33" t="s">
        <v>1417</v>
      </c>
      <c r="J675" s="42">
        <f>VLOOKUP(F675,[8]Hárok1!$F$546:$S$794,5,0)</f>
        <v>0</v>
      </c>
      <c r="K675" s="43">
        <f>VLOOKUP(F675,[8]Hárok1!$F$546:$S$794,6,0)</f>
        <v>0</v>
      </c>
      <c r="L675" s="43">
        <f>VLOOKUP(F675,[8]Hárok1!$F$546:$S$794,7,0)</f>
        <v>0</v>
      </c>
      <c r="M675" s="43">
        <f>VLOOKUP(F675,[8]Hárok1!$F$546:$S$794,8,0)</f>
        <v>0</v>
      </c>
      <c r="N675" s="43">
        <f>VLOOKUP(F675,[8]Hárok1!$F$546:$S$794,9,0)</f>
        <v>0</v>
      </c>
      <c r="O675" s="43">
        <f>VLOOKUP(F675,[8]Hárok1!$F$546:$S$794,10,0)</f>
        <v>0</v>
      </c>
      <c r="P675" s="44">
        <f>VLOOKUP(F675,[8]Hárok1!$F$546:$S$794,11,0)</f>
        <v>0</v>
      </c>
      <c r="Q675" s="42">
        <f>VLOOKUP(F675,[8]Hárok1!$F$546:$S$794,12,0)</f>
        <v>0</v>
      </c>
      <c r="R675" s="43">
        <f>VLOOKUP(F675,[8]Hárok1!$F$546:$S$794,13,0)</f>
        <v>0</v>
      </c>
      <c r="S675" s="44">
        <f>VLOOKUP(F675,[8]Hárok1!$F$546:$S$794,14,0)</f>
        <v>0</v>
      </c>
      <c r="T675" s="45">
        <f t="shared" si="60"/>
        <v>0</v>
      </c>
      <c r="U675" s="46">
        <f>VLOOKUP(F675,[8]Hárok1!$F$546:$U$794,16,0)</f>
        <v>0</v>
      </c>
      <c r="V675" s="47">
        <f t="shared" si="61"/>
        <v>0</v>
      </c>
      <c r="W675" s="47">
        <f t="shared" si="62"/>
        <v>0</v>
      </c>
      <c r="X675" s="48">
        <f t="shared" si="63"/>
        <v>0</v>
      </c>
      <c r="Y675" s="49">
        <f t="shared" si="65"/>
        <v>0</v>
      </c>
      <c r="Z675" s="50">
        <f t="shared" si="64"/>
        <v>0</v>
      </c>
    </row>
    <row r="676" spans="1:26" x14ac:dyDescent="0.25">
      <c r="A676" s="51" t="s">
        <v>1201</v>
      </c>
      <c r="B676" s="51" t="s">
        <v>226</v>
      </c>
      <c r="C676" s="51" t="s">
        <v>1418</v>
      </c>
      <c r="D676" s="51">
        <v>90000236</v>
      </c>
      <c r="E676" s="32" t="s">
        <v>1419</v>
      </c>
      <c r="F676" s="51">
        <v>42227445</v>
      </c>
      <c r="G676" s="32" t="s">
        <v>1420</v>
      </c>
      <c r="H676" s="32" t="s">
        <v>1315</v>
      </c>
      <c r="I676" s="33" t="s">
        <v>1421</v>
      </c>
      <c r="J676" s="42">
        <f>VLOOKUP(F676,[8]Hárok1!$F$546:$S$794,5,0)</f>
        <v>0</v>
      </c>
      <c r="K676" s="43">
        <f>VLOOKUP(F676,[8]Hárok1!$F$546:$S$794,6,0)</f>
        <v>0</v>
      </c>
      <c r="L676" s="43">
        <f>VLOOKUP(F676,[8]Hárok1!$F$546:$S$794,7,0)</f>
        <v>0</v>
      </c>
      <c r="M676" s="43">
        <f>VLOOKUP(F676,[8]Hárok1!$F$546:$S$794,8,0)</f>
        <v>0</v>
      </c>
      <c r="N676" s="43">
        <f>VLOOKUP(F676,[8]Hárok1!$F$546:$S$794,9,0)</f>
        <v>0</v>
      </c>
      <c r="O676" s="43">
        <f>VLOOKUP(F676,[8]Hárok1!$F$546:$S$794,10,0)</f>
        <v>0</v>
      </c>
      <c r="P676" s="44">
        <f>VLOOKUP(F676,[8]Hárok1!$F$546:$S$794,11,0)</f>
        <v>0</v>
      </c>
      <c r="Q676" s="42">
        <f>VLOOKUP(F676,[8]Hárok1!$F$546:$S$794,12,0)</f>
        <v>0</v>
      </c>
      <c r="R676" s="43">
        <f>VLOOKUP(F676,[8]Hárok1!$F$546:$S$794,13,0)</f>
        <v>0</v>
      </c>
      <c r="S676" s="44">
        <f>VLOOKUP(F676,[8]Hárok1!$F$546:$S$794,14,0)</f>
        <v>0</v>
      </c>
      <c r="T676" s="45">
        <f t="shared" si="60"/>
        <v>0</v>
      </c>
      <c r="U676" s="46">
        <f>VLOOKUP(F676,[8]Hárok1!$F$546:$U$794,16,0)</f>
        <v>0</v>
      </c>
      <c r="V676" s="47">
        <f t="shared" si="61"/>
        <v>0</v>
      </c>
      <c r="W676" s="47">
        <f t="shared" si="62"/>
        <v>0</v>
      </c>
      <c r="X676" s="48">
        <f t="shared" si="63"/>
        <v>0</v>
      </c>
      <c r="Y676" s="49">
        <f t="shared" si="65"/>
        <v>0</v>
      </c>
      <c r="Z676" s="50">
        <f t="shared" si="64"/>
        <v>0</v>
      </c>
    </row>
    <row r="677" spans="1:26" x14ac:dyDescent="0.25">
      <c r="A677" s="29" t="s">
        <v>1201</v>
      </c>
      <c r="B677" s="29" t="s">
        <v>226</v>
      </c>
      <c r="C677" s="29" t="s">
        <v>1422</v>
      </c>
      <c r="D677" s="29">
        <v>36454079</v>
      </c>
      <c r="E677" s="32" t="s">
        <v>1423</v>
      </c>
      <c r="F677" s="29">
        <v>686506</v>
      </c>
      <c r="G677" s="32" t="s">
        <v>229</v>
      </c>
      <c r="H677" s="32" t="s">
        <v>1338</v>
      </c>
      <c r="I677" s="33" t="s">
        <v>1424</v>
      </c>
      <c r="J677" s="42">
        <f>VLOOKUP(F677,[8]Hárok1!$F$546:$S$794,5,0)</f>
        <v>8</v>
      </c>
      <c r="K677" s="43">
        <f>VLOOKUP(F677,[8]Hárok1!$F$546:$S$794,6,0)</f>
        <v>0</v>
      </c>
      <c r="L677" s="43">
        <f>VLOOKUP(F677,[8]Hárok1!$F$546:$S$794,7,0)</f>
        <v>27</v>
      </c>
      <c r="M677" s="43">
        <f>VLOOKUP(F677,[8]Hárok1!$F$546:$S$794,8,0)</f>
        <v>0</v>
      </c>
      <c r="N677" s="43">
        <f>VLOOKUP(F677,[8]Hárok1!$F$546:$S$794,9,0)</f>
        <v>0</v>
      </c>
      <c r="O677" s="43">
        <f>VLOOKUP(F677,[8]Hárok1!$F$546:$S$794,10,0)</f>
        <v>17</v>
      </c>
      <c r="P677" s="44">
        <f>VLOOKUP(F677,[8]Hárok1!$F$546:$S$794,11,0)</f>
        <v>1</v>
      </c>
      <c r="Q677" s="42">
        <f>VLOOKUP(F677,[8]Hárok1!$F$546:$S$794,12,0)</f>
        <v>0</v>
      </c>
      <c r="R677" s="43">
        <f>VLOOKUP(F677,[8]Hárok1!$F$546:$S$794,13,0)</f>
        <v>225</v>
      </c>
      <c r="S677" s="44">
        <f>VLOOKUP(F677,[8]Hárok1!$F$546:$S$794,14,0)</f>
        <v>44</v>
      </c>
      <c r="T677" s="45">
        <f t="shared" si="60"/>
        <v>904.5</v>
      </c>
      <c r="U677" s="46">
        <f>VLOOKUP(F677,[8]Hárok1!$F$546:$U$794,16,0)</f>
        <v>130.69999999999999</v>
      </c>
      <c r="V677" s="47">
        <f t="shared" si="61"/>
        <v>0</v>
      </c>
      <c r="W677" s="47">
        <f t="shared" si="62"/>
        <v>679.5</v>
      </c>
      <c r="X677" s="48">
        <f t="shared" si="63"/>
        <v>93</v>
      </c>
      <c r="Y677" s="49">
        <f t="shared" si="65"/>
        <v>1807.7</v>
      </c>
      <c r="Z677" s="50">
        <f t="shared" si="64"/>
        <v>1808</v>
      </c>
    </row>
    <row r="678" spans="1:26" x14ac:dyDescent="0.25">
      <c r="A678" s="29" t="s">
        <v>1201</v>
      </c>
      <c r="B678" s="29" t="s">
        <v>226</v>
      </c>
      <c r="C678" s="29" t="s">
        <v>1425</v>
      </c>
      <c r="D678" s="29">
        <v>90000327</v>
      </c>
      <c r="E678" s="32" t="s">
        <v>1426</v>
      </c>
      <c r="F678" s="29">
        <v>31070850</v>
      </c>
      <c r="G678" s="32" t="s">
        <v>229</v>
      </c>
      <c r="H678" s="32" t="s">
        <v>224</v>
      </c>
      <c r="I678" s="33" t="s">
        <v>1427</v>
      </c>
      <c r="J678" s="42">
        <f>VLOOKUP(F678,[8]Hárok1!$F$546:$S$794,5,0)</f>
        <v>0</v>
      </c>
      <c r="K678" s="43">
        <f>VLOOKUP(F678,[8]Hárok1!$F$546:$S$794,6,0)</f>
        <v>0</v>
      </c>
      <c r="L678" s="43">
        <f>VLOOKUP(F678,[8]Hárok1!$F$546:$S$794,7,0)</f>
        <v>0</v>
      </c>
      <c r="M678" s="43">
        <f>VLOOKUP(F678,[8]Hárok1!$F$546:$S$794,8,0)</f>
        <v>0</v>
      </c>
      <c r="N678" s="43">
        <f>VLOOKUP(F678,[8]Hárok1!$F$546:$S$794,9,0)</f>
        <v>0</v>
      </c>
      <c r="O678" s="43">
        <f>VLOOKUP(F678,[8]Hárok1!$F$546:$S$794,10,0)</f>
        <v>0</v>
      </c>
      <c r="P678" s="44">
        <f>VLOOKUP(F678,[8]Hárok1!$F$546:$S$794,11,0)</f>
        <v>0</v>
      </c>
      <c r="Q678" s="42">
        <f>VLOOKUP(F678,[8]Hárok1!$F$546:$S$794,12,0)</f>
        <v>0</v>
      </c>
      <c r="R678" s="43">
        <f>VLOOKUP(F678,[8]Hárok1!$F$546:$S$794,13,0)</f>
        <v>0</v>
      </c>
      <c r="S678" s="44">
        <f>VLOOKUP(F678,[8]Hárok1!$F$546:$S$794,14,0)</f>
        <v>0</v>
      </c>
      <c r="T678" s="45">
        <f t="shared" si="60"/>
        <v>0</v>
      </c>
      <c r="U678" s="46">
        <f>VLOOKUP(F678,[8]Hárok1!$F$546:$U$794,16,0)</f>
        <v>0</v>
      </c>
      <c r="V678" s="47">
        <f t="shared" si="61"/>
        <v>0</v>
      </c>
      <c r="W678" s="47">
        <f t="shared" si="62"/>
        <v>0</v>
      </c>
      <c r="X678" s="48">
        <f t="shared" si="63"/>
        <v>0</v>
      </c>
      <c r="Y678" s="49">
        <f t="shared" si="65"/>
        <v>0</v>
      </c>
      <c r="Z678" s="50">
        <f t="shared" si="64"/>
        <v>0</v>
      </c>
    </row>
    <row r="679" spans="1:26" x14ac:dyDescent="0.25">
      <c r="A679" s="29" t="s">
        <v>1428</v>
      </c>
      <c r="B679" s="29" t="s">
        <v>43</v>
      </c>
      <c r="C679" s="29" t="s">
        <v>1429</v>
      </c>
      <c r="D679" s="30">
        <v>54131430</v>
      </c>
      <c r="E679" s="31" t="s">
        <v>1430</v>
      </c>
      <c r="F679" s="29">
        <v>523461</v>
      </c>
      <c r="G679" s="32" t="s">
        <v>64</v>
      </c>
      <c r="H679" s="32" t="s">
        <v>1431</v>
      </c>
      <c r="I679" s="33" t="s">
        <v>1432</v>
      </c>
      <c r="J679" s="42">
        <f>VLOOKUP($F$679,[9]Hárok1!$F$672:$S$793,5,0)</f>
        <v>1</v>
      </c>
      <c r="K679" s="43">
        <f>VLOOKUP($F$679,[9]Hárok1!$F$672:$S$793,6,0)</f>
        <v>0</v>
      </c>
      <c r="L679" s="43">
        <f>VLOOKUP($F$679,[9]Hárok1!$F$672:$S$793,7,0)</f>
        <v>2</v>
      </c>
      <c r="M679" s="43">
        <f>VLOOKUP($F$679,[9]Hárok1!$F$672:$S$793,8,0)</f>
        <v>0</v>
      </c>
      <c r="N679" s="43">
        <f>VLOOKUP($F$679,[9]Hárok1!$F$672:$S$793,9,0)</f>
        <v>0</v>
      </c>
      <c r="O679" s="43">
        <f>VLOOKUP($F$679,[9]Hárok1!$F$672:$S$793,10,0)</f>
        <v>4</v>
      </c>
      <c r="P679" s="44">
        <f>VLOOKUP($F$679,[9]Hárok1!$F$672:$S$793,11,0)</f>
        <v>0</v>
      </c>
      <c r="Q679" s="42">
        <f>VLOOKUP($F$679,[9]Hárok1!$F$672:$S$793,12,0)</f>
        <v>0</v>
      </c>
      <c r="R679" s="43">
        <f>VLOOKUP($F$679,[9]Hárok1!$F$672:$S$793,13,0)</f>
        <v>16</v>
      </c>
      <c r="S679" s="44">
        <f>VLOOKUP($F$679,[9]Hárok1!$F$672:$S$793,14,0)</f>
        <v>0</v>
      </c>
      <c r="T679" s="45">
        <f t="shared" si="60"/>
        <v>67</v>
      </c>
      <c r="U679" s="46">
        <f>VLOOKUP(F679,[9]Hárok1!$F$672:$U$793,16,0)</f>
        <v>0</v>
      </c>
      <c r="V679" s="47">
        <f t="shared" si="61"/>
        <v>0</v>
      </c>
      <c r="W679" s="47">
        <f t="shared" si="62"/>
        <v>86</v>
      </c>
      <c r="X679" s="48">
        <f t="shared" si="63"/>
        <v>0</v>
      </c>
      <c r="Y679" s="49">
        <f t="shared" si="65"/>
        <v>153</v>
      </c>
      <c r="Z679" s="50">
        <f t="shared" si="64"/>
        <v>153</v>
      </c>
    </row>
    <row r="680" spans="1:26" x14ac:dyDescent="0.25">
      <c r="A680" s="29" t="s">
        <v>1428</v>
      </c>
      <c r="B680" s="29" t="s">
        <v>43</v>
      </c>
      <c r="C680" s="29" t="s">
        <v>1429</v>
      </c>
      <c r="D680" s="30">
        <v>54131430</v>
      </c>
      <c r="E680" s="31" t="s">
        <v>1430</v>
      </c>
      <c r="F680" s="29">
        <v>17069840</v>
      </c>
      <c r="G680" s="32" t="s">
        <v>52</v>
      </c>
      <c r="H680" s="32" t="s">
        <v>1433</v>
      </c>
      <c r="I680" s="33" t="s">
        <v>1434</v>
      </c>
      <c r="J680" s="42">
        <f>VLOOKUP(F680,[9]Hárok1!$F$672:$S$793,5,0)</f>
        <v>0</v>
      </c>
      <c r="K680" s="43">
        <f>VLOOKUP(F680,[9]Hárok1!$F$672:$S$793,6,0)</f>
        <v>0</v>
      </c>
      <c r="L680" s="43">
        <f>VLOOKUP(F680,[9]Hárok1!$F$672:$S$793,7,0)</f>
        <v>0</v>
      </c>
      <c r="M680" s="43">
        <f>VLOOKUP(F680,[9]Hárok1!$F$672:$S$793,8,0)</f>
        <v>0</v>
      </c>
      <c r="N680" s="43">
        <f>VLOOKUP(F680,[9]Hárok1!$F$672:$S$793,9,0)</f>
        <v>0</v>
      </c>
      <c r="O680" s="43">
        <f>VLOOKUP(F680,[9]Hárok1!$F$672:$S$793,10,0)</f>
        <v>0</v>
      </c>
      <c r="P680" s="44">
        <f>VLOOKUP(F680,[9]Hárok1!$F$672:$S$793,11,0)</f>
        <v>0</v>
      </c>
      <c r="Q680" s="42">
        <f>VLOOKUP(F680,[9]Hárok1!$F$672:$S$793,12,0)</f>
        <v>0</v>
      </c>
      <c r="R680" s="43">
        <f>VLOOKUP(F680,[9]Hárok1!$F$672:$S$793,13,0)</f>
        <v>0</v>
      </c>
      <c r="S680" s="44">
        <f>VLOOKUP(F680,[9]Hárok1!$F$672:$S$793,14,0)</f>
        <v>0</v>
      </c>
      <c r="T680" s="45">
        <f t="shared" si="60"/>
        <v>0</v>
      </c>
      <c r="U680" s="46">
        <f>VLOOKUP(F680,[9]Hárok1!$F$672:$U$793,16,0)</f>
        <v>0</v>
      </c>
      <c r="V680" s="47">
        <f t="shared" si="61"/>
        <v>0</v>
      </c>
      <c r="W680" s="47">
        <f t="shared" si="62"/>
        <v>0</v>
      </c>
      <c r="X680" s="48">
        <f t="shared" si="63"/>
        <v>0</v>
      </c>
      <c r="Y680" s="49">
        <f t="shared" si="65"/>
        <v>0</v>
      </c>
      <c r="Z680" s="50">
        <f t="shared" si="64"/>
        <v>0</v>
      </c>
    </row>
    <row r="681" spans="1:26" x14ac:dyDescent="0.25">
      <c r="A681" s="29" t="s">
        <v>1428</v>
      </c>
      <c r="B681" s="29" t="s">
        <v>43</v>
      </c>
      <c r="C681" s="29" t="s">
        <v>1429</v>
      </c>
      <c r="D681" s="30">
        <v>54131430</v>
      </c>
      <c r="E681" s="31" t="s">
        <v>1430</v>
      </c>
      <c r="F681" s="29">
        <v>31946356</v>
      </c>
      <c r="G681" s="32" t="s">
        <v>64</v>
      </c>
      <c r="H681" s="32" t="s">
        <v>1435</v>
      </c>
      <c r="I681" s="33" t="s">
        <v>1436</v>
      </c>
      <c r="J681" s="42">
        <f>VLOOKUP(F681,[9]Hárok1!$F$672:$S$793,5,0)</f>
        <v>0</v>
      </c>
      <c r="K681" s="43">
        <f>VLOOKUP(F681,[9]Hárok1!$F$672:$S$793,6,0)</f>
        <v>0</v>
      </c>
      <c r="L681" s="43">
        <f>VLOOKUP(F681,[9]Hárok1!$F$672:$S$793,7,0)</f>
        <v>0</v>
      </c>
      <c r="M681" s="43">
        <f>VLOOKUP(F681,[9]Hárok1!$F$672:$S$793,8,0)</f>
        <v>0</v>
      </c>
      <c r="N681" s="43">
        <f>VLOOKUP(F681,[9]Hárok1!$F$672:$S$793,9,0)</f>
        <v>0</v>
      </c>
      <c r="O681" s="43">
        <f>VLOOKUP(F681,[9]Hárok1!$F$672:$S$793,10,0)</f>
        <v>0</v>
      </c>
      <c r="P681" s="44">
        <f>VLOOKUP(F681,[9]Hárok1!$F$672:$S$793,11,0)</f>
        <v>0</v>
      </c>
      <c r="Q681" s="42">
        <f>VLOOKUP(F681,[9]Hárok1!$F$672:$S$793,12,0)</f>
        <v>0</v>
      </c>
      <c r="R681" s="43">
        <f>VLOOKUP(F681,[9]Hárok1!$F$672:$S$793,13,0)</f>
        <v>0</v>
      </c>
      <c r="S681" s="44">
        <f>VLOOKUP(F681,[9]Hárok1!$F$672:$S$793,14,0)</f>
        <v>0</v>
      </c>
      <c r="T681" s="45">
        <f t="shared" si="60"/>
        <v>0</v>
      </c>
      <c r="U681" s="46">
        <f>VLOOKUP(F681,[9]Hárok1!$F$672:$U$793,16,0)</f>
        <v>0</v>
      </c>
      <c r="V681" s="47">
        <f t="shared" si="61"/>
        <v>0</v>
      </c>
      <c r="W681" s="47">
        <f t="shared" si="62"/>
        <v>0</v>
      </c>
      <c r="X681" s="48">
        <f t="shared" si="63"/>
        <v>0</v>
      </c>
      <c r="Y681" s="49">
        <f t="shared" si="65"/>
        <v>0</v>
      </c>
      <c r="Z681" s="50">
        <f t="shared" si="64"/>
        <v>0</v>
      </c>
    </row>
    <row r="682" spans="1:26" x14ac:dyDescent="0.25">
      <c r="A682" s="29" t="s">
        <v>1428</v>
      </c>
      <c r="B682" s="29" t="s">
        <v>43</v>
      </c>
      <c r="C682" s="29" t="s">
        <v>1429</v>
      </c>
      <c r="D682" s="30">
        <v>54131430</v>
      </c>
      <c r="E682" s="31" t="s">
        <v>1430</v>
      </c>
      <c r="F682" s="29">
        <v>35531754</v>
      </c>
      <c r="G682" s="32" t="s">
        <v>49</v>
      </c>
      <c r="H682" s="32" t="s">
        <v>1437</v>
      </c>
      <c r="I682" s="33" t="s">
        <v>1438</v>
      </c>
      <c r="J682" s="42">
        <f>VLOOKUP(F682,[9]Hárok1!$F$672:$S$793,5,0)</f>
        <v>11</v>
      </c>
      <c r="K682" s="43">
        <f>VLOOKUP(F682,[9]Hárok1!$F$672:$S$793,6,0)</f>
        <v>0</v>
      </c>
      <c r="L682" s="43">
        <f>VLOOKUP(F682,[9]Hárok1!$F$672:$S$793,7,0)</f>
        <v>32</v>
      </c>
      <c r="M682" s="43">
        <f>VLOOKUP(F682,[9]Hárok1!$F$672:$S$793,8,0)</f>
        <v>0</v>
      </c>
      <c r="N682" s="43">
        <f>VLOOKUP(F682,[9]Hárok1!$F$672:$S$793,9,0)</f>
        <v>3</v>
      </c>
      <c r="O682" s="43">
        <f>VLOOKUP(F682,[9]Hárok1!$F$672:$S$793,10,0)</f>
        <v>18</v>
      </c>
      <c r="P682" s="44">
        <f>VLOOKUP(F682,[9]Hárok1!$F$672:$S$793,11,0)</f>
        <v>1</v>
      </c>
      <c r="Q682" s="42">
        <f>VLOOKUP(F682,[9]Hárok1!$F$672:$S$793,12,0)</f>
        <v>6</v>
      </c>
      <c r="R682" s="43">
        <f>VLOOKUP(F682,[9]Hárok1!$F$672:$S$793,13,0)</f>
        <v>246</v>
      </c>
      <c r="S682" s="44">
        <f>VLOOKUP(F682,[9]Hárok1!$F$672:$S$793,14,0)</f>
        <v>41</v>
      </c>
      <c r="T682" s="45">
        <f t="shared" si="60"/>
        <v>1072</v>
      </c>
      <c r="U682" s="46">
        <f>VLOOKUP(F682,[9]Hárok1!$F$672:$U$793,16,0)</f>
        <v>235.08</v>
      </c>
      <c r="V682" s="47">
        <f t="shared" si="61"/>
        <v>49.5</v>
      </c>
      <c r="W682" s="47">
        <f t="shared" si="62"/>
        <v>735</v>
      </c>
      <c r="X682" s="48">
        <f t="shared" si="63"/>
        <v>88.5</v>
      </c>
      <c r="Y682" s="49">
        <f t="shared" si="65"/>
        <v>2180.08</v>
      </c>
      <c r="Z682" s="50">
        <f t="shared" si="64"/>
        <v>2180</v>
      </c>
    </row>
    <row r="683" spans="1:26" x14ac:dyDescent="0.25">
      <c r="A683" s="29" t="s">
        <v>1428</v>
      </c>
      <c r="B683" s="29" t="s">
        <v>43</v>
      </c>
      <c r="C683" s="29" t="s">
        <v>1429</v>
      </c>
      <c r="D683" s="30">
        <v>54131430</v>
      </c>
      <c r="E683" s="31" t="s">
        <v>1430</v>
      </c>
      <c r="F683" s="29">
        <v>163368</v>
      </c>
      <c r="G683" s="32" t="s">
        <v>70</v>
      </c>
      <c r="H683" s="32" t="s">
        <v>1437</v>
      </c>
      <c r="I683" s="33" t="s">
        <v>1439</v>
      </c>
      <c r="J683" s="42">
        <f>VLOOKUP(F683,[9]Hárok1!$F$672:$S$793,5,0)</f>
        <v>0</v>
      </c>
      <c r="K683" s="43">
        <f>VLOOKUP(F683,[9]Hárok1!$F$672:$S$793,6,0)</f>
        <v>0</v>
      </c>
      <c r="L683" s="43">
        <f>VLOOKUP(F683,[9]Hárok1!$F$672:$S$793,7,0)</f>
        <v>0</v>
      </c>
      <c r="M683" s="43">
        <f>VLOOKUP(F683,[9]Hárok1!$F$672:$S$793,8,0)</f>
        <v>0</v>
      </c>
      <c r="N683" s="43">
        <f>VLOOKUP(F683,[9]Hárok1!$F$672:$S$793,9,0)</f>
        <v>0</v>
      </c>
      <c r="O683" s="43">
        <f>VLOOKUP(F683,[9]Hárok1!$F$672:$S$793,10,0)</f>
        <v>0</v>
      </c>
      <c r="P683" s="44">
        <f>VLOOKUP(F683,[9]Hárok1!$F$672:$S$793,11,0)</f>
        <v>0</v>
      </c>
      <c r="Q683" s="42">
        <f>VLOOKUP(F683,[9]Hárok1!$F$672:$S$793,12,0)</f>
        <v>0</v>
      </c>
      <c r="R683" s="43">
        <f>VLOOKUP(F683,[9]Hárok1!$F$672:$S$793,13,0)</f>
        <v>0</v>
      </c>
      <c r="S683" s="44">
        <f>VLOOKUP(F683,[9]Hárok1!$F$672:$S$793,14,0)</f>
        <v>0</v>
      </c>
      <c r="T683" s="45">
        <f t="shared" si="60"/>
        <v>0</v>
      </c>
      <c r="U683" s="46">
        <f>VLOOKUP(F683,[9]Hárok1!$F$672:$U$793,16,0)</f>
        <v>0</v>
      </c>
      <c r="V683" s="47">
        <f t="shared" si="61"/>
        <v>0</v>
      </c>
      <c r="W683" s="47">
        <f t="shared" si="62"/>
        <v>0</v>
      </c>
      <c r="X683" s="48">
        <f t="shared" si="63"/>
        <v>0</v>
      </c>
      <c r="Y683" s="49">
        <f t="shared" si="65"/>
        <v>0</v>
      </c>
      <c r="Z683" s="50">
        <f t="shared" si="64"/>
        <v>0</v>
      </c>
    </row>
    <row r="684" spans="1:26" x14ac:dyDescent="0.25">
      <c r="A684" s="29" t="s">
        <v>1428</v>
      </c>
      <c r="B684" s="29" t="s">
        <v>43</v>
      </c>
      <c r="C684" s="29" t="s">
        <v>1429</v>
      </c>
      <c r="D684" s="30">
        <v>54131430</v>
      </c>
      <c r="E684" s="31" t="s">
        <v>1430</v>
      </c>
      <c r="F684" s="29">
        <v>160971</v>
      </c>
      <c r="G684" s="32" t="s">
        <v>1440</v>
      </c>
      <c r="H684" s="32" t="s">
        <v>214</v>
      </c>
      <c r="I684" s="33" t="s">
        <v>1441</v>
      </c>
      <c r="J684" s="42">
        <f>VLOOKUP(F684,[9]Hárok1!$F$672:$S$793,5,0)</f>
        <v>16</v>
      </c>
      <c r="K684" s="43">
        <f>VLOOKUP(F684,[9]Hárok1!$F$672:$S$793,6,0)</f>
        <v>0</v>
      </c>
      <c r="L684" s="43">
        <f>VLOOKUP(F684,[9]Hárok1!$F$672:$S$793,7,0)</f>
        <v>44</v>
      </c>
      <c r="M684" s="43">
        <f>VLOOKUP(F684,[9]Hárok1!$F$672:$S$793,8,0)</f>
        <v>0</v>
      </c>
      <c r="N684" s="43">
        <f>VLOOKUP(F684,[9]Hárok1!$F$672:$S$793,9,0)</f>
        <v>4</v>
      </c>
      <c r="O684" s="43">
        <f>VLOOKUP(F684,[9]Hárok1!$F$672:$S$793,10,0)</f>
        <v>11</v>
      </c>
      <c r="P684" s="44">
        <f>VLOOKUP(F684,[9]Hárok1!$F$672:$S$793,11,0)</f>
        <v>3</v>
      </c>
      <c r="Q684" s="42">
        <f>VLOOKUP(F684,[9]Hárok1!$F$672:$S$793,12,0)</f>
        <v>27</v>
      </c>
      <c r="R684" s="43">
        <f>VLOOKUP(F684,[9]Hárok1!$F$672:$S$793,13,0)</f>
        <v>153</v>
      </c>
      <c r="S684" s="44">
        <f>VLOOKUP(F684,[9]Hárok1!$F$672:$S$793,14,0)</f>
        <v>150</v>
      </c>
      <c r="T684" s="45">
        <f t="shared" si="60"/>
        <v>1474</v>
      </c>
      <c r="U684" s="46">
        <f>VLOOKUP(F684,[9]Hárok1!$F$672:$U$793,16,0)</f>
        <v>0</v>
      </c>
      <c r="V684" s="47">
        <f t="shared" si="61"/>
        <v>94.5</v>
      </c>
      <c r="W684" s="47">
        <f t="shared" si="62"/>
        <v>454.5</v>
      </c>
      <c r="X684" s="48">
        <f t="shared" si="63"/>
        <v>306</v>
      </c>
      <c r="Y684" s="49">
        <f t="shared" si="65"/>
        <v>2329</v>
      </c>
      <c r="Z684" s="50">
        <f t="shared" si="64"/>
        <v>2329</v>
      </c>
    </row>
    <row r="685" spans="1:26" x14ac:dyDescent="0.25">
      <c r="A685" s="29" t="s">
        <v>1428</v>
      </c>
      <c r="B685" s="29" t="s">
        <v>43</v>
      </c>
      <c r="C685" s="29" t="s">
        <v>1429</v>
      </c>
      <c r="D685" s="30">
        <v>54131430</v>
      </c>
      <c r="E685" s="31" t="s">
        <v>1430</v>
      </c>
      <c r="F685" s="29">
        <v>31298028</v>
      </c>
      <c r="G685" s="32" t="s">
        <v>52</v>
      </c>
      <c r="H685" s="32" t="s">
        <v>214</v>
      </c>
      <c r="I685" s="33" t="s">
        <v>1442</v>
      </c>
      <c r="J685" s="42">
        <f>VLOOKUP(F685,[9]Hárok1!$F$672:$S$793,5,0)</f>
        <v>0</v>
      </c>
      <c r="K685" s="43">
        <f>VLOOKUP(F685,[9]Hárok1!$F$672:$S$793,6,0)</f>
        <v>0</v>
      </c>
      <c r="L685" s="43">
        <f>VLOOKUP(F685,[9]Hárok1!$F$672:$S$793,7,0)</f>
        <v>0</v>
      </c>
      <c r="M685" s="43">
        <f>VLOOKUP(F685,[9]Hárok1!$F$672:$S$793,8,0)</f>
        <v>0</v>
      </c>
      <c r="N685" s="43">
        <f>VLOOKUP(F685,[9]Hárok1!$F$672:$S$793,9,0)</f>
        <v>0</v>
      </c>
      <c r="O685" s="43">
        <f>VLOOKUP(F685,[9]Hárok1!$F$672:$S$793,10,0)</f>
        <v>0</v>
      </c>
      <c r="P685" s="44">
        <f>VLOOKUP(F685,[9]Hárok1!$F$672:$S$793,11,0)</f>
        <v>0</v>
      </c>
      <c r="Q685" s="42">
        <f>VLOOKUP(F685,[9]Hárok1!$F$672:$S$793,12,0)</f>
        <v>0</v>
      </c>
      <c r="R685" s="43">
        <f>VLOOKUP(F685,[9]Hárok1!$F$672:$S$793,13,0)</f>
        <v>0</v>
      </c>
      <c r="S685" s="44">
        <f>VLOOKUP(F685,[9]Hárok1!$F$672:$S$793,14,0)</f>
        <v>0</v>
      </c>
      <c r="T685" s="45">
        <f t="shared" si="60"/>
        <v>0</v>
      </c>
      <c r="U685" s="46">
        <f>VLOOKUP(F685,[9]Hárok1!$F$672:$U$793,16,0)</f>
        <v>0</v>
      </c>
      <c r="V685" s="47">
        <f t="shared" si="61"/>
        <v>0</v>
      </c>
      <c r="W685" s="47">
        <f t="shared" si="62"/>
        <v>0</v>
      </c>
      <c r="X685" s="48">
        <f t="shared" si="63"/>
        <v>0</v>
      </c>
      <c r="Y685" s="49">
        <f t="shared" si="65"/>
        <v>0</v>
      </c>
      <c r="Z685" s="50">
        <f t="shared" si="64"/>
        <v>0</v>
      </c>
    </row>
    <row r="686" spans="1:26" x14ac:dyDescent="0.25">
      <c r="A686" s="29" t="s">
        <v>1428</v>
      </c>
      <c r="B686" s="29" t="s">
        <v>43</v>
      </c>
      <c r="C686" s="29" t="s">
        <v>1429</v>
      </c>
      <c r="D686" s="30">
        <v>54131430</v>
      </c>
      <c r="E686" s="31" t="s">
        <v>1430</v>
      </c>
      <c r="F686" s="29">
        <v>35570563</v>
      </c>
      <c r="G686" s="32" t="s">
        <v>1443</v>
      </c>
      <c r="H686" s="32" t="s">
        <v>214</v>
      </c>
      <c r="I686" s="33" t="s">
        <v>1444</v>
      </c>
      <c r="J686" s="42">
        <f>VLOOKUP(F686,[9]Hárok1!$F$672:$S$793,5,0)</f>
        <v>11</v>
      </c>
      <c r="K686" s="43">
        <f>VLOOKUP(F686,[9]Hárok1!$F$672:$S$793,6,0)</f>
        <v>0</v>
      </c>
      <c r="L686" s="43">
        <f>VLOOKUP(F686,[9]Hárok1!$F$672:$S$793,7,0)</f>
        <v>39</v>
      </c>
      <c r="M686" s="43">
        <f>VLOOKUP(F686,[9]Hárok1!$F$672:$S$793,8,0)</f>
        <v>0</v>
      </c>
      <c r="N686" s="43">
        <f>VLOOKUP(F686,[9]Hárok1!$F$672:$S$793,9,0)</f>
        <v>0</v>
      </c>
      <c r="O686" s="43">
        <f>VLOOKUP(F686,[9]Hárok1!$F$672:$S$793,10,0)</f>
        <v>16</v>
      </c>
      <c r="P686" s="44">
        <f>VLOOKUP(F686,[9]Hárok1!$F$672:$S$793,11,0)</f>
        <v>2</v>
      </c>
      <c r="Q686" s="42">
        <f>VLOOKUP(F686,[9]Hárok1!$F$672:$S$793,12,0)</f>
        <v>0</v>
      </c>
      <c r="R686" s="43">
        <f>VLOOKUP(F686,[9]Hárok1!$F$672:$S$793,13,0)</f>
        <v>194</v>
      </c>
      <c r="S686" s="44">
        <f>VLOOKUP(F686,[9]Hárok1!$F$672:$S$793,14,0)</f>
        <v>95</v>
      </c>
      <c r="T686" s="45">
        <f t="shared" si="60"/>
        <v>1306.5</v>
      </c>
      <c r="U686" s="46">
        <f>VLOOKUP(F686,[9]Hárok1!$F$672:$U$793,16,0)</f>
        <v>0</v>
      </c>
      <c r="V686" s="47">
        <f t="shared" si="61"/>
        <v>0</v>
      </c>
      <c r="W686" s="47">
        <f t="shared" si="62"/>
        <v>604</v>
      </c>
      <c r="X686" s="48">
        <f t="shared" si="63"/>
        <v>196.5</v>
      </c>
      <c r="Y686" s="49">
        <f t="shared" si="65"/>
        <v>2107</v>
      </c>
      <c r="Z686" s="50">
        <f t="shared" si="64"/>
        <v>2107</v>
      </c>
    </row>
    <row r="687" spans="1:26" x14ac:dyDescent="0.25">
      <c r="A687" s="29" t="s">
        <v>1428</v>
      </c>
      <c r="B687" s="29" t="s">
        <v>43</v>
      </c>
      <c r="C687" s="29" t="s">
        <v>1429</v>
      </c>
      <c r="D687" s="30">
        <v>54131430</v>
      </c>
      <c r="E687" s="31" t="s">
        <v>1430</v>
      </c>
      <c r="F687" s="29">
        <v>619671</v>
      </c>
      <c r="G687" s="32" t="s">
        <v>52</v>
      </c>
      <c r="H687" s="32" t="s">
        <v>1445</v>
      </c>
      <c r="I687" s="33" t="s">
        <v>1446</v>
      </c>
      <c r="J687" s="42">
        <f>VLOOKUP(F687,[9]Hárok1!$F$672:$S$793,5,0)</f>
        <v>2</v>
      </c>
      <c r="K687" s="43">
        <f>VLOOKUP(F687,[9]Hárok1!$F$672:$S$793,6,0)</f>
        <v>0</v>
      </c>
      <c r="L687" s="43">
        <f>VLOOKUP(F687,[9]Hárok1!$F$672:$S$793,7,0)</f>
        <v>5</v>
      </c>
      <c r="M687" s="43">
        <f>VLOOKUP(F687,[9]Hárok1!$F$672:$S$793,8,0)</f>
        <v>0</v>
      </c>
      <c r="N687" s="43">
        <f>VLOOKUP(F687,[9]Hárok1!$F$672:$S$793,9,0)</f>
        <v>0</v>
      </c>
      <c r="O687" s="43">
        <f>VLOOKUP(F687,[9]Hárok1!$F$672:$S$793,10,0)</f>
        <v>8</v>
      </c>
      <c r="P687" s="44">
        <f>VLOOKUP(F687,[9]Hárok1!$F$672:$S$793,11,0)</f>
        <v>0</v>
      </c>
      <c r="Q687" s="42">
        <f>VLOOKUP(F687,[9]Hárok1!$F$672:$S$793,12,0)</f>
        <v>0</v>
      </c>
      <c r="R687" s="43">
        <f>VLOOKUP(F687,[9]Hárok1!$F$672:$S$793,13,0)</f>
        <v>17</v>
      </c>
      <c r="S687" s="44">
        <f>VLOOKUP(F687,[9]Hárok1!$F$672:$S$793,14,0)</f>
        <v>0</v>
      </c>
      <c r="T687" s="45">
        <f t="shared" si="60"/>
        <v>167.5</v>
      </c>
      <c r="U687" s="46">
        <f>VLOOKUP(F687,[9]Hárok1!$F$672:$U$793,16,0)</f>
        <v>52.8</v>
      </c>
      <c r="V687" s="47">
        <f t="shared" si="61"/>
        <v>0</v>
      </c>
      <c r="W687" s="47">
        <f t="shared" si="62"/>
        <v>142</v>
      </c>
      <c r="X687" s="48">
        <f t="shared" si="63"/>
        <v>0</v>
      </c>
      <c r="Y687" s="49">
        <f t="shared" si="65"/>
        <v>362.3</v>
      </c>
      <c r="Z687" s="50">
        <f t="shared" si="64"/>
        <v>362</v>
      </c>
    </row>
    <row r="688" spans="1:26" x14ac:dyDescent="0.25">
      <c r="A688" s="29" t="s">
        <v>1428</v>
      </c>
      <c r="B688" s="29" t="s">
        <v>43</v>
      </c>
      <c r="C688" s="29" t="s">
        <v>1429</v>
      </c>
      <c r="D688" s="30">
        <v>54131430</v>
      </c>
      <c r="E688" s="31" t="s">
        <v>1430</v>
      </c>
      <c r="F688" s="29">
        <v>88714</v>
      </c>
      <c r="G688" s="32" t="s">
        <v>52</v>
      </c>
      <c r="H688" s="32" t="s">
        <v>1447</v>
      </c>
      <c r="I688" s="33" t="s">
        <v>1448</v>
      </c>
      <c r="J688" s="42">
        <f>VLOOKUP(F688,[9]Hárok1!$F$672:$S$793,5,0)</f>
        <v>2</v>
      </c>
      <c r="K688" s="43">
        <f>VLOOKUP(F688,[9]Hárok1!$F$672:$S$793,6,0)</f>
        <v>0</v>
      </c>
      <c r="L688" s="43">
        <f>VLOOKUP(F688,[9]Hárok1!$F$672:$S$793,7,0)</f>
        <v>8</v>
      </c>
      <c r="M688" s="43">
        <f>VLOOKUP(F688,[9]Hárok1!$F$672:$S$793,8,0)</f>
        <v>0</v>
      </c>
      <c r="N688" s="43">
        <f>VLOOKUP(F688,[9]Hárok1!$F$672:$S$793,9,0)</f>
        <v>0</v>
      </c>
      <c r="O688" s="43">
        <f>VLOOKUP(F688,[9]Hárok1!$F$672:$S$793,10,0)</f>
        <v>6</v>
      </c>
      <c r="P688" s="44">
        <f>VLOOKUP(F688,[9]Hárok1!$F$672:$S$793,11,0)</f>
        <v>0</v>
      </c>
      <c r="Q688" s="42">
        <f>VLOOKUP(F688,[9]Hárok1!$F$672:$S$793,12,0)</f>
        <v>0</v>
      </c>
      <c r="R688" s="43">
        <f>VLOOKUP(F688,[9]Hárok1!$F$672:$S$793,13,0)</f>
        <v>93</v>
      </c>
      <c r="S688" s="44">
        <f>VLOOKUP(F688,[9]Hárok1!$F$672:$S$793,14,0)</f>
        <v>0</v>
      </c>
      <c r="T688" s="45">
        <f t="shared" si="60"/>
        <v>268</v>
      </c>
      <c r="U688" s="46">
        <f>VLOOKUP(F688,[9]Hárok1!$F$672:$U$793,16,0)</f>
        <v>0</v>
      </c>
      <c r="V688" s="47">
        <f t="shared" si="61"/>
        <v>0</v>
      </c>
      <c r="W688" s="47">
        <f t="shared" si="62"/>
        <v>267</v>
      </c>
      <c r="X688" s="48">
        <f t="shared" si="63"/>
        <v>0</v>
      </c>
      <c r="Y688" s="49">
        <f t="shared" si="65"/>
        <v>535</v>
      </c>
      <c r="Z688" s="50">
        <f t="shared" si="64"/>
        <v>535</v>
      </c>
    </row>
    <row r="689" spans="1:26" x14ac:dyDescent="0.25">
      <c r="A689" s="29" t="s">
        <v>1428</v>
      </c>
      <c r="B689" s="29" t="s">
        <v>43</v>
      </c>
      <c r="C689" s="29" t="s">
        <v>1429</v>
      </c>
      <c r="D689" s="30">
        <v>54131430</v>
      </c>
      <c r="E689" s="31" t="s">
        <v>1430</v>
      </c>
      <c r="F689" s="29">
        <v>500402</v>
      </c>
      <c r="G689" s="32" t="s">
        <v>64</v>
      </c>
      <c r="H689" s="32" t="s">
        <v>1449</v>
      </c>
      <c r="I689" s="33" t="s">
        <v>1450</v>
      </c>
      <c r="J689" s="42">
        <f>VLOOKUP(F689,[9]Hárok1!$F$672:$S$793,5,0)</f>
        <v>0</v>
      </c>
      <c r="K689" s="43">
        <f>VLOOKUP(F689,[9]Hárok1!$F$672:$S$793,6,0)</f>
        <v>0</v>
      </c>
      <c r="L689" s="43">
        <f>VLOOKUP(F689,[9]Hárok1!$F$672:$S$793,7,0)</f>
        <v>0</v>
      </c>
      <c r="M689" s="43">
        <f>VLOOKUP(F689,[9]Hárok1!$F$672:$S$793,8,0)</f>
        <v>0</v>
      </c>
      <c r="N689" s="43">
        <f>VLOOKUP(F689,[9]Hárok1!$F$672:$S$793,9,0)</f>
        <v>0</v>
      </c>
      <c r="O689" s="43">
        <f>VLOOKUP(F689,[9]Hárok1!$F$672:$S$793,10,0)</f>
        <v>0</v>
      </c>
      <c r="P689" s="44">
        <f>VLOOKUP(F689,[9]Hárok1!$F$672:$S$793,11,0)</f>
        <v>0</v>
      </c>
      <c r="Q689" s="42">
        <f>VLOOKUP(F689,[9]Hárok1!$F$672:$S$793,12,0)</f>
        <v>0</v>
      </c>
      <c r="R689" s="43">
        <f>VLOOKUP(F689,[9]Hárok1!$F$672:$S$793,13,0)</f>
        <v>0</v>
      </c>
      <c r="S689" s="44">
        <f>VLOOKUP(F689,[9]Hárok1!$F$672:$S$793,14,0)</f>
        <v>0</v>
      </c>
      <c r="T689" s="45">
        <f t="shared" si="60"/>
        <v>0</v>
      </c>
      <c r="U689" s="46">
        <f>VLOOKUP(F689,[9]Hárok1!$F$672:$U$793,16,0)</f>
        <v>0</v>
      </c>
      <c r="V689" s="47">
        <f t="shared" si="61"/>
        <v>0</v>
      </c>
      <c r="W689" s="47">
        <f t="shared" si="62"/>
        <v>0</v>
      </c>
      <c r="X689" s="48">
        <f t="shared" si="63"/>
        <v>0</v>
      </c>
      <c r="Y689" s="49">
        <f t="shared" si="65"/>
        <v>0</v>
      </c>
      <c r="Z689" s="50">
        <f t="shared" si="64"/>
        <v>0</v>
      </c>
    </row>
    <row r="690" spans="1:26" x14ac:dyDescent="0.25">
      <c r="A690" s="29" t="s">
        <v>1428</v>
      </c>
      <c r="B690" s="29" t="s">
        <v>43</v>
      </c>
      <c r="C690" s="29" t="s">
        <v>1429</v>
      </c>
      <c r="D690" s="30">
        <v>54131430</v>
      </c>
      <c r="E690" s="31" t="s">
        <v>1430</v>
      </c>
      <c r="F690" s="29">
        <v>31309771</v>
      </c>
      <c r="G690" s="32" t="s">
        <v>52</v>
      </c>
      <c r="H690" s="32" t="s">
        <v>1451</v>
      </c>
      <c r="I690" s="33" t="s">
        <v>1452</v>
      </c>
      <c r="J690" s="42">
        <f>VLOOKUP(F690,[9]Hárok1!$F$672:$S$793,5,0)</f>
        <v>0</v>
      </c>
      <c r="K690" s="43">
        <f>VLOOKUP(F690,[9]Hárok1!$F$672:$S$793,6,0)</f>
        <v>0</v>
      </c>
      <c r="L690" s="43">
        <f>VLOOKUP(F690,[9]Hárok1!$F$672:$S$793,7,0)</f>
        <v>0</v>
      </c>
      <c r="M690" s="43">
        <f>VLOOKUP(F690,[9]Hárok1!$F$672:$S$793,8,0)</f>
        <v>0</v>
      </c>
      <c r="N690" s="43">
        <f>VLOOKUP(F690,[9]Hárok1!$F$672:$S$793,9,0)</f>
        <v>0</v>
      </c>
      <c r="O690" s="43">
        <f>VLOOKUP(F690,[9]Hárok1!$F$672:$S$793,10,0)</f>
        <v>0</v>
      </c>
      <c r="P690" s="44">
        <f>VLOOKUP(F690,[9]Hárok1!$F$672:$S$793,11,0)</f>
        <v>0</v>
      </c>
      <c r="Q690" s="42">
        <f>VLOOKUP(F690,[9]Hárok1!$F$672:$S$793,12,0)</f>
        <v>0</v>
      </c>
      <c r="R690" s="43">
        <f>VLOOKUP(F690,[9]Hárok1!$F$672:$S$793,13,0)</f>
        <v>0</v>
      </c>
      <c r="S690" s="44">
        <f>VLOOKUP(F690,[9]Hárok1!$F$672:$S$793,14,0)</f>
        <v>0</v>
      </c>
      <c r="T690" s="45">
        <f t="shared" si="60"/>
        <v>0</v>
      </c>
      <c r="U690" s="46">
        <f>VLOOKUP(F690,[9]Hárok1!$F$672:$U$793,16,0)</f>
        <v>0</v>
      </c>
      <c r="V690" s="47">
        <f t="shared" si="61"/>
        <v>0</v>
      </c>
      <c r="W690" s="47">
        <f t="shared" si="62"/>
        <v>0</v>
      </c>
      <c r="X690" s="48">
        <f t="shared" si="63"/>
        <v>0</v>
      </c>
      <c r="Y690" s="49">
        <f t="shared" si="65"/>
        <v>0</v>
      </c>
      <c r="Z690" s="50">
        <f t="shared" si="64"/>
        <v>0</v>
      </c>
    </row>
    <row r="691" spans="1:26" x14ac:dyDescent="0.25">
      <c r="A691" s="29" t="s">
        <v>1428</v>
      </c>
      <c r="B691" s="29" t="s">
        <v>43</v>
      </c>
      <c r="C691" s="29" t="s">
        <v>1429</v>
      </c>
      <c r="D691" s="30">
        <v>54131430</v>
      </c>
      <c r="E691" s="31" t="s">
        <v>1430</v>
      </c>
      <c r="F691" s="29">
        <v>188514</v>
      </c>
      <c r="G691" s="32" t="s">
        <v>52</v>
      </c>
      <c r="H691" s="32" t="s">
        <v>1453</v>
      </c>
      <c r="I691" s="33" t="s">
        <v>1454</v>
      </c>
      <c r="J691" s="42">
        <f>VLOOKUP(F691,[9]Hárok1!$F$672:$S$793,5,0)</f>
        <v>0</v>
      </c>
      <c r="K691" s="43">
        <f>VLOOKUP(F691,[9]Hárok1!$F$672:$S$793,6,0)</f>
        <v>0</v>
      </c>
      <c r="L691" s="43">
        <f>VLOOKUP(F691,[9]Hárok1!$F$672:$S$793,7,0)</f>
        <v>0</v>
      </c>
      <c r="M691" s="43">
        <f>VLOOKUP(F691,[9]Hárok1!$F$672:$S$793,8,0)</f>
        <v>0</v>
      </c>
      <c r="N691" s="43">
        <f>VLOOKUP(F691,[9]Hárok1!$F$672:$S$793,9,0)</f>
        <v>0</v>
      </c>
      <c r="O691" s="43">
        <f>VLOOKUP(F691,[9]Hárok1!$F$672:$S$793,10,0)</f>
        <v>0</v>
      </c>
      <c r="P691" s="44">
        <f>VLOOKUP(F691,[9]Hárok1!$F$672:$S$793,11,0)</f>
        <v>0</v>
      </c>
      <c r="Q691" s="42">
        <f>VLOOKUP(F691,[9]Hárok1!$F$672:$S$793,12,0)</f>
        <v>0</v>
      </c>
      <c r="R691" s="43">
        <f>VLOOKUP(F691,[9]Hárok1!$F$672:$S$793,13,0)</f>
        <v>0</v>
      </c>
      <c r="S691" s="44">
        <f>VLOOKUP(F691,[9]Hárok1!$F$672:$S$793,14,0)</f>
        <v>0</v>
      </c>
      <c r="T691" s="45">
        <f t="shared" si="60"/>
        <v>0</v>
      </c>
      <c r="U691" s="46">
        <f>VLOOKUP(F691,[9]Hárok1!$F$672:$U$793,16,0)</f>
        <v>0</v>
      </c>
      <c r="V691" s="47">
        <f t="shared" si="61"/>
        <v>0</v>
      </c>
      <c r="W691" s="47">
        <f t="shared" si="62"/>
        <v>0</v>
      </c>
      <c r="X691" s="48">
        <f t="shared" si="63"/>
        <v>0</v>
      </c>
      <c r="Y691" s="49">
        <f t="shared" si="65"/>
        <v>0</v>
      </c>
      <c r="Z691" s="50">
        <f t="shared" si="64"/>
        <v>0</v>
      </c>
    </row>
    <row r="692" spans="1:26" x14ac:dyDescent="0.25">
      <c r="A692" s="29" t="s">
        <v>1428</v>
      </c>
      <c r="B692" s="29" t="s">
        <v>43</v>
      </c>
      <c r="C692" s="29" t="s">
        <v>1429</v>
      </c>
      <c r="D692" s="30">
        <v>54131430</v>
      </c>
      <c r="E692" s="31" t="s">
        <v>1430</v>
      </c>
      <c r="F692" s="29">
        <v>31309704</v>
      </c>
      <c r="G692" s="32" t="s">
        <v>52</v>
      </c>
      <c r="H692" s="32" t="s">
        <v>1455</v>
      </c>
      <c r="I692" s="33" t="s">
        <v>1456</v>
      </c>
      <c r="J692" s="42">
        <f>VLOOKUP(F692,[9]Hárok1!$F$672:$S$793,5,0)</f>
        <v>1</v>
      </c>
      <c r="K692" s="43">
        <f>VLOOKUP(F692,[9]Hárok1!$F$672:$S$793,6,0)</f>
        <v>0</v>
      </c>
      <c r="L692" s="43">
        <f>VLOOKUP(F692,[9]Hárok1!$F$672:$S$793,7,0)</f>
        <v>2</v>
      </c>
      <c r="M692" s="43">
        <f>VLOOKUP(F692,[9]Hárok1!$F$672:$S$793,8,0)</f>
        <v>0</v>
      </c>
      <c r="N692" s="43">
        <f>VLOOKUP(F692,[9]Hárok1!$F$672:$S$793,9,0)</f>
        <v>0</v>
      </c>
      <c r="O692" s="43">
        <f>VLOOKUP(F692,[9]Hárok1!$F$672:$S$793,10,0)</f>
        <v>3</v>
      </c>
      <c r="P692" s="44">
        <f>VLOOKUP(F692,[9]Hárok1!$F$672:$S$793,11,0)</f>
        <v>0</v>
      </c>
      <c r="Q692" s="42">
        <f>VLOOKUP(F692,[9]Hárok1!$F$672:$S$793,12,0)</f>
        <v>0</v>
      </c>
      <c r="R692" s="43">
        <f>VLOOKUP(F692,[9]Hárok1!$F$672:$S$793,13,0)</f>
        <v>0</v>
      </c>
      <c r="S692" s="44">
        <f>VLOOKUP(F692,[9]Hárok1!$F$672:$S$793,14,0)</f>
        <v>9</v>
      </c>
      <c r="T692" s="45">
        <f t="shared" si="60"/>
        <v>67</v>
      </c>
      <c r="U692" s="46">
        <f>VLOOKUP(F692,[9]Hárok1!$F$672:$U$793,16,0)</f>
        <v>5</v>
      </c>
      <c r="V692" s="47">
        <f t="shared" si="61"/>
        <v>0</v>
      </c>
      <c r="W692" s="47">
        <f t="shared" si="62"/>
        <v>40.5</v>
      </c>
      <c r="X692" s="48">
        <f t="shared" si="63"/>
        <v>13.5</v>
      </c>
      <c r="Y692" s="49">
        <f t="shared" si="65"/>
        <v>126</v>
      </c>
      <c r="Z692" s="50">
        <f t="shared" si="64"/>
        <v>126</v>
      </c>
    </row>
    <row r="693" spans="1:26" x14ac:dyDescent="0.25">
      <c r="A693" s="51" t="s">
        <v>1428</v>
      </c>
      <c r="B693" s="51" t="s">
        <v>43</v>
      </c>
      <c r="C693" s="51" t="s">
        <v>1429</v>
      </c>
      <c r="D693" s="51">
        <v>54131430</v>
      </c>
      <c r="E693" s="32" t="s">
        <v>1430</v>
      </c>
      <c r="F693" s="51">
        <v>187615</v>
      </c>
      <c r="G693" s="32" t="s">
        <v>64</v>
      </c>
      <c r="H693" s="32" t="s">
        <v>1457</v>
      </c>
      <c r="I693" s="33" t="s">
        <v>1458</v>
      </c>
      <c r="J693" s="42">
        <f>VLOOKUP(F693,[9]Hárok1!$F$672:$S$793,5,0)</f>
        <v>1</v>
      </c>
      <c r="K693" s="43">
        <f>VLOOKUP(F693,[9]Hárok1!$F$672:$S$793,6,0)</f>
        <v>0</v>
      </c>
      <c r="L693" s="43">
        <f>VLOOKUP(F693,[9]Hárok1!$F$672:$S$793,7,0)</f>
        <v>2</v>
      </c>
      <c r="M693" s="43">
        <f>VLOOKUP(F693,[9]Hárok1!$F$672:$S$793,8,0)</f>
        <v>0</v>
      </c>
      <c r="N693" s="43">
        <f>VLOOKUP(F693,[9]Hárok1!$F$672:$S$793,9,0)</f>
        <v>0</v>
      </c>
      <c r="O693" s="43">
        <f>VLOOKUP(F693,[9]Hárok1!$F$672:$S$793,10,0)</f>
        <v>2</v>
      </c>
      <c r="P693" s="44">
        <f>VLOOKUP(F693,[9]Hárok1!$F$672:$S$793,11,0)</f>
        <v>0</v>
      </c>
      <c r="Q693" s="42">
        <f>VLOOKUP(F693,[9]Hárok1!$F$672:$S$793,12,0)</f>
        <v>0</v>
      </c>
      <c r="R693" s="43">
        <f>VLOOKUP(F693,[9]Hárok1!$F$672:$S$793,13,0)</f>
        <v>7</v>
      </c>
      <c r="S693" s="44">
        <f>VLOOKUP(F693,[9]Hárok1!$F$672:$S$793,14,0)</f>
        <v>0</v>
      </c>
      <c r="T693" s="45">
        <f t="shared" si="60"/>
        <v>67</v>
      </c>
      <c r="U693" s="46">
        <f>VLOOKUP(F693,[9]Hárok1!$F$672:$U$793,16,0)</f>
        <v>24.6</v>
      </c>
      <c r="V693" s="47">
        <f t="shared" si="61"/>
        <v>0</v>
      </c>
      <c r="W693" s="47">
        <f t="shared" si="62"/>
        <v>41</v>
      </c>
      <c r="X693" s="48">
        <f t="shared" si="63"/>
        <v>0</v>
      </c>
      <c r="Y693" s="49">
        <f t="shared" si="65"/>
        <v>132.6</v>
      </c>
      <c r="Z693" s="50">
        <f t="shared" si="64"/>
        <v>133</v>
      </c>
    </row>
    <row r="694" spans="1:26" x14ac:dyDescent="0.25">
      <c r="A694" s="29" t="s">
        <v>1428</v>
      </c>
      <c r="B694" s="29" t="s">
        <v>43</v>
      </c>
      <c r="C694" s="29" t="s">
        <v>1429</v>
      </c>
      <c r="D694" s="30">
        <v>54131430</v>
      </c>
      <c r="E694" s="31" t="s">
        <v>1430</v>
      </c>
      <c r="F694" s="29">
        <v>31309631</v>
      </c>
      <c r="G694" s="32" t="s">
        <v>52</v>
      </c>
      <c r="H694" s="32" t="s">
        <v>1459</v>
      </c>
      <c r="I694" s="33" t="s">
        <v>1460</v>
      </c>
      <c r="J694" s="42">
        <f>VLOOKUP(F694,[9]Hárok1!$F$672:$S$793,5,0)</f>
        <v>0</v>
      </c>
      <c r="K694" s="43">
        <f>VLOOKUP(F694,[9]Hárok1!$F$672:$S$793,6,0)</f>
        <v>0</v>
      </c>
      <c r="L694" s="43">
        <f>VLOOKUP(F694,[9]Hárok1!$F$672:$S$793,7,0)</f>
        <v>0</v>
      </c>
      <c r="M694" s="43">
        <f>VLOOKUP(F694,[9]Hárok1!$F$672:$S$793,8,0)</f>
        <v>0</v>
      </c>
      <c r="N694" s="43">
        <f>VLOOKUP(F694,[9]Hárok1!$F$672:$S$793,9,0)</f>
        <v>0</v>
      </c>
      <c r="O694" s="43">
        <f>VLOOKUP(F694,[9]Hárok1!$F$672:$S$793,10,0)</f>
        <v>0</v>
      </c>
      <c r="P694" s="44">
        <f>VLOOKUP(F694,[9]Hárok1!$F$672:$S$793,11,0)</f>
        <v>0</v>
      </c>
      <c r="Q694" s="42">
        <f>VLOOKUP(F694,[9]Hárok1!$F$672:$S$793,12,0)</f>
        <v>0</v>
      </c>
      <c r="R694" s="43">
        <f>VLOOKUP(F694,[9]Hárok1!$F$672:$S$793,13,0)</f>
        <v>0</v>
      </c>
      <c r="S694" s="44">
        <f>VLOOKUP(F694,[9]Hárok1!$F$672:$S$793,14,0)</f>
        <v>0</v>
      </c>
      <c r="T694" s="45">
        <f t="shared" si="60"/>
        <v>0</v>
      </c>
      <c r="U694" s="46">
        <f>VLOOKUP(F694,[9]Hárok1!$F$672:$U$793,16,0)</f>
        <v>0</v>
      </c>
      <c r="V694" s="47">
        <f t="shared" si="61"/>
        <v>0</v>
      </c>
      <c r="W694" s="47">
        <f t="shared" si="62"/>
        <v>0</v>
      </c>
      <c r="X694" s="48">
        <f t="shared" si="63"/>
        <v>0</v>
      </c>
      <c r="Y694" s="49">
        <f t="shared" si="65"/>
        <v>0</v>
      </c>
      <c r="Z694" s="50">
        <f t="shared" si="64"/>
        <v>0</v>
      </c>
    </row>
    <row r="695" spans="1:26" x14ac:dyDescent="0.25">
      <c r="A695" s="29" t="s">
        <v>1428</v>
      </c>
      <c r="B695" s="29" t="s">
        <v>43</v>
      </c>
      <c r="C695" s="29" t="s">
        <v>1429</v>
      </c>
      <c r="D695" s="30">
        <v>54131430</v>
      </c>
      <c r="E695" s="31" t="s">
        <v>1430</v>
      </c>
      <c r="F695" s="29">
        <v>31309658</v>
      </c>
      <c r="G695" s="32" t="s">
        <v>52</v>
      </c>
      <c r="H695" s="32" t="s">
        <v>1376</v>
      </c>
      <c r="I695" s="33" t="s">
        <v>1461</v>
      </c>
      <c r="J695" s="42">
        <f>VLOOKUP(F695,[9]Hárok1!$F$672:$S$793,5,0)</f>
        <v>0</v>
      </c>
      <c r="K695" s="43">
        <f>VLOOKUP(F695,[9]Hárok1!$F$672:$S$793,6,0)</f>
        <v>0</v>
      </c>
      <c r="L695" s="43">
        <f>VLOOKUP(F695,[9]Hárok1!$F$672:$S$793,7,0)</f>
        <v>0</v>
      </c>
      <c r="M695" s="43">
        <f>VLOOKUP(F695,[9]Hárok1!$F$672:$S$793,8,0)</f>
        <v>0</v>
      </c>
      <c r="N695" s="43">
        <f>VLOOKUP(F695,[9]Hárok1!$F$672:$S$793,9,0)</f>
        <v>0</v>
      </c>
      <c r="O695" s="43">
        <f>VLOOKUP(F695,[9]Hárok1!$F$672:$S$793,10,0)</f>
        <v>0</v>
      </c>
      <c r="P695" s="44">
        <f>VLOOKUP(F695,[9]Hárok1!$F$672:$S$793,11,0)</f>
        <v>0</v>
      </c>
      <c r="Q695" s="42">
        <f>VLOOKUP(F695,[9]Hárok1!$F$672:$S$793,12,0)</f>
        <v>0</v>
      </c>
      <c r="R695" s="43">
        <f>VLOOKUP(F695,[9]Hárok1!$F$672:$S$793,13,0)</f>
        <v>0</v>
      </c>
      <c r="S695" s="44">
        <f>VLOOKUP(F695,[9]Hárok1!$F$672:$S$793,14,0)</f>
        <v>0</v>
      </c>
      <c r="T695" s="45">
        <f t="shared" si="60"/>
        <v>0</v>
      </c>
      <c r="U695" s="46">
        <f>VLOOKUP(F695,[9]Hárok1!$F$672:$U$793,16,0)</f>
        <v>0</v>
      </c>
      <c r="V695" s="47">
        <f t="shared" si="61"/>
        <v>0</v>
      </c>
      <c r="W695" s="47">
        <f t="shared" si="62"/>
        <v>0</v>
      </c>
      <c r="X695" s="48">
        <f t="shared" si="63"/>
        <v>0</v>
      </c>
      <c r="Y695" s="49">
        <f t="shared" si="65"/>
        <v>0</v>
      </c>
      <c r="Z695" s="50">
        <f t="shared" si="64"/>
        <v>0</v>
      </c>
    </row>
    <row r="696" spans="1:26" x14ac:dyDescent="0.25">
      <c r="A696" s="29" t="s">
        <v>1428</v>
      </c>
      <c r="B696" s="29" t="s">
        <v>43</v>
      </c>
      <c r="C696" s="29" t="s">
        <v>1429</v>
      </c>
      <c r="D696" s="30">
        <v>54131430</v>
      </c>
      <c r="E696" s="31" t="s">
        <v>1430</v>
      </c>
      <c r="F696" s="29">
        <v>187917</v>
      </c>
      <c r="G696" s="32" t="s">
        <v>64</v>
      </c>
      <c r="H696" s="32" t="s">
        <v>1462</v>
      </c>
      <c r="I696" s="33" t="s">
        <v>1463</v>
      </c>
      <c r="J696" s="42">
        <f>VLOOKUP(F696,[9]Hárok1!$F$672:$S$793,5,0)</f>
        <v>0</v>
      </c>
      <c r="K696" s="43">
        <f>VLOOKUP(F696,[9]Hárok1!$F$672:$S$793,6,0)</f>
        <v>0</v>
      </c>
      <c r="L696" s="43">
        <f>VLOOKUP(F696,[9]Hárok1!$F$672:$S$793,7,0)</f>
        <v>0</v>
      </c>
      <c r="M696" s="43">
        <f>VLOOKUP(F696,[9]Hárok1!$F$672:$S$793,8,0)</f>
        <v>0</v>
      </c>
      <c r="N696" s="43">
        <f>VLOOKUP(F696,[9]Hárok1!$F$672:$S$793,9,0)</f>
        <v>0</v>
      </c>
      <c r="O696" s="43">
        <f>VLOOKUP(F696,[9]Hárok1!$F$672:$S$793,10,0)</f>
        <v>0</v>
      </c>
      <c r="P696" s="44">
        <f>VLOOKUP(F696,[9]Hárok1!$F$672:$S$793,11,0)</f>
        <v>0</v>
      </c>
      <c r="Q696" s="42">
        <f>VLOOKUP(F696,[9]Hárok1!$F$672:$S$793,12,0)</f>
        <v>0</v>
      </c>
      <c r="R696" s="43">
        <f>VLOOKUP(F696,[9]Hárok1!$F$672:$S$793,13,0)</f>
        <v>0</v>
      </c>
      <c r="S696" s="44">
        <f>VLOOKUP(F696,[9]Hárok1!$F$672:$S$793,14,0)</f>
        <v>0</v>
      </c>
      <c r="T696" s="45">
        <f t="shared" si="60"/>
        <v>0</v>
      </c>
      <c r="U696" s="46">
        <f>VLOOKUP(F696,[9]Hárok1!$F$672:$U$793,16,0)</f>
        <v>0</v>
      </c>
      <c r="V696" s="47">
        <f t="shared" si="61"/>
        <v>0</v>
      </c>
      <c r="W696" s="47">
        <f t="shared" si="62"/>
        <v>0</v>
      </c>
      <c r="X696" s="48">
        <f t="shared" si="63"/>
        <v>0</v>
      </c>
      <c r="Y696" s="49">
        <f t="shared" si="65"/>
        <v>0</v>
      </c>
      <c r="Z696" s="50">
        <f t="shared" si="64"/>
        <v>0</v>
      </c>
    </row>
    <row r="697" spans="1:26" x14ac:dyDescent="0.25">
      <c r="A697" s="29" t="s">
        <v>1428</v>
      </c>
      <c r="B697" s="29" t="s">
        <v>43</v>
      </c>
      <c r="C697" s="29" t="s">
        <v>1429</v>
      </c>
      <c r="D697" s="30">
        <v>54131430</v>
      </c>
      <c r="E697" s="31" t="s">
        <v>1430</v>
      </c>
      <c r="F697" s="29">
        <v>52842452</v>
      </c>
      <c r="G697" s="32" t="s">
        <v>52</v>
      </c>
      <c r="H697" s="32" t="s">
        <v>1464</v>
      </c>
      <c r="I697" s="33" t="s">
        <v>1465</v>
      </c>
      <c r="J697" s="42">
        <f>VLOOKUP(F697,[9]Hárok1!$F$672:$S$793,5,0)</f>
        <v>0</v>
      </c>
      <c r="K697" s="43">
        <f>VLOOKUP(F697,[9]Hárok1!$F$672:$S$793,6,0)</f>
        <v>0</v>
      </c>
      <c r="L697" s="43">
        <f>VLOOKUP(F697,[9]Hárok1!$F$672:$S$793,7,0)</f>
        <v>0</v>
      </c>
      <c r="M697" s="43">
        <f>VLOOKUP(F697,[9]Hárok1!$F$672:$S$793,8,0)</f>
        <v>0</v>
      </c>
      <c r="N697" s="43">
        <f>VLOOKUP(F697,[9]Hárok1!$F$672:$S$793,9,0)</f>
        <v>0</v>
      </c>
      <c r="O697" s="43">
        <f>VLOOKUP(F697,[9]Hárok1!$F$672:$S$793,10,0)</f>
        <v>0</v>
      </c>
      <c r="P697" s="44">
        <f>VLOOKUP(F697,[9]Hárok1!$F$672:$S$793,11,0)</f>
        <v>0</v>
      </c>
      <c r="Q697" s="42">
        <f>VLOOKUP(F697,[9]Hárok1!$F$672:$S$793,12,0)</f>
        <v>0</v>
      </c>
      <c r="R697" s="43">
        <f>VLOOKUP(F697,[9]Hárok1!$F$672:$S$793,13,0)</f>
        <v>0</v>
      </c>
      <c r="S697" s="44">
        <f>VLOOKUP(F697,[9]Hárok1!$F$672:$S$793,14,0)</f>
        <v>0</v>
      </c>
      <c r="T697" s="45">
        <f t="shared" si="60"/>
        <v>0</v>
      </c>
      <c r="U697" s="46">
        <f>VLOOKUP(F697,[9]Hárok1!$F$672:$U$793,16,0)</f>
        <v>0</v>
      </c>
      <c r="V697" s="47">
        <f t="shared" si="61"/>
        <v>0</v>
      </c>
      <c r="W697" s="47">
        <f t="shared" si="62"/>
        <v>0</v>
      </c>
      <c r="X697" s="48">
        <f t="shared" si="63"/>
        <v>0</v>
      </c>
      <c r="Y697" s="49">
        <f t="shared" si="65"/>
        <v>0</v>
      </c>
      <c r="Z697" s="50">
        <f t="shared" si="64"/>
        <v>0</v>
      </c>
    </row>
    <row r="698" spans="1:26" x14ac:dyDescent="0.25">
      <c r="A698" s="29" t="s">
        <v>1428</v>
      </c>
      <c r="B698" s="29" t="s">
        <v>43</v>
      </c>
      <c r="C698" s="29" t="s">
        <v>1429</v>
      </c>
      <c r="D698" s="30">
        <v>54131430</v>
      </c>
      <c r="E698" s="31" t="s">
        <v>1430</v>
      </c>
      <c r="F698" s="29">
        <v>17072948</v>
      </c>
      <c r="G698" s="32" t="s">
        <v>64</v>
      </c>
      <c r="H698" s="32" t="s">
        <v>1169</v>
      </c>
      <c r="I698" s="33" t="s">
        <v>1466</v>
      </c>
      <c r="J698" s="42">
        <f>VLOOKUP(F698,[9]Hárok1!$F$672:$S$793,5,0)</f>
        <v>2</v>
      </c>
      <c r="K698" s="43">
        <f>VLOOKUP(F698,[9]Hárok1!$F$672:$S$793,6,0)</f>
        <v>0</v>
      </c>
      <c r="L698" s="43">
        <f>VLOOKUP(F698,[9]Hárok1!$F$672:$S$793,7,0)</f>
        <v>4</v>
      </c>
      <c r="M698" s="43">
        <f>VLOOKUP(F698,[9]Hárok1!$F$672:$S$793,8,0)</f>
        <v>0</v>
      </c>
      <c r="N698" s="43">
        <f>VLOOKUP(F698,[9]Hárok1!$F$672:$S$793,9,0)</f>
        <v>0</v>
      </c>
      <c r="O698" s="43">
        <f>VLOOKUP(F698,[9]Hárok1!$F$672:$S$793,10,0)</f>
        <v>3</v>
      </c>
      <c r="P698" s="44">
        <f>VLOOKUP(F698,[9]Hárok1!$F$672:$S$793,11,0)</f>
        <v>0</v>
      </c>
      <c r="Q698" s="42">
        <f>VLOOKUP(F698,[9]Hárok1!$F$672:$S$793,12,0)</f>
        <v>0</v>
      </c>
      <c r="R698" s="43">
        <f>VLOOKUP(F698,[9]Hárok1!$F$672:$S$793,13,0)</f>
        <v>17</v>
      </c>
      <c r="S698" s="44">
        <f>VLOOKUP(F698,[9]Hárok1!$F$672:$S$793,14,0)</f>
        <v>0</v>
      </c>
      <c r="T698" s="45">
        <f t="shared" si="60"/>
        <v>134</v>
      </c>
      <c r="U698" s="46">
        <f>VLOOKUP(F698,[9]Hárok1!$F$672:$U$793,16,0)</f>
        <v>50.2</v>
      </c>
      <c r="V698" s="47">
        <f t="shared" si="61"/>
        <v>0</v>
      </c>
      <c r="W698" s="47">
        <f t="shared" si="62"/>
        <v>74.5</v>
      </c>
      <c r="X698" s="48">
        <f t="shared" si="63"/>
        <v>0</v>
      </c>
      <c r="Y698" s="49">
        <f t="shared" si="65"/>
        <v>258.7</v>
      </c>
      <c r="Z698" s="50">
        <f t="shared" si="64"/>
        <v>259</v>
      </c>
    </row>
    <row r="699" spans="1:26" x14ac:dyDescent="0.25">
      <c r="A699" s="29" t="s">
        <v>1428</v>
      </c>
      <c r="B699" s="29" t="s">
        <v>79</v>
      </c>
      <c r="C699" s="29" t="s">
        <v>1467</v>
      </c>
      <c r="D699" s="29">
        <v>35541016</v>
      </c>
      <c r="E699" s="32" t="s">
        <v>1468</v>
      </c>
      <c r="F699" s="29">
        <v>160938</v>
      </c>
      <c r="G699" s="32" t="s">
        <v>49</v>
      </c>
      <c r="H699" s="32" t="s">
        <v>1469</v>
      </c>
      <c r="I699" s="33" t="s">
        <v>1470</v>
      </c>
      <c r="J699" s="42">
        <f>VLOOKUP(F699,[9]Hárok1!$F$672:$S$793,5,0)</f>
        <v>10</v>
      </c>
      <c r="K699" s="43">
        <f>VLOOKUP(F699,[9]Hárok1!$F$672:$S$793,6,0)</f>
        <v>0</v>
      </c>
      <c r="L699" s="43">
        <f>VLOOKUP(F699,[9]Hárok1!$F$672:$S$793,7,0)</f>
        <v>18</v>
      </c>
      <c r="M699" s="43">
        <f>VLOOKUP(F699,[9]Hárok1!$F$672:$S$793,8,0)</f>
        <v>0</v>
      </c>
      <c r="N699" s="43">
        <f>VLOOKUP(F699,[9]Hárok1!$F$672:$S$793,9,0)</f>
        <v>2</v>
      </c>
      <c r="O699" s="43">
        <f>VLOOKUP(F699,[9]Hárok1!$F$672:$S$793,10,0)</f>
        <v>12</v>
      </c>
      <c r="P699" s="44">
        <f>VLOOKUP(F699,[9]Hárok1!$F$672:$S$793,11,0)</f>
        <v>1</v>
      </c>
      <c r="Q699" s="42">
        <f>VLOOKUP(F699,[9]Hárok1!$F$672:$S$793,12,0)</f>
        <v>5</v>
      </c>
      <c r="R699" s="43">
        <f>VLOOKUP(F699,[9]Hárok1!$F$672:$S$793,13,0)</f>
        <v>72</v>
      </c>
      <c r="S699" s="44">
        <f>VLOOKUP(F699,[9]Hárok1!$F$672:$S$793,14,0)</f>
        <v>114</v>
      </c>
      <c r="T699" s="45">
        <f t="shared" si="60"/>
        <v>603</v>
      </c>
      <c r="U699" s="46">
        <f>VLOOKUP(F699,[9]Hárok1!$F$672:$U$793,16,0)</f>
        <v>110.95</v>
      </c>
      <c r="V699" s="47">
        <f t="shared" si="61"/>
        <v>34.5</v>
      </c>
      <c r="W699" s="47">
        <f t="shared" si="62"/>
        <v>306</v>
      </c>
      <c r="X699" s="48">
        <f t="shared" si="63"/>
        <v>198</v>
      </c>
      <c r="Y699" s="49">
        <f t="shared" si="65"/>
        <v>1252.45</v>
      </c>
      <c r="Z699" s="50">
        <f t="shared" si="64"/>
        <v>1252</v>
      </c>
    </row>
    <row r="700" spans="1:26" x14ac:dyDescent="0.25">
      <c r="A700" s="29" t="s">
        <v>1428</v>
      </c>
      <c r="B700" s="29" t="s">
        <v>79</v>
      </c>
      <c r="C700" s="29" t="s">
        <v>1467</v>
      </c>
      <c r="D700" s="29">
        <v>35541016</v>
      </c>
      <c r="E700" s="32" t="s">
        <v>1468</v>
      </c>
      <c r="F700" s="29">
        <v>35568348</v>
      </c>
      <c r="G700" s="32" t="s">
        <v>679</v>
      </c>
      <c r="H700" s="32" t="s">
        <v>1431</v>
      </c>
      <c r="I700" s="33" t="s">
        <v>1471</v>
      </c>
      <c r="J700" s="42">
        <f>VLOOKUP(F700,[9]Hárok1!$F$672:$S$793,5,0)</f>
        <v>6</v>
      </c>
      <c r="K700" s="43">
        <f>VLOOKUP(F700,[9]Hárok1!$F$672:$S$793,6,0)</f>
        <v>6</v>
      </c>
      <c r="L700" s="43">
        <f>VLOOKUP(F700,[9]Hárok1!$F$672:$S$793,7,0)</f>
        <v>17</v>
      </c>
      <c r="M700" s="43">
        <f>VLOOKUP(F700,[9]Hárok1!$F$672:$S$793,8,0)</f>
        <v>12</v>
      </c>
      <c r="N700" s="43">
        <f>VLOOKUP(F700,[9]Hárok1!$F$672:$S$793,9,0)</f>
        <v>7</v>
      </c>
      <c r="O700" s="43">
        <f>VLOOKUP(F700,[9]Hárok1!$F$672:$S$793,10,0)</f>
        <v>12</v>
      </c>
      <c r="P700" s="44">
        <f>VLOOKUP(F700,[9]Hárok1!$F$672:$S$793,11,0)</f>
        <v>1</v>
      </c>
      <c r="Q700" s="42">
        <f>VLOOKUP(F700,[9]Hárok1!$F$672:$S$793,12,0)</f>
        <v>44</v>
      </c>
      <c r="R700" s="43">
        <f>VLOOKUP(F700,[9]Hárok1!$F$672:$S$793,13,0)</f>
        <v>116</v>
      </c>
      <c r="S700" s="44">
        <f>VLOOKUP(F700,[9]Hárok1!$F$672:$S$793,14,0)</f>
        <v>25</v>
      </c>
      <c r="T700" s="45">
        <f t="shared" si="60"/>
        <v>569.5</v>
      </c>
      <c r="U700" s="46">
        <f>VLOOKUP(F700,[9]Hárok1!$F$672:$U$793,16,0)</f>
        <v>28.2</v>
      </c>
      <c r="V700" s="47">
        <f t="shared" si="61"/>
        <v>160.5</v>
      </c>
      <c r="W700" s="47">
        <f t="shared" si="62"/>
        <v>394</v>
      </c>
      <c r="X700" s="48">
        <f t="shared" si="63"/>
        <v>64.5</v>
      </c>
      <c r="Y700" s="49">
        <f t="shared" si="65"/>
        <v>1216.7</v>
      </c>
      <c r="Z700" s="50">
        <f t="shared" si="64"/>
        <v>1217</v>
      </c>
    </row>
    <row r="701" spans="1:26" x14ac:dyDescent="0.25">
      <c r="A701" s="29" t="s">
        <v>1428</v>
      </c>
      <c r="B701" s="29" t="s">
        <v>79</v>
      </c>
      <c r="C701" s="29" t="s">
        <v>1467</v>
      </c>
      <c r="D701" s="29">
        <v>35541016</v>
      </c>
      <c r="E701" s="32" t="s">
        <v>1468</v>
      </c>
      <c r="F701" s="29">
        <v>161071</v>
      </c>
      <c r="G701" s="32" t="s">
        <v>1472</v>
      </c>
      <c r="H701" s="32" t="s">
        <v>1433</v>
      </c>
      <c r="I701" s="33" t="s">
        <v>1473</v>
      </c>
      <c r="J701" s="42">
        <f>VLOOKUP(F701,[9]Hárok1!$F$672:$S$793,5,0)</f>
        <v>8</v>
      </c>
      <c r="K701" s="43">
        <f>VLOOKUP(F701,[9]Hárok1!$F$672:$S$793,6,0)</f>
        <v>0</v>
      </c>
      <c r="L701" s="43">
        <f>VLOOKUP(F701,[9]Hárok1!$F$672:$S$793,7,0)</f>
        <v>19</v>
      </c>
      <c r="M701" s="43">
        <f>VLOOKUP(F701,[9]Hárok1!$F$672:$S$793,8,0)</f>
        <v>0</v>
      </c>
      <c r="N701" s="43">
        <f>VLOOKUP(F701,[9]Hárok1!$F$672:$S$793,9,0)</f>
        <v>0</v>
      </c>
      <c r="O701" s="43">
        <f>VLOOKUP(F701,[9]Hárok1!$F$672:$S$793,10,0)</f>
        <v>11</v>
      </c>
      <c r="P701" s="44">
        <f>VLOOKUP(F701,[9]Hárok1!$F$672:$S$793,11,0)</f>
        <v>1</v>
      </c>
      <c r="Q701" s="42">
        <f>VLOOKUP(F701,[9]Hárok1!$F$672:$S$793,12,0)</f>
        <v>0</v>
      </c>
      <c r="R701" s="43">
        <f>VLOOKUP(F701,[9]Hárok1!$F$672:$S$793,13,0)</f>
        <v>144</v>
      </c>
      <c r="S701" s="44">
        <f>VLOOKUP(F701,[9]Hárok1!$F$672:$S$793,14,0)</f>
        <v>33</v>
      </c>
      <c r="T701" s="45">
        <f t="shared" si="60"/>
        <v>636.5</v>
      </c>
      <c r="U701" s="46">
        <f>VLOOKUP(F701,[9]Hárok1!$F$672:$U$793,16,0)</f>
        <v>55.4</v>
      </c>
      <c r="V701" s="47">
        <f t="shared" si="61"/>
        <v>0</v>
      </c>
      <c r="W701" s="47">
        <f t="shared" si="62"/>
        <v>436.5</v>
      </c>
      <c r="X701" s="48">
        <f t="shared" si="63"/>
        <v>76.5</v>
      </c>
      <c r="Y701" s="49">
        <f t="shared" si="65"/>
        <v>1204.9000000000001</v>
      </c>
      <c r="Z701" s="50">
        <f t="shared" si="64"/>
        <v>1205</v>
      </c>
    </row>
    <row r="702" spans="1:26" x14ac:dyDescent="0.25">
      <c r="A702" s="29" t="s">
        <v>1428</v>
      </c>
      <c r="B702" s="29" t="s">
        <v>79</v>
      </c>
      <c r="C702" s="29" t="s">
        <v>1467</v>
      </c>
      <c r="D702" s="29">
        <v>35541016</v>
      </c>
      <c r="E702" s="32" t="s">
        <v>1468</v>
      </c>
      <c r="F702" s="29">
        <v>42102341</v>
      </c>
      <c r="G702" s="32" t="s">
        <v>1474</v>
      </c>
      <c r="H702" s="32" t="s">
        <v>1433</v>
      </c>
      <c r="I702" s="33" t="s">
        <v>1475</v>
      </c>
      <c r="J702" s="42">
        <f>VLOOKUP(F702,[9]Hárok1!$F$672:$S$793,5,0)</f>
        <v>11</v>
      </c>
      <c r="K702" s="43">
        <f>VLOOKUP(F702,[9]Hárok1!$F$672:$S$793,6,0)</f>
        <v>0</v>
      </c>
      <c r="L702" s="43">
        <f>VLOOKUP(F702,[9]Hárok1!$F$672:$S$793,7,0)</f>
        <v>34</v>
      </c>
      <c r="M702" s="43">
        <f>VLOOKUP(F702,[9]Hárok1!$F$672:$S$793,8,0)</f>
        <v>0</v>
      </c>
      <c r="N702" s="43">
        <f>VLOOKUP(F702,[9]Hárok1!$F$672:$S$793,9,0)</f>
        <v>2</v>
      </c>
      <c r="O702" s="43">
        <f>VLOOKUP(F702,[9]Hárok1!$F$672:$S$793,10,0)</f>
        <v>14</v>
      </c>
      <c r="P702" s="44">
        <f>VLOOKUP(F702,[9]Hárok1!$F$672:$S$793,11,0)</f>
        <v>1</v>
      </c>
      <c r="Q702" s="42">
        <f>VLOOKUP(F702,[9]Hárok1!$F$672:$S$793,12,0)</f>
        <v>10</v>
      </c>
      <c r="R702" s="43">
        <f>VLOOKUP(F702,[9]Hárok1!$F$672:$S$793,13,0)</f>
        <v>219</v>
      </c>
      <c r="S702" s="44">
        <f>VLOOKUP(F702,[9]Hárok1!$F$672:$S$793,14,0)</f>
        <v>13</v>
      </c>
      <c r="T702" s="45">
        <f t="shared" si="60"/>
        <v>1139</v>
      </c>
      <c r="U702" s="46">
        <f>VLOOKUP(F702,[9]Hárok1!$F$672:$U$793,16,0)</f>
        <v>316.75</v>
      </c>
      <c r="V702" s="47">
        <f t="shared" si="61"/>
        <v>42</v>
      </c>
      <c r="W702" s="47">
        <f t="shared" si="62"/>
        <v>627</v>
      </c>
      <c r="X702" s="48">
        <f t="shared" si="63"/>
        <v>46.5</v>
      </c>
      <c r="Y702" s="49">
        <f t="shared" si="65"/>
        <v>2171.25</v>
      </c>
      <c r="Z702" s="50">
        <f t="shared" si="64"/>
        <v>2171</v>
      </c>
    </row>
    <row r="703" spans="1:26" x14ac:dyDescent="0.25">
      <c r="A703" s="51" t="s">
        <v>1428</v>
      </c>
      <c r="B703" s="51" t="s">
        <v>79</v>
      </c>
      <c r="C703" s="51" t="s">
        <v>1467</v>
      </c>
      <c r="D703" s="51">
        <v>35541016</v>
      </c>
      <c r="E703" s="32" t="s">
        <v>1468</v>
      </c>
      <c r="F703" s="51">
        <v>162141</v>
      </c>
      <c r="G703" s="32" t="s">
        <v>100</v>
      </c>
      <c r="H703" s="32" t="s">
        <v>1437</v>
      </c>
      <c r="I703" s="33" t="s">
        <v>1476</v>
      </c>
      <c r="J703" s="42">
        <f>VLOOKUP(F703,[9]Hárok1!$F$672:$S$793,5,0)</f>
        <v>21</v>
      </c>
      <c r="K703" s="43">
        <f>VLOOKUP(F703,[9]Hárok1!$F$672:$S$793,6,0)</f>
        <v>0</v>
      </c>
      <c r="L703" s="43">
        <f>VLOOKUP(F703,[9]Hárok1!$F$672:$S$793,7,0)</f>
        <v>81</v>
      </c>
      <c r="M703" s="43">
        <f>VLOOKUP(F703,[9]Hárok1!$F$672:$S$793,8,0)</f>
        <v>0</v>
      </c>
      <c r="N703" s="43">
        <f>VLOOKUP(F703,[9]Hárok1!$F$672:$S$793,9,0)</f>
        <v>0</v>
      </c>
      <c r="O703" s="43">
        <f>VLOOKUP(F703,[9]Hárok1!$F$672:$S$793,10,0)</f>
        <v>31</v>
      </c>
      <c r="P703" s="44">
        <f>VLOOKUP(F703,[9]Hárok1!$F$672:$S$793,11,0)</f>
        <v>1</v>
      </c>
      <c r="Q703" s="42">
        <f>VLOOKUP(F703,[9]Hárok1!$F$672:$S$793,12,0)</f>
        <v>0</v>
      </c>
      <c r="R703" s="43">
        <f>VLOOKUP(F703,[9]Hárok1!$F$672:$S$793,13,0)</f>
        <v>701</v>
      </c>
      <c r="S703" s="44">
        <f>VLOOKUP(F703,[9]Hárok1!$F$672:$S$793,14,0)</f>
        <v>70</v>
      </c>
      <c r="T703" s="45">
        <f t="shared" si="60"/>
        <v>2713.5</v>
      </c>
      <c r="U703" s="46">
        <f>VLOOKUP(F703,[9]Hárok1!$F$672:$U$793,16,0)</f>
        <v>0</v>
      </c>
      <c r="V703" s="47">
        <f t="shared" si="61"/>
        <v>0</v>
      </c>
      <c r="W703" s="47">
        <f t="shared" si="62"/>
        <v>1820.5</v>
      </c>
      <c r="X703" s="48">
        <f t="shared" si="63"/>
        <v>132</v>
      </c>
      <c r="Y703" s="49">
        <f t="shared" si="65"/>
        <v>4666</v>
      </c>
      <c r="Z703" s="50">
        <f t="shared" si="64"/>
        <v>4666</v>
      </c>
    </row>
    <row r="704" spans="1:26" x14ac:dyDescent="0.25">
      <c r="A704" s="29" t="s">
        <v>1428</v>
      </c>
      <c r="B704" s="29" t="s">
        <v>79</v>
      </c>
      <c r="C704" s="29" t="s">
        <v>1467</v>
      </c>
      <c r="D704" s="29">
        <v>35541016</v>
      </c>
      <c r="E704" s="32" t="s">
        <v>1468</v>
      </c>
      <c r="F704" s="29">
        <v>161756</v>
      </c>
      <c r="G704" s="32" t="s">
        <v>88</v>
      </c>
      <c r="H704" s="32" t="s">
        <v>1437</v>
      </c>
      <c r="I704" s="33" t="s">
        <v>1477</v>
      </c>
      <c r="J704" s="42">
        <f>VLOOKUP(F704,[9]Hárok1!$F$672:$S$793,5,0)</f>
        <v>19</v>
      </c>
      <c r="K704" s="43">
        <f>VLOOKUP(F704,[9]Hárok1!$F$672:$S$793,6,0)</f>
        <v>0</v>
      </c>
      <c r="L704" s="43">
        <f>VLOOKUP(F704,[9]Hárok1!$F$672:$S$793,7,0)</f>
        <v>64</v>
      </c>
      <c r="M704" s="43">
        <f>VLOOKUP(F704,[9]Hárok1!$F$672:$S$793,8,0)</f>
        <v>0</v>
      </c>
      <c r="N704" s="43">
        <f>VLOOKUP(F704,[9]Hárok1!$F$672:$S$793,9,0)</f>
        <v>1</v>
      </c>
      <c r="O704" s="43">
        <f>VLOOKUP(F704,[9]Hárok1!$F$672:$S$793,10,0)</f>
        <v>27</v>
      </c>
      <c r="P704" s="44">
        <f>VLOOKUP(F704,[9]Hárok1!$F$672:$S$793,11,0)</f>
        <v>0</v>
      </c>
      <c r="Q704" s="42">
        <f>VLOOKUP(F704,[9]Hárok1!$F$672:$S$793,12,0)</f>
        <v>1</v>
      </c>
      <c r="R704" s="43">
        <f>VLOOKUP(F704,[9]Hárok1!$F$672:$S$793,13,0)</f>
        <v>673</v>
      </c>
      <c r="S704" s="44">
        <f>VLOOKUP(F704,[9]Hárok1!$F$672:$S$793,14,0)</f>
        <v>0</v>
      </c>
      <c r="T704" s="45">
        <f t="shared" si="60"/>
        <v>2144</v>
      </c>
      <c r="U704" s="46">
        <f>VLOOKUP(F704,[9]Hárok1!$F$672:$U$793,16,0)</f>
        <v>214.2</v>
      </c>
      <c r="V704" s="47">
        <f t="shared" si="61"/>
        <v>15</v>
      </c>
      <c r="W704" s="47">
        <f t="shared" si="62"/>
        <v>1710.5</v>
      </c>
      <c r="X704" s="48">
        <f t="shared" si="63"/>
        <v>0</v>
      </c>
      <c r="Y704" s="49">
        <f t="shared" si="65"/>
        <v>4083.7</v>
      </c>
      <c r="Z704" s="50">
        <f t="shared" si="64"/>
        <v>4084</v>
      </c>
    </row>
    <row r="705" spans="1:26" x14ac:dyDescent="0.25">
      <c r="A705" s="29" t="s">
        <v>1428</v>
      </c>
      <c r="B705" s="29" t="s">
        <v>79</v>
      </c>
      <c r="C705" s="29" t="s">
        <v>1467</v>
      </c>
      <c r="D705" s="29">
        <v>35541016</v>
      </c>
      <c r="E705" s="32" t="s">
        <v>1468</v>
      </c>
      <c r="F705" s="29">
        <v>160989</v>
      </c>
      <c r="G705" s="32" t="s">
        <v>49</v>
      </c>
      <c r="H705" s="32" t="s">
        <v>214</v>
      </c>
      <c r="I705" s="33" t="s">
        <v>1478</v>
      </c>
      <c r="J705" s="42">
        <f>VLOOKUP(F705,[9]Hárok1!$F$672:$S$793,5,0)</f>
        <v>15</v>
      </c>
      <c r="K705" s="43">
        <f>VLOOKUP(F705,[9]Hárok1!$F$672:$S$793,6,0)</f>
        <v>0</v>
      </c>
      <c r="L705" s="43">
        <f>VLOOKUP(F705,[9]Hárok1!$F$672:$S$793,7,0)</f>
        <v>53</v>
      </c>
      <c r="M705" s="43">
        <f>VLOOKUP(F705,[9]Hárok1!$F$672:$S$793,8,0)</f>
        <v>0</v>
      </c>
      <c r="N705" s="43">
        <f>VLOOKUP(F705,[9]Hárok1!$F$672:$S$793,9,0)</f>
        <v>1</v>
      </c>
      <c r="O705" s="43">
        <f>VLOOKUP(F705,[9]Hárok1!$F$672:$S$793,10,0)</f>
        <v>15</v>
      </c>
      <c r="P705" s="44">
        <f>VLOOKUP(F705,[9]Hárok1!$F$672:$S$793,11,0)</f>
        <v>1</v>
      </c>
      <c r="Q705" s="42">
        <f>VLOOKUP(F705,[9]Hárok1!$F$672:$S$793,12,0)</f>
        <v>10</v>
      </c>
      <c r="R705" s="43">
        <f>VLOOKUP(F705,[9]Hárok1!$F$672:$S$793,13,0)</f>
        <v>530</v>
      </c>
      <c r="S705" s="44">
        <f>VLOOKUP(F705,[9]Hárok1!$F$672:$S$793,14,0)</f>
        <v>99</v>
      </c>
      <c r="T705" s="45">
        <f t="shared" si="60"/>
        <v>1775.5</v>
      </c>
      <c r="U705" s="46">
        <f>VLOOKUP(F705,[9]Hárok1!$F$672:$U$793,16,0)</f>
        <v>0</v>
      </c>
      <c r="V705" s="47">
        <f t="shared" si="61"/>
        <v>28.5</v>
      </c>
      <c r="W705" s="47">
        <f t="shared" si="62"/>
        <v>1262.5</v>
      </c>
      <c r="X705" s="48">
        <f t="shared" si="63"/>
        <v>175.5</v>
      </c>
      <c r="Y705" s="49">
        <f t="shared" si="65"/>
        <v>3242</v>
      </c>
      <c r="Z705" s="50">
        <f t="shared" si="64"/>
        <v>3242</v>
      </c>
    </row>
    <row r="706" spans="1:26" x14ac:dyDescent="0.25">
      <c r="A706" s="29" t="s">
        <v>1428</v>
      </c>
      <c r="B706" s="29" t="s">
        <v>79</v>
      </c>
      <c r="C706" s="29" t="s">
        <v>1467</v>
      </c>
      <c r="D706" s="29">
        <v>35541016</v>
      </c>
      <c r="E706" s="32" t="s">
        <v>1468</v>
      </c>
      <c r="F706" s="29">
        <v>160997</v>
      </c>
      <c r="G706" s="32" t="s">
        <v>49</v>
      </c>
      <c r="H706" s="32" t="s">
        <v>214</v>
      </c>
      <c r="I706" s="33" t="s">
        <v>1479</v>
      </c>
      <c r="J706" s="42">
        <f>VLOOKUP(F706,[9]Hárok1!$F$672:$S$793,5,0)</f>
        <v>12</v>
      </c>
      <c r="K706" s="43">
        <f>VLOOKUP(F706,[9]Hárok1!$F$672:$S$793,6,0)</f>
        <v>0</v>
      </c>
      <c r="L706" s="43">
        <f>VLOOKUP(F706,[9]Hárok1!$F$672:$S$793,7,0)</f>
        <v>31</v>
      </c>
      <c r="M706" s="43">
        <f>VLOOKUP(F706,[9]Hárok1!$F$672:$S$793,8,0)</f>
        <v>0</v>
      </c>
      <c r="N706" s="43">
        <f>VLOOKUP(F706,[9]Hárok1!$F$672:$S$793,9,0)</f>
        <v>0</v>
      </c>
      <c r="O706" s="43">
        <f>VLOOKUP(F706,[9]Hárok1!$F$672:$S$793,10,0)</f>
        <v>14</v>
      </c>
      <c r="P706" s="44">
        <f>VLOOKUP(F706,[9]Hárok1!$F$672:$S$793,11,0)</f>
        <v>1</v>
      </c>
      <c r="Q706" s="42">
        <f>VLOOKUP(F706,[9]Hárok1!$F$672:$S$793,12,0)</f>
        <v>0</v>
      </c>
      <c r="R706" s="43">
        <f>VLOOKUP(F706,[9]Hárok1!$F$672:$S$793,13,0)</f>
        <v>270</v>
      </c>
      <c r="S706" s="44">
        <f>VLOOKUP(F706,[9]Hárok1!$F$672:$S$793,14,0)</f>
        <v>144</v>
      </c>
      <c r="T706" s="45">
        <f t="shared" si="60"/>
        <v>1038.5</v>
      </c>
      <c r="U706" s="46">
        <f>VLOOKUP(F706,[9]Hárok1!$F$672:$U$793,16,0)</f>
        <v>0</v>
      </c>
      <c r="V706" s="47">
        <f t="shared" si="61"/>
        <v>0</v>
      </c>
      <c r="W706" s="47">
        <f t="shared" si="62"/>
        <v>729</v>
      </c>
      <c r="X706" s="48">
        <f t="shared" si="63"/>
        <v>243</v>
      </c>
      <c r="Y706" s="49">
        <f t="shared" si="65"/>
        <v>2010.5</v>
      </c>
      <c r="Z706" s="50">
        <f t="shared" si="64"/>
        <v>2011</v>
      </c>
    </row>
    <row r="707" spans="1:26" x14ac:dyDescent="0.25">
      <c r="A707" s="29" t="s">
        <v>1428</v>
      </c>
      <c r="B707" s="29" t="s">
        <v>79</v>
      </c>
      <c r="C707" s="29" t="s">
        <v>1467</v>
      </c>
      <c r="D707" s="29">
        <v>35541016</v>
      </c>
      <c r="E707" s="32" t="s">
        <v>1468</v>
      </c>
      <c r="F707" s="29">
        <v>161004</v>
      </c>
      <c r="G707" s="32" t="s">
        <v>1480</v>
      </c>
      <c r="H707" s="32" t="s">
        <v>214</v>
      </c>
      <c r="I707" s="33" t="s">
        <v>1481</v>
      </c>
      <c r="J707" s="42">
        <f>VLOOKUP(F707,[9]Hárok1!$F$672:$S$793,5,0)</f>
        <v>8</v>
      </c>
      <c r="K707" s="43">
        <f>VLOOKUP(F707,[9]Hárok1!$F$672:$S$793,6,0)</f>
        <v>1</v>
      </c>
      <c r="L707" s="43">
        <f>VLOOKUP(F707,[9]Hárok1!$F$672:$S$793,7,0)</f>
        <v>21</v>
      </c>
      <c r="M707" s="43">
        <f>VLOOKUP(F707,[9]Hárok1!$F$672:$S$793,8,0)</f>
        <v>2</v>
      </c>
      <c r="N707" s="43">
        <f>VLOOKUP(F707,[9]Hárok1!$F$672:$S$793,9,0)</f>
        <v>1</v>
      </c>
      <c r="O707" s="43">
        <f>VLOOKUP(F707,[9]Hárok1!$F$672:$S$793,10,0)</f>
        <v>8</v>
      </c>
      <c r="P707" s="44">
        <f>VLOOKUP(F707,[9]Hárok1!$F$672:$S$793,11,0)</f>
        <v>1</v>
      </c>
      <c r="Q707" s="42">
        <f>VLOOKUP(F707,[9]Hárok1!$F$672:$S$793,12,0)</f>
        <v>21</v>
      </c>
      <c r="R707" s="43">
        <f>VLOOKUP(F707,[9]Hárok1!$F$672:$S$793,13,0)</f>
        <v>107</v>
      </c>
      <c r="S707" s="44">
        <f>VLOOKUP(F707,[9]Hárok1!$F$672:$S$793,14,0)</f>
        <v>24</v>
      </c>
      <c r="T707" s="45">
        <f t="shared" si="60"/>
        <v>703.5</v>
      </c>
      <c r="U707" s="46">
        <f>VLOOKUP(F707,[9]Hárok1!$F$672:$U$793,16,0)</f>
        <v>33.65</v>
      </c>
      <c r="V707" s="47">
        <f t="shared" si="61"/>
        <v>45</v>
      </c>
      <c r="W707" s="47">
        <f t="shared" si="62"/>
        <v>322</v>
      </c>
      <c r="X707" s="48">
        <f t="shared" si="63"/>
        <v>63</v>
      </c>
      <c r="Y707" s="49">
        <f t="shared" si="65"/>
        <v>1167.1500000000001</v>
      </c>
      <c r="Z707" s="50">
        <f t="shared" si="64"/>
        <v>1167</v>
      </c>
    </row>
    <row r="708" spans="1:26" x14ac:dyDescent="0.25">
      <c r="A708" s="29" t="s">
        <v>1428</v>
      </c>
      <c r="B708" s="29" t="s">
        <v>79</v>
      </c>
      <c r="C708" s="29" t="s">
        <v>1467</v>
      </c>
      <c r="D708" s="29">
        <v>35541016</v>
      </c>
      <c r="E708" s="32" t="s">
        <v>1468</v>
      </c>
      <c r="F708" s="29">
        <v>162761</v>
      </c>
      <c r="G708" s="32" t="s">
        <v>86</v>
      </c>
      <c r="H708" s="32" t="s">
        <v>214</v>
      </c>
      <c r="I708" s="33" t="s">
        <v>1482</v>
      </c>
      <c r="J708" s="42">
        <f>VLOOKUP(F708,[9]Hárok1!$F$672:$S$793,5,0)</f>
        <v>10</v>
      </c>
      <c r="K708" s="43">
        <f>VLOOKUP(F708,[9]Hárok1!$F$672:$S$793,6,0)</f>
        <v>0</v>
      </c>
      <c r="L708" s="43">
        <f>VLOOKUP(F708,[9]Hárok1!$F$672:$S$793,7,0)</f>
        <v>16</v>
      </c>
      <c r="M708" s="43">
        <f>VLOOKUP(F708,[9]Hárok1!$F$672:$S$793,8,0)</f>
        <v>0</v>
      </c>
      <c r="N708" s="43">
        <f>VLOOKUP(F708,[9]Hárok1!$F$672:$S$793,9,0)</f>
        <v>0</v>
      </c>
      <c r="O708" s="43">
        <f>VLOOKUP(F708,[9]Hárok1!$F$672:$S$793,10,0)</f>
        <v>14</v>
      </c>
      <c r="P708" s="44">
        <f>VLOOKUP(F708,[9]Hárok1!$F$672:$S$793,11,0)</f>
        <v>0</v>
      </c>
      <c r="Q708" s="42">
        <f>VLOOKUP(F708,[9]Hárok1!$F$672:$S$793,12,0)</f>
        <v>0</v>
      </c>
      <c r="R708" s="43">
        <f>VLOOKUP(F708,[9]Hárok1!$F$672:$S$793,13,0)</f>
        <v>118</v>
      </c>
      <c r="S708" s="44">
        <f>VLOOKUP(F708,[9]Hárok1!$F$672:$S$793,14,0)</f>
        <v>0</v>
      </c>
      <c r="T708" s="45">
        <f t="shared" si="60"/>
        <v>536</v>
      </c>
      <c r="U708" s="46">
        <f>VLOOKUP(F708,[9]Hárok1!$F$672:$U$793,16,0)</f>
        <v>432.07</v>
      </c>
      <c r="V708" s="47">
        <f t="shared" si="61"/>
        <v>0</v>
      </c>
      <c r="W708" s="47">
        <f t="shared" si="62"/>
        <v>425</v>
      </c>
      <c r="X708" s="48">
        <f t="shared" si="63"/>
        <v>0</v>
      </c>
      <c r="Y708" s="49">
        <f t="shared" si="65"/>
        <v>1393.07</v>
      </c>
      <c r="Z708" s="50">
        <f t="shared" si="64"/>
        <v>1393</v>
      </c>
    </row>
    <row r="709" spans="1:26" x14ac:dyDescent="0.25">
      <c r="A709" s="51" t="s">
        <v>1428</v>
      </c>
      <c r="B709" s="51" t="s">
        <v>79</v>
      </c>
      <c r="C709" s="51" t="s">
        <v>1467</v>
      </c>
      <c r="D709" s="51">
        <v>35541016</v>
      </c>
      <c r="E709" s="32" t="s">
        <v>1468</v>
      </c>
      <c r="F709" s="51">
        <v>35570172</v>
      </c>
      <c r="G709" s="32" t="s">
        <v>1483</v>
      </c>
      <c r="H709" s="32" t="s">
        <v>214</v>
      </c>
      <c r="I709" s="33" t="s">
        <v>1484</v>
      </c>
      <c r="J709" s="42">
        <f>VLOOKUP(F709,[9]Hárok1!$F$672:$S$793,5,0)</f>
        <v>1</v>
      </c>
      <c r="K709" s="43">
        <f>VLOOKUP(F709,[9]Hárok1!$F$672:$S$793,6,0)</f>
        <v>0</v>
      </c>
      <c r="L709" s="43">
        <f>VLOOKUP(F709,[9]Hárok1!$F$672:$S$793,7,0)</f>
        <v>6</v>
      </c>
      <c r="M709" s="43">
        <f>VLOOKUP(F709,[9]Hárok1!$F$672:$S$793,8,0)</f>
        <v>0</v>
      </c>
      <c r="N709" s="43">
        <f>VLOOKUP(F709,[9]Hárok1!$F$672:$S$793,9,0)</f>
        <v>0</v>
      </c>
      <c r="O709" s="43">
        <f>VLOOKUP(F709,[9]Hárok1!$F$672:$S$793,10,0)</f>
        <v>1</v>
      </c>
      <c r="P709" s="44">
        <f>VLOOKUP(F709,[9]Hárok1!$F$672:$S$793,11,0)</f>
        <v>0</v>
      </c>
      <c r="Q709" s="42">
        <f>VLOOKUP(F709,[9]Hárok1!$F$672:$S$793,12,0)</f>
        <v>0</v>
      </c>
      <c r="R709" s="43">
        <f>VLOOKUP(F709,[9]Hárok1!$F$672:$S$793,13,0)</f>
        <v>97</v>
      </c>
      <c r="S709" s="44">
        <f>VLOOKUP(F709,[9]Hárok1!$F$672:$S$793,14,0)</f>
        <v>0</v>
      </c>
      <c r="T709" s="45">
        <f t="shared" si="60"/>
        <v>201</v>
      </c>
      <c r="U709" s="46">
        <f>VLOOKUP(F709,[9]Hárok1!$F$672:$U$793,16,0)</f>
        <v>0</v>
      </c>
      <c r="V709" s="47">
        <f t="shared" si="61"/>
        <v>0</v>
      </c>
      <c r="W709" s="47">
        <f t="shared" si="62"/>
        <v>207.5</v>
      </c>
      <c r="X709" s="48">
        <f t="shared" si="63"/>
        <v>0</v>
      </c>
      <c r="Y709" s="49">
        <f t="shared" si="65"/>
        <v>408.5</v>
      </c>
      <c r="Z709" s="50">
        <f t="shared" si="64"/>
        <v>409</v>
      </c>
    </row>
    <row r="710" spans="1:26" x14ac:dyDescent="0.25">
      <c r="A710" s="29" t="s">
        <v>1428</v>
      </c>
      <c r="B710" s="29" t="s">
        <v>79</v>
      </c>
      <c r="C710" s="29" t="s">
        <v>1467</v>
      </c>
      <c r="D710" s="29">
        <v>35541016</v>
      </c>
      <c r="E710" s="32" t="s">
        <v>1468</v>
      </c>
      <c r="F710" s="29">
        <v>161781</v>
      </c>
      <c r="G710" s="32" t="s">
        <v>1485</v>
      </c>
      <c r="H710" s="32" t="s">
        <v>214</v>
      </c>
      <c r="I710" s="33" t="s">
        <v>1486</v>
      </c>
      <c r="J710" s="42">
        <f>VLOOKUP(F710,[9]Hárok1!$F$672:$S$793,5,0)</f>
        <v>11</v>
      </c>
      <c r="K710" s="43">
        <f>VLOOKUP(F710,[9]Hárok1!$F$672:$S$793,6,0)</f>
        <v>0</v>
      </c>
      <c r="L710" s="43">
        <f>VLOOKUP(F710,[9]Hárok1!$F$672:$S$793,7,0)</f>
        <v>30</v>
      </c>
      <c r="M710" s="43">
        <f>VLOOKUP(F710,[9]Hárok1!$F$672:$S$793,8,0)</f>
        <v>0</v>
      </c>
      <c r="N710" s="43">
        <f>VLOOKUP(F710,[9]Hárok1!$F$672:$S$793,9,0)</f>
        <v>1</v>
      </c>
      <c r="O710" s="43">
        <f>VLOOKUP(F710,[9]Hárok1!$F$672:$S$793,10,0)</f>
        <v>24</v>
      </c>
      <c r="P710" s="44">
        <f>VLOOKUP(F710,[9]Hárok1!$F$672:$S$793,11,0)</f>
        <v>1</v>
      </c>
      <c r="Q710" s="42">
        <f>VLOOKUP(F710,[9]Hárok1!$F$672:$S$793,12,0)</f>
        <v>8</v>
      </c>
      <c r="R710" s="43">
        <f>VLOOKUP(F710,[9]Hárok1!$F$672:$S$793,13,0)</f>
        <v>185</v>
      </c>
      <c r="S710" s="44">
        <f>VLOOKUP(F710,[9]Hárok1!$F$672:$S$793,14,0)</f>
        <v>27</v>
      </c>
      <c r="T710" s="45">
        <f t="shared" si="60"/>
        <v>1005</v>
      </c>
      <c r="U710" s="46">
        <f>VLOOKUP(F710,[9]Hárok1!$F$672:$U$793,16,0)</f>
        <v>85.8</v>
      </c>
      <c r="V710" s="47">
        <f t="shared" si="61"/>
        <v>25.5</v>
      </c>
      <c r="W710" s="47">
        <f t="shared" si="62"/>
        <v>694</v>
      </c>
      <c r="X710" s="48">
        <f t="shared" si="63"/>
        <v>67.5</v>
      </c>
      <c r="Y710" s="49">
        <f t="shared" si="65"/>
        <v>1877.8</v>
      </c>
      <c r="Z710" s="50">
        <f t="shared" si="64"/>
        <v>1878</v>
      </c>
    </row>
    <row r="711" spans="1:26" x14ac:dyDescent="0.25">
      <c r="A711" s="29" t="s">
        <v>1428</v>
      </c>
      <c r="B711" s="29" t="s">
        <v>79</v>
      </c>
      <c r="C711" s="29" t="s">
        <v>1467</v>
      </c>
      <c r="D711" s="29">
        <v>35541016</v>
      </c>
      <c r="E711" s="32" t="s">
        <v>1468</v>
      </c>
      <c r="F711" s="29">
        <v>161730</v>
      </c>
      <c r="G711" s="32" t="s">
        <v>114</v>
      </c>
      <c r="H711" s="32" t="s">
        <v>214</v>
      </c>
      <c r="I711" s="33" t="s">
        <v>1487</v>
      </c>
      <c r="J711" s="42">
        <f>VLOOKUP(F711,[9]Hárok1!$F$672:$S$793,5,0)</f>
        <v>9</v>
      </c>
      <c r="K711" s="43">
        <f>VLOOKUP(F711,[9]Hárok1!$F$672:$S$793,6,0)</f>
        <v>0</v>
      </c>
      <c r="L711" s="43">
        <f>VLOOKUP(F711,[9]Hárok1!$F$672:$S$793,7,0)</f>
        <v>51</v>
      </c>
      <c r="M711" s="43">
        <f>VLOOKUP(F711,[9]Hárok1!$F$672:$S$793,8,0)</f>
        <v>0</v>
      </c>
      <c r="N711" s="43">
        <f>VLOOKUP(F711,[9]Hárok1!$F$672:$S$793,9,0)</f>
        <v>0</v>
      </c>
      <c r="O711" s="43">
        <f>VLOOKUP(F711,[9]Hárok1!$F$672:$S$793,10,0)</f>
        <v>12</v>
      </c>
      <c r="P711" s="44">
        <f>VLOOKUP(F711,[9]Hárok1!$F$672:$S$793,11,0)</f>
        <v>2</v>
      </c>
      <c r="Q711" s="42">
        <f>VLOOKUP(F711,[9]Hárok1!$F$672:$S$793,12,0)</f>
        <v>0</v>
      </c>
      <c r="R711" s="43">
        <f>VLOOKUP(F711,[9]Hárok1!$F$672:$S$793,13,0)</f>
        <v>268</v>
      </c>
      <c r="S711" s="44">
        <f>VLOOKUP(F711,[9]Hárok1!$F$672:$S$793,14,0)</f>
        <v>269</v>
      </c>
      <c r="T711" s="45">
        <f t="shared" si="60"/>
        <v>1708.5</v>
      </c>
      <c r="U711" s="46">
        <f>VLOOKUP(F711,[9]Hárok1!$F$672:$U$793,16,0)</f>
        <v>0</v>
      </c>
      <c r="V711" s="47">
        <f t="shared" si="61"/>
        <v>0</v>
      </c>
      <c r="W711" s="47">
        <f t="shared" si="62"/>
        <v>698</v>
      </c>
      <c r="X711" s="48">
        <f t="shared" si="63"/>
        <v>457.5</v>
      </c>
      <c r="Y711" s="49">
        <f t="shared" si="65"/>
        <v>2864</v>
      </c>
      <c r="Z711" s="50">
        <f t="shared" si="64"/>
        <v>2864</v>
      </c>
    </row>
    <row r="712" spans="1:26" x14ac:dyDescent="0.25">
      <c r="A712" s="29" t="s">
        <v>1428</v>
      </c>
      <c r="B712" s="29" t="s">
        <v>79</v>
      </c>
      <c r="C712" s="29" t="s">
        <v>1467</v>
      </c>
      <c r="D712" s="29">
        <v>35541016</v>
      </c>
      <c r="E712" s="32" t="s">
        <v>1468</v>
      </c>
      <c r="F712" s="29">
        <v>161764</v>
      </c>
      <c r="G712" s="32" t="s">
        <v>115</v>
      </c>
      <c r="H712" s="32" t="s">
        <v>214</v>
      </c>
      <c r="I712" s="33" t="s">
        <v>1488</v>
      </c>
      <c r="J712" s="42">
        <f>VLOOKUP(F712,[9]Hárok1!$F$672:$S$793,5,0)</f>
        <v>6</v>
      </c>
      <c r="K712" s="43">
        <f>VLOOKUP(F712,[9]Hárok1!$F$672:$S$793,6,0)</f>
        <v>0</v>
      </c>
      <c r="L712" s="43">
        <f>VLOOKUP(F712,[9]Hárok1!$F$672:$S$793,7,0)</f>
        <v>14</v>
      </c>
      <c r="M712" s="43">
        <f>VLOOKUP(F712,[9]Hárok1!$F$672:$S$793,8,0)</f>
        <v>0</v>
      </c>
      <c r="N712" s="43">
        <f>VLOOKUP(F712,[9]Hárok1!$F$672:$S$793,9,0)</f>
        <v>0</v>
      </c>
      <c r="O712" s="43">
        <f>VLOOKUP(F712,[9]Hárok1!$F$672:$S$793,10,0)</f>
        <v>10</v>
      </c>
      <c r="P712" s="44">
        <f>VLOOKUP(F712,[9]Hárok1!$F$672:$S$793,11,0)</f>
        <v>0</v>
      </c>
      <c r="Q712" s="42">
        <f>VLOOKUP(F712,[9]Hárok1!$F$672:$S$793,12,0)</f>
        <v>0</v>
      </c>
      <c r="R712" s="43">
        <f>VLOOKUP(F712,[9]Hárok1!$F$672:$S$793,13,0)</f>
        <v>149</v>
      </c>
      <c r="S712" s="44">
        <f>VLOOKUP(F712,[9]Hárok1!$F$672:$S$793,14,0)</f>
        <v>0</v>
      </c>
      <c r="T712" s="45">
        <f t="shared" si="60"/>
        <v>469</v>
      </c>
      <c r="U712" s="46">
        <f>VLOOKUP(F712,[9]Hárok1!$F$672:$U$793,16,0)</f>
        <v>38.299999999999997</v>
      </c>
      <c r="V712" s="47">
        <f t="shared" ref="V712:V776" si="66">$U$1*N712+$V$1*Q712</f>
        <v>0</v>
      </c>
      <c r="W712" s="47">
        <f t="shared" ref="W712:W776" si="67">$U$1*O712+$W$1*R712</f>
        <v>433</v>
      </c>
      <c r="X712" s="48">
        <f t="shared" ref="X712:X776" si="68">$X$1*P712+$V$1*S712</f>
        <v>0</v>
      </c>
      <c r="Y712" s="49">
        <f t="shared" si="65"/>
        <v>940.3</v>
      </c>
      <c r="Z712" s="50">
        <f t="shared" ref="Z712:Z776" si="69">ROUND(Y712,0)</f>
        <v>940</v>
      </c>
    </row>
    <row r="713" spans="1:26" x14ac:dyDescent="0.25">
      <c r="A713" s="29" t="s">
        <v>1428</v>
      </c>
      <c r="B713" s="29" t="s">
        <v>79</v>
      </c>
      <c r="C713" s="29" t="s">
        <v>1467</v>
      </c>
      <c r="D713" s="29">
        <v>35541016</v>
      </c>
      <c r="E713" s="32" t="s">
        <v>1468</v>
      </c>
      <c r="F713" s="29">
        <v>161772</v>
      </c>
      <c r="G713" s="32" t="s">
        <v>90</v>
      </c>
      <c r="H713" s="32" t="s">
        <v>214</v>
      </c>
      <c r="I713" s="33" t="s">
        <v>1489</v>
      </c>
      <c r="J713" s="42">
        <f>VLOOKUP(F713,[9]Hárok1!$F$672:$S$793,5,0)</f>
        <v>8</v>
      </c>
      <c r="K713" s="43">
        <f>VLOOKUP(F713,[9]Hárok1!$F$672:$S$793,6,0)</f>
        <v>0</v>
      </c>
      <c r="L713" s="43">
        <f>VLOOKUP(F713,[9]Hárok1!$F$672:$S$793,7,0)</f>
        <v>31</v>
      </c>
      <c r="M713" s="43">
        <f>VLOOKUP(F713,[9]Hárok1!$F$672:$S$793,8,0)</f>
        <v>0</v>
      </c>
      <c r="N713" s="43">
        <f>VLOOKUP(F713,[9]Hárok1!$F$672:$S$793,9,0)</f>
        <v>2</v>
      </c>
      <c r="O713" s="43">
        <f>VLOOKUP(F713,[9]Hárok1!$F$672:$S$793,10,0)</f>
        <v>7</v>
      </c>
      <c r="P713" s="44">
        <f>VLOOKUP(F713,[9]Hárok1!$F$672:$S$793,11,0)</f>
        <v>1</v>
      </c>
      <c r="Q713" s="42">
        <f>VLOOKUP(F713,[9]Hárok1!$F$672:$S$793,12,0)</f>
        <v>22</v>
      </c>
      <c r="R713" s="43">
        <f>VLOOKUP(F713,[9]Hárok1!$F$672:$S$793,13,0)</f>
        <v>238</v>
      </c>
      <c r="S713" s="44">
        <f>VLOOKUP(F713,[9]Hárok1!$F$672:$S$793,14,0)</f>
        <v>75</v>
      </c>
      <c r="T713" s="45">
        <f t="shared" ref="T713:T776" si="70">$T$1*L713</f>
        <v>1038.5</v>
      </c>
      <c r="U713" s="46">
        <f>VLOOKUP(F713,[9]Hárok1!$F$672:$U$793,16,0)</f>
        <v>0</v>
      </c>
      <c r="V713" s="47">
        <f t="shared" si="66"/>
        <v>60</v>
      </c>
      <c r="W713" s="47">
        <f t="shared" si="67"/>
        <v>570.5</v>
      </c>
      <c r="X713" s="48">
        <f t="shared" si="68"/>
        <v>139.5</v>
      </c>
      <c r="Y713" s="49">
        <f t="shared" si="65"/>
        <v>1808.5</v>
      </c>
      <c r="Z713" s="50">
        <f t="shared" si="69"/>
        <v>1809</v>
      </c>
    </row>
    <row r="714" spans="1:26" x14ac:dyDescent="0.25">
      <c r="A714" s="29" t="s">
        <v>1428</v>
      </c>
      <c r="B714" s="29" t="s">
        <v>79</v>
      </c>
      <c r="C714" s="29" t="s">
        <v>1467</v>
      </c>
      <c r="D714" s="29">
        <v>35541016</v>
      </c>
      <c r="E714" s="32" t="s">
        <v>1468</v>
      </c>
      <c r="F714" s="29">
        <v>606766</v>
      </c>
      <c r="G714" s="32" t="s">
        <v>117</v>
      </c>
      <c r="H714" s="32" t="s">
        <v>214</v>
      </c>
      <c r="I714" s="33" t="s">
        <v>1490</v>
      </c>
      <c r="J714" s="42">
        <f>VLOOKUP(F714,[9]Hárok1!$F$672:$S$793,5,0)</f>
        <v>13</v>
      </c>
      <c r="K714" s="43">
        <f>VLOOKUP(F714,[9]Hárok1!$F$672:$S$793,6,0)</f>
        <v>16</v>
      </c>
      <c r="L714" s="43">
        <f>VLOOKUP(F714,[9]Hárok1!$F$672:$S$793,7,0)</f>
        <v>52</v>
      </c>
      <c r="M714" s="43">
        <f>VLOOKUP(F714,[9]Hárok1!$F$672:$S$793,8,0)</f>
        <v>55</v>
      </c>
      <c r="N714" s="43">
        <f>VLOOKUP(F714,[9]Hárok1!$F$672:$S$793,9,0)</f>
        <v>23</v>
      </c>
      <c r="O714" s="43">
        <f>VLOOKUP(F714,[9]Hárok1!$F$672:$S$793,10,0)</f>
        <v>14</v>
      </c>
      <c r="P714" s="44">
        <f>VLOOKUP(F714,[9]Hárok1!$F$672:$S$793,11,0)</f>
        <v>1</v>
      </c>
      <c r="Q714" s="42">
        <f>VLOOKUP(F714,[9]Hárok1!$F$672:$S$793,12,0)</f>
        <v>469</v>
      </c>
      <c r="R714" s="43">
        <f>VLOOKUP(F714,[9]Hárok1!$F$672:$S$793,13,0)</f>
        <v>449</v>
      </c>
      <c r="S714" s="44">
        <f>VLOOKUP(F714,[9]Hárok1!$F$672:$S$793,14,0)</f>
        <v>112</v>
      </c>
      <c r="T714" s="45">
        <f t="shared" si="70"/>
        <v>1742</v>
      </c>
      <c r="U714" s="46">
        <f>VLOOKUP(F714,[9]Hárok1!$F$672:$U$793,16,0)</f>
        <v>582.30999999999995</v>
      </c>
      <c r="V714" s="47">
        <f t="shared" si="66"/>
        <v>1014</v>
      </c>
      <c r="W714" s="47">
        <f t="shared" si="67"/>
        <v>1087</v>
      </c>
      <c r="X714" s="48">
        <f t="shared" si="68"/>
        <v>195</v>
      </c>
      <c r="Y714" s="49">
        <f t="shared" ref="Y714:Y777" si="71">T714+U714+V714+W714+X714</f>
        <v>4620.3099999999995</v>
      </c>
      <c r="Z714" s="50">
        <f t="shared" si="69"/>
        <v>4620</v>
      </c>
    </row>
    <row r="715" spans="1:26" x14ac:dyDescent="0.25">
      <c r="A715" s="29" t="s">
        <v>1428</v>
      </c>
      <c r="B715" s="29" t="s">
        <v>79</v>
      </c>
      <c r="C715" s="29" t="s">
        <v>1467</v>
      </c>
      <c r="D715" s="29">
        <v>35541016</v>
      </c>
      <c r="E715" s="32" t="s">
        <v>1468</v>
      </c>
      <c r="F715" s="29">
        <v>133132</v>
      </c>
      <c r="G715" s="32" t="s">
        <v>119</v>
      </c>
      <c r="H715" s="32" t="s">
        <v>214</v>
      </c>
      <c r="I715" s="33" t="s">
        <v>1491</v>
      </c>
      <c r="J715" s="42">
        <f>VLOOKUP(F715,[9]Hárok1!$F$672:$S$793,5,0)</f>
        <v>12</v>
      </c>
      <c r="K715" s="43">
        <f>VLOOKUP(F715,[9]Hárok1!$F$672:$S$793,6,0)</f>
        <v>0</v>
      </c>
      <c r="L715" s="43">
        <f>VLOOKUP(F715,[9]Hárok1!$F$672:$S$793,7,0)</f>
        <v>27</v>
      </c>
      <c r="M715" s="43">
        <f>VLOOKUP(F715,[9]Hárok1!$F$672:$S$793,8,0)</f>
        <v>0</v>
      </c>
      <c r="N715" s="43">
        <f>VLOOKUP(F715,[9]Hárok1!$F$672:$S$793,9,0)</f>
        <v>0</v>
      </c>
      <c r="O715" s="43">
        <f>VLOOKUP(F715,[9]Hárok1!$F$672:$S$793,10,0)</f>
        <v>19</v>
      </c>
      <c r="P715" s="44">
        <f>VLOOKUP(F715,[9]Hárok1!$F$672:$S$793,11,0)</f>
        <v>0</v>
      </c>
      <c r="Q715" s="42">
        <f>VLOOKUP(F715,[9]Hárok1!$F$672:$S$793,12,0)</f>
        <v>0</v>
      </c>
      <c r="R715" s="43">
        <f>VLOOKUP(F715,[9]Hárok1!$F$672:$S$793,13,0)</f>
        <v>276</v>
      </c>
      <c r="S715" s="44">
        <f>VLOOKUP(F715,[9]Hárok1!$F$672:$S$793,14,0)</f>
        <v>0</v>
      </c>
      <c r="T715" s="45">
        <f t="shared" si="70"/>
        <v>904.5</v>
      </c>
      <c r="U715" s="46">
        <f>VLOOKUP(F715,[9]Hárok1!$F$672:$U$793,16,0)</f>
        <v>697.65</v>
      </c>
      <c r="V715" s="47">
        <f t="shared" si="66"/>
        <v>0</v>
      </c>
      <c r="W715" s="47">
        <f t="shared" si="67"/>
        <v>808.5</v>
      </c>
      <c r="X715" s="48">
        <f t="shared" si="68"/>
        <v>0</v>
      </c>
      <c r="Y715" s="49">
        <f t="shared" si="71"/>
        <v>2410.65</v>
      </c>
      <c r="Z715" s="50">
        <f t="shared" si="69"/>
        <v>2411</v>
      </c>
    </row>
    <row r="716" spans="1:26" x14ac:dyDescent="0.25">
      <c r="A716" s="29" t="s">
        <v>1428</v>
      </c>
      <c r="B716" s="29" t="s">
        <v>79</v>
      </c>
      <c r="C716" s="29" t="s">
        <v>1467</v>
      </c>
      <c r="D716" s="29">
        <v>35541016</v>
      </c>
      <c r="E716" s="32" t="s">
        <v>1468</v>
      </c>
      <c r="F716" s="29">
        <v>17050367</v>
      </c>
      <c r="G716" s="32" t="s">
        <v>1492</v>
      </c>
      <c r="H716" s="32" t="s">
        <v>1493</v>
      </c>
      <c r="I716" s="33" t="s">
        <v>1494</v>
      </c>
      <c r="J716" s="42">
        <f>VLOOKUP(F716,[9]Hárok1!$F$672:$S$793,5,0)</f>
        <v>10</v>
      </c>
      <c r="K716" s="43">
        <f>VLOOKUP(F716,[9]Hárok1!$F$672:$S$793,6,0)</f>
        <v>0</v>
      </c>
      <c r="L716" s="43">
        <f>VLOOKUP(F716,[9]Hárok1!$F$672:$S$793,7,0)</f>
        <v>23</v>
      </c>
      <c r="M716" s="43">
        <f>VLOOKUP(F716,[9]Hárok1!$F$672:$S$793,8,0)</f>
        <v>0</v>
      </c>
      <c r="N716" s="43">
        <f>VLOOKUP(F716,[9]Hárok1!$F$672:$S$793,9,0)</f>
        <v>1</v>
      </c>
      <c r="O716" s="43">
        <f>VLOOKUP(F716,[9]Hárok1!$F$672:$S$793,10,0)</f>
        <v>13</v>
      </c>
      <c r="P716" s="44">
        <f>VLOOKUP(F716,[9]Hárok1!$F$672:$S$793,11,0)</f>
        <v>0</v>
      </c>
      <c r="Q716" s="42">
        <f>VLOOKUP(F716,[9]Hárok1!$F$672:$S$793,12,0)</f>
        <v>18</v>
      </c>
      <c r="R716" s="43">
        <f>VLOOKUP(F716,[9]Hárok1!$F$672:$S$793,13,0)</f>
        <v>178</v>
      </c>
      <c r="S716" s="44">
        <f>VLOOKUP(F716,[9]Hárok1!$F$672:$S$793,14,0)</f>
        <v>0</v>
      </c>
      <c r="T716" s="45">
        <f t="shared" si="70"/>
        <v>770.5</v>
      </c>
      <c r="U716" s="46">
        <f>VLOOKUP(F716,[9]Hárok1!$F$672:$U$793,16,0)</f>
        <v>0</v>
      </c>
      <c r="V716" s="47">
        <f t="shared" si="66"/>
        <v>40.5</v>
      </c>
      <c r="W716" s="47">
        <f t="shared" si="67"/>
        <v>531.5</v>
      </c>
      <c r="X716" s="48">
        <f t="shared" si="68"/>
        <v>0</v>
      </c>
      <c r="Y716" s="49">
        <f t="shared" si="71"/>
        <v>1342.5</v>
      </c>
      <c r="Z716" s="50">
        <f t="shared" si="69"/>
        <v>1343</v>
      </c>
    </row>
    <row r="717" spans="1:26" x14ac:dyDescent="0.25">
      <c r="A717" s="29" t="s">
        <v>1428</v>
      </c>
      <c r="B717" s="29" t="s">
        <v>79</v>
      </c>
      <c r="C717" s="29" t="s">
        <v>1467</v>
      </c>
      <c r="D717" s="29">
        <v>35541016</v>
      </c>
      <c r="E717" s="32" t="s">
        <v>1468</v>
      </c>
      <c r="F717" s="29">
        <v>398900</v>
      </c>
      <c r="G717" s="32" t="s">
        <v>49</v>
      </c>
      <c r="H717" s="32" t="s">
        <v>1495</v>
      </c>
      <c r="I717" s="33" t="s">
        <v>1496</v>
      </c>
      <c r="J717" s="42">
        <f>VLOOKUP(F717,[9]Hárok1!$F$672:$S$793,5,0)</f>
        <v>28</v>
      </c>
      <c r="K717" s="43">
        <f>VLOOKUP(F717,[9]Hárok1!$F$672:$S$793,6,0)</f>
        <v>0</v>
      </c>
      <c r="L717" s="43">
        <f>VLOOKUP(F717,[9]Hárok1!$F$672:$S$793,7,0)</f>
        <v>83</v>
      </c>
      <c r="M717" s="43">
        <f>VLOOKUP(F717,[9]Hárok1!$F$672:$S$793,8,0)</f>
        <v>0</v>
      </c>
      <c r="N717" s="43">
        <f>VLOOKUP(F717,[9]Hárok1!$F$672:$S$793,9,0)</f>
        <v>0</v>
      </c>
      <c r="O717" s="43">
        <f>VLOOKUP(F717,[9]Hárok1!$F$672:$S$793,10,0)</f>
        <v>30</v>
      </c>
      <c r="P717" s="44">
        <f>VLOOKUP(F717,[9]Hárok1!$F$672:$S$793,11,0)</f>
        <v>4</v>
      </c>
      <c r="Q717" s="42">
        <f>VLOOKUP(F717,[9]Hárok1!$F$672:$S$793,12,0)</f>
        <v>0</v>
      </c>
      <c r="R717" s="43">
        <f>VLOOKUP(F717,[9]Hárok1!$F$672:$S$793,13,0)</f>
        <v>609</v>
      </c>
      <c r="S717" s="44">
        <f>VLOOKUP(F717,[9]Hárok1!$F$672:$S$793,14,0)</f>
        <v>274</v>
      </c>
      <c r="T717" s="45">
        <f t="shared" si="70"/>
        <v>2780.5</v>
      </c>
      <c r="U717" s="46">
        <f>VLOOKUP(F717,[9]Hárok1!$F$672:$U$793,16,0)</f>
        <v>0</v>
      </c>
      <c r="V717" s="47">
        <f t="shared" si="66"/>
        <v>0</v>
      </c>
      <c r="W717" s="47">
        <f t="shared" si="67"/>
        <v>1623</v>
      </c>
      <c r="X717" s="48">
        <f t="shared" si="68"/>
        <v>519</v>
      </c>
      <c r="Y717" s="49">
        <f t="shared" si="71"/>
        <v>4922.5</v>
      </c>
      <c r="Z717" s="50">
        <f t="shared" si="69"/>
        <v>4923</v>
      </c>
    </row>
    <row r="718" spans="1:26" x14ac:dyDescent="0.25">
      <c r="A718" s="29" t="s">
        <v>1428</v>
      </c>
      <c r="B718" s="29" t="s">
        <v>79</v>
      </c>
      <c r="C718" s="29" t="s">
        <v>1467</v>
      </c>
      <c r="D718" s="29">
        <v>35541016</v>
      </c>
      <c r="E718" s="32" t="s">
        <v>1468</v>
      </c>
      <c r="F718" s="29">
        <v>521965</v>
      </c>
      <c r="G718" s="32" t="s">
        <v>615</v>
      </c>
      <c r="H718" s="32" t="s">
        <v>1495</v>
      </c>
      <c r="I718" s="33" t="s">
        <v>1497</v>
      </c>
      <c r="J718" s="42">
        <f>VLOOKUP(F718,[9]Hárok1!$F$672:$S$793,5,0)</f>
        <v>17</v>
      </c>
      <c r="K718" s="43">
        <f>VLOOKUP(F718,[9]Hárok1!$F$672:$S$793,6,0)</f>
        <v>0</v>
      </c>
      <c r="L718" s="43">
        <f>VLOOKUP(F718,[9]Hárok1!$F$672:$S$793,7,0)</f>
        <v>37</v>
      </c>
      <c r="M718" s="43">
        <f>VLOOKUP(F718,[9]Hárok1!$F$672:$S$793,8,0)</f>
        <v>0</v>
      </c>
      <c r="N718" s="43">
        <f>VLOOKUP(F718,[9]Hárok1!$F$672:$S$793,9,0)</f>
        <v>1</v>
      </c>
      <c r="O718" s="43">
        <f>VLOOKUP(F718,[9]Hárok1!$F$672:$S$793,10,0)</f>
        <v>20</v>
      </c>
      <c r="P718" s="44">
        <f>VLOOKUP(F718,[9]Hárok1!$F$672:$S$793,11,0)</f>
        <v>1</v>
      </c>
      <c r="Q718" s="42">
        <f>VLOOKUP(F718,[9]Hárok1!$F$672:$S$793,12,0)</f>
        <v>6</v>
      </c>
      <c r="R718" s="43">
        <f>VLOOKUP(F718,[9]Hárok1!$F$672:$S$793,13,0)</f>
        <v>267</v>
      </c>
      <c r="S718" s="44">
        <f>VLOOKUP(F718,[9]Hárok1!$F$672:$S$793,14,0)</f>
        <v>114</v>
      </c>
      <c r="T718" s="45">
        <f t="shared" si="70"/>
        <v>1239.5</v>
      </c>
      <c r="U718" s="46">
        <f>VLOOKUP(F718,[9]Hárok1!$F$672:$U$793,16,0)</f>
        <v>0</v>
      </c>
      <c r="V718" s="47">
        <f t="shared" si="66"/>
        <v>22.5</v>
      </c>
      <c r="W718" s="47">
        <f t="shared" si="67"/>
        <v>804</v>
      </c>
      <c r="X718" s="48">
        <f t="shared" si="68"/>
        <v>198</v>
      </c>
      <c r="Y718" s="49">
        <f t="shared" si="71"/>
        <v>2264</v>
      </c>
      <c r="Z718" s="50">
        <f t="shared" si="69"/>
        <v>2264</v>
      </c>
    </row>
    <row r="719" spans="1:26" x14ac:dyDescent="0.25">
      <c r="A719" s="29" t="s">
        <v>1428</v>
      </c>
      <c r="B719" s="29" t="s">
        <v>79</v>
      </c>
      <c r="C719" s="29" t="s">
        <v>1467</v>
      </c>
      <c r="D719" s="29">
        <v>35541016</v>
      </c>
      <c r="E719" s="32" t="s">
        <v>1468</v>
      </c>
      <c r="F719" s="29">
        <v>42243262</v>
      </c>
      <c r="G719" s="32" t="s">
        <v>1498</v>
      </c>
      <c r="H719" s="32" t="s">
        <v>1499</v>
      </c>
      <c r="I719" s="33" t="s">
        <v>1500</v>
      </c>
      <c r="J719" s="42">
        <f>VLOOKUP(F719,[9]Hárok1!$F$672:$S$793,5,0)</f>
        <v>13</v>
      </c>
      <c r="K719" s="43">
        <f>VLOOKUP(F719,[9]Hárok1!$F$672:$S$793,6,0)</f>
        <v>0</v>
      </c>
      <c r="L719" s="43">
        <f>VLOOKUP(F719,[9]Hárok1!$F$672:$S$793,7,0)</f>
        <v>39</v>
      </c>
      <c r="M719" s="43">
        <f>VLOOKUP(F719,[9]Hárok1!$F$672:$S$793,8,0)</f>
        <v>0</v>
      </c>
      <c r="N719" s="43">
        <f>VLOOKUP(F719,[9]Hárok1!$F$672:$S$793,9,0)</f>
        <v>0</v>
      </c>
      <c r="O719" s="43">
        <f>VLOOKUP(F719,[9]Hárok1!$F$672:$S$793,10,0)</f>
        <v>20</v>
      </c>
      <c r="P719" s="44">
        <f>VLOOKUP(F719,[9]Hárok1!$F$672:$S$793,11,0)</f>
        <v>0</v>
      </c>
      <c r="Q719" s="42">
        <f>VLOOKUP(F719,[9]Hárok1!$F$672:$S$793,12,0)</f>
        <v>0</v>
      </c>
      <c r="R719" s="43">
        <f>VLOOKUP(F719,[9]Hárok1!$F$672:$S$793,13,0)</f>
        <v>333</v>
      </c>
      <c r="S719" s="44">
        <f>VLOOKUP(F719,[9]Hárok1!$F$672:$S$793,14,0)</f>
        <v>0</v>
      </c>
      <c r="T719" s="45">
        <f t="shared" si="70"/>
        <v>1306.5</v>
      </c>
      <c r="U719" s="46">
        <f>VLOOKUP(F719,[9]Hárok1!$F$672:$U$793,16,0)</f>
        <v>0</v>
      </c>
      <c r="V719" s="47">
        <f t="shared" si="66"/>
        <v>0</v>
      </c>
      <c r="W719" s="47">
        <f t="shared" si="67"/>
        <v>936</v>
      </c>
      <c r="X719" s="48">
        <f t="shared" si="68"/>
        <v>0</v>
      </c>
      <c r="Y719" s="49">
        <f t="shared" si="71"/>
        <v>2242.5</v>
      </c>
      <c r="Z719" s="50">
        <f t="shared" si="69"/>
        <v>2243</v>
      </c>
    </row>
    <row r="720" spans="1:26" x14ac:dyDescent="0.25">
      <c r="A720" s="29" t="s">
        <v>1428</v>
      </c>
      <c r="B720" s="29" t="s">
        <v>79</v>
      </c>
      <c r="C720" s="29" t="s">
        <v>1467</v>
      </c>
      <c r="D720" s="29">
        <v>35541016</v>
      </c>
      <c r="E720" s="32" t="s">
        <v>1468</v>
      </c>
      <c r="F720" s="29">
        <v>162574</v>
      </c>
      <c r="G720" s="32" t="s">
        <v>704</v>
      </c>
      <c r="H720" s="32" t="s">
        <v>1501</v>
      </c>
      <c r="I720" s="33" t="s">
        <v>1502</v>
      </c>
      <c r="J720" s="42">
        <f>VLOOKUP(F720,[9]Hárok1!$F$672:$S$793,5,0)</f>
        <v>12</v>
      </c>
      <c r="K720" s="43">
        <f>VLOOKUP(F720,[9]Hárok1!$F$672:$S$793,6,0)</f>
        <v>0</v>
      </c>
      <c r="L720" s="43">
        <f>VLOOKUP(F720,[9]Hárok1!$F$672:$S$793,7,0)</f>
        <v>70</v>
      </c>
      <c r="M720" s="43">
        <f>VLOOKUP(F720,[9]Hárok1!$F$672:$S$793,8,0)</f>
        <v>0</v>
      </c>
      <c r="N720" s="43">
        <f>VLOOKUP(F720,[9]Hárok1!$F$672:$S$793,9,0)</f>
        <v>0</v>
      </c>
      <c r="O720" s="43">
        <f>VLOOKUP(F720,[9]Hárok1!$F$672:$S$793,10,0)</f>
        <v>12</v>
      </c>
      <c r="P720" s="44">
        <f>VLOOKUP(F720,[9]Hárok1!$F$672:$S$793,11,0)</f>
        <v>4</v>
      </c>
      <c r="Q720" s="42">
        <f>VLOOKUP(F720,[9]Hárok1!$F$672:$S$793,12,0)</f>
        <v>0</v>
      </c>
      <c r="R720" s="43">
        <f>VLOOKUP(F720,[9]Hárok1!$F$672:$S$793,13,0)</f>
        <v>330</v>
      </c>
      <c r="S720" s="44">
        <f>VLOOKUP(F720,[9]Hárok1!$F$672:$S$793,14,0)</f>
        <v>339</v>
      </c>
      <c r="T720" s="45">
        <f t="shared" si="70"/>
        <v>2345</v>
      </c>
      <c r="U720" s="46">
        <f>VLOOKUP(F720,[9]Hárok1!$F$672:$U$793,16,0)</f>
        <v>368.4</v>
      </c>
      <c r="V720" s="47">
        <f t="shared" si="66"/>
        <v>0</v>
      </c>
      <c r="W720" s="47">
        <f t="shared" si="67"/>
        <v>822</v>
      </c>
      <c r="X720" s="48">
        <f t="shared" si="68"/>
        <v>616.5</v>
      </c>
      <c r="Y720" s="49">
        <f t="shared" si="71"/>
        <v>4151.8999999999996</v>
      </c>
      <c r="Z720" s="50">
        <f t="shared" si="69"/>
        <v>4152</v>
      </c>
    </row>
    <row r="721" spans="1:26" x14ac:dyDescent="0.25">
      <c r="A721" s="29" t="s">
        <v>1428</v>
      </c>
      <c r="B721" s="29" t="s">
        <v>79</v>
      </c>
      <c r="C721" s="29" t="s">
        <v>1467</v>
      </c>
      <c r="D721" s="29">
        <v>35541016</v>
      </c>
      <c r="E721" s="32" t="s">
        <v>1468</v>
      </c>
      <c r="F721" s="29">
        <v>598071</v>
      </c>
      <c r="G721" s="32" t="s">
        <v>49</v>
      </c>
      <c r="H721" s="32" t="s">
        <v>1445</v>
      </c>
      <c r="I721" s="33" t="s">
        <v>1503</v>
      </c>
      <c r="J721" s="42">
        <f>VLOOKUP(F721,[9]Hárok1!$F$672:$S$793,5,0)</f>
        <v>17</v>
      </c>
      <c r="K721" s="43">
        <f>VLOOKUP(F721,[9]Hárok1!$F$672:$S$793,6,0)</f>
        <v>0</v>
      </c>
      <c r="L721" s="43">
        <f>VLOOKUP(F721,[9]Hárok1!$F$672:$S$793,7,0)</f>
        <v>57</v>
      </c>
      <c r="M721" s="43">
        <f>VLOOKUP(F721,[9]Hárok1!$F$672:$S$793,8,0)</f>
        <v>0</v>
      </c>
      <c r="N721" s="43">
        <f>VLOOKUP(F721,[9]Hárok1!$F$672:$S$793,9,0)</f>
        <v>1</v>
      </c>
      <c r="O721" s="43">
        <f>VLOOKUP(F721,[9]Hárok1!$F$672:$S$793,10,0)</f>
        <v>21</v>
      </c>
      <c r="P721" s="44">
        <f>VLOOKUP(F721,[9]Hárok1!$F$672:$S$793,11,0)</f>
        <v>3</v>
      </c>
      <c r="Q721" s="42">
        <f>VLOOKUP(F721,[9]Hárok1!$F$672:$S$793,12,0)</f>
        <v>8</v>
      </c>
      <c r="R721" s="43">
        <f>VLOOKUP(F721,[9]Hárok1!$F$672:$S$793,13,0)</f>
        <v>429</v>
      </c>
      <c r="S721" s="44">
        <f>VLOOKUP(F721,[9]Hárok1!$F$672:$S$793,14,0)</f>
        <v>161</v>
      </c>
      <c r="T721" s="45">
        <f t="shared" si="70"/>
        <v>1909.5</v>
      </c>
      <c r="U721" s="46">
        <f>VLOOKUP(F721,[9]Hárok1!$F$672:$U$793,16,0)</f>
        <v>0</v>
      </c>
      <c r="V721" s="47">
        <f t="shared" si="66"/>
        <v>25.5</v>
      </c>
      <c r="W721" s="47">
        <f t="shared" si="67"/>
        <v>1141.5</v>
      </c>
      <c r="X721" s="48">
        <f t="shared" si="68"/>
        <v>322.5</v>
      </c>
      <c r="Y721" s="49">
        <f t="shared" si="71"/>
        <v>3399</v>
      </c>
      <c r="Z721" s="50">
        <f t="shared" si="69"/>
        <v>3399</v>
      </c>
    </row>
    <row r="722" spans="1:26" x14ac:dyDescent="0.25">
      <c r="A722" s="29" t="s">
        <v>1428</v>
      </c>
      <c r="B722" s="29" t="s">
        <v>79</v>
      </c>
      <c r="C722" s="29" t="s">
        <v>1467</v>
      </c>
      <c r="D722" s="29">
        <v>35541016</v>
      </c>
      <c r="E722" s="32" t="s">
        <v>1468</v>
      </c>
      <c r="F722" s="29">
        <v>31946615</v>
      </c>
      <c r="G722" s="32" t="s">
        <v>121</v>
      </c>
      <c r="H722" s="32" t="s">
        <v>1445</v>
      </c>
      <c r="I722" s="33" t="s">
        <v>1504</v>
      </c>
      <c r="J722" s="42">
        <f>VLOOKUP(F722,[9]Hárok1!$F$672:$S$793,5,0)</f>
        <v>30</v>
      </c>
      <c r="K722" s="43">
        <f>VLOOKUP(F722,[9]Hárok1!$F$672:$S$793,6,0)</f>
        <v>0</v>
      </c>
      <c r="L722" s="43">
        <f>VLOOKUP(F722,[9]Hárok1!$F$672:$S$793,7,0)</f>
        <v>107</v>
      </c>
      <c r="M722" s="43">
        <f>VLOOKUP(F722,[9]Hárok1!$F$672:$S$793,8,0)</f>
        <v>0</v>
      </c>
      <c r="N722" s="43">
        <f>VLOOKUP(F722,[9]Hárok1!$F$672:$S$793,9,0)</f>
        <v>0</v>
      </c>
      <c r="O722" s="43">
        <f>VLOOKUP(F722,[9]Hárok1!$F$672:$S$793,10,0)</f>
        <v>45</v>
      </c>
      <c r="P722" s="44">
        <f>VLOOKUP(F722,[9]Hárok1!$F$672:$S$793,11,0)</f>
        <v>3</v>
      </c>
      <c r="Q722" s="42">
        <f>VLOOKUP(F722,[9]Hárok1!$F$672:$S$793,12,0)</f>
        <v>0</v>
      </c>
      <c r="R722" s="43">
        <f>VLOOKUP(F722,[9]Hárok1!$F$672:$S$793,13,0)</f>
        <v>980</v>
      </c>
      <c r="S722" s="44">
        <f>VLOOKUP(F722,[9]Hárok1!$F$672:$S$793,14,0)</f>
        <v>135</v>
      </c>
      <c r="T722" s="45">
        <f t="shared" si="70"/>
        <v>3584.5</v>
      </c>
      <c r="U722" s="46">
        <f>VLOOKUP(F722,[9]Hárok1!$F$672:$U$793,16,0)</f>
        <v>0</v>
      </c>
      <c r="V722" s="47">
        <f t="shared" si="66"/>
        <v>0</v>
      </c>
      <c r="W722" s="47">
        <f t="shared" si="67"/>
        <v>2567.5</v>
      </c>
      <c r="X722" s="48">
        <f t="shared" si="68"/>
        <v>283.5</v>
      </c>
      <c r="Y722" s="49">
        <f t="shared" si="71"/>
        <v>6435.5</v>
      </c>
      <c r="Z722" s="50">
        <f t="shared" si="69"/>
        <v>6436</v>
      </c>
    </row>
    <row r="723" spans="1:26" x14ac:dyDescent="0.25">
      <c r="A723" s="29" t="s">
        <v>1428</v>
      </c>
      <c r="B723" s="29" t="s">
        <v>79</v>
      </c>
      <c r="C723" s="29" t="s">
        <v>1467</v>
      </c>
      <c r="D723" s="29">
        <v>35541016</v>
      </c>
      <c r="E723" s="32" t="s">
        <v>1468</v>
      </c>
      <c r="F723" s="29">
        <v>17078407</v>
      </c>
      <c r="G723" s="32" t="s">
        <v>442</v>
      </c>
      <c r="H723" s="32" t="s">
        <v>1445</v>
      </c>
      <c r="I723" s="33" t="s">
        <v>1505</v>
      </c>
      <c r="J723" s="42">
        <f>VLOOKUP(F723,[9]Hárok1!$F$672:$S$793,5,0)</f>
        <v>17</v>
      </c>
      <c r="K723" s="43">
        <f>VLOOKUP(F723,[9]Hárok1!$F$672:$S$793,6,0)</f>
        <v>3</v>
      </c>
      <c r="L723" s="43">
        <f>VLOOKUP(F723,[9]Hárok1!$F$672:$S$793,7,0)</f>
        <v>49</v>
      </c>
      <c r="M723" s="43">
        <f>VLOOKUP(F723,[9]Hárok1!$F$672:$S$793,8,0)</f>
        <v>15</v>
      </c>
      <c r="N723" s="43">
        <f>VLOOKUP(F723,[9]Hárok1!$F$672:$S$793,9,0)</f>
        <v>7</v>
      </c>
      <c r="O723" s="43">
        <f>VLOOKUP(F723,[9]Hárok1!$F$672:$S$793,10,0)</f>
        <v>25</v>
      </c>
      <c r="P723" s="44">
        <f>VLOOKUP(F723,[9]Hárok1!$F$672:$S$793,11,0)</f>
        <v>0</v>
      </c>
      <c r="Q723" s="42">
        <f>VLOOKUP(F723,[9]Hárok1!$F$672:$S$793,12,0)</f>
        <v>137</v>
      </c>
      <c r="R723" s="43">
        <f>VLOOKUP(F723,[9]Hárok1!$F$672:$S$793,13,0)</f>
        <v>376</v>
      </c>
      <c r="S723" s="44">
        <f>VLOOKUP(F723,[9]Hárok1!$F$672:$S$793,14,0)</f>
        <v>0</v>
      </c>
      <c r="T723" s="45">
        <f t="shared" si="70"/>
        <v>1641.5</v>
      </c>
      <c r="U723" s="46">
        <f>VLOOKUP(F723,[9]Hárok1!$F$672:$U$793,16,0)</f>
        <v>241.4</v>
      </c>
      <c r="V723" s="47">
        <f t="shared" si="66"/>
        <v>300</v>
      </c>
      <c r="W723" s="47">
        <f t="shared" si="67"/>
        <v>1089.5</v>
      </c>
      <c r="X723" s="48">
        <f t="shared" si="68"/>
        <v>0</v>
      </c>
      <c r="Y723" s="49">
        <f t="shared" si="71"/>
        <v>3272.4</v>
      </c>
      <c r="Z723" s="50">
        <f t="shared" si="69"/>
        <v>3272</v>
      </c>
    </row>
    <row r="724" spans="1:26" x14ac:dyDescent="0.25">
      <c r="A724" s="29" t="s">
        <v>1428</v>
      </c>
      <c r="B724" s="29" t="s">
        <v>79</v>
      </c>
      <c r="C724" s="29" t="s">
        <v>1467</v>
      </c>
      <c r="D724" s="29">
        <v>35541016</v>
      </c>
      <c r="E724" s="32" t="s">
        <v>1468</v>
      </c>
      <c r="F724" s="29">
        <v>17078423</v>
      </c>
      <c r="G724" s="32" t="s">
        <v>124</v>
      </c>
      <c r="H724" s="32" t="s">
        <v>1445</v>
      </c>
      <c r="I724" s="33" t="s">
        <v>1506</v>
      </c>
      <c r="J724" s="42">
        <f>VLOOKUP(F724,[9]Hárok1!$F$672:$S$793,5,0)</f>
        <v>13</v>
      </c>
      <c r="K724" s="43">
        <f>VLOOKUP(F724,[9]Hárok1!$F$672:$S$793,6,0)</f>
        <v>3</v>
      </c>
      <c r="L724" s="43">
        <f>VLOOKUP(F724,[9]Hárok1!$F$672:$S$793,7,0)</f>
        <v>57</v>
      </c>
      <c r="M724" s="43">
        <f>VLOOKUP(F724,[9]Hárok1!$F$672:$S$793,8,0)</f>
        <v>13</v>
      </c>
      <c r="N724" s="43">
        <f>VLOOKUP(F724,[9]Hárok1!$F$672:$S$793,9,0)</f>
        <v>9</v>
      </c>
      <c r="O724" s="43">
        <f>VLOOKUP(F724,[9]Hárok1!$F$672:$S$793,10,0)</f>
        <v>17</v>
      </c>
      <c r="P724" s="44">
        <f>VLOOKUP(F724,[9]Hárok1!$F$672:$S$793,11,0)</f>
        <v>2</v>
      </c>
      <c r="Q724" s="42">
        <f>VLOOKUP(F724,[9]Hárok1!$F$672:$S$793,12,0)</f>
        <v>88</v>
      </c>
      <c r="R724" s="43">
        <f>VLOOKUP(F724,[9]Hárok1!$F$672:$S$793,13,0)</f>
        <v>396</v>
      </c>
      <c r="S724" s="44">
        <f>VLOOKUP(F724,[9]Hárok1!$F$672:$S$793,14,0)</f>
        <v>243</v>
      </c>
      <c r="T724" s="45">
        <f t="shared" si="70"/>
        <v>1909.5</v>
      </c>
      <c r="U724" s="46">
        <f>VLOOKUP(F724,[9]Hárok1!$F$672:$U$793,16,0)</f>
        <v>0</v>
      </c>
      <c r="V724" s="47">
        <f t="shared" si="66"/>
        <v>253.5</v>
      </c>
      <c r="W724" s="47">
        <f t="shared" si="67"/>
        <v>1021.5</v>
      </c>
      <c r="X724" s="48">
        <f t="shared" si="68"/>
        <v>418.5</v>
      </c>
      <c r="Y724" s="49">
        <f t="shared" si="71"/>
        <v>3603</v>
      </c>
      <c r="Z724" s="50">
        <f t="shared" si="69"/>
        <v>3603</v>
      </c>
    </row>
    <row r="725" spans="1:26" x14ac:dyDescent="0.25">
      <c r="A725" s="29" t="s">
        <v>1428</v>
      </c>
      <c r="B725" s="29" t="s">
        <v>79</v>
      </c>
      <c r="C725" s="29" t="s">
        <v>1467</v>
      </c>
      <c r="D725" s="29">
        <v>35541016</v>
      </c>
      <c r="E725" s="32" t="s">
        <v>1468</v>
      </c>
      <c r="F725" s="29">
        <v>893331</v>
      </c>
      <c r="G725" s="32" t="s">
        <v>134</v>
      </c>
      <c r="H725" s="32" t="s">
        <v>1445</v>
      </c>
      <c r="I725" s="33" t="s">
        <v>1507</v>
      </c>
      <c r="J725" s="42">
        <f>VLOOKUP(F725,[9]Hárok1!$F$672:$S$793,5,0)</f>
        <v>14</v>
      </c>
      <c r="K725" s="43">
        <f>VLOOKUP(F725,[9]Hárok1!$F$672:$S$793,6,0)</f>
        <v>5</v>
      </c>
      <c r="L725" s="43">
        <f>VLOOKUP(F725,[9]Hárok1!$F$672:$S$793,7,0)</f>
        <v>38</v>
      </c>
      <c r="M725" s="43">
        <f>VLOOKUP(F725,[9]Hárok1!$F$672:$S$793,8,0)</f>
        <v>17</v>
      </c>
      <c r="N725" s="43">
        <f>VLOOKUP(F725,[9]Hárok1!$F$672:$S$793,9,0)</f>
        <v>11</v>
      </c>
      <c r="O725" s="43">
        <f>VLOOKUP(F725,[9]Hárok1!$F$672:$S$793,10,0)</f>
        <v>23</v>
      </c>
      <c r="P725" s="44">
        <f>VLOOKUP(F725,[9]Hárok1!$F$672:$S$793,11,0)</f>
        <v>0</v>
      </c>
      <c r="Q725" s="42">
        <f>VLOOKUP(F725,[9]Hárok1!$F$672:$S$793,12,0)</f>
        <v>288</v>
      </c>
      <c r="R725" s="43">
        <f>VLOOKUP(F725,[9]Hárok1!$F$672:$S$793,13,0)</f>
        <v>340</v>
      </c>
      <c r="S725" s="44">
        <f>VLOOKUP(F725,[9]Hárok1!$F$672:$S$793,14,0)</f>
        <v>0</v>
      </c>
      <c r="T725" s="45">
        <f t="shared" si="70"/>
        <v>1273</v>
      </c>
      <c r="U725" s="46">
        <f>VLOOKUP(F725,[9]Hárok1!$F$672:$U$793,16,0)</f>
        <v>448.8</v>
      </c>
      <c r="V725" s="47">
        <f t="shared" si="66"/>
        <v>580.5</v>
      </c>
      <c r="W725" s="47">
        <f t="shared" si="67"/>
        <v>990.5</v>
      </c>
      <c r="X725" s="48">
        <f t="shared" si="68"/>
        <v>0</v>
      </c>
      <c r="Y725" s="49">
        <f t="shared" si="71"/>
        <v>3292.8</v>
      </c>
      <c r="Z725" s="50">
        <f t="shared" si="69"/>
        <v>3293</v>
      </c>
    </row>
    <row r="726" spans="1:26" x14ac:dyDescent="0.25">
      <c r="A726" s="29" t="s">
        <v>1428</v>
      </c>
      <c r="B726" s="29" t="s">
        <v>79</v>
      </c>
      <c r="C726" s="29" t="s">
        <v>1467</v>
      </c>
      <c r="D726" s="29">
        <v>35541016</v>
      </c>
      <c r="E726" s="32" t="s">
        <v>1468</v>
      </c>
      <c r="F726" s="29">
        <v>159433</v>
      </c>
      <c r="G726" s="32" t="s">
        <v>446</v>
      </c>
      <c r="H726" s="32" t="s">
        <v>1445</v>
      </c>
      <c r="I726" s="33" t="s">
        <v>1508</v>
      </c>
      <c r="J726" s="42">
        <f>VLOOKUP(F726,[9]Hárok1!$F$672:$S$793,5,0)</f>
        <v>7</v>
      </c>
      <c r="K726" s="43">
        <f>VLOOKUP(F726,[9]Hárok1!$F$672:$S$793,6,0)</f>
        <v>0</v>
      </c>
      <c r="L726" s="43">
        <f>VLOOKUP(F726,[9]Hárok1!$F$672:$S$793,7,0)</f>
        <v>35</v>
      </c>
      <c r="M726" s="43">
        <f>VLOOKUP(F726,[9]Hárok1!$F$672:$S$793,8,0)</f>
        <v>0</v>
      </c>
      <c r="N726" s="43">
        <f>VLOOKUP(F726,[9]Hárok1!$F$672:$S$793,9,0)</f>
        <v>0</v>
      </c>
      <c r="O726" s="43">
        <f>VLOOKUP(F726,[9]Hárok1!$F$672:$S$793,10,0)</f>
        <v>10</v>
      </c>
      <c r="P726" s="44">
        <f>VLOOKUP(F726,[9]Hárok1!$F$672:$S$793,11,0)</f>
        <v>1</v>
      </c>
      <c r="Q726" s="42">
        <f>VLOOKUP(F726,[9]Hárok1!$F$672:$S$793,12,0)</f>
        <v>0</v>
      </c>
      <c r="R726" s="43">
        <f>VLOOKUP(F726,[9]Hárok1!$F$672:$S$793,13,0)</f>
        <v>297</v>
      </c>
      <c r="S726" s="44">
        <f>VLOOKUP(F726,[9]Hárok1!$F$672:$S$793,14,0)</f>
        <v>60</v>
      </c>
      <c r="T726" s="45">
        <f t="shared" si="70"/>
        <v>1172.5</v>
      </c>
      <c r="U726" s="46">
        <f>VLOOKUP(F726,[9]Hárok1!$F$672:$U$793,16,0)</f>
        <v>0</v>
      </c>
      <c r="V726" s="47">
        <f t="shared" si="66"/>
        <v>0</v>
      </c>
      <c r="W726" s="47">
        <f t="shared" si="67"/>
        <v>729</v>
      </c>
      <c r="X726" s="48">
        <f t="shared" si="68"/>
        <v>117</v>
      </c>
      <c r="Y726" s="49">
        <f t="shared" si="71"/>
        <v>2018.5</v>
      </c>
      <c r="Z726" s="50">
        <f t="shared" si="69"/>
        <v>2019</v>
      </c>
    </row>
    <row r="727" spans="1:26" x14ac:dyDescent="0.25">
      <c r="A727" s="29" t="s">
        <v>1428</v>
      </c>
      <c r="B727" s="29" t="s">
        <v>79</v>
      </c>
      <c r="C727" s="29" t="s">
        <v>1467</v>
      </c>
      <c r="D727" s="29">
        <v>35541016</v>
      </c>
      <c r="E727" s="32" t="s">
        <v>1468</v>
      </c>
      <c r="F727" s="29">
        <v>893340</v>
      </c>
      <c r="G727" s="32" t="s">
        <v>154</v>
      </c>
      <c r="H727" s="32" t="s">
        <v>1445</v>
      </c>
      <c r="I727" s="33" t="s">
        <v>1508</v>
      </c>
      <c r="J727" s="42">
        <f>VLOOKUP(F727,[9]Hárok1!$F$672:$S$793,5,0)</f>
        <v>16</v>
      </c>
      <c r="K727" s="43">
        <f>VLOOKUP(F727,[9]Hárok1!$F$672:$S$793,6,0)</f>
        <v>0</v>
      </c>
      <c r="L727" s="43">
        <f>VLOOKUP(F727,[9]Hárok1!$F$672:$S$793,7,0)</f>
        <v>86</v>
      </c>
      <c r="M727" s="43">
        <f>VLOOKUP(F727,[9]Hárok1!$F$672:$S$793,8,0)</f>
        <v>0</v>
      </c>
      <c r="N727" s="43">
        <f>VLOOKUP(F727,[9]Hárok1!$F$672:$S$793,9,0)</f>
        <v>0</v>
      </c>
      <c r="O727" s="43">
        <f>VLOOKUP(F727,[9]Hárok1!$F$672:$S$793,10,0)</f>
        <v>16</v>
      </c>
      <c r="P727" s="44">
        <f>VLOOKUP(F727,[9]Hárok1!$F$672:$S$793,11,0)</f>
        <v>3</v>
      </c>
      <c r="Q727" s="42">
        <f>VLOOKUP(F727,[9]Hárok1!$F$672:$S$793,12,0)</f>
        <v>0</v>
      </c>
      <c r="R727" s="43">
        <f>VLOOKUP(F727,[9]Hárok1!$F$672:$S$793,13,0)</f>
        <v>402</v>
      </c>
      <c r="S727" s="44">
        <f>VLOOKUP(F727,[9]Hárok1!$F$672:$S$793,14,0)</f>
        <v>283</v>
      </c>
      <c r="T727" s="45">
        <f t="shared" si="70"/>
        <v>2881</v>
      </c>
      <c r="U727" s="46">
        <f>VLOOKUP(F727,[9]Hárok1!$F$672:$U$793,16,0)</f>
        <v>0</v>
      </c>
      <c r="V727" s="47">
        <f t="shared" si="66"/>
        <v>0</v>
      </c>
      <c r="W727" s="47">
        <f t="shared" si="67"/>
        <v>1020</v>
      </c>
      <c r="X727" s="48">
        <f t="shared" si="68"/>
        <v>505.5</v>
      </c>
      <c r="Y727" s="49">
        <f t="shared" si="71"/>
        <v>4406.5</v>
      </c>
      <c r="Z727" s="50">
        <f t="shared" si="69"/>
        <v>4407</v>
      </c>
    </row>
    <row r="728" spans="1:26" x14ac:dyDescent="0.25">
      <c r="A728" s="29" t="s">
        <v>1428</v>
      </c>
      <c r="B728" s="29" t="s">
        <v>79</v>
      </c>
      <c r="C728" s="29" t="s">
        <v>1467</v>
      </c>
      <c r="D728" s="29">
        <v>35541016</v>
      </c>
      <c r="E728" s="32" t="s">
        <v>1468</v>
      </c>
      <c r="F728" s="29">
        <v>606758</v>
      </c>
      <c r="G728" s="32" t="s">
        <v>117</v>
      </c>
      <c r="H728" s="32" t="s">
        <v>1445</v>
      </c>
      <c r="I728" s="33" t="s">
        <v>1509</v>
      </c>
      <c r="J728" s="42">
        <f>VLOOKUP(F728,[9]Hárok1!$F$672:$S$793,5,0)</f>
        <v>6</v>
      </c>
      <c r="K728" s="43">
        <f>VLOOKUP(F728,[9]Hárok1!$F$672:$S$793,6,0)</f>
        <v>9</v>
      </c>
      <c r="L728" s="43">
        <f>VLOOKUP(F728,[9]Hárok1!$F$672:$S$793,7,0)</f>
        <v>34</v>
      </c>
      <c r="M728" s="43">
        <f>VLOOKUP(F728,[9]Hárok1!$F$672:$S$793,8,0)</f>
        <v>21</v>
      </c>
      <c r="N728" s="43">
        <f>VLOOKUP(F728,[9]Hárok1!$F$672:$S$793,9,0)</f>
        <v>9</v>
      </c>
      <c r="O728" s="43">
        <f>VLOOKUP(F728,[9]Hárok1!$F$672:$S$793,10,0)</f>
        <v>14</v>
      </c>
      <c r="P728" s="44">
        <f>VLOOKUP(F728,[9]Hárok1!$F$672:$S$793,11,0)</f>
        <v>1</v>
      </c>
      <c r="Q728" s="42">
        <f>VLOOKUP(F728,[9]Hárok1!$F$672:$S$793,12,0)</f>
        <v>167</v>
      </c>
      <c r="R728" s="43">
        <f>VLOOKUP(F728,[9]Hárok1!$F$672:$S$793,13,0)</f>
        <v>212</v>
      </c>
      <c r="S728" s="44">
        <f>VLOOKUP(F728,[9]Hárok1!$F$672:$S$793,14,0)</f>
        <v>40</v>
      </c>
      <c r="T728" s="45">
        <f t="shared" si="70"/>
        <v>1139</v>
      </c>
      <c r="U728" s="46">
        <f>VLOOKUP(F728,[9]Hárok1!$F$672:$U$793,16,0)</f>
        <v>1776.83</v>
      </c>
      <c r="V728" s="47">
        <f t="shared" si="66"/>
        <v>372</v>
      </c>
      <c r="W728" s="47">
        <f t="shared" si="67"/>
        <v>613</v>
      </c>
      <c r="X728" s="48">
        <f t="shared" si="68"/>
        <v>87</v>
      </c>
      <c r="Y728" s="49">
        <f t="shared" si="71"/>
        <v>3987.83</v>
      </c>
      <c r="Z728" s="50">
        <f t="shared" si="69"/>
        <v>3988</v>
      </c>
    </row>
    <row r="729" spans="1:26" x14ac:dyDescent="0.25">
      <c r="A729" s="29" t="s">
        <v>1428</v>
      </c>
      <c r="B729" s="29" t="s">
        <v>79</v>
      </c>
      <c r="C729" s="29" t="s">
        <v>1467</v>
      </c>
      <c r="D729" s="29">
        <v>35541016</v>
      </c>
      <c r="E729" s="32" t="s">
        <v>1468</v>
      </c>
      <c r="F729" s="29">
        <v>31956688</v>
      </c>
      <c r="G729" s="32" t="s">
        <v>100</v>
      </c>
      <c r="H729" s="32" t="s">
        <v>1510</v>
      </c>
      <c r="I729" s="33" t="s">
        <v>1511</v>
      </c>
      <c r="J729" s="42">
        <f>VLOOKUP(F729,[9]Hárok1!$F$672:$S$793,5,0)</f>
        <v>3</v>
      </c>
      <c r="K729" s="43">
        <f>VLOOKUP(F729,[9]Hárok1!$F$672:$S$793,6,0)</f>
        <v>0</v>
      </c>
      <c r="L729" s="43">
        <f>VLOOKUP(F729,[9]Hárok1!$F$672:$S$793,7,0)</f>
        <v>18</v>
      </c>
      <c r="M729" s="43">
        <f>VLOOKUP(F729,[9]Hárok1!$F$672:$S$793,8,0)</f>
        <v>0</v>
      </c>
      <c r="N729" s="43">
        <f>VLOOKUP(F729,[9]Hárok1!$F$672:$S$793,9,0)</f>
        <v>0</v>
      </c>
      <c r="O729" s="43">
        <f>VLOOKUP(F729,[9]Hárok1!$F$672:$S$793,10,0)</f>
        <v>3</v>
      </c>
      <c r="P729" s="44">
        <f>VLOOKUP(F729,[9]Hárok1!$F$672:$S$793,11,0)</f>
        <v>1</v>
      </c>
      <c r="Q729" s="42">
        <f>VLOOKUP(F729,[9]Hárok1!$F$672:$S$793,12,0)</f>
        <v>0</v>
      </c>
      <c r="R729" s="43">
        <f>VLOOKUP(F729,[9]Hárok1!$F$672:$S$793,13,0)</f>
        <v>167</v>
      </c>
      <c r="S729" s="44">
        <f>VLOOKUP(F729,[9]Hárok1!$F$672:$S$793,14,0)</f>
        <v>71</v>
      </c>
      <c r="T729" s="45">
        <f t="shared" si="70"/>
        <v>603</v>
      </c>
      <c r="U729" s="46">
        <f>VLOOKUP(F729,[9]Hárok1!$F$672:$U$793,16,0)</f>
        <v>0</v>
      </c>
      <c r="V729" s="47">
        <f t="shared" si="66"/>
        <v>0</v>
      </c>
      <c r="W729" s="47">
        <f t="shared" si="67"/>
        <v>374.5</v>
      </c>
      <c r="X729" s="48">
        <f t="shared" si="68"/>
        <v>133.5</v>
      </c>
      <c r="Y729" s="49">
        <f t="shared" si="71"/>
        <v>1111</v>
      </c>
      <c r="Z729" s="50">
        <f t="shared" si="69"/>
        <v>1111</v>
      </c>
    </row>
    <row r="730" spans="1:26" x14ac:dyDescent="0.25">
      <c r="A730" s="29" t="s">
        <v>1428</v>
      </c>
      <c r="B730" s="29" t="s">
        <v>79</v>
      </c>
      <c r="C730" s="29" t="s">
        <v>1467</v>
      </c>
      <c r="D730" s="29">
        <v>35541016</v>
      </c>
      <c r="E730" s="32" t="s">
        <v>1468</v>
      </c>
      <c r="F730" s="29">
        <v>162159</v>
      </c>
      <c r="G730" s="32" t="s">
        <v>49</v>
      </c>
      <c r="H730" s="32" t="s">
        <v>1447</v>
      </c>
      <c r="I730" s="33" t="s">
        <v>1512</v>
      </c>
      <c r="J730" s="42">
        <f>VLOOKUP(F730,[9]Hárok1!$F$672:$S$793,5,0)</f>
        <v>17</v>
      </c>
      <c r="K730" s="43">
        <f>VLOOKUP(F730,[9]Hárok1!$F$672:$S$793,6,0)</f>
        <v>0</v>
      </c>
      <c r="L730" s="43">
        <f>VLOOKUP(F730,[9]Hárok1!$F$672:$S$793,7,0)</f>
        <v>47</v>
      </c>
      <c r="M730" s="43">
        <f>VLOOKUP(F730,[9]Hárok1!$F$672:$S$793,8,0)</f>
        <v>0</v>
      </c>
      <c r="N730" s="43">
        <f>VLOOKUP(F730,[9]Hárok1!$F$672:$S$793,9,0)</f>
        <v>0</v>
      </c>
      <c r="O730" s="43">
        <f>VLOOKUP(F730,[9]Hárok1!$F$672:$S$793,10,0)</f>
        <v>19</v>
      </c>
      <c r="P730" s="44">
        <f>VLOOKUP(F730,[9]Hárok1!$F$672:$S$793,11,0)</f>
        <v>1</v>
      </c>
      <c r="Q730" s="42">
        <f>VLOOKUP(F730,[9]Hárok1!$F$672:$S$793,12,0)</f>
        <v>0</v>
      </c>
      <c r="R730" s="43">
        <f>VLOOKUP(F730,[9]Hárok1!$F$672:$S$793,13,0)</f>
        <v>381</v>
      </c>
      <c r="S730" s="44">
        <f>VLOOKUP(F730,[9]Hárok1!$F$672:$S$793,14,0)</f>
        <v>140</v>
      </c>
      <c r="T730" s="45">
        <f t="shared" si="70"/>
        <v>1574.5</v>
      </c>
      <c r="U730" s="46">
        <f>VLOOKUP(F730,[9]Hárok1!$F$672:$U$793,16,0)</f>
        <v>0</v>
      </c>
      <c r="V730" s="47">
        <f t="shared" si="66"/>
        <v>0</v>
      </c>
      <c r="W730" s="47">
        <f t="shared" si="67"/>
        <v>1018.5</v>
      </c>
      <c r="X730" s="48">
        <f t="shared" si="68"/>
        <v>237</v>
      </c>
      <c r="Y730" s="49">
        <f t="shared" si="71"/>
        <v>2830</v>
      </c>
      <c r="Z730" s="50">
        <f t="shared" si="69"/>
        <v>2830</v>
      </c>
    </row>
    <row r="731" spans="1:26" x14ac:dyDescent="0.25">
      <c r="A731" s="29" t="s">
        <v>1428</v>
      </c>
      <c r="B731" s="29" t="s">
        <v>79</v>
      </c>
      <c r="C731" s="29" t="s">
        <v>1467</v>
      </c>
      <c r="D731" s="29">
        <v>35541016</v>
      </c>
      <c r="E731" s="32" t="s">
        <v>1468</v>
      </c>
      <c r="F731" s="29">
        <v>17151341</v>
      </c>
      <c r="G731" s="32" t="s">
        <v>49</v>
      </c>
      <c r="H731" s="32" t="s">
        <v>1449</v>
      </c>
      <c r="I731" s="33" t="s">
        <v>1513</v>
      </c>
      <c r="J731" s="42">
        <f>VLOOKUP(F731,[9]Hárok1!$F$672:$S$793,5,0)</f>
        <v>7</v>
      </c>
      <c r="K731" s="43">
        <f>VLOOKUP(F731,[9]Hárok1!$F$672:$S$793,6,0)</f>
        <v>0</v>
      </c>
      <c r="L731" s="43">
        <f>VLOOKUP(F731,[9]Hárok1!$F$672:$S$793,7,0)</f>
        <v>26</v>
      </c>
      <c r="M731" s="43">
        <f>VLOOKUP(F731,[9]Hárok1!$F$672:$S$793,8,0)</f>
        <v>0</v>
      </c>
      <c r="N731" s="43">
        <f>VLOOKUP(F731,[9]Hárok1!$F$672:$S$793,9,0)</f>
        <v>1</v>
      </c>
      <c r="O731" s="43">
        <f>VLOOKUP(F731,[9]Hárok1!$F$672:$S$793,10,0)</f>
        <v>9</v>
      </c>
      <c r="P731" s="44">
        <f>VLOOKUP(F731,[9]Hárok1!$F$672:$S$793,11,0)</f>
        <v>1</v>
      </c>
      <c r="Q731" s="42">
        <f>VLOOKUP(F731,[9]Hárok1!$F$672:$S$793,12,0)</f>
        <v>1</v>
      </c>
      <c r="R731" s="43">
        <f>VLOOKUP(F731,[9]Hárok1!$F$672:$S$793,13,0)</f>
        <v>210</v>
      </c>
      <c r="S731" s="44">
        <f>VLOOKUP(F731,[9]Hárok1!$F$672:$S$793,14,0)</f>
        <v>159</v>
      </c>
      <c r="T731" s="45">
        <f t="shared" si="70"/>
        <v>871</v>
      </c>
      <c r="U731" s="46">
        <f>VLOOKUP(F731,[9]Hárok1!$F$672:$U$793,16,0)</f>
        <v>0</v>
      </c>
      <c r="V731" s="47">
        <f t="shared" si="66"/>
        <v>15</v>
      </c>
      <c r="W731" s="47">
        <f t="shared" si="67"/>
        <v>541.5</v>
      </c>
      <c r="X731" s="48">
        <f t="shared" si="68"/>
        <v>265.5</v>
      </c>
      <c r="Y731" s="49">
        <f t="shared" si="71"/>
        <v>1693</v>
      </c>
      <c r="Z731" s="50">
        <f t="shared" si="69"/>
        <v>1693</v>
      </c>
    </row>
    <row r="732" spans="1:26" x14ac:dyDescent="0.25">
      <c r="A732" s="29" t="s">
        <v>1428</v>
      </c>
      <c r="B732" s="29" t="s">
        <v>79</v>
      </c>
      <c r="C732" s="29" t="s">
        <v>1467</v>
      </c>
      <c r="D732" s="29">
        <v>35541016</v>
      </c>
      <c r="E732" s="32" t="s">
        <v>1468</v>
      </c>
      <c r="F732" s="29">
        <v>161063</v>
      </c>
      <c r="G732" s="32" t="s">
        <v>1514</v>
      </c>
      <c r="H732" s="32" t="s">
        <v>1449</v>
      </c>
      <c r="I732" s="33" t="s">
        <v>1515</v>
      </c>
      <c r="J732" s="42">
        <f>VLOOKUP(F732,[9]Hárok1!$F$672:$S$793,5,0)</f>
        <v>22</v>
      </c>
      <c r="K732" s="43">
        <f>VLOOKUP(F732,[9]Hárok1!$F$672:$S$793,6,0)</f>
        <v>0</v>
      </c>
      <c r="L732" s="43">
        <f>VLOOKUP(F732,[9]Hárok1!$F$672:$S$793,7,0)</f>
        <v>67</v>
      </c>
      <c r="M732" s="43">
        <f>VLOOKUP(F732,[9]Hárok1!$F$672:$S$793,8,0)</f>
        <v>0</v>
      </c>
      <c r="N732" s="43">
        <f>VLOOKUP(F732,[9]Hárok1!$F$672:$S$793,9,0)</f>
        <v>2</v>
      </c>
      <c r="O732" s="43">
        <f>VLOOKUP(F732,[9]Hárok1!$F$672:$S$793,10,0)</f>
        <v>20</v>
      </c>
      <c r="P732" s="44">
        <f>VLOOKUP(F732,[9]Hárok1!$F$672:$S$793,11,0)</f>
        <v>3</v>
      </c>
      <c r="Q732" s="42">
        <f>VLOOKUP(F732,[9]Hárok1!$F$672:$S$793,12,0)</f>
        <v>66</v>
      </c>
      <c r="R732" s="43">
        <f>VLOOKUP(F732,[9]Hárok1!$F$672:$S$793,13,0)</f>
        <v>416</v>
      </c>
      <c r="S732" s="44">
        <f>VLOOKUP(F732,[9]Hárok1!$F$672:$S$793,14,0)</f>
        <v>302</v>
      </c>
      <c r="T732" s="45">
        <f t="shared" si="70"/>
        <v>2244.5</v>
      </c>
      <c r="U732" s="46">
        <f>VLOOKUP(F732,[9]Hárok1!$F$672:$U$793,16,0)</f>
        <v>0</v>
      </c>
      <c r="V732" s="47">
        <f t="shared" si="66"/>
        <v>126</v>
      </c>
      <c r="W732" s="47">
        <f t="shared" si="67"/>
        <v>1102</v>
      </c>
      <c r="X732" s="48">
        <f t="shared" si="68"/>
        <v>534</v>
      </c>
      <c r="Y732" s="49">
        <f t="shared" si="71"/>
        <v>4006.5</v>
      </c>
      <c r="Z732" s="50">
        <f t="shared" si="69"/>
        <v>4007</v>
      </c>
    </row>
    <row r="733" spans="1:26" x14ac:dyDescent="0.25">
      <c r="A733" s="29" t="s">
        <v>1428</v>
      </c>
      <c r="B733" s="29" t="s">
        <v>79</v>
      </c>
      <c r="C733" s="29" t="s">
        <v>1467</v>
      </c>
      <c r="D733" s="29">
        <v>35541016</v>
      </c>
      <c r="E733" s="32" t="s">
        <v>1468</v>
      </c>
      <c r="F733" s="29">
        <v>31953549</v>
      </c>
      <c r="G733" s="32" t="s">
        <v>100</v>
      </c>
      <c r="H733" s="32" t="s">
        <v>1449</v>
      </c>
      <c r="I733" s="33" t="s">
        <v>1452</v>
      </c>
      <c r="J733" s="42">
        <f>VLOOKUP(F733,[9]Hárok1!$F$672:$S$793,5,0)</f>
        <v>6</v>
      </c>
      <c r="K733" s="43">
        <f>VLOOKUP(F733,[9]Hárok1!$F$672:$S$793,6,0)</f>
        <v>0</v>
      </c>
      <c r="L733" s="43">
        <f>VLOOKUP(F733,[9]Hárok1!$F$672:$S$793,7,0)</f>
        <v>17</v>
      </c>
      <c r="M733" s="43">
        <f>VLOOKUP(F733,[9]Hárok1!$F$672:$S$793,8,0)</f>
        <v>0</v>
      </c>
      <c r="N733" s="43">
        <f>VLOOKUP(F733,[9]Hárok1!$F$672:$S$793,9,0)</f>
        <v>0</v>
      </c>
      <c r="O733" s="43">
        <f>VLOOKUP(F733,[9]Hárok1!$F$672:$S$793,10,0)</f>
        <v>9</v>
      </c>
      <c r="P733" s="44">
        <f>VLOOKUP(F733,[9]Hárok1!$F$672:$S$793,11,0)</f>
        <v>0</v>
      </c>
      <c r="Q733" s="42">
        <f>VLOOKUP(F733,[9]Hárok1!$F$672:$S$793,12,0)</f>
        <v>0</v>
      </c>
      <c r="R733" s="43">
        <f>VLOOKUP(F733,[9]Hárok1!$F$672:$S$793,13,0)</f>
        <v>170</v>
      </c>
      <c r="S733" s="44">
        <f>VLOOKUP(F733,[9]Hárok1!$F$672:$S$793,14,0)</f>
        <v>0</v>
      </c>
      <c r="T733" s="45">
        <f t="shared" si="70"/>
        <v>569.5</v>
      </c>
      <c r="U733" s="46">
        <f>VLOOKUP(F733,[9]Hárok1!$F$672:$U$793,16,0)</f>
        <v>126.8</v>
      </c>
      <c r="V733" s="47">
        <f t="shared" si="66"/>
        <v>0</v>
      </c>
      <c r="W733" s="47">
        <f t="shared" si="67"/>
        <v>461.5</v>
      </c>
      <c r="X733" s="48">
        <f t="shared" si="68"/>
        <v>0</v>
      </c>
      <c r="Y733" s="49">
        <f t="shared" si="71"/>
        <v>1157.8</v>
      </c>
      <c r="Z733" s="50">
        <f t="shared" si="69"/>
        <v>1158</v>
      </c>
    </row>
    <row r="734" spans="1:26" x14ac:dyDescent="0.25">
      <c r="A734" s="29" t="s">
        <v>1428</v>
      </c>
      <c r="B734" s="29" t="s">
        <v>79</v>
      </c>
      <c r="C734" s="29" t="s">
        <v>1467</v>
      </c>
      <c r="D734" s="29">
        <v>35541016</v>
      </c>
      <c r="E734" s="32" t="s">
        <v>1468</v>
      </c>
      <c r="F734" s="29">
        <v>17078385</v>
      </c>
      <c r="G734" s="32" t="s">
        <v>402</v>
      </c>
      <c r="H734" s="32" t="s">
        <v>1449</v>
      </c>
      <c r="I734" s="33" t="s">
        <v>1516</v>
      </c>
      <c r="J734" s="42">
        <f>VLOOKUP(F734,[9]Hárok1!$F$672:$S$793,5,0)</f>
        <v>12</v>
      </c>
      <c r="K734" s="43">
        <f>VLOOKUP(F734,[9]Hárok1!$F$672:$S$793,6,0)</f>
        <v>0</v>
      </c>
      <c r="L734" s="43">
        <f>VLOOKUP(F734,[9]Hárok1!$F$672:$S$793,7,0)</f>
        <v>38</v>
      </c>
      <c r="M734" s="43">
        <f>VLOOKUP(F734,[9]Hárok1!$F$672:$S$793,8,0)</f>
        <v>0</v>
      </c>
      <c r="N734" s="43">
        <f>VLOOKUP(F734,[9]Hárok1!$F$672:$S$793,9,0)</f>
        <v>3</v>
      </c>
      <c r="O734" s="43">
        <f>VLOOKUP(F734,[9]Hárok1!$F$672:$S$793,10,0)</f>
        <v>12</v>
      </c>
      <c r="P734" s="44">
        <f>VLOOKUP(F734,[9]Hárok1!$F$672:$S$793,11,0)</f>
        <v>2</v>
      </c>
      <c r="Q734" s="42">
        <f>VLOOKUP(F734,[9]Hárok1!$F$672:$S$793,12,0)</f>
        <v>61</v>
      </c>
      <c r="R734" s="43">
        <f>VLOOKUP(F734,[9]Hárok1!$F$672:$S$793,13,0)</f>
        <v>160</v>
      </c>
      <c r="S734" s="44">
        <f>VLOOKUP(F734,[9]Hárok1!$F$672:$S$793,14,0)</f>
        <v>58</v>
      </c>
      <c r="T734" s="45">
        <f t="shared" si="70"/>
        <v>1273</v>
      </c>
      <c r="U734" s="46">
        <f>VLOOKUP(F734,[9]Hárok1!$F$672:$U$793,16,0)</f>
        <v>37.1</v>
      </c>
      <c r="V734" s="47">
        <f t="shared" si="66"/>
        <v>132</v>
      </c>
      <c r="W734" s="47">
        <f t="shared" si="67"/>
        <v>482</v>
      </c>
      <c r="X734" s="48">
        <f t="shared" si="68"/>
        <v>141</v>
      </c>
      <c r="Y734" s="49">
        <f t="shared" si="71"/>
        <v>2065.1</v>
      </c>
      <c r="Z734" s="50">
        <f t="shared" si="69"/>
        <v>2065</v>
      </c>
    </row>
    <row r="735" spans="1:26" x14ac:dyDescent="0.25">
      <c r="A735" s="29" t="s">
        <v>1428</v>
      </c>
      <c r="B735" s="29" t="s">
        <v>79</v>
      </c>
      <c r="C735" s="29" t="s">
        <v>1467</v>
      </c>
      <c r="D735" s="29">
        <v>35541016</v>
      </c>
      <c r="E735" s="32" t="s">
        <v>1468</v>
      </c>
      <c r="F735" s="29">
        <v>42096651</v>
      </c>
      <c r="G735" s="32" t="s">
        <v>154</v>
      </c>
      <c r="H735" s="32" t="s">
        <v>1449</v>
      </c>
      <c r="I735" s="33" t="s">
        <v>1517</v>
      </c>
      <c r="J735" s="42">
        <f>VLOOKUP(F735,[9]Hárok1!$F$672:$S$793,5,0)</f>
        <v>30</v>
      </c>
      <c r="K735" s="43">
        <f>VLOOKUP(F735,[9]Hárok1!$F$672:$S$793,6,0)</f>
        <v>3</v>
      </c>
      <c r="L735" s="43">
        <f>VLOOKUP(F735,[9]Hárok1!$F$672:$S$793,7,0)</f>
        <v>85</v>
      </c>
      <c r="M735" s="43">
        <f>VLOOKUP(F735,[9]Hárok1!$F$672:$S$793,8,0)</f>
        <v>3</v>
      </c>
      <c r="N735" s="43">
        <f>VLOOKUP(F735,[9]Hárok1!$F$672:$S$793,9,0)</f>
        <v>5</v>
      </c>
      <c r="O735" s="43">
        <f>VLOOKUP(F735,[9]Hárok1!$F$672:$S$793,10,0)</f>
        <v>34</v>
      </c>
      <c r="P735" s="44">
        <f>VLOOKUP(F735,[9]Hárok1!$F$672:$S$793,11,0)</f>
        <v>2</v>
      </c>
      <c r="Q735" s="42">
        <f>VLOOKUP(F735,[9]Hárok1!$F$672:$S$793,12,0)</f>
        <v>35</v>
      </c>
      <c r="R735" s="43">
        <f>VLOOKUP(F735,[9]Hárok1!$F$672:$S$793,13,0)</f>
        <v>797</v>
      </c>
      <c r="S735" s="44">
        <f>VLOOKUP(F735,[9]Hárok1!$F$672:$S$793,14,0)</f>
        <v>125</v>
      </c>
      <c r="T735" s="45">
        <f t="shared" si="70"/>
        <v>2847.5</v>
      </c>
      <c r="U735" s="46">
        <f>VLOOKUP(F735,[9]Hárok1!$F$672:$U$793,16,0)</f>
        <v>299.60000000000002</v>
      </c>
      <c r="V735" s="47">
        <f t="shared" si="66"/>
        <v>120</v>
      </c>
      <c r="W735" s="47">
        <f t="shared" si="67"/>
        <v>2053</v>
      </c>
      <c r="X735" s="48">
        <f t="shared" si="68"/>
        <v>241.5</v>
      </c>
      <c r="Y735" s="49">
        <f t="shared" si="71"/>
        <v>5561.6</v>
      </c>
      <c r="Z735" s="50">
        <f t="shared" si="69"/>
        <v>5562</v>
      </c>
    </row>
    <row r="736" spans="1:26" x14ac:dyDescent="0.25">
      <c r="A736" s="29" t="s">
        <v>1428</v>
      </c>
      <c r="B736" s="29" t="s">
        <v>79</v>
      </c>
      <c r="C736" s="29" t="s">
        <v>1467</v>
      </c>
      <c r="D736" s="29">
        <v>35541016</v>
      </c>
      <c r="E736" s="32" t="s">
        <v>1468</v>
      </c>
      <c r="F736" s="29">
        <v>606782</v>
      </c>
      <c r="G736" s="32" t="s">
        <v>117</v>
      </c>
      <c r="H736" s="32" t="s">
        <v>1449</v>
      </c>
      <c r="I736" s="33" t="s">
        <v>1518</v>
      </c>
      <c r="J736" s="42">
        <f>VLOOKUP(F736,[9]Hárok1!$F$672:$S$793,5,0)</f>
        <v>25</v>
      </c>
      <c r="K736" s="43">
        <f>VLOOKUP(F736,[9]Hárok1!$F$672:$S$793,6,0)</f>
        <v>2</v>
      </c>
      <c r="L736" s="43">
        <f>VLOOKUP(F736,[9]Hárok1!$F$672:$S$793,7,0)</f>
        <v>89</v>
      </c>
      <c r="M736" s="43">
        <f>VLOOKUP(F736,[9]Hárok1!$F$672:$S$793,8,0)</f>
        <v>6</v>
      </c>
      <c r="N736" s="43">
        <f>VLOOKUP(F736,[9]Hárok1!$F$672:$S$793,9,0)</f>
        <v>4</v>
      </c>
      <c r="O736" s="43">
        <f>VLOOKUP(F736,[9]Hárok1!$F$672:$S$793,10,0)</f>
        <v>34</v>
      </c>
      <c r="P736" s="44">
        <f>VLOOKUP(F736,[9]Hárok1!$F$672:$S$793,11,0)</f>
        <v>0</v>
      </c>
      <c r="Q736" s="42">
        <f>VLOOKUP(F736,[9]Hárok1!$F$672:$S$793,12,0)</f>
        <v>99</v>
      </c>
      <c r="R736" s="43">
        <f>VLOOKUP(F736,[9]Hárok1!$F$672:$S$793,13,0)</f>
        <v>828</v>
      </c>
      <c r="S736" s="44">
        <f>VLOOKUP(F736,[9]Hárok1!$F$672:$S$793,14,0)</f>
        <v>0</v>
      </c>
      <c r="T736" s="45">
        <f t="shared" si="70"/>
        <v>2981.5</v>
      </c>
      <c r="U736" s="46">
        <f>VLOOKUP(F736,[9]Hárok1!$F$672:$U$793,16,0)</f>
        <v>2651.07</v>
      </c>
      <c r="V736" s="47">
        <f t="shared" si="66"/>
        <v>202.5</v>
      </c>
      <c r="W736" s="47">
        <f t="shared" si="67"/>
        <v>2115</v>
      </c>
      <c r="X736" s="48">
        <f t="shared" si="68"/>
        <v>0</v>
      </c>
      <c r="Y736" s="49">
        <f t="shared" si="71"/>
        <v>7950.07</v>
      </c>
      <c r="Z736" s="50">
        <f t="shared" si="69"/>
        <v>7950</v>
      </c>
    </row>
    <row r="737" spans="1:26" x14ac:dyDescent="0.25">
      <c r="A737" s="29" t="s">
        <v>1428</v>
      </c>
      <c r="B737" s="29" t="s">
        <v>79</v>
      </c>
      <c r="C737" s="29" t="s">
        <v>1467</v>
      </c>
      <c r="D737" s="29">
        <v>35541016</v>
      </c>
      <c r="E737" s="32" t="s">
        <v>1468</v>
      </c>
      <c r="F737" s="29">
        <v>42104980</v>
      </c>
      <c r="G737" s="32" t="s">
        <v>718</v>
      </c>
      <c r="H737" s="32" t="s">
        <v>1519</v>
      </c>
      <c r="I737" s="33" t="s">
        <v>1520</v>
      </c>
      <c r="J737" s="42">
        <f>VLOOKUP(F737,[9]Hárok1!$F$672:$S$793,5,0)</f>
        <v>4</v>
      </c>
      <c r="K737" s="43">
        <f>VLOOKUP(F737,[9]Hárok1!$F$672:$S$793,6,0)</f>
        <v>0</v>
      </c>
      <c r="L737" s="43">
        <f>VLOOKUP(F737,[9]Hárok1!$F$672:$S$793,7,0)</f>
        <v>20</v>
      </c>
      <c r="M737" s="43">
        <f>VLOOKUP(F737,[9]Hárok1!$F$672:$S$793,8,0)</f>
        <v>0</v>
      </c>
      <c r="N737" s="43">
        <f>VLOOKUP(F737,[9]Hárok1!$F$672:$S$793,9,0)</f>
        <v>0</v>
      </c>
      <c r="O737" s="43">
        <f>VLOOKUP(F737,[9]Hárok1!$F$672:$S$793,10,0)</f>
        <v>5</v>
      </c>
      <c r="P737" s="44">
        <f>VLOOKUP(F737,[9]Hárok1!$F$672:$S$793,11,0)</f>
        <v>0</v>
      </c>
      <c r="Q737" s="42">
        <f>VLOOKUP(F737,[9]Hárok1!$F$672:$S$793,12,0)</f>
        <v>0</v>
      </c>
      <c r="R737" s="43">
        <f>VLOOKUP(F737,[9]Hárok1!$F$672:$S$793,13,0)</f>
        <v>212</v>
      </c>
      <c r="S737" s="44">
        <f>VLOOKUP(F737,[9]Hárok1!$F$672:$S$793,14,0)</f>
        <v>0</v>
      </c>
      <c r="T737" s="45">
        <f t="shared" si="70"/>
        <v>670</v>
      </c>
      <c r="U737" s="46">
        <f>VLOOKUP(F737,[9]Hárok1!$F$672:$U$793,16,0)</f>
        <v>134.80000000000001</v>
      </c>
      <c r="V737" s="47">
        <f t="shared" si="66"/>
        <v>0</v>
      </c>
      <c r="W737" s="47">
        <f t="shared" si="67"/>
        <v>491.5</v>
      </c>
      <c r="X737" s="48">
        <f t="shared" si="68"/>
        <v>0</v>
      </c>
      <c r="Y737" s="49">
        <f t="shared" si="71"/>
        <v>1296.3</v>
      </c>
      <c r="Z737" s="50">
        <f t="shared" si="69"/>
        <v>1296</v>
      </c>
    </row>
    <row r="738" spans="1:26" x14ac:dyDescent="0.25">
      <c r="A738" s="29" t="s">
        <v>1428</v>
      </c>
      <c r="B738" s="29" t="s">
        <v>79</v>
      </c>
      <c r="C738" s="29" t="s">
        <v>1467</v>
      </c>
      <c r="D738" s="29">
        <v>35541016</v>
      </c>
      <c r="E738" s="32" t="s">
        <v>1468</v>
      </c>
      <c r="F738" s="29">
        <v>161250</v>
      </c>
      <c r="G738" s="32" t="s">
        <v>725</v>
      </c>
      <c r="H738" s="32" t="s">
        <v>1453</v>
      </c>
      <c r="I738" s="33" t="s">
        <v>1521</v>
      </c>
      <c r="J738" s="42">
        <f>VLOOKUP(F738,[9]Hárok1!$F$672:$S$793,5,0)</f>
        <v>10</v>
      </c>
      <c r="K738" s="43">
        <f>VLOOKUP(F738,[9]Hárok1!$F$672:$S$793,6,0)</f>
        <v>1</v>
      </c>
      <c r="L738" s="43">
        <f>VLOOKUP(F738,[9]Hárok1!$F$672:$S$793,7,0)</f>
        <v>18</v>
      </c>
      <c r="M738" s="43">
        <f>VLOOKUP(F738,[9]Hárok1!$F$672:$S$793,8,0)</f>
        <v>2</v>
      </c>
      <c r="N738" s="43">
        <f>VLOOKUP(F738,[9]Hárok1!$F$672:$S$793,9,0)</f>
        <v>2</v>
      </c>
      <c r="O738" s="43">
        <f>VLOOKUP(F738,[9]Hárok1!$F$672:$S$793,10,0)</f>
        <v>10</v>
      </c>
      <c r="P738" s="44">
        <f>VLOOKUP(F738,[9]Hárok1!$F$672:$S$793,11,0)</f>
        <v>1</v>
      </c>
      <c r="Q738" s="42">
        <f>VLOOKUP(F738,[9]Hárok1!$F$672:$S$793,12,0)</f>
        <v>55</v>
      </c>
      <c r="R738" s="43">
        <f>VLOOKUP(F738,[9]Hárok1!$F$672:$S$793,13,0)</f>
        <v>161</v>
      </c>
      <c r="S738" s="44">
        <f>VLOOKUP(F738,[9]Hárok1!$F$672:$S$793,14,0)</f>
        <v>29</v>
      </c>
      <c r="T738" s="45">
        <f t="shared" si="70"/>
        <v>603</v>
      </c>
      <c r="U738" s="46">
        <f>VLOOKUP(F738,[9]Hárok1!$F$672:$U$793,16,0)</f>
        <v>52</v>
      </c>
      <c r="V738" s="47">
        <f t="shared" si="66"/>
        <v>109.5</v>
      </c>
      <c r="W738" s="47">
        <f t="shared" si="67"/>
        <v>457</v>
      </c>
      <c r="X738" s="48">
        <f t="shared" si="68"/>
        <v>70.5</v>
      </c>
      <c r="Y738" s="49">
        <f t="shared" si="71"/>
        <v>1292</v>
      </c>
      <c r="Z738" s="50">
        <f t="shared" si="69"/>
        <v>1292</v>
      </c>
    </row>
    <row r="739" spans="1:26" x14ac:dyDescent="0.25">
      <c r="A739" s="29" t="s">
        <v>1428</v>
      </c>
      <c r="B739" s="29" t="s">
        <v>79</v>
      </c>
      <c r="C739" s="29" t="s">
        <v>1467</v>
      </c>
      <c r="D739" s="29">
        <v>35541016</v>
      </c>
      <c r="E739" s="32" t="s">
        <v>1468</v>
      </c>
      <c r="F739" s="29">
        <v>17055393</v>
      </c>
      <c r="G739" s="32" t="s">
        <v>1522</v>
      </c>
      <c r="H739" s="32" t="s">
        <v>1453</v>
      </c>
      <c r="I739" s="33" t="s">
        <v>1523</v>
      </c>
      <c r="J739" s="42">
        <f>VLOOKUP(F739,[9]Hárok1!$F$672:$S$793,5,0)</f>
        <v>8</v>
      </c>
      <c r="K739" s="43">
        <f>VLOOKUP(F739,[9]Hárok1!$F$672:$S$793,6,0)</f>
        <v>0</v>
      </c>
      <c r="L739" s="43">
        <f>VLOOKUP(F739,[9]Hárok1!$F$672:$S$793,7,0)</f>
        <v>16</v>
      </c>
      <c r="M739" s="43">
        <f>VLOOKUP(F739,[9]Hárok1!$F$672:$S$793,8,0)</f>
        <v>0</v>
      </c>
      <c r="N739" s="43">
        <f>VLOOKUP(F739,[9]Hárok1!$F$672:$S$793,9,0)</f>
        <v>0</v>
      </c>
      <c r="O739" s="43">
        <f>VLOOKUP(F739,[9]Hárok1!$F$672:$S$793,10,0)</f>
        <v>14</v>
      </c>
      <c r="P739" s="44">
        <f>VLOOKUP(F739,[9]Hárok1!$F$672:$S$793,11,0)</f>
        <v>2</v>
      </c>
      <c r="Q739" s="42">
        <f>VLOOKUP(F739,[9]Hárok1!$F$672:$S$793,12,0)</f>
        <v>0</v>
      </c>
      <c r="R739" s="43">
        <f>VLOOKUP(F739,[9]Hárok1!$F$672:$S$793,13,0)</f>
        <v>105</v>
      </c>
      <c r="S739" s="44">
        <f>VLOOKUP(F739,[9]Hárok1!$F$672:$S$793,14,0)</f>
        <v>28</v>
      </c>
      <c r="T739" s="45">
        <f t="shared" si="70"/>
        <v>536</v>
      </c>
      <c r="U739" s="46">
        <f>VLOOKUP(F739,[9]Hárok1!$F$672:$U$793,16,0)</f>
        <v>0</v>
      </c>
      <c r="V739" s="47">
        <f t="shared" si="66"/>
        <v>0</v>
      </c>
      <c r="W739" s="47">
        <f t="shared" si="67"/>
        <v>399</v>
      </c>
      <c r="X739" s="48">
        <f t="shared" si="68"/>
        <v>96</v>
      </c>
      <c r="Y739" s="49">
        <f t="shared" si="71"/>
        <v>1031</v>
      </c>
      <c r="Z739" s="50">
        <f t="shared" si="69"/>
        <v>1031</v>
      </c>
    </row>
    <row r="740" spans="1:26" x14ac:dyDescent="0.25">
      <c r="A740" s="29" t="s">
        <v>1428</v>
      </c>
      <c r="B740" s="29" t="s">
        <v>79</v>
      </c>
      <c r="C740" s="29" t="s">
        <v>1467</v>
      </c>
      <c r="D740" s="29">
        <v>35541016</v>
      </c>
      <c r="E740" s="32" t="s">
        <v>1468</v>
      </c>
      <c r="F740" s="29">
        <v>53966864</v>
      </c>
      <c r="G740" s="32" t="s">
        <v>679</v>
      </c>
      <c r="H740" s="32" t="s">
        <v>1455</v>
      </c>
      <c r="I740" s="33" t="s">
        <v>1524</v>
      </c>
      <c r="J740" s="42">
        <f>VLOOKUP(F740,[9]Hárok1!$F$672:$S$793,5,0)</f>
        <v>9</v>
      </c>
      <c r="K740" s="43">
        <f>VLOOKUP(F740,[9]Hárok1!$F$672:$S$793,6,0)</f>
        <v>0</v>
      </c>
      <c r="L740" s="43">
        <f>VLOOKUP(F740,[9]Hárok1!$F$672:$S$793,7,0)</f>
        <v>26</v>
      </c>
      <c r="M740" s="43">
        <f>VLOOKUP(F740,[9]Hárok1!$F$672:$S$793,8,0)</f>
        <v>0</v>
      </c>
      <c r="N740" s="43">
        <f>VLOOKUP(F740,[9]Hárok1!$F$672:$S$793,9,0)</f>
        <v>1</v>
      </c>
      <c r="O740" s="43">
        <f>VLOOKUP(F740,[9]Hárok1!$F$672:$S$793,10,0)</f>
        <v>15</v>
      </c>
      <c r="P740" s="44">
        <f>VLOOKUP(F740,[9]Hárok1!$F$672:$S$793,11,0)</f>
        <v>1</v>
      </c>
      <c r="Q740" s="42">
        <f>VLOOKUP(F740,[9]Hárok1!$F$672:$S$793,12,0)</f>
        <v>4</v>
      </c>
      <c r="R740" s="43">
        <f>VLOOKUP(F740,[9]Hárok1!$F$672:$S$793,13,0)</f>
        <v>171</v>
      </c>
      <c r="S740" s="44">
        <f>VLOOKUP(F740,[9]Hárok1!$F$672:$S$793,14,0)</f>
        <v>25</v>
      </c>
      <c r="T740" s="45">
        <f t="shared" si="70"/>
        <v>871</v>
      </c>
      <c r="U740" s="46">
        <f>VLOOKUP(F740,[9]Hárok1!$F$672:$U$793,16,0)</f>
        <v>232.4</v>
      </c>
      <c r="V740" s="47">
        <f t="shared" si="66"/>
        <v>19.5</v>
      </c>
      <c r="W740" s="47">
        <f t="shared" si="67"/>
        <v>544.5</v>
      </c>
      <c r="X740" s="48">
        <f t="shared" si="68"/>
        <v>64.5</v>
      </c>
      <c r="Y740" s="49">
        <f t="shared" si="71"/>
        <v>1731.9</v>
      </c>
      <c r="Z740" s="50">
        <f t="shared" si="69"/>
        <v>1732</v>
      </c>
    </row>
    <row r="741" spans="1:26" x14ac:dyDescent="0.25">
      <c r="A741" s="29" t="s">
        <v>1428</v>
      </c>
      <c r="B741" s="29" t="s">
        <v>79</v>
      </c>
      <c r="C741" s="29" t="s">
        <v>1467</v>
      </c>
      <c r="D741" s="29">
        <v>35541016</v>
      </c>
      <c r="E741" s="32" t="s">
        <v>1468</v>
      </c>
      <c r="F741" s="29">
        <v>161144</v>
      </c>
      <c r="G741" s="32" t="s">
        <v>1525</v>
      </c>
      <c r="H741" s="32" t="s">
        <v>1457</v>
      </c>
      <c r="I741" s="33" t="s">
        <v>1526</v>
      </c>
      <c r="J741" s="42">
        <f>VLOOKUP(F741,[9]Hárok1!$F$672:$S$793,5,0)</f>
        <v>6</v>
      </c>
      <c r="K741" s="43">
        <f>VLOOKUP(F741,[9]Hárok1!$F$672:$S$793,6,0)</f>
        <v>0</v>
      </c>
      <c r="L741" s="43">
        <f>VLOOKUP(F741,[9]Hárok1!$F$672:$S$793,7,0)</f>
        <v>16</v>
      </c>
      <c r="M741" s="43">
        <f>VLOOKUP(F741,[9]Hárok1!$F$672:$S$793,8,0)</f>
        <v>0</v>
      </c>
      <c r="N741" s="43">
        <f>VLOOKUP(F741,[9]Hárok1!$F$672:$S$793,9,0)</f>
        <v>1</v>
      </c>
      <c r="O741" s="43">
        <f>VLOOKUP(F741,[9]Hárok1!$F$672:$S$793,10,0)</f>
        <v>7</v>
      </c>
      <c r="P741" s="44">
        <f>VLOOKUP(F741,[9]Hárok1!$F$672:$S$793,11,0)</f>
        <v>1</v>
      </c>
      <c r="Q741" s="42">
        <f>VLOOKUP(F741,[9]Hárok1!$F$672:$S$793,12,0)</f>
        <v>12</v>
      </c>
      <c r="R741" s="43">
        <f>VLOOKUP(F741,[9]Hárok1!$F$672:$S$793,13,0)</f>
        <v>117</v>
      </c>
      <c r="S741" s="44">
        <f>VLOOKUP(F741,[9]Hárok1!$F$672:$S$793,14,0)</f>
        <v>56</v>
      </c>
      <c r="T741" s="45">
        <f t="shared" si="70"/>
        <v>536</v>
      </c>
      <c r="U741" s="46">
        <f>VLOOKUP(F741,[9]Hárok1!$F$672:$U$793,16,0)</f>
        <v>30.9</v>
      </c>
      <c r="V741" s="47">
        <f t="shared" si="66"/>
        <v>31.5</v>
      </c>
      <c r="W741" s="47">
        <f t="shared" si="67"/>
        <v>328.5</v>
      </c>
      <c r="X741" s="48">
        <f t="shared" si="68"/>
        <v>111</v>
      </c>
      <c r="Y741" s="49">
        <f t="shared" si="71"/>
        <v>1037.9000000000001</v>
      </c>
      <c r="Z741" s="50">
        <f t="shared" si="69"/>
        <v>1038</v>
      </c>
    </row>
    <row r="742" spans="1:26" x14ac:dyDescent="0.25">
      <c r="A742" s="29" t="s">
        <v>1428</v>
      </c>
      <c r="B742" s="29" t="s">
        <v>79</v>
      </c>
      <c r="C742" s="29" t="s">
        <v>1467</v>
      </c>
      <c r="D742" s="29">
        <v>35541016</v>
      </c>
      <c r="E742" s="32" t="s">
        <v>1468</v>
      </c>
      <c r="F742" s="29">
        <v>162205</v>
      </c>
      <c r="G742" s="32" t="s">
        <v>100</v>
      </c>
      <c r="H742" s="32" t="s">
        <v>1457</v>
      </c>
      <c r="I742" s="33" t="s">
        <v>1527</v>
      </c>
      <c r="J742" s="42">
        <f>VLOOKUP(F742,[9]Hárok1!$F$672:$S$793,5,0)</f>
        <v>2</v>
      </c>
      <c r="K742" s="43">
        <f>VLOOKUP(F742,[9]Hárok1!$F$672:$S$793,6,0)</f>
        <v>2</v>
      </c>
      <c r="L742" s="43">
        <f>VLOOKUP(F742,[9]Hárok1!$F$672:$S$793,7,0)</f>
        <v>12</v>
      </c>
      <c r="M742" s="43">
        <f>VLOOKUP(F742,[9]Hárok1!$F$672:$S$793,8,0)</f>
        <v>7</v>
      </c>
      <c r="N742" s="43">
        <f>VLOOKUP(F742,[9]Hárok1!$F$672:$S$793,9,0)</f>
        <v>4</v>
      </c>
      <c r="O742" s="43">
        <f>VLOOKUP(F742,[9]Hárok1!$F$672:$S$793,10,0)</f>
        <v>3</v>
      </c>
      <c r="P742" s="44">
        <f>VLOOKUP(F742,[9]Hárok1!$F$672:$S$793,11,0)</f>
        <v>1</v>
      </c>
      <c r="Q742" s="42">
        <f>VLOOKUP(F742,[9]Hárok1!$F$672:$S$793,12,0)</f>
        <v>80</v>
      </c>
      <c r="R742" s="43">
        <f>VLOOKUP(F742,[9]Hárok1!$F$672:$S$793,13,0)</f>
        <v>132</v>
      </c>
      <c r="S742" s="44">
        <f>VLOOKUP(F742,[9]Hárok1!$F$672:$S$793,14,0)</f>
        <v>94</v>
      </c>
      <c r="T742" s="45">
        <f t="shared" si="70"/>
        <v>402</v>
      </c>
      <c r="U742" s="46">
        <f>VLOOKUP(F742,[9]Hárok1!$F$672:$U$793,16,0)</f>
        <v>0</v>
      </c>
      <c r="V742" s="47">
        <f t="shared" si="66"/>
        <v>174</v>
      </c>
      <c r="W742" s="47">
        <f t="shared" si="67"/>
        <v>304.5</v>
      </c>
      <c r="X742" s="48">
        <f t="shared" si="68"/>
        <v>168</v>
      </c>
      <c r="Y742" s="49">
        <f t="shared" si="71"/>
        <v>1048.5</v>
      </c>
      <c r="Z742" s="50">
        <f t="shared" si="69"/>
        <v>1049</v>
      </c>
    </row>
    <row r="743" spans="1:26" x14ac:dyDescent="0.25">
      <c r="A743" s="29" t="s">
        <v>1428</v>
      </c>
      <c r="B743" s="29" t="s">
        <v>79</v>
      </c>
      <c r="C743" s="29" t="s">
        <v>1467</v>
      </c>
      <c r="D743" s="29">
        <v>35541016</v>
      </c>
      <c r="E743" s="32" t="s">
        <v>1468</v>
      </c>
      <c r="F743" s="29">
        <v>617652</v>
      </c>
      <c r="G743" s="32" t="s">
        <v>402</v>
      </c>
      <c r="H743" s="32" t="s">
        <v>1457</v>
      </c>
      <c r="I743" s="33" t="s">
        <v>1528</v>
      </c>
      <c r="J743" s="42">
        <f>VLOOKUP(F743,[9]Hárok1!$F$672:$S$793,5,0)</f>
        <v>6</v>
      </c>
      <c r="K743" s="43">
        <f>VLOOKUP(F743,[9]Hárok1!$F$672:$S$793,6,0)</f>
        <v>0</v>
      </c>
      <c r="L743" s="43">
        <f>VLOOKUP(F743,[9]Hárok1!$F$672:$S$793,7,0)</f>
        <v>20</v>
      </c>
      <c r="M743" s="43">
        <f>VLOOKUP(F743,[9]Hárok1!$F$672:$S$793,8,0)</f>
        <v>0</v>
      </c>
      <c r="N743" s="43">
        <f>VLOOKUP(F743,[9]Hárok1!$F$672:$S$793,9,0)</f>
        <v>0</v>
      </c>
      <c r="O743" s="43">
        <f>VLOOKUP(F743,[9]Hárok1!$F$672:$S$793,10,0)</f>
        <v>14</v>
      </c>
      <c r="P743" s="44">
        <f>VLOOKUP(F743,[9]Hárok1!$F$672:$S$793,11,0)</f>
        <v>1</v>
      </c>
      <c r="Q743" s="42">
        <f>VLOOKUP(F743,[9]Hárok1!$F$672:$S$793,12,0)</f>
        <v>0</v>
      </c>
      <c r="R743" s="43">
        <f>VLOOKUP(F743,[9]Hárok1!$F$672:$S$793,13,0)</f>
        <v>110</v>
      </c>
      <c r="S743" s="44">
        <f>VLOOKUP(F743,[9]Hárok1!$F$672:$S$793,14,0)</f>
        <v>93</v>
      </c>
      <c r="T743" s="45">
        <f t="shared" si="70"/>
        <v>670</v>
      </c>
      <c r="U743" s="46">
        <f>VLOOKUP(F743,[9]Hárok1!$F$672:$U$793,16,0)</f>
        <v>0</v>
      </c>
      <c r="V743" s="47">
        <f t="shared" si="66"/>
        <v>0</v>
      </c>
      <c r="W743" s="47">
        <f t="shared" si="67"/>
        <v>409</v>
      </c>
      <c r="X743" s="48">
        <f t="shared" si="68"/>
        <v>166.5</v>
      </c>
      <c r="Y743" s="49">
        <f t="shared" si="71"/>
        <v>1245.5</v>
      </c>
      <c r="Z743" s="50">
        <f t="shared" si="69"/>
        <v>1246</v>
      </c>
    </row>
    <row r="744" spans="1:26" x14ac:dyDescent="0.25">
      <c r="A744" s="29" t="s">
        <v>1428</v>
      </c>
      <c r="B744" s="29" t="s">
        <v>79</v>
      </c>
      <c r="C744" s="29" t="s">
        <v>1467</v>
      </c>
      <c r="D744" s="29">
        <v>35541016</v>
      </c>
      <c r="E744" s="32" t="s">
        <v>1468</v>
      </c>
      <c r="F744" s="29">
        <v>17050545</v>
      </c>
      <c r="G744" s="32" t="s">
        <v>154</v>
      </c>
      <c r="H744" s="32" t="s">
        <v>1457</v>
      </c>
      <c r="I744" s="33" t="s">
        <v>1529</v>
      </c>
      <c r="J744" s="42">
        <f>VLOOKUP(F744,[9]Hárok1!$F$672:$S$793,5,0)</f>
        <v>8</v>
      </c>
      <c r="K744" s="43">
        <f>VLOOKUP(F744,[9]Hárok1!$F$672:$S$793,6,0)</f>
        <v>0</v>
      </c>
      <c r="L744" s="43">
        <f>VLOOKUP(F744,[9]Hárok1!$F$672:$S$793,7,0)</f>
        <v>19</v>
      </c>
      <c r="M744" s="43">
        <f>VLOOKUP(F744,[9]Hárok1!$F$672:$S$793,8,0)</f>
        <v>0</v>
      </c>
      <c r="N744" s="43">
        <f>VLOOKUP(F744,[9]Hárok1!$F$672:$S$793,9,0)</f>
        <v>2</v>
      </c>
      <c r="O744" s="43">
        <f>VLOOKUP(F744,[9]Hárok1!$F$672:$S$793,10,0)</f>
        <v>16</v>
      </c>
      <c r="P744" s="44">
        <f>VLOOKUP(F744,[9]Hárok1!$F$672:$S$793,11,0)</f>
        <v>1</v>
      </c>
      <c r="Q744" s="42">
        <f>VLOOKUP(F744,[9]Hárok1!$F$672:$S$793,12,0)</f>
        <v>40</v>
      </c>
      <c r="R744" s="43">
        <f>VLOOKUP(F744,[9]Hárok1!$F$672:$S$793,13,0)</f>
        <v>165</v>
      </c>
      <c r="S744" s="44">
        <f>VLOOKUP(F744,[9]Hárok1!$F$672:$S$793,14,0)</f>
        <v>16</v>
      </c>
      <c r="T744" s="45">
        <f t="shared" si="70"/>
        <v>636.5</v>
      </c>
      <c r="U744" s="46">
        <f>VLOOKUP(F744,[9]Hárok1!$F$672:$U$793,16,0)</f>
        <v>157.9</v>
      </c>
      <c r="V744" s="47">
        <f t="shared" si="66"/>
        <v>87</v>
      </c>
      <c r="W744" s="47">
        <f t="shared" si="67"/>
        <v>546</v>
      </c>
      <c r="X744" s="48">
        <f t="shared" si="68"/>
        <v>51</v>
      </c>
      <c r="Y744" s="49">
        <f t="shared" si="71"/>
        <v>1478.4</v>
      </c>
      <c r="Z744" s="50">
        <f t="shared" si="69"/>
        <v>1478</v>
      </c>
    </row>
    <row r="745" spans="1:26" x14ac:dyDescent="0.25">
      <c r="A745" s="29" t="s">
        <v>1428</v>
      </c>
      <c r="B745" s="29" t="s">
        <v>79</v>
      </c>
      <c r="C745" s="29" t="s">
        <v>1467</v>
      </c>
      <c r="D745" s="29">
        <v>35541016</v>
      </c>
      <c r="E745" s="32" t="s">
        <v>1468</v>
      </c>
      <c r="F745" s="29">
        <v>606812</v>
      </c>
      <c r="G745" s="32" t="s">
        <v>723</v>
      </c>
      <c r="H745" s="32" t="s">
        <v>1457</v>
      </c>
      <c r="I745" s="33" t="s">
        <v>1530</v>
      </c>
      <c r="J745" s="42">
        <f>VLOOKUP(F745,[9]Hárok1!$F$672:$S$793,5,0)</f>
        <v>19</v>
      </c>
      <c r="K745" s="43">
        <f>VLOOKUP(F745,[9]Hárok1!$F$672:$S$793,6,0)</f>
        <v>1</v>
      </c>
      <c r="L745" s="43">
        <f>VLOOKUP(F745,[9]Hárok1!$F$672:$S$793,7,0)</f>
        <v>76</v>
      </c>
      <c r="M745" s="43">
        <f>VLOOKUP(F745,[9]Hárok1!$F$672:$S$793,8,0)</f>
        <v>1</v>
      </c>
      <c r="N745" s="43">
        <f>VLOOKUP(F745,[9]Hárok1!$F$672:$S$793,9,0)</f>
        <v>2</v>
      </c>
      <c r="O745" s="43">
        <f>VLOOKUP(F745,[9]Hárok1!$F$672:$S$793,10,0)</f>
        <v>29</v>
      </c>
      <c r="P745" s="44">
        <f>VLOOKUP(F745,[9]Hárok1!$F$672:$S$793,11,0)</f>
        <v>1</v>
      </c>
      <c r="Q745" s="42">
        <f>VLOOKUP(F745,[9]Hárok1!$F$672:$S$793,12,0)</f>
        <v>22</v>
      </c>
      <c r="R745" s="43">
        <f>VLOOKUP(F745,[9]Hárok1!$F$672:$S$793,13,0)</f>
        <v>677</v>
      </c>
      <c r="S745" s="44">
        <f>VLOOKUP(F745,[9]Hárok1!$F$672:$S$793,14,0)</f>
        <v>57</v>
      </c>
      <c r="T745" s="45">
        <f t="shared" si="70"/>
        <v>2546</v>
      </c>
      <c r="U745" s="46">
        <f>VLOOKUP(F745,[9]Hárok1!$F$672:$U$793,16,0)</f>
        <v>3069.1</v>
      </c>
      <c r="V745" s="47">
        <f t="shared" si="66"/>
        <v>60</v>
      </c>
      <c r="W745" s="47">
        <f t="shared" si="67"/>
        <v>1745.5</v>
      </c>
      <c r="X745" s="48">
        <f t="shared" si="68"/>
        <v>112.5</v>
      </c>
      <c r="Y745" s="49">
        <f t="shared" si="71"/>
        <v>7533.1</v>
      </c>
      <c r="Z745" s="50">
        <f t="shared" si="69"/>
        <v>7533</v>
      </c>
    </row>
    <row r="746" spans="1:26" x14ac:dyDescent="0.25">
      <c r="A746" s="29" t="s">
        <v>1428</v>
      </c>
      <c r="B746" s="29" t="s">
        <v>79</v>
      </c>
      <c r="C746" s="29" t="s">
        <v>1467</v>
      </c>
      <c r="D746" s="29">
        <v>35541016</v>
      </c>
      <c r="E746" s="32" t="s">
        <v>1468</v>
      </c>
      <c r="F746" s="29">
        <v>161187</v>
      </c>
      <c r="G746" s="32" t="s">
        <v>49</v>
      </c>
      <c r="H746" s="32" t="s">
        <v>1531</v>
      </c>
      <c r="I746" s="33" t="s">
        <v>1532</v>
      </c>
      <c r="J746" s="42">
        <f>VLOOKUP(F746,[9]Hárok1!$F$672:$S$793,5,0)</f>
        <v>8</v>
      </c>
      <c r="K746" s="43">
        <f>VLOOKUP(F746,[9]Hárok1!$F$672:$S$793,6,0)</f>
        <v>0</v>
      </c>
      <c r="L746" s="43">
        <f>VLOOKUP(F746,[9]Hárok1!$F$672:$S$793,7,0)</f>
        <v>23</v>
      </c>
      <c r="M746" s="43">
        <f>VLOOKUP(F746,[9]Hárok1!$F$672:$S$793,8,0)</f>
        <v>0</v>
      </c>
      <c r="N746" s="43">
        <f>VLOOKUP(F746,[9]Hárok1!$F$672:$S$793,9,0)</f>
        <v>0</v>
      </c>
      <c r="O746" s="43">
        <f>VLOOKUP(F746,[9]Hárok1!$F$672:$S$793,10,0)</f>
        <v>8</v>
      </c>
      <c r="P746" s="44">
        <f>VLOOKUP(F746,[9]Hárok1!$F$672:$S$793,11,0)</f>
        <v>1</v>
      </c>
      <c r="Q746" s="42">
        <f>VLOOKUP(F746,[9]Hárok1!$F$672:$S$793,12,0)</f>
        <v>0</v>
      </c>
      <c r="R746" s="43">
        <f>VLOOKUP(F746,[9]Hárok1!$F$672:$S$793,13,0)</f>
        <v>185</v>
      </c>
      <c r="S746" s="44">
        <f>VLOOKUP(F746,[9]Hárok1!$F$672:$S$793,14,0)</f>
        <v>19</v>
      </c>
      <c r="T746" s="45">
        <f t="shared" si="70"/>
        <v>770.5</v>
      </c>
      <c r="U746" s="46">
        <f>VLOOKUP(F746,[9]Hárok1!$F$672:$U$793,16,0)</f>
        <v>185.1</v>
      </c>
      <c r="V746" s="47">
        <f t="shared" si="66"/>
        <v>0</v>
      </c>
      <c r="W746" s="47">
        <f t="shared" si="67"/>
        <v>478</v>
      </c>
      <c r="X746" s="48">
        <f t="shared" si="68"/>
        <v>55.5</v>
      </c>
      <c r="Y746" s="49">
        <f t="shared" si="71"/>
        <v>1489.1</v>
      </c>
      <c r="Z746" s="50">
        <f t="shared" si="69"/>
        <v>1489</v>
      </c>
    </row>
    <row r="747" spans="1:26" x14ac:dyDescent="0.25">
      <c r="A747" s="29" t="s">
        <v>1428</v>
      </c>
      <c r="B747" s="29" t="s">
        <v>79</v>
      </c>
      <c r="C747" s="29" t="s">
        <v>1467</v>
      </c>
      <c r="D747" s="29">
        <v>35541016</v>
      </c>
      <c r="E747" s="32" t="s">
        <v>1468</v>
      </c>
      <c r="F747" s="29">
        <v>35568364</v>
      </c>
      <c r="G747" s="32" t="s">
        <v>402</v>
      </c>
      <c r="H747" s="32" t="s">
        <v>1531</v>
      </c>
      <c r="I747" s="33" t="s">
        <v>1533</v>
      </c>
      <c r="J747" s="42">
        <f>VLOOKUP(F747,[9]Hárok1!$F$672:$S$793,5,0)</f>
        <v>6</v>
      </c>
      <c r="K747" s="43">
        <f>VLOOKUP(F747,[9]Hárok1!$F$672:$S$793,6,0)</f>
        <v>0</v>
      </c>
      <c r="L747" s="43">
        <f>VLOOKUP(F747,[9]Hárok1!$F$672:$S$793,7,0)</f>
        <v>26</v>
      </c>
      <c r="M747" s="43">
        <f>VLOOKUP(F747,[9]Hárok1!$F$672:$S$793,8,0)</f>
        <v>0</v>
      </c>
      <c r="N747" s="43">
        <f>VLOOKUP(F747,[9]Hárok1!$F$672:$S$793,9,0)</f>
        <v>0</v>
      </c>
      <c r="O747" s="43">
        <f>VLOOKUP(F747,[9]Hárok1!$F$672:$S$793,10,0)</f>
        <v>6</v>
      </c>
      <c r="P747" s="44">
        <f>VLOOKUP(F747,[9]Hárok1!$F$672:$S$793,11,0)</f>
        <v>2</v>
      </c>
      <c r="Q747" s="42">
        <f>VLOOKUP(F747,[9]Hárok1!$F$672:$S$793,12,0)</f>
        <v>0</v>
      </c>
      <c r="R747" s="43">
        <f>VLOOKUP(F747,[9]Hárok1!$F$672:$S$793,13,0)</f>
        <v>190</v>
      </c>
      <c r="S747" s="44">
        <f>VLOOKUP(F747,[9]Hárok1!$F$672:$S$793,14,0)</f>
        <v>132</v>
      </c>
      <c r="T747" s="45">
        <f t="shared" si="70"/>
        <v>871</v>
      </c>
      <c r="U747" s="46">
        <f>VLOOKUP(F747,[9]Hárok1!$F$672:$U$793,16,0)</f>
        <v>121.5</v>
      </c>
      <c r="V747" s="47">
        <f t="shared" si="66"/>
        <v>0</v>
      </c>
      <c r="W747" s="47">
        <f t="shared" si="67"/>
        <v>461</v>
      </c>
      <c r="X747" s="48">
        <f t="shared" si="68"/>
        <v>252</v>
      </c>
      <c r="Y747" s="49">
        <f t="shared" si="71"/>
        <v>1705.5</v>
      </c>
      <c r="Z747" s="50">
        <f t="shared" si="69"/>
        <v>1706</v>
      </c>
    </row>
    <row r="748" spans="1:26" x14ac:dyDescent="0.25">
      <c r="A748" s="29" t="s">
        <v>1428</v>
      </c>
      <c r="B748" s="29" t="s">
        <v>79</v>
      </c>
      <c r="C748" s="29" t="s">
        <v>1467</v>
      </c>
      <c r="D748" s="29">
        <v>35541016</v>
      </c>
      <c r="E748" s="32" t="s">
        <v>1468</v>
      </c>
      <c r="F748" s="29">
        <v>161021</v>
      </c>
      <c r="G748" s="32" t="s">
        <v>49</v>
      </c>
      <c r="H748" s="32" t="s">
        <v>1534</v>
      </c>
      <c r="I748" s="33" t="s">
        <v>1535</v>
      </c>
      <c r="J748" s="42">
        <f>VLOOKUP(F748,[9]Hárok1!$F$672:$S$793,5,0)</f>
        <v>5</v>
      </c>
      <c r="K748" s="43">
        <f>VLOOKUP(F748,[9]Hárok1!$F$672:$S$793,6,0)</f>
        <v>0</v>
      </c>
      <c r="L748" s="43">
        <f>VLOOKUP(F748,[9]Hárok1!$F$672:$S$793,7,0)</f>
        <v>9</v>
      </c>
      <c r="M748" s="43">
        <f>VLOOKUP(F748,[9]Hárok1!$F$672:$S$793,8,0)</f>
        <v>0</v>
      </c>
      <c r="N748" s="43">
        <f>VLOOKUP(F748,[9]Hárok1!$F$672:$S$793,9,0)</f>
        <v>0</v>
      </c>
      <c r="O748" s="43">
        <f>VLOOKUP(F748,[9]Hárok1!$F$672:$S$793,10,0)</f>
        <v>6</v>
      </c>
      <c r="P748" s="44">
        <f>VLOOKUP(F748,[9]Hárok1!$F$672:$S$793,11,0)</f>
        <v>0</v>
      </c>
      <c r="Q748" s="42">
        <f>VLOOKUP(F748,[9]Hárok1!$F$672:$S$793,12,0)</f>
        <v>0</v>
      </c>
      <c r="R748" s="43">
        <f>VLOOKUP(F748,[9]Hárok1!$F$672:$S$793,13,0)</f>
        <v>70</v>
      </c>
      <c r="S748" s="44">
        <f>VLOOKUP(F748,[9]Hárok1!$F$672:$S$793,14,0)</f>
        <v>0</v>
      </c>
      <c r="T748" s="45">
        <f t="shared" si="70"/>
        <v>301.5</v>
      </c>
      <c r="U748" s="46">
        <f>VLOOKUP(F748,[9]Hárok1!$F$672:$U$793,16,0)</f>
        <v>68.400000000000006</v>
      </c>
      <c r="V748" s="47">
        <f t="shared" si="66"/>
        <v>0</v>
      </c>
      <c r="W748" s="47">
        <f t="shared" si="67"/>
        <v>221</v>
      </c>
      <c r="X748" s="48">
        <f t="shared" si="68"/>
        <v>0</v>
      </c>
      <c r="Y748" s="49">
        <f t="shared" si="71"/>
        <v>590.9</v>
      </c>
      <c r="Z748" s="50">
        <f t="shared" si="69"/>
        <v>591</v>
      </c>
    </row>
    <row r="749" spans="1:26" x14ac:dyDescent="0.25">
      <c r="A749" s="29" t="s">
        <v>1428</v>
      </c>
      <c r="B749" s="29" t="s">
        <v>79</v>
      </c>
      <c r="C749" s="29" t="s">
        <v>1467</v>
      </c>
      <c r="D749" s="29">
        <v>35541016</v>
      </c>
      <c r="E749" s="32" t="s">
        <v>1468</v>
      </c>
      <c r="F749" s="29">
        <v>161195</v>
      </c>
      <c r="G749" s="32" t="s">
        <v>49</v>
      </c>
      <c r="H749" s="32" t="s">
        <v>1376</v>
      </c>
      <c r="I749" s="33" t="s">
        <v>1031</v>
      </c>
      <c r="J749" s="42">
        <f>VLOOKUP(F749,[9]Hárok1!$F$672:$S$793,5,0)</f>
        <v>17</v>
      </c>
      <c r="K749" s="43">
        <f>VLOOKUP(F749,[9]Hárok1!$F$672:$S$793,6,0)</f>
        <v>0</v>
      </c>
      <c r="L749" s="43">
        <f>VLOOKUP(F749,[9]Hárok1!$F$672:$S$793,7,0)</f>
        <v>34</v>
      </c>
      <c r="M749" s="43">
        <f>VLOOKUP(F749,[9]Hárok1!$F$672:$S$793,8,0)</f>
        <v>0</v>
      </c>
      <c r="N749" s="43">
        <f>VLOOKUP(F749,[9]Hárok1!$F$672:$S$793,9,0)</f>
        <v>2</v>
      </c>
      <c r="O749" s="43">
        <f>VLOOKUP(F749,[9]Hárok1!$F$672:$S$793,10,0)</f>
        <v>14</v>
      </c>
      <c r="P749" s="44">
        <f>VLOOKUP(F749,[9]Hárok1!$F$672:$S$793,11,0)</f>
        <v>3</v>
      </c>
      <c r="Q749" s="42">
        <f>VLOOKUP(F749,[9]Hárok1!$F$672:$S$793,12,0)</f>
        <v>4</v>
      </c>
      <c r="R749" s="43">
        <f>VLOOKUP(F749,[9]Hárok1!$F$672:$S$793,13,0)</f>
        <v>118</v>
      </c>
      <c r="S749" s="44">
        <f>VLOOKUP(F749,[9]Hárok1!$F$672:$S$793,14,0)</f>
        <v>48</v>
      </c>
      <c r="T749" s="45">
        <f t="shared" si="70"/>
        <v>1139</v>
      </c>
      <c r="U749" s="46">
        <f>VLOOKUP(F749,[9]Hárok1!$F$672:$U$793,16,0)</f>
        <v>57.7</v>
      </c>
      <c r="V749" s="47">
        <f t="shared" si="66"/>
        <v>33</v>
      </c>
      <c r="W749" s="47">
        <f t="shared" si="67"/>
        <v>425</v>
      </c>
      <c r="X749" s="48">
        <f t="shared" si="68"/>
        <v>153</v>
      </c>
      <c r="Y749" s="49">
        <f t="shared" si="71"/>
        <v>1807.7</v>
      </c>
      <c r="Z749" s="50">
        <f t="shared" si="69"/>
        <v>1808</v>
      </c>
    </row>
    <row r="750" spans="1:26" x14ac:dyDescent="0.25">
      <c r="A750" s="29" t="s">
        <v>1428</v>
      </c>
      <c r="B750" s="29" t="s">
        <v>79</v>
      </c>
      <c r="C750" s="29" t="s">
        <v>1467</v>
      </c>
      <c r="D750" s="29">
        <v>35541016</v>
      </c>
      <c r="E750" s="32" t="s">
        <v>1468</v>
      </c>
      <c r="F750" s="29">
        <v>17151589</v>
      </c>
      <c r="G750" s="32" t="s">
        <v>49</v>
      </c>
      <c r="H750" s="32" t="s">
        <v>1376</v>
      </c>
      <c r="I750" s="33" t="s">
        <v>1536</v>
      </c>
      <c r="J750" s="42">
        <f>VLOOKUP(F750,[9]Hárok1!$F$672:$S$793,5,0)</f>
        <v>15</v>
      </c>
      <c r="K750" s="43">
        <f>VLOOKUP(F750,[9]Hárok1!$F$672:$S$793,6,0)</f>
        <v>0</v>
      </c>
      <c r="L750" s="43">
        <f>VLOOKUP(F750,[9]Hárok1!$F$672:$S$793,7,0)</f>
        <v>28</v>
      </c>
      <c r="M750" s="43">
        <f>VLOOKUP(F750,[9]Hárok1!$F$672:$S$793,8,0)</f>
        <v>0</v>
      </c>
      <c r="N750" s="43">
        <f>VLOOKUP(F750,[9]Hárok1!$F$672:$S$793,9,0)</f>
        <v>4</v>
      </c>
      <c r="O750" s="43">
        <f>VLOOKUP(F750,[9]Hárok1!$F$672:$S$793,10,0)</f>
        <v>13</v>
      </c>
      <c r="P750" s="44">
        <f>VLOOKUP(F750,[9]Hárok1!$F$672:$S$793,11,0)</f>
        <v>1</v>
      </c>
      <c r="Q750" s="42">
        <f>VLOOKUP(F750,[9]Hárok1!$F$672:$S$793,12,0)</f>
        <v>26</v>
      </c>
      <c r="R750" s="43">
        <f>VLOOKUP(F750,[9]Hárok1!$F$672:$S$793,13,0)</f>
        <v>129</v>
      </c>
      <c r="S750" s="44">
        <f>VLOOKUP(F750,[9]Hárok1!$F$672:$S$793,14,0)</f>
        <v>22</v>
      </c>
      <c r="T750" s="45">
        <f t="shared" si="70"/>
        <v>938</v>
      </c>
      <c r="U750" s="46">
        <f>VLOOKUP(F750,[9]Hárok1!$F$672:$U$793,16,0)</f>
        <v>40.85</v>
      </c>
      <c r="V750" s="47">
        <f t="shared" si="66"/>
        <v>93</v>
      </c>
      <c r="W750" s="47">
        <f t="shared" si="67"/>
        <v>433.5</v>
      </c>
      <c r="X750" s="48">
        <f t="shared" si="68"/>
        <v>60</v>
      </c>
      <c r="Y750" s="49">
        <f t="shared" si="71"/>
        <v>1565.35</v>
      </c>
      <c r="Z750" s="50">
        <f t="shared" si="69"/>
        <v>1565</v>
      </c>
    </row>
    <row r="751" spans="1:26" x14ac:dyDescent="0.25">
      <c r="A751" s="29" t="s">
        <v>1428</v>
      </c>
      <c r="B751" s="29" t="s">
        <v>79</v>
      </c>
      <c r="C751" s="29" t="s">
        <v>1467</v>
      </c>
      <c r="D751" s="29">
        <v>35541016</v>
      </c>
      <c r="E751" s="32" t="s">
        <v>1468</v>
      </c>
      <c r="F751" s="29">
        <v>17078504</v>
      </c>
      <c r="G751" s="32" t="s">
        <v>121</v>
      </c>
      <c r="H751" s="32" t="s">
        <v>1376</v>
      </c>
      <c r="I751" s="33" t="s">
        <v>1537</v>
      </c>
      <c r="J751" s="42">
        <f>VLOOKUP(F751,[9]Hárok1!$F$672:$S$793,5,0)</f>
        <v>9</v>
      </c>
      <c r="K751" s="43">
        <f>VLOOKUP(F751,[9]Hárok1!$F$672:$S$793,6,0)</f>
        <v>0</v>
      </c>
      <c r="L751" s="43">
        <f>VLOOKUP(F751,[9]Hárok1!$F$672:$S$793,7,0)</f>
        <v>36</v>
      </c>
      <c r="M751" s="43">
        <f>VLOOKUP(F751,[9]Hárok1!$F$672:$S$793,8,0)</f>
        <v>0</v>
      </c>
      <c r="N751" s="43">
        <f>VLOOKUP(F751,[9]Hárok1!$F$672:$S$793,9,0)</f>
        <v>0</v>
      </c>
      <c r="O751" s="43">
        <f>VLOOKUP(F751,[9]Hárok1!$F$672:$S$793,10,0)</f>
        <v>15</v>
      </c>
      <c r="P751" s="44">
        <f>VLOOKUP(F751,[9]Hárok1!$F$672:$S$793,11,0)</f>
        <v>1</v>
      </c>
      <c r="Q751" s="42">
        <f>VLOOKUP(F751,[9]Hárok1!$F$672:$S$793,12,0)</f>
        <v>0</v>
      </c>
      <c r="R751" s="43">
        <f>VLOOKUP(F751,[9]Hárok1!$F$672:$S$793,13,0)</f>
        <v>270</v>
      </c>
      <c r="S751" s="44">
        <f>VLOOKUP(F751,[9]Hárok1!$F$672:$S$793,14,0)</f>
        <v>34</v>
      </c>
      <c r="T751" s="45">
        <f t="shared" si="70"/>
        <v>1206</v>
      </c>
      <c r="U751" s="46">
        <f>VLOOKUP(F751,[9]Hárok1!$F$672:$U$793,16,0)</f>
        <v>0</v>
      </c>
      <c r="V751" s="47">
        <f t="shared" si="66"/>
        <v>0</v>
      </c>
      <c r="W751" s="47">
        <f t="shared" si="67"/>
        <v>742.5</v>
      </c>
      <c r="X751" s="48">
        <f t="shared" si="68"/>
        <v>78</v>
      </c>
      <c r="Y751" s="49">
        <f t="shared" si="71"/>
        <v>2026.5</v>
      </c>
      <c r="Z751" s="50">
        <f t="shared" si="69"/>
        <v>2027</v>
      </c>
    </row>
    <row r="752" spans="1:26" x14ac:dyDescent="0.25">
      <c r="A752" s="29" t="s">
        <v>1428</v>
      </c>
      <c r="B752" s="29" t="s">
        <v>79</v>
      </c>
      <c r="C752" s="29" t="s">
        <v>1467</v>
      </c>
      <c r="D752" s="29">
        <v>35541016</v>
      </c>
      <c r="E752" s="32" t="s">
        <v>1468</v>
      </c>
      <c r="F752" s="29">
        <v>42096642</v>
      </c>
      <c r="G752" s="32" t="s">
        <v>745</v>
      </c>
      <c r="H752" s="32" t="s">
        <v>1376</v>
      </c>
      <c r="I752" s="33" t="s">
        <v>1538</v>
      </c>
      <c r="J752" s="42">
        <f>VLOOKUP(F752,[9]Hárok1!$F$672:$S$793,5,0)</f>
        <v>13</v>
      </c>
      <c r="K752" s="43">
        <f>VLOOKUP(F752,[9]Hárok1!$F$672:$S$793,6,0)</f>
        <v>0</v>
      </c>
      <c r="L752" s="43">
        <f>VLOOKUP(F752,[9]Hárok1!$F$672:$S$793,7,0)</f>
        <v>41</v>
      </c>
      <c r="M752" s="43">
        <f>VLOOKUP(F752,[9]Hárok1!$F$672:$S$793,8,0)</f>
        <v>0</v>
      </c>
      <c r="N752" s="43">
        <f>VLOOKUP(F752,[9]Hárok1!$F$672:$S$793,9,0)</f>
        <v>5</v>
      </c>
      <c r="O752" s="43">
        <f>VLOOKUP(F752,[9]Hárok1!$F$672:$S$793,10,0)</f>
        <v>15</v>
      </c>
      <c r="P752" s="44">
        <f>VLOOKUP(F752,[9]Hárok1!$F$672:$S$793,11,0)</f>
        <v>1</v>
      </c>
      <c r="Q752" s="42">
        <f>VLOOKUP(F752,[9]Hárok1!$F$672:$S$793,12,0)</f>
        <v>72</v>
      </c>
      <c r="R752" s="43">
        <f>VLOOKUP(F752,[9]Hárok1!$F$672:$S$793,13,0)</f>
        <v>294</v>
      </c>
      <c r="S752" s="44">
        <f>VLOOKUP(F752,[9]Hárok1!$F$672:$S$793,14,0)</f>
        <v>64</v>
      </c>
      <c r="T752" s="45">
        <f t="shared" si="70"/>
        <v>1373.5</v>
      </c>
      <c r="U752" s="46">
        <f>VLOOKUP(F752,[9]Hárok1!$F$672:$U$793,16,0)</f>
        <v>33.049999999999997</v>
      </c>
      <c r="V752" s="47">
        <f t="shared" si="66"/>
        <v>175.5</v>
      </c>
      <c r="W752" s="47">
        <f t="shared" si="67"/>
        <v>790.5</v>
      </c>
      <c r="X752" s="48">
        <f t="shared" si="68"/>
        <v>123</v>
      </c>
      <c r="Y752" s="49">
        <f t="shared" si="71"/>
        <v>2495.5500000000002</v>
      </c>
      <c r="Z752" s="50">
        <f t="shared" si="69"/>
        <v>2496</v>
      </c>
    </row>
    <row r="753" spans="1:26" x14ac:dyDescent="0.25">
      <c r="A753" s="29" t="s">
        <v>1428</v>
      </c>
      <c r="B753" s="29" t="s">
        <v>79</v>
      </c>
      <c r="C753" s="29" t="s">
        <v>1467</v>
      </c>
      <c r="D753" s="29">
        <v>35541016</v>
      </c>
      <c r="E753" s="32" t="s">
        <v>1468</v>
      </c>
      <c r="F753" s="29">
        <v>35568381</v>
      </c>
      <c r="G753" s="32" t="s">
        <v>1539</v>
      </c>
      <c r="H753" s="32" t="s">
        <v>1376</v>
      </c>
      <c r="I753" s="33" t="s">
        <v>1540</v>
      </c>
      <c r="J753" s="42">
        <f>VLOOKUP(F753,[9]Hárok1!$F$672:$S$793,5,0)</f>
        <v>8</v>
      </c>
      <c r="K753" s="43">
        <f>VLOOKUP(F753,[9]Hárok1!$F$672:$S$793,6,0)</f>
        <v>0</v>
      </c>
      <c r="L753" s="43">
        <f>VLOOKUP(F753,[9]Hárok1!$F$672:$S$793,7,0)</f>
        <v>35</v>
      </c>
      <c r="M753" s="43">
        <f>VLOOKUP(F753,[9]Hárok1!$F$672:$S$793,8,0)</f>
        <v>0</v>
      </c>
      <c r="N753" s="43">
        <f>VLOOKUP(F753,[9]Hárok1!$F$672:$S$793,9,0)</f>
        <v>0</v>
      </c>
      <c r="O753" s="43">
        <f>VLOOKUP(F753,[9]Hárok1!$F$672:$S$793,10,0)</f>
        <v>9</v>
      </c>
      <c r="P753" s="44">
        <f>VLOOKUP(F753,[9]Hárok1!$F$672:$S$793,11,0)</f>
        <v>1</v>
      </c>
      <c r="Q753" s="42">
        <f>VLOOKUP(F753,[9]Hárok1!$F$672:$S$793,12,0)</f>
        <v>0</v>
      </c>
      <c r="R753" s="43">
        <f>VLOOKUP(F753,[9]Hárok1!$F$672:$S$793,13,0)</f>
        <v>309</v>
      </c>
      <c r="S753" s="44">
        <f>VLOOKUP(F753,[9]Hárok1!$F$672:$S$793,14,0)</f>
        <v>49</v>
      </c>
      <c r="T753" s="45">
        <f t="shared" si="70"/>
        <v>1172.5</v>
      </c>
      <c r="U753" s="46">
        <f>VLOOKUP(F753,[9]Hárok1!$F$672:$U$793,16,0)</f>
        <v>0</v>
      </c>
      <c r="V753" s="47">
        <f t="shared" si="66"/>
        <v>0</v>
      </c>
      <c r="W753" s="47">
        <f t="shared" si="67"/>
        <v>739.5</v>
      </c>
      <c r="X753" s="48">
        <f t="shared" si="68"/>
        <v>100.5</v>
      </c>
      <c r="Y753" s="49">
        <f t="shared" si="71"/>
        <v>2012.5</v>
      </c>
      <c r="Z753" s="50">
        <f t="shared" si="69"/>
        <v>2013</v>
      </c>
    </row>
    <row r="754" spans="1:26" x14ac:dyDescent="0.25">
      <c r="A754" s="29" t="s">
        <v>1428</v>
      </c>
      <c r="B754" s="29" t="s">
        <v>79</v>
      </c>
      <c r="C754" s="29" t="s">
        <v>1467</v>
      </c>
      <c r="D754" s="29">
        <v>35541016</v>
      </c>
      <c r="E754" s="32" t="s">
        <v>1468</v>
      </c>
      <c r="F754" s="29">
        <v>17078491</v>
      </c>
      <c r="G754" s="32" t="s">
        <v>679</v>
      </c>
      <c r="H754" s="32" t="s">
        <v>1376</v>
      </c>
      <c r="I754" s="33" t="s">
        <v>1541</v>
      </c>
      <c r="J754" s="42">
        <f>VLOOKUP(F754,[9]Hárok1!$F$672:$S$793,5,0)</f>
        <v>28</v>
      </c>
      <c r="K754" s="43">
        <f>VLOOKUP(F754,[9]Hárok1!$F$672:$S$793,6,0)</f>
        <v>0</v>
      </c>
      <c r="L754" s="43">
        <f>VLOOKUP(F754,[9]Hárok1!$F$672:$S$793,7,0)</f>
        <v>97</v>
      </c>
      <c r="M754" s="43">
        <f>VLOOKUP(F754,[9]Hárok1!$F$672:$S$793,8,0)</f>
        <v>0</v>
      </c>
      <c r="N754" s="43">
        <f>VLOOKUP(F754,[9]Hárok1!$F$672:$S$793,9,0)</f>
        <v>0</v>
      </c>
      <c r="O754" s="43">
        <f>VLOOKUP(F754,[9]Hárok1!$F$672:$S$793,10,0)</f>
        <v>47</v>
      </c>
      <c r="P754" s="44">
        <f>VLOOKUP(F754,[9]Hárok1!$F$672:$S$793,11,0)</f>
        <v>1</v>
      </c>
      <c r="Q754" s="42">
        <f>VLOOKUP(F754,[9]Hárok1!$F$672:$S$793,12,0)</f>
        <v>0</v>
      </c>
      <c r="R754" s="43">
        <f>VLOOKUP(F754,[9]Hárok1!$F$672:$S$793,13,0)</f>
        <v>671</v>
      </c>
      <c r="S754" s="44">
        <f>VLOOKUP(F754,[9]Hárok1!$F$672:$S$793,14,0)</f>
        <v>119</v>
      </c>
      <c r="T754" s="45">
        <f t="shared" si="70"/>
        <v>3249.5</v>
      </c>
      <c r="U754" s="46">
        <f>VLOOKUP(F754,[9]Hárok1!$F$672:$U$793,16,0)</f>
        <v>428.8</v>
      </c>
      <c r="V754" s="47">
        <f t="shared" si="66"/>
        <v>0</v>
      </c>
      <c r="W754" s="47">
        <f t="shared" si="67"/>
        <v>1976.5</v>
      </c>
      <c r="X754" s="48">
        <f t="shared" si="68"/>
        <v>205.5</v>
      </c>
      <c r="Y754" s="49">
        <f t="shared" si="71"/>
        <v>5860.3</v>
      </c>
      <c r="Z754" s="50">
        <f t="shared" si="69"/>
        <v>5860</v>
      </c>
    </row>
    <row r="755" spans="1:26" x14ac:dyDescent="0.25">
      <c r="A755" s="29" t="s">
        <v>1428</v>
      </c>
      <c r="B755" s="29" t="s">
        <v>79</v>
      </c>
      <c r="C755" s="29" t="s">
        <v>1467</v>
      </c>
      <c r="D755" s="29">
        <v>35541016</v>
      </c>
      <c r="E755" s="32" t="s">
        <v>1468</v>
      </c>
      <c r="F755" s="29">
        <v>521663</v>
      </c>
      <c r="G755" s="32" t="s">
        <v>451</v>
      </c>
      <c r="H755" s="32" t="s">
        <v>1376</v>
      </c>
      <c r="I755" s="33" t="s">
        <v>1542</v>
      </c>
      <c r="J755" s="42">
        <f>VLOOKUP(F755,[9]Hárok1!$F$672:$S$793,5,0)</f>
        <v>15</v>
      </c>
      <c r="K755" s="43">
        <f>VLOOKUP(F755,[9]Hárok1!$F$672:$S$793,6,0)</f>
        <v>0</v>
      </c>
      <c r="L755" s="43">
        <f>VLOOKUP(F755,[9]Hárok1!$F$672:$S$793,7,0)</f>
        <v>49</v>
      </c>
      <c r="M755" s="43">
        <f>VLOOKUP(F755,[9]Hárok1!$F$672:$S$793,8,0)</f>
        <v>0</v>
      </c>
      <c r="N755" s="43">
        <f>VLOOKUP(F755,[9]Hárok1!$F$672:$S$793,9,0)</f>
        <v>2</v>
      </c>
      <c r="O755" s="43">
        <f>VLOOKUP(F755,[9]Hárok1!$F$672:$S$793,10,0)</f>
        <v>16</v>
      </c>
      <c r="P755" s="44">
        <f>VLOOKUP(F755,[9]Hárok1!$F$672:$S$793,11,0)</f>
        <v>1</v>
      </c>
      <c r="Q755" s="42">
        <f>VLOOKUP(F755,[9]Hárok1!$F$672:$S$793,12,0)</f>
        <v>2</v>
      </c>
      <c r="R755" s="43">
        <f>VLOOKUP(F755,[9]Hárok1!$F$672:$S$793,13,0)</f>
        <v>314</v>
      </c>
      <c r="S755" s="44">
        <f>VLOOKUP(F755,[9]Hárok1!$F$672:$S$793,14,0)</f>
        <v>76</v>
      </c>
      <c r="T755" s="45">
        <f t="shared" si="70"/>
        <v>1641.5</v>
      </c>
      <c r="U755" s="46">
        <f>VLOOKUP(F755,[9]Hárok1!$F$672:$U$793,16,0)</f>
        <v>0</v>
      </c>
      <c r="V755" s="47">
        <f t="shared" si="66"/>
        <v>30</v>
      </c>
      <c r="W755" s="47">
        <f t="shared" si="67"/>
        <v>844</v>
      </c>
      <c r="X755" s="48">
        <f t="shared" si="68"/>
        <v>141</v>
      </c>
      <c r="Y755" s="49">
        <f t="shared" si="71"/>
        <v>2656.5</v>
      </c>
      <c r="Z755" s="50">
        <f t="shared" si="69"/>
        <v>2657</v>
      </c>
    </row>
    <row r="756" spans="1:26" x14ac:dyDescent="0.25">
      <c r="A756" s="29" t="s">
        <v>1428</v>
      </c>
      <c r="B756" s="29" t="s">
        <v>79</v>
      </c>
      <c r="C756" s="29" t="s">
        <v>1467</v>
      </c>
      <c r="D756" s="29">
        <v>35541016</v>
      </c>
      <c r="E756" s="32" t="s">
        <v>1468</v>
      </c>
      <c r="F756" s="29">
        <v>161012</v>
      </c>
      <c r="G756" s="32" t="s">
        <v>725</v>
      </c>
      <c r="H756" s="32" t="s">
        <v>1464</v>
      </c>
      <c r="I756" s="33" t="s">
        <v>1543</v>
      </c>
      <c r="J756" s="42">
        <f>VLOOKUP(F756,[9]Hárok1!$F$672:$S$793,5,0)</f>
        <v>12</v>
      </c>
      <c r="K756" s="43">
        <f>VLOOKUP(F756,[9]Hárok1!$F$672:$S$793,6,0)</f>
        <v>0</v>
      </c>
      <c r="L756" s="43">
        <f>VLOOKUP(F756,[9]Hárok1!$F$672:$S$793,7,0)</f>
        <v>30</v>
      </c>
      <c r="M756" s="43">
        <f>VLOOKUP(F756,[9]Hárok1!$F$672:$S$793,8,0)</f>
        <v>0</v>
      </c>
      <c r="N756" s="43">
        <f>VLOOKUP(F756,[9]Hárok1!$F$672:$S$793,9,0)</f>
        <v>3</v>
      </c>
      <c r="O756" s="43">
        <f>VLOOKUP(F756,[9]Hárok1!$F$672:$S$793,10,0)</f>
        <v>13</v>
      </c>
      <c r="P756" s="44">
        <f>VLOOKUP(F756,[9]Hárok1!$F$672:$S$793,11,0)</f>
        <v>2</v>
      </c>
      <c r="Q756" s="42">
        <f>VLOOKUP(F756,[9]Hárok1!$F$672:$S$793,12,0)</f>
        <v>29</v>
      </c>
      <c r="R756" s="43">
        <f>VLOOKUP(F756,[9]Hárok1!$F$672:$S$793,13,0)</f>
        <v>143</v>
      </c>
      <c r="S756" s="44">
        <f>VLOOKUP(F756,[9]Hárok1!$F$672:$S$793,14,0)</f>
        <v>63</v>
      </c>
      <c r="T756" s="45">
        <f t="shared" si="70"/>
        <v>1005</v>
      </c>
      <c r="U756" s="46">
        <f>VLOOKUP(F756,[9]Hárok1!$F$672:$U$793,16,0)</f>
        <v>9.3000000000000007</v>
      </c>
      <c r="V756" s="47">
        <f t="shared" si="66"/>
        <v>84</v>
      </c>
      <c r="W756" s="47">
        <f t="shared" si="67"/>
        <v>461.5</v>
      </c>
      <c r="X756" s="48">
        <f t="shared" si="68"/>
        <v>148.5</v>
      </c>
      <c r="Y756" s="49">
        <f t="shared" si="71"/>
        <v>1708.3</v>
      </c>
      <c r="Z756" s="50">
        <f t="shared" si="69"/>
        <v>1708</v>
      </c>
    </row>
    <row r="757" spans="1:26" x14ac:dyDescent="0.25">
      <c r="A757" s="29" t="s">
        <v>1428</v>
      </c>
      <c r="B757" s="29" t="s">
        <v>79</v>
      </c>
      <c r="C757" s="29" t="s">
        <v>1467</v>
      </c>
      <c r="D757" s="29">
        <v>35541016</v>
      </c>
      <c r="E757" s="32" t="s">
        <v>1468</v>
      </c>
      <c r="F757" s="29">
        <v>35568330</v>
      </c>
      <c r="G757" s="32" t="s">
        <v>1544</v>
      </c>
      <c r="H757" s="32" t="s">
        <v>1464</v>
      </c>
      <c r="I757" s="33" t="s">
        <v>1545</v>
      </c>
      <c r="J757" s="42">
        <f>VLOOKUP(F757,[9]Hárok1!$F$672:$S$793,5,0)</f>
        <v>10</v>
      </c>
      <c r="K757" s="43">
        <f>VLOOKUP(F757,[9]Hárok1!$F$672:$S$793,6,0)</f>
        <v>0</v>
      </c>
      <c r="L757" s="43">
        <f>VLOOKUP(F757,[9]Hárok1!$F$672:$S$793,7,0)</f>
        <v>12</v>
      </c>
      <c r="M757" s="43">
        <f>VLOOKUP(F757,[9]Hárok1!$F$672:$S$793,8,0)</f>
        <v>0</v>
      </c>
      <c r="N757" s="43">
        <f>VLOOKUP(F757,[9]Hárok1!$F$672:$S$793,9,0)</f>
        <v>1</v>
      </c>
      <c r="O757" s="43">
        <f>VLOOKUP(F757,[9]Hárok1!$F$672:$S$793,10,0)</f>
        <v>12</v>
      </c>
      <c r="P757" s="44">
        <f>VLOOKUP(F757,[9]Hárok1!$F$672:$S$793,11,0)</f>
        <v>0</v>
      </c>
      <c r="Q757" s="42">
        <f>VLOOKUP(F757,[9]Hárok1!$F$672:$S$793,12,0)</f>
        <v>17</v>
      </c>
      <c r="R757" s="43">
        <f>VLOOKUP(F757,[9]Hárok1!$F$672:$S$793,13,0)</f>
        <v>101</v>
      </c>
      <c r="S757" s="44">
        <f>VLOOKUP(F757,[9]Hárok1!$F$672:$S$793,14,0)</f>
        <v>0</v>
      </c>
      <c r="T757" s="45">
        <f t="shared" si="70"/>
        <v>402</v>
      </c>
      <c r="U757" s="46">
        <f>VLOOKUP(F757,[9]Hárok1!$F$672:$U$793,16,0)</f>
        <v>11.5</v>
      </c>
      <c r="V757" s="47">
        <f t="shared" si="66"/>
        <v>39</v>
      </c>
      <c r="W757" s="47">
        <f t="shared" si="67"/>
        <v>364</v>
      </c>
      <c r="X757" s="48">
        <f t="shared" si="68"/>
        <v>0</v>
      </c>
      <c r="Y757" s="49">
        <f t="shared" si="71"/>
        <v>816.5</v>
      </c>
      <c r="Z757" s="50">
        <f t="shared" si="69"/>
        <v>817</v>
      </c>
    </row>
    <row r="758" spans="1:26" x14ac:dyDescent="0.25">
      <c r="A758" s="29" t="s">
        <v>1428</v>
      </c>
      <c r="B758" s="29" t="s">
        <v>79</v>
      </c>
      <c r="C758" s="29" t="s">
        <v>1467</v>
      </c>
      <c r="D758" s="29">
        <v>35541016</v>
      </c>
      <c r="E758" s="32" t="s">
        <v>1468</v>
      </c>
      <c r="F758" s="29">
        <v>159557</v>
      </c>
      <c r="G758" s="32" t="s">
        <v>1546</v>
      </c>
      <c r="H758" s="32" t="s">
        <v>1547</v>
      </c>
      <c r="I758" s="33" t="s">
        <v>1548</v>
      </c>
      <c r="J758" s="42">
        <f>VLOOKUP(F758,[9]Hárok1!$F$672:$S$793,5,0)</f>
        <v>7</v>
      </c>
      <c r="K758" s="43">
        <f>VLOOKUP(F758,[9]Hárok1!$F$672:$S$793,6,0)</f>
        <v>2</v>
      </c>
      <c r="L758" s="43">
        <f>VLOOKUP(F758,[9]Hárok1!$F$672:$S$793,7,0)</f>
        <v>21</v>
      </c>
      <c r="M758" s="43">
        <f>VLOOKUP(F758,[9]Hárok1!$F$672:$S$793,8,0)</f>
        <v>4</v>
      </c>
      <c r="N758" s="43">
        <f>VLOOKUP(F758,[9]Hárok1!$F$672:$S$793,9,0)</f>
        <v>9</v>
      </c>
      <c r="O758" s="43">
        <f>VLOOKUP(F758,[9]Hárok1!$F$672:$S$793,10,0)</f>
        <v>9</v>
      </c>
      <c r="P758" s="44">
        <f>VLOOKUP(F758,[9]Hárok1!$F$672:$S$793,11,0)</f>
        <v>1</v>
      </c>
      <c r="Q758" s="42">
        <f>VLOOKUP(F758,[9]Hárok1!$F$672:$S$793,12,0)</f>
        <v>81</v>
      </c>
      <c r="R758" s="43">
        <f>VLOOKUP(F758,[9]Hárok1!$F$672:$S$793,13,0)</f>
        <v>118</v>
      </c>
      <c r="S758" s="44">
        <f>VLOOKUP(F758,[9]Hárok1!$F$672:$S$793,14,0)</f>
        <v>51</v>
      </c>
      <c r="T758" s="45">
        <f t="shared" si="70"/>
        <v>703.5</v>
      </c>
      <c r="U758" s="46">
        <f>VLOOKUP(F758,[9]Hárok1!$F$672:$U$793,16,0)</f>
        <v>0</v>
      </c>
      <c r="V758" s="47">
        <f t="shared" si="66"/>
        <v>243</v>
      </c>
      <c r="W758" s="47">
        <f t="shared" si="67"/>
        <v>357.5</v>
      </c>
      <c r="X758" s="48">
        <f t="shared" si="68"/>
        <v>103.5</v>
      </c>
      <c r="Y758" s="49">
        <f t="shared" si="71"/>
        <v>1407.5</v>
      </c>
      <c r="Z758" s="50">
        <f t="shared" si="69"/>
        <v>1408</v>
      </c>
    </row>
    <row r="759" spans="1:26" x14ac:dyDescent="0.25">
      <c r="A759" s="29" t="s">
        <v>1428</v>
      </c>
      <c r="B759" s="29" t="s">
        <v>79</v>
      </c>
      <c r="C759" s="29" t="s">
        <v>1467</v>
      </c>
      <c r="D759" s="29">
        <v>35541016</v>
      </c>
      <c r="E759" s="32" t="s">
        <v>1468</v>
      </c>
      <c r="F759" s="29">
        <v>35568356</v>
      </c>
      <c r="G759" s="32" t="s">
        <v>52</v>
      </c>
      <c r="H759" s="32" t="s">
        <v>1549</v>
      </c>
      <c r="I759" s="33" t="s">
        <v>1550</v>
      </c>
      <c r="J759" s="42">
        <f>VLOOKUP(F759,[9]Hárok1!$F$672:$S$793,5,0)</f>
        <v>17</v>
      </c>
      <c r="K759" s="43">
        <f>VLOOKUP(F759,[9]Hárok1!$F$672:$S$793,6,0)</f>
        <v>0</v>
      </c>
      <c r="L759" s="43">
        <f>VLOOKUP(F759,[9]Hárok1!$F$672:$S$793,7,0)</f>
        <v>36</v>
      </c>
      <c r="M759" s="43">
        <f>VLOOKUP(F759,[9]Hárok1!$F$672:$S$793,8,0)</f>
        <v>0</v>
      </c>
      <c r="N759" s="43">
        <f>VLOOKUP(F759,[9]Hárok1!$F$672:$S$793,9,0)</f>
        <v>3</v>
      </c>
      <c r="O759" s="43">
        <f>VLOOKUP(F759,[9]Hárok1!$F$672:$S$793,10,0)</f>
        <v>22</v>
      </c>
      <c r="P759" s="44">
        <f>VLOOKUP(F759,[9]Hárok1!$F$672:$S$793,11,0)</f>
        <v>1</v>
      </c>
      <c r="Q759" s="42">
        <f>VLOOKUP(F759,[9]Hárok1!$F$672:$S$793,12,0)</f>
        <v>22</v>
      </c>
      <c r="R759" s="43">
        <f>VLOOKUP(F759,[9]Hárok1!$F$672:$S$793,13,0)</f>
        <v>179</v>
      </c>
      <c r="S759" s="44">
        <f>VLOOKUP(F759,[9]Hárok1!$F$672:$S$793,14,0)</f>
        <v>21</v>
      </c>
      <c r="T759" s="45">
        <f t="shared" si="70"/>
        <v>1206</v>
      </c>
      <c r="U759" s="46">
        <f>VLOOKUP(F759,[9]Hárok1!$F$672:$U$793,16,0)</f>
        <v>196.55</v>
      </c>
      <c r="V759" s="47">
        <f t="shared" si="66"/>
        <v>73.5</v>
      </c>
      <c r="W759" s="47">
        <f t="shared" si="67"/>
        <v>655</v>
      </c>
      <c r="X759" s="48">
        <f t="shared" si="68"/>
        <v>58.5</v>
      </c>
      <c r="Y759" s="49">
        <f t="shared" si="71"/>
        <v>2189.5500000000002</v>
      </c>
      <c r="Z759" s="50">
        <f t="shared" si="69"/>
        <v>2190</v>
      </c>
    </row>
    <row r="760" spans="1:26" x14ac:dyDescent="0.25">
      <c r="A760" s="51" t="s">
        <v>1428</v>
      </c>
      <c r="B760" s="51" t="s">
        <v>79</v>
      </c>
      <c r="C760" s="51" t="s">
        <v>1467</v>
      </c>
      <c r="D760" s="51">
        <v>35541016</v>
      </c>
      <c r="E760" s="32" t="s">
        <v>1468</v>
      </c>
      <c r="F760" s="51">
        <v>161241</v>
      </c>
      <c r="G760" s="32" t="s">
        <v>49</v>
      </c>
      <c r="H760" s="32" t="s">
        <v>1169</v>
      </c>
      <c r="I760" s="33" t="s">
        <v>1551</v>
      </c>
      <c r="J760" s="42">
        <f>VLOOKUP(F760,[9]Hárok1!$F$672:$S$793,5,0)</f>
        <v>11</v>
      </c>
      <c r="K760" s="43">
        <f>VLOOKUP(F760,[9]Hárok1!$F$672:$S$793,6,0)</f>
        <v>0</v>
      </c>
      <c r="L760" s="43">
        <f>VLOOKUP(F760,[9]Hárok1!$F$672:$S$793,7,0)</f>
        <v>19</v>
      </c>
      <c r="M760" s="43">
        <f>VLOOKUP(F760,[9]Hárok1!$F$672:$S$793,8,0)</f>
        <v>0</v>
      </c>
      <c r="N760" s="43">
        <f>VLOOKUP(F760,[9]Hárok1!$F$672:$S$793,9,0)</f>
        <v>2</v>
      </c>
      <c r="O760" s="43">
        <f>VLOOKUP(F760,[9]Hárok1!$F$672:$S$793,10,0)</f>
        <v>10</v>
      </c>
      <c r="P760" s="44">
        <f>VLOOKUP(F760,[9]Hárok1!$F$672:$S$793,11,0)</f>
        <v>0</v>
      </c>
      <c r="Q760" s="42">
        <f>VLOOKUP(F760,[9]Hárok1!$F$672:$S$793,12,0)</f>
        <v>11</v>
      </c>
      <c r="R760" s="43">
        <f>VLOOKUP(F760,[9]Hárok1!$F$672:$S$793,13,0)</f>
        <v>159</v>
      </c>
      <c r="S760" s="44">
        <f>VLOOKUP(F760,[9]Hárok1!$F$672:$S$793,14,0)</f>
        <v>0</v>
      </c>
      <c r="T760" s="45">
        <f t="shared" si="70"/>
        <v>636.5</v>
      </c>
      <c r="U760" s="46">
        <f>VLOOKUP(F760,[9]Hárok1!$F$672:$U$793,16,0)</f>
        <v>32.75</v>
      </c>
      <c r="V760" s="47">
        <f t="shared" si="66"/>
        <v>43.5</v>
      </c>
      <c r="W760" s="47">
        <f t="shared" si="67"/>
        <v>453</v>
      </c>
      <c r="X760" s="48">
        <f t="shared" si="68"/>
        <v>0</v>
      </c>
      <c r="Y760" s="49">
        <f t="shared" si="71"/>
        <v>1165.75</v>
      </c>
      <c r="Z760" s="50">
        <f t="shared" si="69"/>
        <v>1166</v>
      </c>
    </row>
    <row r="761" spans="1:26" x14ac:dyDescent="0.25">
      <c r="A761" s="29" t="s">
        <v>1428</v>
      </c>
      <c r="B761" s="29" t="s">
        <v>79</v>
      </c>
      <c r="C761" s="29" t="s">
        <v>1467</v>
      </c>
      <c r="D761" s="29">
        <v>35541016</v>
      </c>
      <c r="E761" s="32" t="s">
        <v>1468</v>
      </c>
      <c r="F761" s="29">
        <v>162213</v>
      </c>
      <c r="G761" s="32" t="s">
        <v>100</v>
      </c>
      <c r="H761" s="32" t="s">
        <v>1169</v>
      </c>
      <c r="I761" s="33" t="s">
        <v>1552</v>
      </c>
      <c r="J761" s="42">
        <f>VLOOKUP(F761,[9]Hárok1!$F$672:$S$793,5,0)</f>
        <v>6</v>
      </c>
      <c r="K761" s="43">
        <f>VLOOKUP(F761,[9]Hárok1!$F$672:$S$793,6,0)</f>
        <v>0</v>
      </c>
      <c r="L761" s="43">
        <f>VLOOKUP(F761,[9]Hárok1!$F$672:$S$793,7,0)</f>
        <v>26</v>
      </c>
      <c r="M761" s="43">
        <f>VLOOKUP(F761,[9]Hárok1!$F$672:$S$793,8,0)</f>
        <v>0</v>
      </c>
      <c r="N761" s="43">
        <f>VLOOKUP(F761,[9]Hárok1!$F$672:$S$793,9,0)</f>
        <v>0</v>
      </c>
      <c r="O761" s="43">
        <f>VLOOKUP(F761,[9]Hárok1!$F$672:$S$793,10,0)</f>
        <v>10</v>
      </c>
      <c r="P761" s="44">
        <f>VLOOKUP(F761,[9]Hárok1!$F$672:$S$793,11,0)</f>
        <v>1</v>
      </c>
      <c r="Q761" s="42">
        <f>VLOOKUP(F761,[9]Hárok1!$F$672:$S$793,12,0)</f>
        <v>0</v>
      </c>
      <c r="R761" s="43">
        <f>VLOOKUP(F761,[9]Hárok1!$F$672:$S$793,13,0)</f>
        <v>256</v>
      </c>
      <c r="S761" s="44">
        <f>VLOOKUP(F761,[9]Hárok1!$F$672:$S$793,14,0)</f>
        <v>37</v>
      </c>
      <c r="T761" s="45">
        <f t="shared" si="70"/>
        <v>871</v>
      </c>
      <c r="U761" s="46">
        <f>VLOOKUP(F761,[9]Hárok1!$F$672:$U$793,16,0)</f>
        <v>0</v>
      </c>
      <c r="V761" s="47">
        <f t="shared" si="66"/>
        <v>0</v>
      </c>
      <c r="W761" s="47">
        <f t="shared" si="67"/>
        <v>647</v>
      </c>
      <c r="X761" s="48">
        <f t="shared" si="68"/>
        <v>82.5</v>
      </c>
      <c r="Y761" s="49">
        <f t="shared" si="71"/>
        <v>1600.5</v>
      </c>
      <c r="Z761" s="50">
        <f t="shared" si="69"/>
        <v>1601</v>
      </c>
    </row>
    <row r="762" spans="1:26" x14ac:dyDescent="0.25">
      <c r="A762" s="29" t="s">
        <v>1428</v>
      </c>
      <c r="B762" s="29" t="s">
        <v>177</v>
      </c>
      <c r="C762" s="29" t="s">
        <v>1553</v>
      </c>
      <c r="D762" s="29">
        <v>328758</v>
      </c>
      <c r="E762" s="32" t="s">
        <v>1554</v>
      </c>
      <c r="F762" s="29">
        <v>42243378</v>
      </c>
      <c r="G762" s="32" t="s">
        <v>52</v>
      </c>
      <c r="H762" s="32" t="s">
        <v>1457</v>
      </c>
      <c r="I762" s="33" t="s">
        <v>1555</v>
      </c>
      <c r="J762" s="42">
        <f>VLOOKUP(F762,[9]Hárok1!$F$672:$S$793,5,0)</f>
        <v>1</v>
      </c>
      <c r="K762" s="43">
        <f>VLOOKUP(F762,[9]Hárok1!$F$672:$S$793,6,0)</f>
        <v>0</v>
      </c>
      <c r="L762" s="43">
        <f>VLOOKUP(F762,[9]Hárok1!$F$672:$S$793,7,0)</f>
        <v>1</v>
      </c>
      <c r="M762" s="43">
        <f>VLOOKUP(F762,[9]Hárok1!$F$672:$S$793,8,0)</f>
        <v>0</v>
      </c>
      <c r="N762" s="43">
        <f>VLOOKUP(F762,[9]Hárok1!$F$672:$S$793,9,0)</f>
        <v>0</v>
      </c>
      <c r="O762" s="43">
        <f>VLOOKUP(F762,[9]Hárok1!$F$672:$S$793,10,0)</f>
        <v>1</v>
      </c>
      <c r="P762" s="44">
        <f>VLOOKUP(F762,[9]Hárok1!$F$672:$S$793,11,0)</f>
        <v>0</v>
      </c>
      <c r="Q762" s="42">
        <f>VLOOKUP(F762,[9]Hárok1!$F$672:$S$793,12,0)</f>
        <v>0</v>
      </c>
      <c r="R762" s="43">
        <f>VLOOKUP(F762,[9]Hárok1!$F$672:$S$793,13,0)</f>
        <v>12</v>
      </c>
      <c r="S762" s="44">
        <f>VLOOKUP(F762,[9]Hárok1!$F$672:$S$793,14,0)</f>
        <v>0</v>
      </c>
      <c r="T762" s="45">
        <f t="shared" si="70"/>
        <v>33.5</v>
      </c>
      <c r="U762" s="46">
        <f>VLOOKUP(F762,[9]Hárok1!$F$672:$U$793,16,0)</f>
        <v>0</v>
      </c>
      <c r="V762" s="47">
        <f t="shared" si="66"/>
        <v>0</v>
      </c>
      <c r="W762" s="47">
        <f t="shared" si="67"/>
        <v>37.5</v>
      </c>
      <c r="X762" s="48">
        <f t="shared" si="68"/>
        <v>0</v>
      </c>
      <c r="Y762" s="49">
        <f t="shared" si="71"/>
        <v>71</v>
      </c>
      <c r="Z762" s="50">
        <f t="shared" si="69"/>
        <v>71</v>
      </c>
    </row>
    <row r="763" spans="1:26" x14ac:dyDescent="0.25">
      <c r="A763" s="29" t="s">
        <v>1428</v>
      </c>
      <c r="B763" s="29" t="s">
        <v>181</v>
      </c>
      <c r="C763" s="29" t="s">
        <v>1556</v>
      </c>
      <c r="D763" s="29">
        <v>179094</v>
      </c>
      <c r="E763" s="32" t="s">
        <v>1557</v>
      </c>
      <c r="F763" s="29">
        <v>31942733</v>
      </c>
      <c r="G763" s="32" t="s">
        <v>1342</v>
      </c>
      <c r="H763" s="32" t="s">
        <v>230</v>
      </c>
      <c r="I763" s="33" t="s">
        <v>1558</v>
      </c>
      <c r="J763" s="42">
        <f>VLOOKUP(F763,[9]Hárok1!$F$672:$S$793,5,0)</f>
        <v>7</v>
      </c>
      <c r="K763" s="43">
        <f>VLOOKUP(F763,[9]Hárok1!$F$672:$S$793,6,0)</f>
        <v>0</v>
      </c>
      <c r="L763" s="43">
        <f>VLOOKUP(F763,[9]Hárok1!$F$672:$S$793,7,0)</f>
        <v>13</v>
      </c>
      <c r="M763" s="43">
        <f>VLOOKUP(F763,[9]Hárok1!$F$672:$S$793,8,0)</f>
        <v>0</v>
      </c>
      <c r="N763" s="43">
        <f>VLOOKUP(F763,[9]Hárok1!$F$672:$S$793,9,0)</f>
        <v>1</v>
      </c>
      <c r="O763" s="43">
        <f>VLOOKUP(F763,[9]Hárok1!$F$672:$S$793,10,0)</f>
        <v>10</v>
      </c>
      <c r="P763" s="44">
        <f>VLOOKUP(F763,[9]Hárok1!$F$672:$S$793,11,0)</f>
        <v>0</v>
      </c>
      <c r="Q763" s="42">
        <f>VLOOKUP(F763,[9]Hárok1!$F$672:$S$793,12,0)</f>
        <v>10</v>
      </c>
      <c r="R763" s="43">
        <f>VLOOKUP(F763,[9]Hárok1!$F$672:$S$793,13,0)</f>
        <v>91</v>
      </c>
      <c r="S763" s="44">
        <f>VLOOKUP(F763,[9]Hárok1!$F$672:$S$793,14,0)</f>
        <v>0</v>
      </c>
      <c r="T763" s="45">
        <f t="shared" si="70"/>
        <v>435.5</v>
      </c>
      <c r="U763" s="46">
        <f>VLOOKUP(F763,[9]Hárok1!$F$672:$U$793,16,0)</f>
        <v>12.4</v>
      </c>
      <c r="V763" s="47">
        <f t="shared" si="66"/>
        <v>28.5</v>
      </c>
      <c r="W763" s="47">
        <f t="shared" si="67"/>
        <v>317</v>
      </c>
      <c r="X763" s="48">
        <f t="shared" si="68"/>
        <v>0</v>
      </c>
      <c r="Y763" s="49">
        <f t="shared" si="71"/>
        <v>793.4</v>
      </c>
      <c r="Z763" s="50">
        <f t="shared" si="69"/>
        <v>793</v>
      </c>
    </row>
    <row r="764" spans="1:26" x14ac:dyDescent="0.25">
      <c r="A764" s="29" t="s">
        <v>1428</v>
      </c>
      <c r="B764" s="29" t="s">
        <v>181</v>
      </c>
      <c r="C764" s="29" t="s">
        <v>1556</v>
      </c>
      <c r="D764" s="29">
        <v>179094</v>
      </c>
      <c r="E764" s="32" t="s">
        <v>1557</v>
      </c>
      <c r="F764" s="29">
        <v>37938045</v>
      </c>
      <c r="G764" s="32" t="s">
        <v>1342</v>
      </c>
      <c r="H764" s="32" t="s">
        <v>1151</v>
      </c>
      <c r="I764" s="33" t="s">
        <v>1559</v>
      </c>
      <c r="J764" s="42">
        <f>VLOOKUP(F764,[9]Hárok1!$F$672:$S$793,5,0)</f>
        <v>9</v>
      </c>
      <c r="K764" s="43">
        <f>VLOOKUP(F764,[9]Hárok1!$F$672:$S$793,6,0)</f>
        <v>0</v>
      </c>
      <c r="L764" s="43">
        <f>VLOOKUP(F764,[9]Hárok1!$F$672:$S$793,7,0)</f>
        <v>18</v>
      </c>
      <c r="M764" s="43">
        <f>VLOOKUP(F764,[9]Hárok1!$F$672:$S$793,8,0)</f>
        <v>0</v>
      </c>
      <c r="N764" s="43">
        <f>VLOOKUP(F764,[9]Hárok1!$F$672:$S$793,9,0)</f>
        <v>2</v>
      </c>
      <c r="O764" s="43">
        <f>VLOOKUP(F764,[9]Hárok1!$F$672:$S$793,10,0)</f>
        <v>10</v>
      </c>
      <c r="P764" s="44">
        <f>VLOOKUP(F764,[9]Hárok1!$F$672:$S$793,11,0)</f>
        <v>1</v>
      </c>
      <c r="Q764" s="42">
        <f>VLOOKUP(F764,[9]Hárok1!$F$672:$S$793,12,0)</f>
        <v>13</v>
      </c>
      <c r="R764" s="43">
        <f>VLOOKUP(F764,[9]Hárok1!$F$672:$S$793,13,0)</f>
        <v>128</v>
      </c>
      <c r="S764" s="44">
        <f>VLOOKUP(F764,[9]Hárok1!$F$672:$S$793,14,0)</f>
        <v>30</v>
      </c>
      <c r="T764" s="45">
        <f t="shared" si="70"/>
        <v>603</v>
      </c>
      <c r="U764" s="46">
        <f>VLOOKUP(F764,[9]Hárok1!$F$672:$U$793,16,0)</f>
        <v>0</v>
      </c>
      <c r="V764" s="47">
        <f t="shared" si="66"/>
        <v>46.5</v>
      </c>
      <c r="W764" s="47">
        <f t="shared" si="67"/>
        <v>391</v>
      </c>
      <c r="X764" s="48">
        <f t="shared" si="68"/>
        <v>72</v>
      </c>
      <c r="Y764" s="49">
        <f t="shared" si="71"/>
        <v>1112.5</v>
      </c>
      <c r="Z764" s="50">
        <f t="shared" si="69"/>
        <v>1113</v>
      </c>
    </row>
    <row r="765" spans="1:26" x14ac:dyDescent="0.25">
      <c r="A765" s="29" t="s">
        <v>1428</v>
      </c>
      <c r="B765" s="29" t="s">
        <v>181</v>
      </c>
      <c r="C765" s="29" t="s">
        <v>1556</v>
      </c>
      <c r="D765" s="29">
        <v>179094</v>
      </c>
      <c r="E765" s="32" t="s">
        <v>1557</v>
      </c>
      <c r="F765" s="29">
        <v>50295829</v>
      </c>
      <c r="G765" s="32" t="s">
        <v>1342</v>
      </c>
      <c r="H765" s="32" t="s">
        <v>1433</v>
      </c>
      <c r="I765" s="33" t="s">
        <v>1560</v>
      </c>
      <c r="J765" s="42">
        <f>VLOOKUP(F765,[9]Hárok1!$F$672:$S$793,5,0)</f>
        <v>5</v>
      </c>
      <c r="K765" s="43">
        <f>VLOOKUP(F765,[9]Hárok1!$F$672:$S$793,6,0)</f>
        <v>0</v>
      </c>
      <c r="L765" s="43">
        <f>VLOOKUP(F765,[9]Hárok1!$F$672:$S$793,7,0)</f>
        <v>17</v>
      </c>
      <c r="M765" s="43">
        <f>VLOOKUP(F765,[9]Hárok1!$F$672:$S$793,8,0)</f>
        <v>0</v>
      </c>
      <c r="N765" s="43">
        <f>VLOOKUP(F765,[9]Hárok1!$F$672:$S$793,9,0)</f>
        <v>4</v>
      </c>
      <c r="O765" s="43">
        <f>VLOOKUP(F765,[9]Hárok1!$F$672:$S$793,10,0)</f>
        <v>5</v>
      </c>
      <c r="P765" s="44">
        <f>VLOOKUP(F765,[9]Hárok1!$F$672:$S$793,11,0)</f>
        <v>1</v>
      </c>
      <c r="Q765" s="42">
        <f>VLOOKUP(F765,[9]Hárok1!$F$672:$S$793,12,0)</f>
        <v>15</v>
      </c>
      <c r="R765" s="43">
        <f>VLOOKUP(F765,[9]Hárok1!$F$672:$S$793,13,0)</f>
        <v>33</v>
      </c>
      <c r="S765" s="44">
        <f>VLOOKUP(F765,[9]Hárok1!$F$672:$S$793,14,0)</f>
        <v>18</v>
      </c>
      <c r="T765" s="45">
        <f t="shared" si="70"/>
        <v>569.5</v>
      </c>
      <c r="U765" s="46">
        <f>VLOOKUP(F765,[9]Hárok1!$F$672:$U$793,16,0)</f>
        <v>0</v>
      </c>
      <c r="V765" s="47">
        <f t="shared" si="66"/>
        <v>76.5</v>
      </c>
      <c r="W765" s="47">
        <f t="shared" si="67"/>
        <v>133.5</v>
      </c>
      <c r="X765" s="48">
        <f t="shared" si="68"/>
        <v>54</v>
      </c>
      <c r="Y765" s="49">
        <f t="shared" si="71"/>
        <v>833.5</v>
      </c>
      <c r="Z765" s="50">
        <f t="shared" si="69"/>
        <v>834</v>
      </c>
    </row>
    <row r="766" spans="1:26" x14ac:dyDescent="0.25">
      <c r="A766" s="29" t="s">
        <v>1428</v>
      </c>
      <c r="B766" s="29" t="s">
        <v>181</v>
      </c>
      <c r="C766" s="29" t="s">
        <v>1561</v>
      </c>
      <c r="D766" s="29">
        <v>587125</v>
      </c>
      <c r="E766" s="32" t="s">
        <v>1562</v>
      </c>
      <c r="F766" s="29">
        <v>42319234</v>
      </c>
      <c r="G766" s="32" t="s">
        <v>1563</v>
      </c>
      <c r="H766" s="32" t="s">
        <v>214</v>
      </c>
      <c r="I766" s="33" t="s">
        <v>1564</v>
      </c>
      <c r="J766" s="42">
        <f>VLOOKUP(F766,[9]Hárok1!$F$672:$S$793,5,0)</f>
        <v>12</v>
      </c>
      <c r="K766" s="43">
        <f>VLOOKUP(F766,[9]Hárok1!$F$672:$S$793,6,0)</f>
        <v>0</v>
      </c>
      <c r="L766" s="43">
        <f>VLOOKUP(F766,[9]Hárok1!$F$672:$S$793,7,0)</f>
        <v>22</v>
      </c>
      <c r="M766" s="43">
        <f>VLOOKUP(F766,[9]Hárok1!$F$672:$S$793,8,0)</f>
        <v>0</v>
      </c>
      <c r="N766" s="43">
        <f>VLOOKUP(F766,[9]Hárok1!$F$672:$S$793,9,0)</f>
        <v>0</v>
      </c>
      <c r="O766" s="43">
        <f>VLOOKUP(F766,[9]Hárok1!$F$672:$S$793,10,0)</f>
        <v>13</v>
      </c>
      <c r="P766" s="44">
        <f>VLOOKUP(F766,[9]Hárok1!$F$672:$S$793,11,0)</f>
        <v>1</v>
      </c>
      <c r="Q766" s="42">
        <f>VLOOKUP(F766,[9]Hárok1!$F$672:$S$793,12,0)</f>
        <v>0</v>
      </c>
      <c r="R766" s="43">
        <f>VLOOKUP(F766,[9]Hárok1!$F$672:$S$793,13,0)</f>
        <v>151</v>
      </c>
      <c r="S766" s="44">
        <f>VLOOKUP(F766,[9]Hárok1!$F$672:$S$793,14,0)</f>
        <v>17</v>
      </c>
      <c r="T766" s="45">
        <f t="shared" si="70"/>
        <v>737</v>
      </c>
      <c r="U766" s="46">
        <f>VLOOKUP(F766,[9]Hárok1!$F$672:$U$793,16,0)</f>
        <v>0</v>
      </c>
      <c r="V766" s="47">
        <f t="shared" si="66"/>
        <v>0</v>
      </c>
      <c r="W766" s="47">
        <f t="shared" si="67"/>
        <v>477.5</v>
      </c>
      <c r="X766" s="48">
        <f t="shared" si="68"/>
        <v>52.5</v>
      </c>
      <c r="Y766" s="49">
        <f t="shared" si="71"/>
        <v>1267</v>
      </c>
      <c r="Z766" s="50">
        <f t="shared" si="69"/>
        <v>1267</v>
      </c>
    </row>
    <row r="767" spans="1:26" x14ac:dyDescent="0.25">
      <c r="A767" s="29" t="s">
        <v>1428</v>
      </c>
      <c r="B767" s="29" t="s">
        <v>181</v>
      </c>
      <c r="C767" s="29" t="s">
        <v>1556</v>
      </c>
      <c r="D767" s="29">
        <v>179094</v>
      </c>
      <c r="E767" s="32" t="s">
        <v>1557</v>
      </c>
      <c r="F767" s="29">
        <v>618233</v>
      </c>
      <c r="G767" s="32" t="s">
        <v>1565</v>
      </c>
      <c r="H767" s="32" t="s">
        <v>214</v>
      </c>
      <c r="I767" s="33" t="s">
        <v>1566</v>
      </c>
      <c r="J767" s="42">
        <f>VLOOKUP(F767,[9]Hárok1!$F$672:$S$793,5,0)</f>
        <v>6</v>
      </c>
      <c r="K767" s="43">
        <f>VLOOKUP(F767,[9]Hárok1!$F$672:$S$793,6,0)</f>
        <v>0</v>
      </c>
      <c r="L767" s="43">
        <f>VLOOKUP(F767,[9]Hárok1!$F$672:$S$793,7,0)</f>
        <v>21</v>
      </c>
      <c r="M767" s="43">
        <f>VLOOKUP(F767,[9]Hárok1!$F$672:$S$793,8,0)</f>
        <v>0</v>
      </c>
      <c r="N767" s="43">
        <f>VLOOKUP(F767,[9]Hárok1!$F$672:$S$793,9,0)</f>
        <v>1</v>
      </c>
      <c r="O767" s="43">
        <f>VLOOKUP(F767,[9]Hárok1!$F$672:$S$793,10,0)</f>
        <v>11</v>
      </c>
      <c r="P767" s="44">
        <f>VLOOKUP(F767,[9]Hárok1!$F$672:$S$793,11,0)</f>
        <v>1</v>
      </c>
      <c r="Q767" s="42">
        <f>VLOOKUP(F767,[9]Hárok1!$F$672:$S$793,12,0)</f>
        <v>1</v>
      </c>
      <c r="R767" s="43">
        <f>VLOOKUP(F767,[9]Hárok1!$F$672:$S$793,13,0)</f>
        <v>188</v>
      </c>
      <c r="S767" s="44">
        <f>VLOOKUP(F767,[9]Hárok1!$F$672:$S$793,14,0)</f>
        <v>35</v>
      </c>
      <c r="T767" s="45">
        <f t="shared" si="70"/>
        <v>703.5</v>
      </c>
      <c r="U767" s="46">
        <f>VLOOKUP(F767,[9]Hárok1!$F$672:$U$793,16,0)</f>
        <v>31.6</v>
      </c>
      <c r="V767" s="47">
        <f t="shared" si="66"/>
        <v>15</v>
      </c>
      <c r="W767" s="47">
        <f t="shared" si="67"/>
        <v>524.5</v>
      </c>
      <c r="X767" s="48">
        <f t="shared" si="68"/>
        <v>79.5</v>
      </c>
      <c r="Y767" s="49">
        <f t="shared" si="71"/>
        <v>1354.1</v>
      </c>
      <c r="Z767" s="50">
        <f t="shared" si="69"/>
        <v>1354</v>
      </c>
    </row>
    <row r="768" spans="1:26" x14ac:dyDescent="0.25">
      <c r="A768" s="29" t="s">
        <v>1428</v>
      </c>
      <c r="B768" s="29" t="s">
        <v>181</v>
      </c>
      <c r="C768" s="29" t="s">
        <v>1556</v>
      </c>
      <c r="D768" s="29">
        <v>179094</v>
      </c>
      <c r="E768" s="32" t="s">
        <v>1557</v>
      </c>
      <c r="F768" s="29">
        <v>35561548</v>
      </c>
      <c r="G768" s="32" t="s">
        <v>1567</v>
      </c>
      <c r="H768" s="32" t="s">
        <v>1568</v>
      </c>
      <c r="I768" s="33" t="s">
        <v>1569</v>
      </c>
      <c r="J768" s="42">
        <f>VLOOKUP(F768,[9]Hárok1!$F$672:$S$793,5,0)</f>
        <v>12</v>
      </c>
      <c r="K768" s="43">
        <f>VLOOKUP(F768,[9]Hárok1!$F$672:$S$793,6,0)</f>
        <v>0</v>
      </c>
      <c r="L768" s="43">
        <f>VLOOKUP(F768,[9]Hárok1!$F$672:$S$793,7,0)</f>
        <v>47</v>
      </c>
      <c r="M768" s="43">
        <f>VLOOKUP(F768,[9]Hárok1!$F$672:$S$793,8,0)</f>
        <v>0</v>
      </c>
      <c r="N768" s="43">
        <f>VLOOKUP(F768,[9]Hárok1!$F$672:$S$793,9,0)</f>
        <v>1</v>
      </c>
      <c r="O768" s="43">
        <f>VLOOKUP(F768,[9]Hárok1!$F$672:$S$793,10,0)</f>
        <v>12</v>
      </c>
      <c r="P768" s="44">
        <f>VLOOKUP(F768,[9]Hárok1!$F$672:$S$793,11,0)</f>
        <v>2</v>
      </c>
      <c r="Q768" s="42">
        <f>VLOOKUP(F768,[9]Hárok1!$F$672:$S$793,12,0)</f>
        <v>20</v>
      </c>
      <c r="R768" s="43">
        <f>VLOOKUP(F768,[9]Hárok1!$F$672:$S$793,13,0)</f>
        <v>315</v>
      </c>
      <c r="S768" s="44">
        <f>VLOOKUP(F768,[9]Hárok1!$F$672:$S$793,14,0)</f>
        <v>233</v>
      </c>
      <c r="T768" s="45">
        <f t="shared" si="70"/>
        <v>1574.5</v>
      </c>
      <c r="U768" s="46">
        <f>VLOOKUP(F768,[9]Hárok1!$F$672:$U$793,16,0)</f>
        <v>310.2</v>
      </c>
      <c r="V768" s="47">
        <f t="shared" si="66"/>
        <v>43.5</v>
      </c>
      <c r="W768" s="47">
        <f t="shared" si="67"/>
        <v>792</v>
      </c>
      <c r="X768" s="48">
        <f t="shared" si="68"/>
        <v>403.5</v>
      </c>
      <c r="Y768" s="49">
        <f t="shared" si="71"/>
        <v>3123.7</v>
      </c>
      <c r="Z768" s="50">
        <f t="shared" si="69"/>
        <v>3124</v>
      </c>
    </row>
    <row r="769" spans="1:26" x14ac:dyDescent="0.25">
      <c r="A769" s="51" t="s">
        <v>1428</v>
      </c>
      <c r="B769" s="51" t="s">
        <v>181</v>
      </c>
      <c r="C769" s="51" t="s">
        <v>1556</v>
      </c>
      <c r="D769" s="51">
        <v>179094</v>
      </c>
      <c r="E769" s="32" t="s">
        <v>1557</v>
      </c>
      <c r="F769" s="51">
        <v>35560321</v>
      </c>
      <c r="G769" s="32" t="s">
        <v>1570</v>
      </c>
      <c r="H769" s="32" t="s">
        <v>1499</v>
      </c>
      <c r="I769" s="33" t="s">
        <v>1571</v>
      </c>
      <c r="J769" s="42">
        <f>VLOOKUP(F769,[9]Hárok1!$F$672:$S$793,5,0)</f>
        <v>20</v>
      </c>
      <c r="K769" s="43">
        <f>VLOOKUP(F769,[9]Hárok1!$F$672:$S$793,6,0)</f>
        <v>0</v>
      </c>
      <c r="L769" s="43">
        <f>VLOOKUP(F769,[9]Hárok1!$F$672:$S$793,7,0)</f>
        <v>49</v>
      </c>
      <c r="M769" s="43">
        <f>VLOOKUP(F769,[9]Hárok1!$F$672:$S$793,8,0)</f>
        <v>0</v>
      </c>
      <c r="N769" s="43">
        <f>VLOOKUP(F769,[9]Hárok1!$F$672:$S$793,9,0)</f>
        <v>4</v>
      </c>
      <c r="O769" s="43">
        <f>VLOOKUP(F769,[9]Hárok1!$F$672:$S$793,10,0)</f>
        <v>20</v>
      </c>
      <c r="P769" s="44">
        <f>VLOOKUP(F769,[9]Hárok1!$F$672:$S$793,11,0)</f>
        <v>3</v>
      </c>
      <c r="Q769" s="42">
        <f>VLOOKUP(F769,[9]Hárok1!$F$672:$S$793,12,0)</f>
        <v>33</v>
      </c>
      <c r="R769" s="43">
        <f>VLOOKUP(F769,[9]Hárok1!$F$672:$S$793,13,0)</f>
        <v>302</v>
      </c>
      <c r="S769" s="44">
        <f>VLOOKUP(F769,[9]Hárok1!$F$672:$S$793,14,0)</f>
        <v>209</v>
      </c>
      <c r="T769" s="45">
        <f t="shared" si="70"/>
        <v>1641.5</v>
      </c>
      <c r="U769" s="46">
        <f>VLOOKUP(F769,[9]Hárok1!$F$672:$U$793,16,0)</f>
        <v>0</v>
      </c>
      <c r="V769" s="47">
        <f t="shared" si="66"/>
        <v>103.5</v>
      </c>
      <c r="W769" s="47">
        <f t="shared" si="67"/>
        <v>874</v>
      </c>
      <c r="X769" s="48">
        <f t="shared" si="68"/>
        <v>394.5</v>
      </c>
      <c r="Y769" s="49">
        <f t="shared" si="71"/>
        <v>3013.5</v>
      </c>
      <c r="Z769" s="50">
        <f t="shared" si="69"/>
        <v>3014</v>
      </c>
    </row>
    <row r="770" spans="1:26" x14ac:dyDescent="0.25">
      <c r="A770" s="29" t="s">
        <v>1428</v>
      </c>
      <c r="B770" s="29" t="s">
        <v>181</v>
      </c>
      <c r="C770" s="29" t="s">
        <v>1572</v>
      </c>
      <c r="D770" s="29">
        <v>30305624</v>
      </c>
      <c r="E770" s="32" t="s">
        <v>1573</v>
      </c>
      <c r="F770" s="29">
        <v>35564024</v>
      </c>
      <c r="G770" s="32" t="s">
        <v>1574</v>
      </c>
      <c r="H770" s="32" t="s">
        <v>1445</v>
      </c>
      <c r="I770" s="33" t="s">
        <v>1575</v>
      </c>
      <c r="J770" s="42">
        <f>VLOOKUP(F770,[9]Hárok1!$F$672:$S$793,5,0)</f>
        <v>4</v>
      </c>
      <c r="K770" s="43">
        <f>VLOOKUP(F770,[9]Hárok1!$F$672:$S$793,6,0)</f>
        <v>0</v>
      </c>
      <c r="L770" s="43">
        <f>VLOOKUP(F770,[9]Hárok1!$F$672:$S$793,7,0)</f>
        <v>15</v>
      </c>
      <c r="M770" s="43">
        <f>VLOOKUP(F770,[9]Hárok1!$F$672:$S$793,8,0)</f>
        <v>0</v>
      </c>
      <c r="N770" s="43">
        <f>VLOOKUP(F770,[9]Hárok1!$F$672:$S$793,9,0)</f>
        <v>1</v>
      </c>
      <c r="O770" s="43">
        <f>VLOOKUP(F770,[9]Hárok1!$F$672:$S$793,10,0)</f>
        <v>3</v>
      </c>
      <c r="P770" s="44">
        <f>VLOOKUP(F770,[9]Hárok1!$F$672:$S$793,11,0)</f>
        <v>1</v>
      </c>
      <c r="Q770" s="42">
        <f>VLOOKUP(F770,[9]Hárok1!$F$672:$S$793,12,0)</f>
        <v>22</v>
      </c>
      <c r="R770" s="43">
        <f>VLOOKUP(F770,[9]Hárok1!$F$672:$S$793,13,0)</f>
        <v>40</v>
      </c>
      <c r="S770" s="44">
        <f>VLOOKUP(F770,[9]Hárok1!$F$672:$S$793,14,0)</f>
        <v>54</v>
      </c>
      <c r="T770" s="45">
        <f t="shared" si="70"/>
        <v>502.5</v>
      </c>
      <c r="U770" s="46">
        <f>VLOOKUP(F770,[9]Hárok1!$F$672:$U$793,16,0)</f>
        <v>7.67</v>
      </c>
      <c r="V770" s="47">
        <f t="shared" si="66"/>
        <v>46.5</v>
      </c>
      <c r="W770" s="47">
        <f t="shared" si="67"/>
        <v>120.5</v>
      </c>
      <c r="X770" s="48">
        <f t="shared" si="68"/>
        <v>108</v>
      </c>
      <c r="Y770" s="49">
        <f t="shared" si="71"/>
        <v>785.17000000000007</v>
      </c>
      <c r="Z770" s="50">
        <f t="shared" si="69"/>
        <v>785</v>
      </c>
    </row>
    <row r="771" spans="1:26" x14ac:dyDescent="0.25">
      <c r="A771" s="29" t="s">
        <v>1428</v>
      </c>
      <c r="B771" s="29" t="s">
        <v>181</v>
      </c>
      <c r="C771" s="29" t="s">
        <v>1576</v>
      </c>
      <c r="D771" s="29">
        <v>179175</v>
      </c>
      <c r="E771" s="32" t="s">
        <v>1577</v>
      </c>
      <c r="F771" s="29">
        <v>31942369</v>
      </c>
      <c r="G771" s="32" t="s">
        <v>1578</v>
      </c>
      <c r="H771" s="32" t="s">
        <v>1449</v>
      </c>
      <c r="I771" s="33" t="s">
        <v>1579</v>
      </c>
      <c r="J771" s="42">
        <f>VLOOKUP(F771,[9]Hárok1!$F$672:$S$793,5,0)</f>
        <v>2</v>
      </c>
      <c r="K771" s="43">
        <f>VLOOKUP(F771,[9]Hárok1!$F$672:$S$793,6,0)</f>
        <v>0</v>
      </c>
      <c r="L771" s="43">
        <f>VLOOKUP(F771,[9]Hárok1!$F$672:$S$793,7,0)</f>
        <v>9</v>
      </c>
      <c r="M771" s="43">
        <f>VLOOKUP(F771,[9]Hárok1!$F$672:$S$793,8,0)</f>
        <v>0</v>
      </c>
      <c r="N771" s="43">
        <f>VLOOKUP(F771,[9]Hárok1!$F$672:$S$793,9,0)</f>
        <v>0</v>
      </c>
      <c r="O771" s="43">
        <f>VLOOKUP(F771,[9]Hárok1!$F$672:$S$793,10,0)</f>
        <v>3</v>
      </c>
      <c r="P771" s="44">
        <f>VLOOKUP(F771,[9]Hárok1!$F$672:$S$793,11,0)</f>
        <v>0</v>
      </c>
      <c r="Q771" s="42">
        <f>VLOOKUP(F771,[9]Hárok1!$F$672:$S$793,12,0)</f>
        <v>0</v>
      </c>
      <c r="R771" s="43">
        <f>VLOOKUP(F771,[9]Hárok1!$F$672:$S$793,13,0)</f>
        <v>108</v>
      </c>
      <c r="S771" s="44">
        <f>VLOOKUP(F771,[9]Hárok1!$F$672:$S$793,14,0)</f>
        <v>0</v>
      </c>
      <c r="T771" s="45">
        <f t="shared" si="70"/>
        <v>301.5</v>
      </c>
      <c r="U771" s="46">
        <f>VLOOKUP(F771,[9]Hárok1!$F$672:$U$793,16,0)</f>
        <v>0</v>
      </c>
      <c r="V771" s="47">
        <f t="shared" si="66"/>
        <v>0</v>
      </c>
      <c r="W771" s="47">
        <f t="shared" si="67"/>
        <v>256.5</v>
      </c>
      <c r="X771" s="48">
        <f t="shared" si="68"/>
        <v>0</v>
      </c>
      <c r="Y771" s="49">
        <f t="shared" si="71"/>
        <v>558</v>
      </c>
      <c r="Z771" s="50">
        <f t="shared" si="69"/>
        <v>558</v>
      </c>
    </row>
    <row r="772" spans="1:26" x14ac:dyDescent="0.25">
      <c r="A772" s="29" t="s">
        <v>1428</v>
      </c>
      <c r="B772" s="29" t="s">
        <v>181</v>
      </c>
      <c r="C772" s="29" t="s">
        <v>1556</v>
      </c>
      <c r="D772" s="29">
        <v>179094</v>
      </c>
      <c r="E772" s="32" t="s">
        <v>1557</v>
      </c>
      <c r="F772" s="29">
        <v>31991653</v>
      </c>
      <c r="G772" s="32" t="s">
        <v>1580</v>
      </c>
      <c r="H772" s="32" t="s">
        <v>1223</v>
      </c>
      <c r="I772" s="33" t="s">
        <v>1581</v>
      </c>
      <c r="J772" s="42">
        <f>VLOOKUP(F772,[9]Hárok1!$F$672:$S$793,5,0)</f>
        <v>11</v>
      </c>
      <c r="K772" s="43">
        <f>VLOOKUP(F772,[9]Hárok1!$F$672:$S$793,6,0)</f>
        <v>3</v>
      </c>
      <c r="L772" s="43">
        <f>VLOOKUP(F772,[9]Hárok1!$F$672:$S$793,7,0)</f>
        <v>28</v>
      </c>
      <c r="M772" s="43">
        <f>VLOOKUP(F772,[9]Hárok1!$F$672:$S$793,8,0)</f>
        <v>5</v>
      </c>
      <c r="N772" s="43">
        <f>VLOOKUP(F772,[9]Hárok1!$F$672:$S$793,9,0)</f>
        <v>5</v>
      </c>
      <c r="O772" s="43">
        <f>VLOOKUP(F772,[9]Hárok1!$F$672:$S$793,10,0)</f>
        <v>14</v>
      </c>
      <c r="P772" s="44">
        <f>VLOOKUP(F772,[9]Hárok1!$F$672:$S$793,11,0)</f>
        <v>0</v>
      </c>
      <c r="Q772" s="42">
        <f>VLOOKUP(F772,[9]Hárok1!$F$672:$S$793,12,0)</f>
        <v>59</v>
      </c>
      <c r="R772" s="43">
        <f>VLOOKUP(F772,[9]Hárok1!$F$672:$S$793,13,0)</f>
        <v>201</v>
      </c>
      <c r="S772" s="44">
        <f>VLOOKUP(F772,[9]Hárok1!$F$672:$S$793,14,0)</f>
        <v>0</v>
      </c>
      <c r="T772" s="45">
        <f t="shared" si="70"/>
        <v>938</v>
      </c>
      <c r="U772" s="46">
        <f>VLOOKUP(F772,[9]Hárok1!$F$672:$U$793,16,0)</f>
        <v>7</v>
      </c>
      <c r="V772" s="47">
        <f t="shared" si="66"/>
        <v>156</v>
      </c>
      <c r="W772" s="47">
        <f t="shared" si="67"/>
        <v>591</v>
      </c>
      <c r="X772" s="48">
        <f t="shared" si="68"/>
        <v>0</v>
      </c>
      <c r="Y772" s="49">
        <f t="shared" si="71"/>
        <v>1692</v>
      </c>
      <c r="Z772" s="50">
        <f t="shared" si="69"/>
        <v>1692</v>
      </c>
    </row>
    <row r="773" spans="1:26" x14ac:dyDescent="0.25">
      <c r="A773" s="29" t="s">
        <v>1428</v>
      </c>
      <c r="B773" s="29" t="s">
        <v>181</v>
      </c>
      <c r="C773" s="29" t="s">
        <v>1556</v>
      </c>
      <c r="D773" s="29">
        <v>179094</v>
      </c>
      <c r="E773" s="32" t="s">
        <v>1557</v>
      </c>
      <c r="F773" s="29">
        <v>17080151</v>
      </c>
      <c r="G773" s="32" t="s">
        <v>1582</v>
      </c>
      <c r="H773" s="32" t="s">
        <v>1223</v>
      </c>
      <c r="I773" s="33" t="s">
        <v>1583</v>
      </c>
      <c r="J773" s="42">
        <f>VLOOKUP(F773,[9]Hárok1!$F$672:$S$793,5,0)</f>
        <v>11</v>
      </c>
      <c r="K773" s="43">
        <f>VLOOKUP(F773,[9]Hárok1!$F$672:$S$793,6,0)</f>
        <v>0</v>
      </c>
      <c r="L773" s="43">
        <f>VLOOKUP(F773,[9]Hárok1!$F$672:$S$793,7,0)</f>
        <v>30</v>
      </c>
      <c r="M773" s="43">
        <f>VLOOKUP(F773,[9]Hárok1!$F$672:$S$793,8,0)</f>
        <v>0</v>
      </c>
      <c r="N773" s="43">
        <f>VLOOKUP(F773,[9]Hárok1!$F$672:$S$793,9,0)</f>
        <v>1</v>
      </c>
      <c r="O773" s="43">
        <f>VLOOKUP(F773,[9]Hárok1!$F$672:$S$793,10,0)</f>
        <v>11</v>
      </c>
      <c r="P773" s="44">
        <f>VLOOKUP(F773,[9]Hárok1!$F$672:$S$793,11,0)</f>
        <v>2</v>
      </c>
      <c r="Q773" s="42">
        <f>VLOOKUP(F773,[9]Hárok1!$F$672:$S$793,12,0)</f>
        <v>16</v>
      </c>
      <c r="R773" s="43">
        <f>VLOOKUP(F773,[9]Hárok1!$F$672:$S$793,13,0)</f>
        <v>183</v>
      </c>
      <c r="S773" s="44">
        <f>VLOOKUP(F773,[9]Hárok1!$F$672:$S$793,14,0)</f>
        <v>168</v>
      </c>
      <c r="T773" s="45">
        <f t="shared" si="70"/>
        <v>1005</v>
      </c>
      <c r="U773" s="46">
        <f>VLOOKUP(F773,[9]Hárok1!$F$672:$U$793,16,0)</f>
        <v>0</v>
      </c>
      <c r="V773" s="47">
        <f t="shared" si="66"/>
        <v>37.5</v>
      </c>
      <c r="W773" s="47">
        <f t="shared" si="67"/>
        <v>514.5</v>
      </c>
      <c r="X773" s="48">
        <f t="shared" si="68"/>
        <v>306</v>
      </c>
      <c r="Y773" s="49">
        <f t="shared" si="71"/>
        <v>1863</v>
      </c>
      <c r="Z773" s="50">
        <f t="shared" si="69"/>
        <v>1863</v>
      </c>
    </row>
    <row r="774" spans="1:26" x14ac:dyDescent="0.25">
      <c r="A774" s="29" t="s">
        <v>1428</v>
      </c>
      <c r="B774" s="29" t="s">
        <v>181</v>
      </c>
      <c r="C774" s="29" t="s">
        <v>1556</v>
      </c>
      <c r="D774" s="29">
        <v>179094</v>
      </c>
      <c r="E774" s="32" t="s">
        <v>1557</v>
      </c>
      <c r="F774" s="29">
        <v>37796046</v>
      </c>
      <c r="G774" s="32" t="s">
        <v>1342</v>
      </c>
      <c r="H774" s="32" t="s">
        <v>1232</v>
      </c>
      <c r="I774" s="33" t="s">
        <v>1584</v>
      </c>
      <c r="J774" s="42">
        <f>VLOOKUP(F774,[9]Hárok1!$F$672:$S$793,5,0)</f>
        <v>11</v>
      </c>
      <c r="K774" s="43">
        <f>VLOOKUP(F774,[9]Hárok1!$F$672:$S$793,6,0)</f>
        <v>0</v>
      </c>
      <c r="L774" s="43">
        <f>VLOOKUP(F774,[9]Hárok1!$F$672:$S$793,7,0)</f>
        <v>35</v>
      </c>
      <c r="M774" s="43">
        <f>VLOOKUP(F774,[9]Hárok1!$F$672:$S$793,8,0)</f>
        <v>0</v>
      </c>
      <c r="N774" s="43">
        <f>VLOOKUP(F774,[9]Hárok1!$F$672:$S$793,9,0)</f>
        <v>1</v>
      </c>
      <c r="O774" s="43">
        <f>VLOOKUP(F774,[9]Hárok1!$F$672:$S$793,10,0)</f>
        <v>16</v>
      </c>
      <c r="P774" s="44">
        <f>VLOOKUP(F774,[9]Hárok1!$F$672:$S$793,11,0)</f>
        <v>2</v>
      </c>
      <c r="Q774" s="42">
        <f>VLOOKUP(F774,[9]Hárok1!$F$672:$S$793,12,0)</f>
        <v>6</v>
      </c>
      <c r="R774" s="43">
        <f>VLOOKUP(F774,[9]Hárok1!$F$672:$S$793,13,0)</f>
        <v>231</v>
      </c>
      <c r="S774" s="44">
        <f>VLOOKUP(F774,[9]Hárok1!$F$672:$S$793,14,0)</f>
        <v>79</v>
      </c>
      <c r="T774" s="45">
        <f t="shared" si="70"/>
        <v>1172.5</v>
      </c>
      <c r="U774" s="46">
        <f>VLOOKUP(F774,[9]Hárok1!$F$672:$U$793,16,0)</f>
        <v>52.8</v>
      </c>
      <c r="V774" s="47">
        <f t="shared" si="66"/>
        <v>22.5</v>
      </c>
      <c r="W774" s="47">
        <f t="shared" si="67"/>
        <v>678</v>
      </c>
      <c r="X774" s="48">
        <f t="shared" si="68"/>
        <v>172.5</v>
      </c>
      <c r="Y774" s="49">
        <f t="shared" si="71"/>
        <v>2098.3000000000002</v>
      </c>
      <c r="Z774" s="50">
        <f t="shared" si="69"/>
        <v>2098</v>
      </c>
    </row>
    <row r="775" spans="1:26" x14ac:dyDescent="0.25">
      <c r="A775" s="29" t="s">
        <v>1428</v>
      </c>
      <c r="B775" s="29" t="s">
        <v>181</v>
      </c>
      <c r="C775" s="29" t="s">
        <v>1585</v>
      </c>
      <c r="D775" s="29">
        <v>35514221</v>
      </c>
      <c r="E775" s="32" t="s">
        <v>1586</v>
      </c>
      <c r="F775" s="29">
        <v>42326931</v>
      </c>
      <c r="G775" s="32" t="s">
        <v>1587</v>
      </c>
      <c r="H775" s="32" t="s">
        <v>1376</v>
      </c>
      <c r="I775" s="33" t="s">
        <v>1588</v>
      </c>
      <c r="J775" s="42">
        <f>VLOOKUP(F775,[9]Hárok1!$F$672:$S$793,5,0)</f>
        <v>0</v>
      </c>
      <c r="K775" s="43">
        <f>VLOOKUP(F775,[9]Hárok1!$F$672:$S$793,6,0)</f>
        <v>0</v>
      </c>
      <c r="L775" s="43">
        <f>VLOOKUP(F775,[9]Hárok1!$F$672:$S$793,7,0)</f>
        <v>0</v>
      </c>
      <c r="M775" s="43">
        <f>VLOOKUP(F775,[9]Hárok1!$F$672:$S$793,8,0)</f>
        <v>0</v>
      </c>
      <c r="N775" s="43">
        <f>VLOOKUP(F775,[9]Hárok1!$F$672:$S$793,9,0)</f>
        <v>0</v>
      </c>
      <c r="O775" s="43">
        <f>VLOOKUP(F775,[9]Hárok1!$F$672:$S$793,10,0)</f>
        <v>0</v>
      </c>
      <c r="P775" s="44">
        <f>VLOOKUP(F775,[9]Hárok1!$F$672:$S$793,11,0)</f>
        <v>0</v>
      </c>
      <c r="Q775" s="42">
        <f>VLOOKUP(F775,[9]Hárok1!$F$672:$S$793,12,0)</f>
        <v>0</v>
      </c>
      <c r="R775" s="43">
        <f>VLOOKUP(F775,[9]Hárok1!$F$672:$S$793,13,0)</f>
        <v>0</v>
      </c>
      <c r="S775" s="44">
        <f>VLOOKUP(F775,[9]Hárok1!$F$672:$S$793,14,0)</f>
        <v>0</v>
      </c>
      <c r="T775" s="45">
        <f t="shared" si="70"/>
        <v>0</v>
      </c>
      <c r="U775" s="46">
        <f>VLOOKUP(F775,[9]Hárok1!$F$672:$U$793,16,0)</f>
        <v>0</v>
      </c>
      <c r="V775" s="47">
        <f t="shared" si="66"/>
        <v>0</v>
      </c>
      <c r="W775" s="47">
        <f t="shared" si="67"/>
        <v>0</v>
      </c>
      <c r="X775" s="48">
        <f t="shared" si="68"/>
        <v>0</v>
      </c>
      <c r="Y775" s="49">
        <f t="shared" si="71"/>
        <v>0</v>
      </c>
      <c r="Z775" s="50">
        <f t="shared" si="69"/>
        <v>0</v>
      </c>
    </row>
    <row r="776" spans="1:26" x14ac:dyDescent="0.25">
      <c r="A776" s="29" t="s">
        <v>1428</v>
      </c>
      <c r="B776" s="29" t="s">
        <v>181</v>
      </c>
      <c r="C776" s="29" t="s">
        <v>1556</v>
      </c>
      <c r="D776" s="29">
        <v>179094</v>
      </c>
      <c r="E776" s="32" t="s">
        <v>1557</v>
      </c>
      <c r="F776" s="29">
        <v>618462</v>
      </c>
      <c r="G776" s="32" t="s">
        <v>1589</v>
      </c>
      <c r="H776" s="32" t="s">
        <v>1236</v>
      </c>
      <c r="I776" s="33" t="s">
        <v>1590</v>
      </c>
      <c r="J776" s="42">
        <f>VLOOKUP(F776,[9]Hárok1!$F$672:$S$793,5,0)</f>
        <v>3</v>
      </c>
      <c r="K776" s="43">
        <f>VLOOKUP(F776,[9]Hárok1!$F$672:$S$793,6,0)</f>
        <v>0</v>
      </c>
      <c r="L776" s="43">
        <f>VLOOKUP(F776,[9]Hárok1!$F$672:$S$793,7,0)</f>
        <v>10</v>
      </c>
      <c r="M776" s="43">
        <f>VLOOKUP(F776,[9]Hárok1!$F$672:$S$793,8,0)</f>
        <v>0</v>
      </c>
      <c r="N776" s="43">
        <f>VLOOKUP(F776,[9]Hárok1!$F$672:$S$793,9,0)</f>
        <v>0</v>
      </c>
      <c r="O776" s="43">
        <f>VLOOKUP(F776,[9]Hárok1!$F$672:$S$793,10,0)</f>
        <v>3</v>
      </c>
      <c r="P776" s="44">
        <f>VLOOKUP(F776,[9]Hárok1!$F$672:$S$793,11,0)</f>
        <v>1</v>
      </c>
      <c r="Q776" s="42">
        <f>VLOOKUP(F776,[9]Hárok1!$F$672:$S$793,12,0)</f>
        <v>0</v>
      </c>
      <c r="R776" s="43">
        <f>VLOOKUP(F776,[9]Hárok1!$F$672:$S$793,13,0)</f>
        <v>53</v>
      </c>
      <c r="S776" s="44">
        <f>VLOOKUP(F776,[9]Hárok1!$F$672:$S$793,14,0)</f>
        <v>33</v>
      </c>
      <c r="T776" s="45">
        <f t="shared" si="70"/>
        <v>335</v>
      </c>
      <c r="U776" s="46">
        <f>VLOOKUP(F776,[9]Hárok1!$F$672:$U$793,16,0)</f>
        <v>95.92</v>
      </c>
      <c r="V776" s="47">
        <f t="shared" si="66"/>
        <v>0</v>
      </c>
      <c r="W776" s="47">
        <f t="shared" si="67"/>
        <v>146.5</v>
      </c>
      <c r="X776" s="48">
        <f t="shared" si="68"/>
        <v>76.5</v>
      </c>
      <c r="Y776" s="49">
        <f t="shared" si="71"/>
        <v>653.92000000000007</v>
      </c>
      <c r="Z776" s="50">
        <f t="shared" si="69"/>
        <v>654</v>
      </c>
    </row>
    <row r="777" spans="1:26" x14ac:dyDescent="0.25">
      <c r="A777" s="29" t="s">
        <v>1428</v>
      </c>
      <c r="B777" s="29" t="s">
        <v>181</v>
      </c>
      <c r="C777" s="29" t="s">
        <v>1572</v>
      </c>
      <c r="D777" s="29">
        <v>30305624</v>
      </c>
      <c r="E777" s="32" t="s">
        <v>1573</v>
      </c>
      <c r="F777" s="29">
        <v>31986072</v>
      </c>
      <c r="G777" s="32" t="s">
        <v>1591</v>
      </c>
      <c r="H777" s="32" t="s">
        <v>1169</v>
      </c>
      <c r="I777" s="33" t="s">
        <v>1592</v>
      </c>
      <c r="J777" s="42">
        <f>VLOOKUP(F777,[9]Hárok1!$F$672:$S$793,5,0)</f>
        <v>1</v>
      </c>
      <c r="K777" s="43">
        <f>VLOOKUP(F777,[9]Hárok1!$F$672:$S$793,6,0)</f>
        <v>1</v>
      </c>
      <c r="L777" s="43">
        <f>VLOOKUP(F777,[9]Hárok1!$F$672:$S$793,7,0)</f>
        <v>2</v>
      </c>
      <c r="M777" s="43">
        <f>VLOOKUP(F777,[9]Hárok1!$F$672:$S$793,8,0)</f>
        <v>3</v>
      </c>
      <c r="N777" s="43">
        <f>VLOOKUP(F777,[9]Hárok1!$F$672:$S$793,9,0)</f>
        <v>0</v>
      </c>
      <c r="O777" s="43">
        <f>VLOOKUP(F777,[9]Hárok1!$F$672:$S$793,10,0)</f>
        <v>2</v>
      </c>
      <c r="P777" s="44">
        <f>VLOOKUP(F777,[9]Hárok1!$F$672:$S$793,11,0)</f>
        <v>0</v>
      </c>
      <c r="Q777" s="42">
        <f>VLOOKUP(F777,[9]Hárok1!$F$672:$S$793,12,0)</f>
        <v>0</v>
      </c>
      <c r="R777" s="43">
        <f>VLOOKUP(F777,[9]Hárok1!$F$672:$S$793,13,0)</f>
        <v>49</v>
      </c>
      <c r="S777" s="44">
        <f>VLOOKUP(F777,[9]Hárok1!$F$672:$S$793,14,0)</f>
        <v>0</v>
      </c>
      <c r="T777" s="45">
        <f t="shared" ref="T777:T800" si="72">$T$1*L777</f>
        <v>67</v>
      </c>
      <c r="U777" s="46">
        <f>VLOOKUP(F777,[9]Hárok1!$F$672:$U$793,16,0)</f>
        <v>0</v>
      </c>
      <c r="V777" s="47">
        <f t="shared" ref="V777:V800" si="73">$U$1*N777+$V$1*Q777</f>
        <v>0</v>
      </c>
      <c r="W777" s="47">
        <f t="shared" ref="W777:W800" si="74">$U$1*O777+$W$1*R777</f>
        <v>125</v>
      </c>
      <c r="X777" s="48">
        <f t="shared" ref="X777:X800" si="75">$X$1*P777+$V$1*S777</f>
        <v>0</v>
      </c>
      <c r="Y777" s="49">
        <f t="shared" si="71"/>
        <v>192</v>
      </c>
      <c r="Z777" s="50">
        <f t="shared" ref="Z777:Z800" si="76">ROUND(Y777,0)</f>
        <v>192</v>
      </c>
    </row>
    <row r="778" spans="1:26" x14ac:dyDescent="0.25">
      <c r="A778" s="29" t="s">
        <v>1428</v>
      </c>
      <c r="B778" s="29" t="s">
        <v>181</v>
      </c>
      <c r="C778" s="29" t="s">
        <v>1572</v>
      </c>
      <c r="D778" s="29">
        <v>30305624</v>
      </c>
      <c r="E778" s="32" t="s">
        <v>1573</v>
      </c>
      <c r="F778" s="29">
        <v>35555912</v>
      </c>
      <c r="G778" s="32" t="s">
        <v>1593</v>
      </c>
      <c r="H778" s="32" t="s">
        <v>1169</v>
      </c>
      <c r="I778" s="33" t="s">
        <v>1594</v>
      </c>
      <c r="J778" s="42">
        <f>VLOOKUP(F778,[9]Hárok1!$F$672:$S$793,5,0)</f>
        <v>22</v>
      </c>
      <c r="K778" s="43">
        <f>VLOOKUP(F778,[9]Hárok1!$F$672:$S$793,6,0)</f>
        <v>0</v>
      </c>
      <c r="L778" s="43">
        <f>VLOOKUP(F778,[9]Hárok1!$F$672:$S$793,7,0)</f>
        <v>83</v>
      </c>
      <c r="M778" s="43">
        <f>VLOOKUP(F778,[9]Hárok1!$F$672:$S$793,8,0)</f>
        <v>0</v>
      </c>
      <c r="N778" s="43">
        <f>VLOOKUP(F778,[9]Hárok1!$F$672:$S$793,9,0)</f>
        <v>3</v>
      </c>
      <c r="O778" s="43">
        <f>VLOOKUP(F778,[9]Hárok1!$F$672:$S$793,10,0)</f>
        <v>24</v>
      </c>
      <c r="P778" s="44">
        <f>VLOOKUP(F778,[9]Hárok1!$F$672:$S$793,11,0)</f>
        <v>4</v>
      </c>
      <c r="Q778" s="42">
        <f>VLOOKUP(F778,[9]Hárok1!$F$672:$S$793,12,0)</f>
        <v>30</v>
      </c>
      <c r="R778" s="43">
        <f>VLOOKUP(F778,[9]Hárok1!$F$672:$S$793,13,0)</f>
        <v>384</v>
      </c>
      <c r="S778" s="44">
        <f>VLOOKUP(F778,[9]Hárok1!$F$672:$S$793,14,0)</f>
        <v>495</v>
      </c>
      <c r="T778" s="45">
        <f t="shared" si="72"/>
        <v>2780.5</v>
      </c>
      <c r="U778" s="46">
        <f>VLOOKUP(F778,[9]Hárok1!$F$672:$U$793,16,0)</f>
        <v>0</v>
      </c>
      <c r="V778" s="47">
        <f t="shared" si="73"/>
        <v>85.5</v>
      </c>
      <c r="W778" s="47">
        <f t="shared" si="74"/>
        <v>1092</v>
      </c>
      <c r="X778" s="48">
        <f t="shared" si="75"/>
        <v>850.5</v>
      </c>
      <c r="Y778" s="49">
        <f t="shared" ref="Y778:Y800" si="77">T778+U778+V778+W778+X778</f>
        <v>4808.5</v>
      </c>
      <c r="Z778" s="50">
        <f t="shared" si="76"/>
        <v>4809</v>
      </c>
    </row>
    <row r="779" spans="1:26" x14ac:dyDescent="0.25">
      <c r="A779" s="29" t="s">
        <v>1428</v>
      </c>
      <c r="B779" s="29" t="s">
        <v>181</v>
      </c>
      <c r="C779" s="29" t="s">
        <v>1556</v>
      </c>
      <c r="D779" s="29">
        <v>179094</v>
      </c>
      <c r="E779" s="32" t="s">
        <v>1557</v>
      </c>
      <c r="F779" s="29">
        <v>17151627</v>
      </c>
      <c r="G779" s="32" t="s">
        <v>1342</v>
      </c>
      <c r="H779" s="32" t="s">
        <v>1238</v>
      </c>
      <c r="I779" s="33" t="s">
        <v>1595</v>
      </c>
      <c r="J779" s="42">
        <f>VLOOKUP(F779,[9]Hárok1!$F$672:$S$793,5,0)</f>
        <v>10</v>
      </c>
      <c r="K779" s="43">
        <f>VLOOKUP(F779,[9]Hárok1!$F$672:$S$793,6,0)</f>
        <v>0</v>
      </c>
      <c r="L779" s="43">
        <f>VLOOKUP(F779,[9]Hárok1!$F$672:$S$793,7,0)</f>
        <v>20</v>
      </c>
      <c r="M779" s="43">
        <f>VLOOKUP(F779,[9]Hárok1!$F$672:$S$793,8,0)</f>
        <v>0</v>
      </c>
      <c r="N779" s="43">
        <f>VLOOKUP(F779,[9]Hárok1!$F$672:$S$793,9,0)</f>
        <v>3</v>
      </c>
      <c r="O779" s="43">
        <f>VLOOKUP(F779,[9]Hárok1!$F$672:$S$793,10,0)</f>
        <v>11</v>
      </c>
      <c r="P779" s="44">
        <f>VLOOKUP(F779,[9]Hárok1!$F$672:$S$793,11,0)</f>
        <v>1</v>
      </c>
      <c r="Q779" s="42">
        <f>VLOOKUP(F779,[9]Hárok1!$F$672:$S$793,12,0)</f>
        <v>38</v>
      </c>
      <c r="R779" s="43">
        <f>VLOOKUP(F779,[9]Hárok1!$F$672:$S$793,13,0)</f>
        <v>159</v>
      </c>
      <c r="S779" s="44">
        <f>VLOOKUP(F779,[9]Hárok1!$F$672:$S$793,14,0)</f>
        <v>38</v>
      </c>
      <c r="T779" s="45">
        <f t="shared" si="72"/>
        <v>670</v>
      </c>
      <c r="U779" s="46">
        <f>VLOOKUP(F779,[9]Hárok1!$F$672:$U$793,16,0)</f>
        <v>0</v>
      </c>
      <c r="V779" s="47">
        <f t="shared" si="73"/>
        <v>97.5</v>
      </c>
      <c r="W779" s="47">
        <f t="shared" si="74"/>
        <v>466.5</v>
      </c>
      <c r="X779" s="48">
        <f t="shared" si="75"/>
        <v>84</v>
      </c>
      <c r="Y779" s="49">
        <f t="shared" si="77"/>
        <v>1318</v>
      </c>
      <c r="Z779" s="50">
        <f t="shared" si="76"/>
        <v>1318</v>
      </c>
    </row>
    <row r="780" spans="1:26" x14ac:dyDescent="0.25">
      <c r="A780" s="29" t="s">
        <v>1428</v>
      </c>
      <c r="B780" s="29" t="s">
        <v>226</v>
      </c>
      <c r="C780" s="29" t="s">
        <v>1596</v>
      </c>
      <c r="D780" s="29">
        <v>45739102</v>
      </c>
      <c r="E780" s="32" t="s">
        <v>1597</v>
      </c>
      <c r="F780" s="29">
        <v>35547031</v>
      </c>
      <c r="G780" s="32" t="s">
        <v>1598</v>
      </c>
      <c r="H780" s="32" t="s">
        <v>214</v>
      </c>
      <c r="I780" s="33" t="s">
        <v>1599</v>
      </c>
      <c r="J780" s="42">
        <f>VLOOKUP(F780,[9]Hárok1!$F$672:$S$793,5,0)</f>
        <v>3</v>
      </c>
      <c r="K780" s="43">
        <f>VLOOKUP(F780,[9]Hárok1!$F$672:$S$793,6,0)</f>
        <v>0</v>
      </c>
      <c r="L780" s="43">
        <f>VLOOKUP(F780,[9]Hárok1!$F$672:$S$793,7,0)</f>
        <v>13</v>
      </c>
      <c r="M780" s="43">
        <f>VLOOKUP(F780,[9]Hárok1!$F$672:$S$793,8,0)</f>
        <v>0</v>
      </c>
      <c r="N780" s="43">
        <f>VLOOKUP(F780,[9]Hárok1!$F$672:$S$793,9,0)</f>
        <v>0</v>
      </c>
      <c r="O780" s="43">
        <f>VLOOKUP(F780,[9]Hárok1!$F$672:$S$793,10,0)</f>
        <v>3</v>
      </c>
      <c r="P780" s="44">
        <f>VLOOKUP(F780,[9]Hárok1!$F$672:$S$793,11,0)</f>
        <v>0</v>
      </c>
      <c r="Q780" s="42">
        <f>VLOOKUP(F780,[9]Hárok1!$F$672:$S$793,12,0)</f>
        <v>0</v>
      </c>
      <c r="R780" s="43">
        <f>VLOOKUP(F780,[9]Hárok1!$F$672:$S$793,13,0)</f>
        <v>150</v>
      </c>
      <c r="S780" s="44">
        <f>VLOOKUP(F780,[9]Hárok1!$F$672:$S$793,14,0)</f>
        <v>0</v>
      </c>
      <c r="T780" s="45">
        <f t="shared" si="72"/>
        <v>435.5</v>
      </c>
      <c r="U780" s="46">
        <f>VLOOKUP(F780,[9]Hárok1!$F$672:$U$793,16,0)</f>
        <v>0</v>
      </c>
      <c r="V780" s="47">
        <f t="shared" si="73"/>
        <v>0</v>
      </c>
      <c r="W780" s="47">
        <f t="shared" si="74"/>
        <v>340.5</v>
      </c>
      <c r="X780" s="48">
        <f t="shared" si="75"/>
        <v>0</v>
      </c>
      <c r="Y780" s="49">
        <f t="shared" si="77"/>
        <v>776</v>
      </c>
      <c r="Z780" s="50">
        <f t="shared" si="76"/>
        <v>776</v>
      </c>
    </row>
    <row r="781" spans="1:26" x14ac:dyDescent="0.25">
      <c r="A781" s="29" t="s">
        <v>1428</v>
      </c>
      <c r="B781" s="29" t="s">
        <v>226</v>
      </c>
      <c r="C781" s="29" t="s">
        <v>1600</v>
      </c>
      <c r="D781" s="29">
        <v>35581450</v>
      </c>
      <c r="E781" s="32" t="s">
        <v>1601</v>
      </c>
      <c r="F781" s="29">
        <v>42407362</v>
      </c>
      <c r="G781" s="32" t="s">
        <v>1602</v>
      </c>
      <c r="H781" s="32" t="s">
        <v>214</v>
      </c>
      <c r="I781" s="33" t="s">
        <v>1603</v>
      </c>
      <c r="J781" s="42">
        <f>VLOOKUP(F781,[9]Hárok1!$F$672:$S$793,5,0)</f>
        <v>2</v>
      </c>
      <c r="K781" s="43">
        <f>VLOOKUP(F781,[9]Hárok1!$F$672:$S$793,6,0)</f>
        <v>0</v>
      </c>
      <c r="L781" s="43">
        <f>VLOOKUP(F781,[9]Hárok1!$F$672:$S$793,7,0)</f>
        <v>3</v>
      </c>
      <c r="M781" s="43">
        <f>VLOOKUP(F781,[9]Hárok1!$F$672:$S$793,8,0)</f>
        <v>0</v>
      </c>
      <c r="N781" s="43">
        <f>VLOOKUP(F781,[9]Hárok1!$F$672:$S$793,9,0)</f>
        <v>0</v>
      </c>
      <c r="O781" s="43">
        <f>VLOOKUP(F781,[9]Hárok1!$F$672:$S$793,10,0)</f>
        <v>2</v>
      </c>
      <c r="P781" s="44">
        <f>VLOOKUP(F781,[9]Hárok1!$F$672:$S$793,11,0)</f>
        <v>0</v>
      </c>
      <c r="Q781" s="42">
        <f>VLOOKUP(F781,[9]Hárok1!$F$672:$S$793,12,0)</f>
        <v>0</v>
      </c>
      <c r="R781" s="43">
        <f>VLOOKUP(F781,[9]Hárok1!$F$672:$S$793,13,0)</f>
        <v>46</v>
      </c>
      <c r="S781" s="44">
        <f>VLOOKUP(F781,[9]Hárok1!$F$672:$S$793,14,0)</f>
        <v>0</v>
      </c>
      <c r="T781" s="45">
        <f t="shared" si="72"/>
        <v>100.5</v>
      </c>
      <c r="U781" s="46">
        <f>VLOOKUP(F781,[9]Hárok1!$F$672:$U$793,16,0)</f>
        <v>0</v>
      </c>
      <c r="V781" s="47">
        <f t="shared" si="73"/>
        <v>0</v>
      </c>
      <c r="W781" s="47">
        <f t="shared" si="74"/>
        <v>119</v>
      </c>
      <c r="X781" s="48">
        <f t="shared" si="75"/>
        <v>0</v>
      </c>
      <c r="Y781" s="49">
        <f t="shared" si="77"/>
        <v>219.5</v>
      </c>
      <c r="Z781" s="50">
        <f t="shared" si="76"/>
        <v>220</v>
      </c>
    </row>
    <row r="782" spans="1:26" x14ac:dyDescent="0.25">
      <c r="A782" s="29" t="s">
        <v>1428</v>
      </c>
      <c r="B782" s="29" t="s">
        <v>226</v>
      </c>
      <c r="C782" s="29" t="s">
        <v>1604</v>
      </c>
      <c r="D782" s="29">
        <v>90000101</v>
      </c>
      <c r="E782" s="32" t="s">
        <v>1605</v>
      </c>
      <c r="F782" s="29">
        <v>35562820</v>
      </c>
      <c r="G782" s="32" t="s">
        <v>810</v>
      </c>
      <c r="H782" s="32" t="s">
        <v>214</v>
      </c>
      <c r="I782" s="33" t="s">
        <v>1606</v>
      </c>
      <c r="J782" s="42">
        <f>VLOOKUP(F782,[9]Hárok1!$F$672:$S$793,5,0)</f>
        <v>3</v>
      </c>
      <c r="K782" s="43">
        <f>VLOOKUP(F782,[9]Hárok1!$F$672:$S$793,6,0)</f>
        <v>0</v>
      </c>
      <c r="L782" s="43">
        <f>VLOOKUP(F782,[9]Hárok1!$F$672:$S$793,7,0)</f>
        <v>8</v>
      </c>
      <c r="M782" s="43">
        <f>VLOOKUP(F782,[9]Hárok1!$F$672:$S$793,8,0)</f>
        <v>0</v>
      </c>
      <c r="N782" s="43">
        <f>VLOOKUP(F782,[9]Hárok1!$F$672:$S$793,9,0)</f>
        <v>0</v>
      </c>
      <c r="O782" s="43">
        <f>VLOOKUP(F782,[9]Hárok1!$F$672:$S$793,10,0)</f>
        <v>5</v>
      </c>
      <c r="P782" s="44">
        <f>VLOOKUP(F782,[9]Hárok1!$F$672:$S$793,11,0)</f>
        <v>0</v>
      </c>
      <c r="Q782" s="42">
        <f>VLOOKUP(F782,[9]Hárok1!$F$672:$S$793,12,0)</f>
        <v>0</v>
      </c>
      <c r="R782" s="43">
        <f>VLOOKUP(F782,[9]Hárok1!$F$672:$S$793,13,0)</f>
        <v>68</v>
      </c>
      <c r="S782" s="44">
        <f>VLOOKUP(F782,[9]Hárok1!$F$672:$S$793,14,0)</f>
        <v>0</v>
      </c>
      <c r="T782" s="45">
        <f t="shared" si="72"/>
        <v>268</v>
      </c>
      <c r="U782" s="46">
        <f>VLOOKUP(F782,[9]Hárok1!$F$672:$U$793,16,0)</f>
        <v>0</v>
      </c>
      <c r="V782" s="47">
        <f t="shared" si="73"/>
        <v>0</v>
      </c>
      <c r="W782" s="47">
        <f t="shared" si="74"/>
        <v>203.5</v>
      </c>
      <c r="X782" s="48">
        <f t="shared" si="75"/>
        <v>0</v>
      </c>
      <c r="Y782" s="49">
        <f t="shared" si="77"/>
        <v>471.5</v>
      </c>
      <c r="Z782" s="50">
        <f t="shared" si="76"/>
        <v>472</v>
      </c>
    </row>
    <row r="783" spans="1:26" x14ac:dyDescent="0.25">
      <c r="A783" s="29" t="s">
        <v>1428</v>
      </c>
      <c r="B783" s="29" t="s">
        <v>226</v>
      </c>
      <c r="C783" s="29" t="s">
        <v>1607</v>
      </c>
      <c r="D783" s="29">
        <v>90000202</v>
      </c>
      <c r="E783" s="32" t="s">
        <v>1608</v>
      </c>
      <c r="F783" s="29">
        <v>42099803</v>
      </c>
      <c r="G783" s="32" t="s">
        <v>980</v>
      </c>
      <c r="H783" s="32" t="s">
        <v>1609</v>
      </c>
      <c r="I783" s="33" t="s">
        <v>1610</v>
      </c>
      <c r="J783" s="42">
        <f>VLOOKUP(F783,[9]Hárok1!$F$672:$S$793,5,0)</f>
        <v>0</v>
      </c>
      <c r="K783" s="43">
        <f>VLOOKUP(F783,[9]Hárok1!$F$672:$S$793,6,0)</f>
        <v>0</v>
      </c>
      <c r="L783" s="43">
        <f>VLOOKUP(F783,[9]Hárok1!$F$672:$S$793,7,0)</f>
        <v>0</v>
      </c>
      <c r="M783" s="43">
        <f>VLOOKUP(F783,[9]Hárok1!$F$672:$S$793,8,0)</f>
        <v>0</v>
      </c>
      <c r="N783" s="43">
        <f>VLOOKUP(F783,[9]Hárok1!$F$672:$S$793,9,0)</f>
        <v>0</v>
      </c>
      <c r="O783" s="43">
        <f>VLOOKUP(F783,[9]Hárok1!$F$672:$S$793,10,0)</f>
        <v>0</v>
      </c>
      <c r="P783" s="44">
        <f>VLOOKUP(F783,[9]Hárok1!$F$672:$S$793,11,0)</f>
        <v>0</v>
      </c>
      <c r="Q783" s="42">
        <f>VLOOKUP(F783,[9]Hárok1!$F$672:$S$793,12,0)</f>
        <v>0</v>
      </c>
      <c r="R783" s="43">
        <f>VLOOKUP(F783,[9]Hárok1!$F$672:$S$793,13,0)</f>
        <v>0</v>
      </c>
      <c r="S783" s="44">
        <f>VLOOKUP(F783,[9]Hárok1!$F$672:$S$793,14,0)</f>
        <v>0</v>
      </c>
      <c r="T783" s="45">
        <f t="shared" si="72"/>
        <v>0</v>
      </c>
      <c r="U783" s="46">
        <f>VLOOKUP(F783,[9]Hárok1!$F$672:$U$793,16,0)</f>
        <v>0</v>
      </c>
      <c r="V783" s="47">
        <f t="shared" si="73"/>
        <v>0</v>
      </c>
      <c r="W783" s="47">
        <f t="shared" si="74"/>
        <v>0</v>
      </c>
      <c r="X783" s="48">
        <f t="shared" si="75"/>
        <v>0</v>
      </c>
      <c r="Y783" s="49">
        <f t="shared" si="77"/>
        <v>0</v>
      </c>
      <c r="Z783" s="50">
        <f t="shared" si="76"/>
        <v>0</v>
      </c>
    </row>
    <row r="784" spans="1:26" x14ac:dyDescent="0.25">
      <c r="A784" s="29" t="s">
        <v>1428</v>
      </c>
      <c r="B784" s="29" t="s">
        <v>226</v>
      </c>
      <c r="C784" s="29" t="s">
        <v>1611</v>
      </c>
      <c r="D784" s="29">
        <v>90000091</v>
      </c>
      <c r="E784" s="32" t="s">
        <v>1612</v>
      </c>
      <c r="F784" s="29">
        <v>35558555</v>
      </c>
      <c r="G784" s="32" t="s">
        <v>1613</v>
      </c>
      <c r="H784" s="32" t="s">
        <v>1495</v>
      </c>
      <c r="I784" s="33" t="s">
        <v>1614</v>
      </c>
      <c r="J784" s="42">
        <f>VLOOKUP(F784,[9]Hárok1!$F$672:$S$793,5,0)</f>
        <v>1</v>
      </c>
      <c r="K784" s="43">
        <f>VLOOKUP(F784,[9]Hárok1!$F$672:$S$793,6,0)</f>
        <v>3</v>
      </c>
      <c r="L784" s="43">
        <f>VLOOKUP(F784,[9]Hárok1!$F$672:$S$793,7,0)</f>
        <v>2</v>
      </c>
      <c r="M784" s="43">
        <f>VLOOKUP(F784,[9]Hárok1!$F$672:$S$793,8,0)</f>
        <v>7</v>
      </c>
      <c r="N784" s="43">
        <f>VLOOKUP(F784,[9]Hárok1!$F$672:$S$793,9,0)</f>
        <v>1</v>
      </c>
      <c r="O784" s="43">
        <f>VLOOKUP(F784,[9]Hárok1!$F$672:$S$793,10,0)</f>
        <v>4</v>
      </c>
      <c r="P784" s="44">
        <f>VLOOKUP(F784,[9]Hárok1!$F$672:$S$793,11,0)</f>
        <v>1</v>
      </c>
      <c r="Q784" s="42">
        <f>VLOOKUP(F784,[9]Hárok1!$F$672:$S$793,12,0)</f>
        <v>39</v>
      </c>
      <c r="R784" s="43">
        <f>VLOOKUP(F784,[9]Hárok1!$F$672:$S$793,13,0)</f>
        <v>68</v>
      </c>
      <c r="S784" s="44">
        <f>VLOOKUP(F784,[9]Hárok1!$F$672:$S$793,14,0)</f>
        <v>11</v>
      </c>
      <c r="T784" s="45">
        <f t="shared" si="72"/>
        <v>67</v>
      </c>
      <c r="U784" s="46">
        <f>VLOOKUP(F784,[9]Hárok1!$F$672:$U$793,16,0)</f>
        <v>0</v>
      </c>
      <c r="V784" s="47">
        <f t="shared" si="73"/>
        <v>72</v>
      </c>
      <c r="W784" s="47">
        <f t="shared" si="74"/>
        <v>190</v>
      </c>
      <c r="X784" s="48">
        <f t="shared" si="75"/>
        <v>43.5</v>
      </c>
      <c r="Y784" s="49">
        <f t="shared" si="77"/>
        <v>372.5</v>
      </c>
      <c r="Z784" s="50">
        <f t="shared" si="76"/>
        <v>373</v>
      </c>
    </row>
    <row r="785" spans="1:26" x14ac:dyDescent="0.25">
      <c r="A785" s="29" t="s">
        <v>1428</v>
      </c>
      <c r="B785" s="29" t="s">
        <v>226</v>
      </c>
      <c r="C785" s="29" t="s">
        <v>1615</v>
      </c>
      <c r="D785" s="29">
        <v>45866635</v>
      </c>
      <c r="E785" s="32" t="s">
        <v>1616</v>
      </c>
      <c r="F785" s="29">
        <v>35562986</v>
      </c>
      <c r="G785" s="32" t="s">
        <v>276</v>
      </c>
      <c r="H785" s="32" t="s">
        <v>1495</v>
      </c>
      <c r="I785" s="33" t="s">
        <v>1617</v>
      </c>
      <c r="J785" s="42">
        <f>VLOOKUP(F785,[9]Hárok1!$F$672:$S$793,5,0)</f>
        <v>1</v>
      </c>
      <c r="K785" s="43">
        <f>VLOOKUP(F785,[9]Hárok1!$F$672:$S$793,6,0)</f>
        <v>0</v>
      </c>
      <c r="L785" s="43">
        <f>VLOOKUP(F785,[9]Hárok1!$F$672:$S$793,7,0)</f>
        <v>2</v>
      </c>
      <c r="M785" s="43">
        <f>VLOOKUP(F785,[9]Hárok1!$F$672:$S$793,8,0)</f>
        <v>0</v>
      </c>
      <c r="N785" s="43">
        <f>VLOOKUP(F785,[9]Hárok1!$F$672:$S$793,9,0)</f>
        <v>1</v>
      </c>
      <c r="O785" s="43">
        <f>VLOOKUP(F785,[9]Hárok1!$F$672:$S$793,10,0)</f>
        <v>0</v>
      </c>
      <c r="P785" s="44">
        <f>VLOOKUP(F785,[9]Hárok1!$F$672:$S$793,11,0)</f>
        <v>0</v>
      </c>
      <c r="Q785" s="42">
        <f>VLOOKUP(F785,[9]Hárok1!$F$672:$S$793,12,0)</f>
        <v>34</v>
      </c>
      <c r="R785" s="43">
        <f>VLOOKUP(F785,[9]Hárok1!$F$672:$S$793,13,0)</f>
        <v>0</v>
      </c>
      <c r="S785" s="44">
        <f>VLOOKUP(F785,[9]Hárok1!$F$672:$S$793,14,0)</f>
        <v>0</v>
      </c>
      <c r="T785" s="45">
        <f t="shared" si="72"/>
        <v>67</v>
      </c>
      <c r="U785" s="46">
        <f>VLOOKUP(F785,[9]Hárok1!$F$672:$U$793,16,0)</f>
        <v>0</v>
      </c>
      <c r="V785" s="47">
        <f t="shared" si="73"/>
        <v>64.5</v>
      </c>
      <c r="W785" s="47">
        <f t="shared" si="74"/>
        <v>0</v>
      </c>
      <c r="X785" s="48">
        <f t="shared" si="75"/>
        <v>0</v>
      </c>
      <c r="Y785" s="49">
        <f t="shared" si="77"/>
        <v>131.5</v>
      </c>
      <c r="Z785" s="50">
        <f t="shared" si="76"/>
        <v>132</v>
      </c>
    </row>
    <row r="786" spans="1:26" x14ac:dyDescent="0.25">
      <c r="A786" s="29" t="s">
        <v>1428</v>
      </c>
      <c r="B786" s="29" t="s">
        <v>226</v>
      </c>
      <c r="C786" s="29" t="s">
        <v>1618</v>
      </c>
      <c r="D786" s="29">
        <v>36670201</v>
      </c>
      <c r="E786" s="32" t="s">
        <v>1619</v>
      </c>
      <c r="F786" s="29">
        <v>31313833</v>
      </c>
      <c r="G786" s="32" t="s">
        <v>1620</v>
      </c>
      <c r="H786" s="32" t="s">
        <v>1499</v>
      </c>
      <c r="I786" s="33" t="s">
        <v>1621</v>
      </c>
      <c r="J786" s="42">
        <f>VLOOKUP(F786,[9]Hárok1!$F$672:$S$793,5,0)</f>
        <v>3</v>
      </c>
      <c r="K786" s="43">
        <f>VLOOKUP(F786,[9]Hárok1!$F$672:$S$793,6,0)</f>
        <v>0</v>
      </c>
      <c r="L786" s="43">
        <f>VLOOKUP(F786,[9]Hárok1!$F$672:$S$793,7,0)</f>
        <v>6</v>
      </c>
      <c r="M786" s="43">
        <f>VLOOKUP(F786,[9]Hárok1!$F$672:$S$793,8,0)</f>
        <v>0</v>
      </c>
      <c r="N786" s="43">
        <f>VLOOKUP(F786,[9]Hárok1!$F$672:$S$793,9,0)</f>
        <v>1</v>
      </c>
      <c r="O786" s="43">
        <f>VLOOKUP(F786,[9]Hárok1!$F$672:$S$793,10,0)</f>
        <v>2</v>
      </c>
      <c r="P786" s="44">
        <f>VLOOKUP(F786,[9]Hárok1!$F$672:$S$793,11,0)</f>
        <v>0</v>
      </c>
      <c r="Q786" s="42">
        <f>VLOOKUP(F786,[9]Hárok1!$F$672:$S$793,12,0)</f>
        <v>9</v>
      </c>
      <c r="R786" s="43">
        <f>VLOOKUP(F786,[9]Hárok1!$F$672:$S$793,13,0)</f>
        <v>53</v>
      </c>
      <c r="S786" s="44">
        <f>VLOOKUP(F786,[9]Hárok1!$F$672:$S$793,14,0)</f>
        <v>0</v>
      </c>
      <c r="T786" s="45">
        <f t="shared" si="72"/>
        <v>201</v>
      </c>
      <c r="U786" s="46">
        <f>VLOOKUP(F786,[9]Hárok1!$F$672:$U$793,16,0)</f>
        <v>0</v>
      </c>
      <c r="V786" s="47">
        <f t="shared" si="73"/>
        <v>27</v>
      </c>
      <c r="W786" s="47">
        <f t="shared" si="74"/>
        <v>133</v>
      </c>
      <c r="X786" s="48">
        <f t="shared" si="75"/>
        <v>0</v>
      </c>
      <c r="Y786" s="49">
        <f t="shared" si="77"/>
        <v>361</v>
      </c>
      <c r="Z786" s="50">
        <f t="shared" si="76"/>
        <v>361</v>
      </c>
    </row>
    <row r="787" spans="1:26" x14ac:dyDescent="0.25">
      <c r="A787" s="29" t="s">
        <v>1428</v>
      </c>
      <c r="B787" s="29" t="s">
        <v>226</v>
      </c>
      <c r="C787" s="29" t="s">
        <v>1622</v>
      </c>
      <c r="D787" s="29">
        <v>35582006</v>
      </c>
      <c r="E787" s="32" t="s">
        <v>1623</v>
      </c>
      <c r="F787" s="29">
        <v>35565233</v>
      </c>
      <c r="G787" s="32" t="s">
        <v>266</v>
      </c>
      <c r="H787" s="32" t="s">
        <v>1445</v>
      </c>
      <c r="I787" s="33" t="s">
        <v>1624</v>
      </c>
      <c r="J787" s="42">
        <f>VLOOKUP(F787,[9]Hárok1!$F$672:$S$793,5,0)</f>
        <v>2</v>
      </c>
      <c r="K787" s="43">
        <f>VLOOKUP(F787,[9]Hárok1!$F$672:$S$793,6,0)</f>
        <v>0</v>
      </c>
      <c r="L787" s="43">
        <f>VLOOKUP(F787,[9]Hárok1!$F$672:$S$793,7,0)</f>
        <v>3</v>
      </c>
      <c r="M787" s="43">
        <f>VLOOKUP(F787,[9]Hárok1!$F$672:$S$793,8,0)</f>
        <v>0</v>
      </c>
      <c r="N787" s="43">
        <f>VLOOKUP(F787,[9]Hárok1!$F$672:$S$793,9,0)</f>
        <v>0</v>
      </c>
      <c r="O787" s="43">
        <f>VLOOKUP(F787,[9]Hárok1!$F$672:$S$793,10,0)</f>
        <v>3</v>
      </c>
      <c r="P787" s="44">
        <f>VLOOKUP(F787,[9]Hárok1!$F$672:$S$793,11,0)</f>
        <v>0</v>
      </c>
      <c r="Q787" s="42">
        <f>VLOOKUP(F787,[9]Hárok1!$F$672:$S$793,12,0)</f>
        <v>0</v>
      </c>
      <c r="R787" s="43">
        <f>VLOOKUP(F787,[9]Hárok1!$F$672:$S$793,13,0)</f>
        <v>27</v>
      </c>
      <c r="S787" s="44">
        <f>VLOOKUP(F787,[9]Hárok1!$F$672:$S$793,14,0)</f>
        <v>0</v>
      </c>
      <c r="T787" s="45">
        <f t="shared" si="72"/>
        <v>100.5</v>
      </c>
      <c r="U787" s="46">
        <f>VLOOKUP(F787,[9]Hárok1!$F$672:$U$793,16,0)</f>
        <v>0</v>
      </c>
      <c r="V787" s="47">
        <f t="shared" si="73"/>
        <v>0</v>
      </c>
      <c r="W787" s="47">
        <f t="shared" si="74"/>
        <v>94.5</v>
      </c>
      <c r="X787" s="48">
        <f t="shared" si="75"/>
        <v>0</v>
      </c>
      <c r="Y787" s="49">
        <f t="shared" si="77"/>
        <v>195</v>
      </c>
      <c r="Z787" s="50">
        <f t="shared" si="76"/>
        <v>195</v>
      </c>
    </row>
    <row r="788" spans="1:26" x14ac:dyDescent="0.25">
      <c r="A788" s="29" t="s">
        <v>1428</v>
      </c>
      <c r="B788" s="29" t="s">
        <v>226</v>
      </c>
      <c r="C788" s="29" t="s">
        <v>1625</v>
      </c>
      <c r="D788" s="29">
        <v>31698964</v>
      </c>
      <c r="E788" s="32" t="s">
        <v>1626</v>
      </c>
      <c r="F788" s="29">
        <v>35547260</v>
      </c>
      <c r="G788" s="32" t="s">
        <v>1627</v>
      </c>
      <c r="H788" s="32" t="s">
        <v>1445</v>
      </c>
      <c r="I788" s="33" t="s">
        <v>1508</v>
      </c>
      <c r="J788" s="42">
        <f>VLOOKUP(F788,[9]Hárok1!$F$672:$S$793,5,0)</f>
        <v>0</v>
      </c>
      <c r="K788" s="43">
        <f>VLOOKUP(F788,[9]Hárok1!$F$672:$S$793,6,0)</f>
        <v>0</v>
      </c>
      <c r="L788" s="43">
        <f>VLOOKUP(F788,[9]Hárok1!$F$672:$S$793,7,0)</f>
        <v>0</v>
      </c>
      <c r="M788" s="43">
        <f>VLOOKUP(F788,[9]Hárok1!$F$672:$S$793,8,0)</f>
        <v>0</v>
      </c>
      <c r="N788" s="43">
        <f>VLOOKUP(F788,[9]Hárok1!$F$672:$S$793,9,0)</f>
        <v>0</v>
      </c>
      <c r="O788" s="43">
        <f>VLOOKUP(F788,[9]Hárok1!$F$672:$S$793,10,0)</f>
        <v>0</v>
      </c>
      <c r="P788" s="44">
        <f>VLOOKUP(F788,[9]Hárok1!$F$672:$S$793,11,0)</f>
        <v>0</v>
      </c>
      <c r="Q788" s="42">
        <f>VLOOKUP(F788,[9]Hárok1!$F$672:$S$793,12,0)</f>
        <v>0</v>
      </c>
      <c r="R788" s="43">
        <f>VLOOKUP(F788,[9]Hárok1!$F$672:$S$793,13,0)</f>
        <v>0</v>
      </c>
      <c r="S788" s="44">
        <f>VLOOKUP(F788,[9]Hárok1!$F$672:$S$793,14,0)</f>
        <v>0</v>
      </c>
      <c r="T788" s="45">
        <f t="shared" si="72"/>
        <v>0</v>
      </c>
      <c r="U788" s="46">
        <f>VLOOKUP(F788,[9]Hárok1!$F$672:$U$793,16,0)</f>
        <v>0</v>
      </c>
      <c r="V788" s="47">
        <f t="shared" si="73"/>
        <v>0</v>
      </c>
      <c r="W788" s="47">
        <f t="shared" si="74"/>
        <v>0</v>
      </c>
      <c r="X788" s="48">
        <f t="shared" si="75"/>
        <v>0</v>
      </c>
      <c r="Y788" s="49">
        <f t="shared" si="77"/>
        <v>0</v>
      </c>
      <c r="Z788" s="50">
        <f t="shared" si="76"/>
        <v>0</v>
      </c>
    </row>
    <row r="789" spans="1:26" x14ac:dyDescent="0.25">
      <c r="A789" s="29" t="s">
        <v>1428</v>
      </c>
      <c r="B789" s="29" t="s">
        <v>226</v>
      </c>
      <c r="C789" s="29" t="s">
        <v>1628</v>
      </c>
      <c r="D789" s="29">
        <v>36614378</v>
      </c>
      <c r="E789" s="32" t="s">
        <v>1629</v>
      </c>
      <c r="F789" s="29">
        <v>35575182</v>
      </c>
      <c r="G789" s="32" t="s">
        <v>328</v>
      </c>
      <c r="H789" s="32" t="s">
        <v>1445</v>
      </c>
      <c r="I789" s="33" t="s">
        <v>1630</v>
      </c>
      <c r="J789" s="42">
        <f>VLOOKUP(F789,[9]Hárok1!$F$672:$S$793,5,0)</f>
        <v>4</v>
      </c>
      <c r="K789" s="43">
        <f>VLOOKUP(F789,[9]Hárok1!$F$672:$S$793,6,0)</f>
        <v>0</v>
      </c>
      <c r="L789" s="43">
        <f>VLOOKUP(F789,[9]Hárok1!$F$672:$S$793,7,0)</f>
        <v>8</v>
      </c>
      <c r="M789" s="43">
        <f>VLOOKUP(F789,[9]Hárok1!$F$672:$S$793,8,0)</f>
        <v>0</v>
      </c>
      <c r="N789" s="43">
        <f>VLOOKUP(F789,[9]Hárok1!$F$672:$S$793,9,0)</f>
        <v>1</v>
      </c>
      <c r="O789" s="43">
        <f>VLOOKUP(F789,[9]Hárok1!$F$672:$S$793,10,0)</f>
        <v>3</v>
      </c>
      <c r="P789" s="44">
        <f>VLOOKUP(F789,[9]Hárok1!$F$672:$S$793,11,0)</f>
        <v>0</v>
      </c>
      <c r="Q789" s="42">
        <f>VLOOKUP(F789,[9]Hárok1!$F$672:$S$793,12,0)</f>
        <v>10</v>
      </c>
      <c r="R789" s="43">
        <f>VLOOKUP(F789,[9]Hárok1!$F$672:$S$793,13,0)</f>
        <v>66</v>
      </c>
      <c r="S789" s="44">
        <f>VLOOKUP(F789,[9]Hárok1!$F$672:$S$793,14,0)</f>
        <v>0</v>
      </c>
      <c r="T789" s="45">
        <f t="shared" si="72"/>
        <v>268</v>
      </c>
      <c r="U789" s="46">
        <f>VLOOKUP(F789,[9]Hárok1!$F$672:$U$793,16,0)</f>
        <v>0</v>
      </c>
      <c r="V789" s="47">
        <f t="shared" si="73"/>
        <v>28.5</v>
      </c>
      <c r="W789" s="47">
        <f t="shared" si="74"/>
        <v>172.5</v>
      </c>
      <c r="X789" s="48">
        <f t="shared" si="75"/>
        <v>0</v>
      </c>
      <c r="Y789" s="49">
        <f t="shared" si="77"/>
        <v>469</v>
      </c>
      <c r="Z789" s="50">
        <f t="shared" si="76"/>
        <v>469</v>
      </c>
    </row>
    <row r="790" spans="1:26" x14ac:dyDescent="0.25">
      <c r="A790" s="29" t="s">
        <v>1428</v>
      </c>
      <c r="B790" s="29" t="s">
        <v>226</v>
      </c>
      <c r="C790" s="29" t="s">
        <v>1622</v>
      </c>
      <c r="D790" s="29">
        <v>35582006</v>
      </c>
      <c r="E790" s="32" t="s">
        <v>1623</v>
      </c>
      <c r="F790" s="29">
        <v>42107148</v>
      </c>
      <c r="G790" s="32" t="s">
        <v>1631</v>
      </c>
      <c r="H790" s="32" t="s">
        <v>1445</v>
      </c>
      <c r="I790" s="33" t="s">
        <v>1624</v>
      </c>
      <c r="J790" s="42">
        <f>VLOOKUP(F790,[9]Hárok1!$F$672:$S$793,5,0)</f>
        <v>7</v>
      </c>
      <c r="K790" s="43">
        <f>VLOOKUP(F790,[9]Hárok1!$F$672:$S$793,6,0)</f>
        <v>0</v>
      </c>
      <c r="L790" s="43">
        <f>VLOOKUP(F790,[9]Hárok1!$F$672:$S$793,7,0)</f>
        <v>25</v>
      </c>
      <c r="M790" s="43">
        <f>VLOOKUP(F790,[9]Hárok1!$F$672:$S$793,8,0)</f>
        <v>0</v>
      </c>
      <c r="N790" s="43">
        <f>VLOOKUP(F790,[9]Hárok1!$F$672:$S$793,9,0)</f>
        <v>1</v>
      </c>
      <c r="O790" s="43">
        <f>VLOOKUP(F790,[9]Hárok1!$F$672:$S$793,10,0)</f>
        <v>9</v>
      </c>
      <c r="P790" s="44">
        <f>VLOOKUP(F790,[9]Hárok1!$F$672:$S$793,11,0)</f>
        <v>3</v>
      </c>
      <c r="Q790" s="42">
        <f>VLOOKUP(F790,[9]Hárok1!$F$672:$S$793,12,0)</f>
        <v>2</v>
      </c>
      <c r="R790" s="43">
        <f>VLOOKUP(F790,[9]Hárok1!$F$672:$S$793,13,0)</f>
        <v>161</v>
      </c>
      <c r="S790" s="44">
        <f>VLOOKUP(F790,[9]Hárok1!$F$672:$S$793,14,0)</f>
        <v>247</v>
      </c>
      <c r="T790" s="45">
        <f t="shared" si="72"/>
        <v>837.5</v>
      </c>
      <c r="U790" s="46">
        <f>VLOOKUP(F790,[9]Hárok1!$F$672:$U$793,16,0)</f>
        <v>444.17</v>
      </c>
      <c r="V790" s="47">
        <f t="shared" si="73"/>
        <v>16.5</v>
      </c>
      <c r="W790" s="47">
        <f t="shared" si="74"/>
        <v>443.5</v>
      </c>
      <c r="X790" s="48">
        <f t="shared" si="75"/>
        <v>451.5</v>
      </c>
      <c r="Y790" s="49">
        <f t="shared" si="77"/>
        <v>2193.17</v>
      </c>
      <c r="Z790" s="50">
        <f t="shared" si="76"/>
        <v>2193</v>
      </c>
    </row>
    <row r="791" spans="1:26" x14ac:dyDescent="0.25">
      <c r="A791" s="29" t="s">
        <v>1428</v>
      </c>
      <c r="B791" s="29" t="s">
        <v>226</v>
      </c>
      <c r="C791" s="29" t="s">
        <v>1632</v>
      </c>
      <c r="D791" s="29">
        <v>90000338</v>
      </c>
      <c r="E791" s="32" t="s">
        <v>1633</v>
      </c>
      <c r="F791" s="29">
        <v>31295657</v>
      </c>
      <c r="G791" s="32" t="s">
        <v>229</v>
      </c>
      <c r="H791" s="32" t="s">
        <v>1510</v>
      </c>
      <c r="I791" s="33" t="s">
        <v>1634</v>
      </c>
      <c r="J791" s="42">
        <f>VLOOKUP(F791,[9]Hárok1!$F$672:$S$793,5,0)</f>
        <v>5</v>
      </c>
      <c r="K791" s="43">
        <f>VLOOKUP(F791,[9]Hárok1!$F$672:$S$793,6,0)</f>
        <v>6</v>
      </c>
      <c r="L791" s="43">
        <f>VLOOKUP(F791,[9]Hárok1!$F$672:$S$793,7,0)</f>
        <v>14</v>
      </c>
      <c r="M791" s="43">
        <f>VLOOKUP(F791,[9]Hárok1!$F$672:$S$793,8,0)</f>
        <v>22</v>
      </c>
      <c r="N791" s="43">
        <f>VLOOKUP(F791,[9]Hárok1!$F$672:$S$793,9,0)</f>
        <v>12</v>
      </c>
      <c r="O791" s="43">
        <f>VLOOKUP(F791,[9]Hárok1!$F$672:$S$793,10,0)</f>
        <v>6</v>
      </c>
      <c r="P791" s="44">
        <f>VLOOKUP(F791,[9]Hárok1!$F$672:$S$793,11,0)</f>
        <v>0</v>
      </c>
      <c r="Q791" s="42">
        <f>VLOOKUP(F791,[9]Hárok1!$F$672:$S$793,12,0)</f>
        <v>340</v>
      </c>
      <c r="R791" s="43">
        <f>VLOOKUP(F791,[9]Hárok1!$F$672:$S$793,13,0)</f>
        <v>97</v>
      </c>
      <c r="S791" s="44">
        <f>VLOOKUP(F791,[9]Hárok1!$F$672:$S$793,14,0)</f>
        <v>0</v>
      </c>
      <c r="T791" s="45">
        <f t="shared" si="72"/>
        <v>469</v>
      </c>
      <c r="U791" s="46">
        <f>VLOOKUP(F791,[9]Hárok1!$F$672:$U$793,16,0)</f>
        <v>0</v>
      </c>
      <c r="V791" s="47">
        <f t="shared" si="73"/>
        <v>672</v>
      </c>
      <c r="W791" s="47">
        <f t="shared" si="74"/>
        <v>275</v>
      </c>
      <c r="X791" s="48">
        <f t="shared" si="75"/>
        <v>0</v>
      </c>
      <c r="Y791" s="49">
        <f t="shared" si="77"/>
        <v>1416</v>
      </c>
      <c r="Z791" s="50">
        <f t="shared" si="76"/>
        <v>1416</v>
      </c>
    </row>
    <row r="792" spans="1:26" x14ac:dyDescent="0.25">
      <c r="A792" s="29" t="s">
        <v>1428</v>
      </c>
      <c r="B792" s="29" t="s">
        <v>226</v>
      </c>
      <c r="C792" s="29" t="s">
        <v>1635</v>
      </c>
      <c r="D792" s="29">
        <v>31257267</v>
      </c>
      <c r="E792" s="32" t="s">
        <v>1636</v>
      </c>
      <c r="F792" s="29">
        <v>42249252</v>
      </c>
      <c r="G792" s="32" t="s">
        <v>229</v>
      </c>
      <c r="H792" s="32" t="s">
        <v>1510</v>
      </c>
      <c r="I792" s="33" t="s">
        <v>1637</v>
      </c>
      <c r="J792" s="42">
        <f>VLOOKUP(F792,[9]Hárok1!$F$672:$S$793,5,0)</f>
        <v>0</v>
      </c>
      <c r="K792" s="43">
        <f>VLOOKUP(F792,[9]Hárok1!$F$672:$S$793,6,0)</f>
        <v>0</v>
      </c>
      <c r="L792" s="43">
        <f>VLOOKUP(F792,[9]Hárok1!$F$672:$S$793,7,0)</f>
        <v>0</v>
      </c>
      <c r="M792" s="43">
        <f>VLOOKUP(F792,[9]Hárok1!$F$672:$S$793,8,0)</f>
        <v>0</v>
      </c>
      <c r="N792" s="43">
        <f>VLOOKUP(F792,[9]Hárok1!$F$672:$S$793,9,0)</f>
        <v>0</v>
      </c>
      <c r="O792" s="43">
        <f>VLOOKUP(F792,[9]Hárok1!$F$672:$S$793,10,0)</f>
        <v>0</v>
      </c>
      <c r="P792" s="44">
        <f>VLOOKUP(F792,[9]Hárok1!$F$672:$S$793,11,0)</f>
        <v>0</v>
      </c>
      <c r="Q792" s="42">
        <f>VLOOKUP(F792,[9]Hárok1!$F$672:$S$793,12,0)</f>
        <v>0</v>
      </c>
      <c r="R792" s="43">
        <f>VLOOKUP(F792,[9]Hárok1!$F$672:$S$793,13,0)</f>
        <v>0</v>
      </c>
      <c r="S792" s="44">
        <f>VLOOKUP(F792,[9]Hárok1!$F$672:$S$793,14,0)</f>
        <v>0</v>
      </c>
      <c r="T792" s="45">
        <f t="shared" si="72"/>
        <v>0</v>
      </c>
      <c r="U792" s="46">
        <f>VLOOKUP(F792,[9]Hárok1!$F$672:$U$793,16,0)</f>
        <v>0</v>
      </c>
      <c r="V792" s="47">
        <f t="shared" si="73"/>
        <v>0</v>
      </c>
      <c r="W792" s="47">
        <f t="shared" si="74"/>
        <v>0</v>
      </c>
      <c r="X792" s="48">
        <f t="shared" si="75"/>
        <v>0</v>
      </c>
      <c r="Y792" s="49">
        <f t="shared" si="77"/>
        <v>0</v>
      </c>
      <c r="Z792" s="50">
        <f t="shared" si="76"/>
        <v>0</v>
      </c>
    </row>
    <row r="793" spans="1:26" x14ac:dyDescent="0.25">
      <c r="A793" s="29" t="s">
        <v>1428</v>
      </c>
      <c r="B793" s="29" t="s">
        <v>226</v>
      </c>
      <c r="C793" s="29" t="s">
        <v>1635</v>
      </c>
      <c r="D793" s="29">
        <v>31257267</v>
      </c>
      <c r="E793" s="32" t="s">
        <v>1636</v>
      </c>
      <c r="F793" s="29">
        <v>31262767</v>
      </c>
      <c r="G793" s="32" t="s">
        <v>276</v>
      </c>
      <c r="H793" s="32" t="s">
        <v>1510</v>
      </c>
      <c r="I793" s="33" t="s">
        <v>1637</v>
      </c>
      <c r="J793" s="42">
        <f>VLOOKUP(F793,[9]Hárok1!$F$672:$S$793,5,0)</f>
        <v>4</v>
      </c>
      <c r="K793" s="43">
        <f>VLOOKUP(F793,[9]Hárok1!$F$672:$S$793,6,0)</f>
        <v>0</v>
      </c>
      <c r="L793" s="43">
        <f>VLOOKUP(F793,[9]Hárok1!$F$672:$S$793,7,0)</f>
        <v>13</v>
      </c>
      <c r="M793" s="43">
        <f>VLOOKUP(F793,[9]Hárok1!$F$672:$S$793,8,0)</f>
        <v>0</v>
      </c>
      <c r="N793" s="43">
        <f>VLOOKUP(F793,[9]Hárok1!$F$672:$S$793,9,0)</f>
        <v>0</v>
      </c>
      <c r="O793" s="43">
        <f>VLOOKUP(F793,[9]Hárok1!$F$672:$S$793,10,0)</f>
        <v>7</v>
      </c>
      <c r="P793" s="44">
        <f>VLOOKUP(F793,[9]Hárok1!$F$672:$S$793,11,0)</f>
        <v>0</v>
      </c>
      <c r="Q793" s="42">
        <f>VLOOKUP(F793,[9]Hárok1!$F$672:$S$793,12,0)</f>
        <v>0</v>
      </c>
      <c r="R793" s="43">
        <f>VLOOKUP(F793,[9]Hárok1!$F$672:$S$793,13,0)</f>
        <v>176</v>
      </c>
      <c r="S793" s="44">
        <f>VLOOKUP(F793,[9]Hárok1!$F$672:$S$793,14,0)</f>
        <v>0</v>
      </c>
      <c r="T793" s="45">
        <f t="shared" si="72"/>
        <v>435.5</v>
      </c>
      <c r="U793" s="46">
        <f>VLOOKUP(F793,[9]Hárok1!$F$672:$U$793,16,0)</f>
        <v>0</v>
      </c>
      <c r="V793" s="47">
        <f t="shared" si="73"/>
        <v>0</v>
      </c>
      <c r="W793" s="47">
        <f t="shared" si="74"/>
        <v>446.5</v>
      </c>
      <c r="X793" s="48">
        <f t="shared" si="75"/>
        <v>0</v>
      </c>
      <c r="Y793" s="49">
        <f t="shared" si="77"/>
        <v>882</v>
      </c>
      <c r="Z793" s="50">
        <f t="shared" si="76"/>
        <v>882</v>
      </c>
    </row>
    <row r="794" spans="1:26" x14ac:dyDescent="0.25">
      <c r="A794" s="51" t="s">
        <v>1428</v>
      </c>
      <c r="B794" s="51" t="s">
        <v>226</v>
      </c>
      <c r="C794" s="51" t="s">
        <v>1638</v>
      </c>
      <c r="D794" s="51">
        <v>90000304</v>
      </c>
      <c r="E794" s="32" t="s">
        <v>1639</v>
      </c>
      <c r="F794" s="51">
        <v>53255500</v>
      </c>
      <c r="G794" s="32" t="s">
        <v>814</v>
      </c>
      <c r="H794" s="32" t="s">
        <v>1640</v>
      </c>
      <c r="I794" s="33" t="s">
        <v>1641</v>
      </c>
      <c r="J794" s="42">
        <f>VLOOKUP(F794,[9]Hárok1!$F$672:$S$793,5,0)</f>
        <v>0</v>
      </c>
      <c r="K794" s="43">
        <f>VLOOKUP(F794,[9]Hárok1!$F$672:$S$793,6,0)</f>
        <v>0</v>
      </c>
      <c r="L794" s="43">
        <f>VLOOKUP(F794,[9]Hárok1!$F$672:$S$793,7,0)</f>
        <v>0</v>
      </c>
      <c r="M794" s="43">
        <f>VLOOKUP(F794,[9]Hárok1!$F$672:$S$793,8,0)</f>
        <v>0</v>
      </c>
      <c r="N794" s="43">
        <f>VLOOKUP(F794,[9]Hárok1!$F$672:$S$793,9,0)</f>
        <v>0</v>
      </c>
      <c r="O794" s="43">
        <f>VLOOKUP(F794,[9]Hárok1!$F$672:$S$793,10,0)</f>
        <v>0</v>
      </c>
      <c r="P794" s="44">
        <f>VLOOKUP(F794,[9]Hárok1!$F$672:$S$793,11,0)</f>
        <v>0</v>
      </c>
      <c r="Q794" s="42">
        <f>VLOOKUP(F794,[9]Hárok1!$F$672:$S$793,12,0)</f>
        <v>0</v>
      </c>
      <c r="R794" s="43">
        <f>VLOOKUP(F794,[9]Hárok1!$F$672:$S$793,13,0)</f>
        <v>0</v>
      </c>
      <c r="S794" s="44">
        <f>VLOOKUP(F794,[9]Hárok1!$F$672:$S$793,14,0)</f>
        <v>0</v>
      </c>
      <c r="T794" s="45">
        <f t="shared" si="72"/>
        <v>0</v>
      </c>
      <c r="U794" s="46">
        <f>VLOOKUP(F794,[9]Hárok1!$F$672:$U$793,16,0)</f>
        <v>0</v>
      </c>
      <c r="V794" s="47">
        <f t="shared" si="73"/>
        <v>0</v>
      </c>
      <c r="W794" s="47">
        <f t="shared" si="74"/>
        <v>0</v>
      </c>
      <c r="X794" s="48">
        <f t="shared" si="75"/>
        <v>0</v>
      </c>
      <c r="Y794" s="49">
        <f t="shared" si="77"/>
        <v>0</v>
      </c>
      <c r="Z794" s="50">
        <f t="shared" si="76"/>
        <v>0</v>
      </c>
    </row>
    <row r="795" spans="1:26" x14ac:dyDescent="0.25">
      <c r="A795" s="29" t="s">
        <v>1428</v>
      </c>
      <c r="B795" s="29" t="s">
        <v>226</v>
      </c>
      <c r="C795" s="29" t="s">
        <v>1642</v>
      </c>
      <c r="D795" s="29">
        <v>35548771</v>
      </c>
      <c r="E795" s="32" t="s">
        <v>1643</v>
      </c>
      <c r="F795" s="29">
        <v>42319838</v>
      </c>
      <c r="G795" s="32" t="s">
        <v>1644</v>
      </c>
      <c r="H795" s="32" t="s">
        <v>1645</v>
      </c>
      <c r="I795" s="33" t="s">
        <v>1646</v>
      </c>
      <c r="J795" s="42">
        <f>VLOOKUP(F795,[9]Hárok1!$F$672:$S$793,5,0)</f>
        <v>0</v>
      </c>
      <c r="K795" s="43">
        <f>VLOOKUP(F795,[9]Hárok1!$F$672:$S$793,6,0)</f>
        <v>0</v>
      </c>
      <c r="L795" s="43">
        <f>VLOOKUP(F795,[9]Hárok1!$F$672:$S$793,7,0)</f>
        <v>0</v>
      </c>
      <c r="M795" s="43">
        <f>VLOOKUP(F795,[9]Hárok1!$F$672:$S$793,8,0)</f>
        <v>0</v>
      </c>
      <c r="N795" s="43">
        <f>VLOOKUP(F795,[9]Hárok1!$F$672:$S$793,9,0)</f>
        <v>0</v>
      </c>
      <c r="O795" s="43">
        <f>VLOOKUP(F795,[9]Hárok1!$F$672:$S$793,10,0)</f>
        <v>0</v>
      </c>
      <c r="P795" s="44">
        <f>VLOOKUP(F795,[9]Hárok1!$F$672:$S$793,11,0)</f>
        <v>0</v>
      </c>
      <c r="Q795" s="42">
        <f>VLOOKUP(F795,[9]Hárok1!$F$672:$S$793,12,0)</f>
        <v>0</v>
      </c>
      <c r="R795" s="43">
        <f>VLOOKUP(F795,[9]Hárok1!$F$672:$S$793,13,0)</f>
        <v>0</v>
      </c>
      <c r="S795" s="44">
        <f>VLOOKUP(F795,[9]Hárok1!$F$672:$S$793,14,0)</f>
        <v>0</v>
      </c>
      <c r="T795" s="45">
        <f t="shared" si="72"/>
        <v>0</v>
      </c>
      <c r="U795" s="46">
        <f>VLOOKUP(F795,[9]Hárok1!$F$672:$U$793,16,0)</f>
        <v>0</v>
      </c>
      <c r="V795" s="47">
        <f t="shared" si="73"/>
        <v>0</v>
      </c>
      <c r="W795" s="47">
        <f t="shared" si="74"/>
        <v>0</v>
      </c>
      <c r="X795" s="48">
        <f t="shared" si="75"/>
        <v>0</v>
      </c>
      <c r="Y795" s="49">
        <f t="shared" si="77"/>
        <v>0</v>
      </c>
      <c r="Z795" s="50">
        <f t="shared" si="76"/>
        <v>0</v>
      </c>
    </row>
    <row r="796" spans="1:26" x14ac:dyDescent="0.25">
      <c r="A796" s="29" t="s">
        <v>1428</v>
      </c>
      <c r="B796" s="29" t="s">
        <v>226</v>
      </c>
      <c r="C796" s="29" t="s">
        <v>1647</v>
      </c>
      <c r="D796" s="29">
        <v>90000166</v>
      </c>
      <c r="E796" s="32" t="s">
        <v>1648</v>
      </c>
      <c r="F796" s="29">
        <v>45006601</v>
      </c>
      <c r="G796" s="32" t="s">
        <v>1649</v>
      </c>
      <c r="H796" s="32" t="s">
        <v>1449</v>
      </c>
      <c r="I796" s="33" t="s">
        <v>452</v>
      </c>
      <c r="J796" s="42">
        <f>VLOOKUP(F796,[9]Hárok1!$F$672:$S$793,5,0)</f>
        <v>0</v>
      </c>
      <c r="K796" s="43">
        <f>VLOOKUP(F796,[9]Hárok1!$F$672:$S$793,6,0)</f>
        <v>0</v>
      </c>
      <c r="L796" s="43">
        <f>VLOOKUP(F796,[9]Hárok1!$F$672:$S$793,7,0)</f>
        <v>0</v>
      </c>
      <c r="M796" s="43">
        <f>VLOOKUP(F796,[9]Hárok1!$F$672:$S$793,8,0)</f>
        <v>0</v>
      </c>
      <c r="N796" s="43">
        <f>VLOOKUP(F796,[9]Hárok1!$F$672:$S$793,9,0)</f>
        <v>0</v>
      </c>
      <c r="O796" s="43">
        <f>VLOOKUP(F796,[9]Hárok1!$F$672:$S$793,10,0)</f>
        <v>0</v>
      </c>
      <c r="P796" s="44">
        <f>VLOOKUP(F796,[9]Hárok1!$F$672:$S$793,11,0)</f>
        <v>0</v>
      </c>
      <c r="Q796" s="42">
        <f>VLOOKUP(F796,[9]Hárok1!$F$672:$S$793,12,0)</f>
        <v>0</v>
      </c>
      <c r="R796" s="43">
        <f>VLOOKUP(F796,[9]Hárok1!$F$672:$S$793,13,0)</f>
        <v>0</v>
      </c>
      <c r="S796" s="44">
        <f>VLOOKUP(F796,[9]Hárok1!$F$672:$S$793,14,0)</f>
        <v>0</v>
      </c>
      <c r="T796" s="45">
        <f t="shared" si="72"/>
        <v>0</v>
      </c>
      <c r="U796" s="46">
        <f>VLOOKUP(F796,[9]Hárok1!$F$672:$U$793,16,0)</f>
        <v>0</v>
      </c>
      <c r="V796" s="47">
        <f t="shared" si="73"/>
        <v>0</v>
      </c>
      <c r="W796" s="47">
        <f t="shared" si="74"/>
        <v>0</v>
      </c>
      <c r="X796" s="48">
        <f t="shared" si="75"/>
        <v>0</v>
      </c>
      <c r="Y796" s="49">
        <f t="shared" si="77"/>
        <v>0</v>
      </c>
      <c r="Z796" s="50">
        <f t="shared" si="76"/>
        <v>0</v>
      </c>
    </row>
    <row r="797" spans="1:26" x14ac:dyDescent="0.25">
      <c r="A797" s="29" t="s">
        <v>1428</v>
      </c>
      <c r="B797" s="29" t="s">
        <v>226</v>
      </c>
      <c r="C797" s="29" t="s">
        <v>1622</v>
      </c>
      <c r="D797" s="29">
        <v>35582006</v>
      </c>
      <c r="E797" s="32" t="s">
        <v>1623</v>
      </c>
      <c r="F797" s="29">
        <v>42394732</v>
      </c>
      <c r="G797" s="32" t="s">
        <v>1631</v>
      </c>
      <c r="H797" s="32" t="s">
        <v>777</v>
      </c>
      <c r="I797" s="33" t="s">
        <v>1650</v>
      </c>
      <c r="J797" s="42">
        <f>VLOOKUP(F797,[9]Hárok1!$F$672:$S$793,5,0)</f>
        <v>5</v>
      </c>
      <c r="K797" s="43">
        <f>VLOOKUP(F797,[9]Hárok1!$F$672:$S$793,6,0)</f>
        <v>0</v>
      </c>
      <c r="L797" s="43">
        <f>VLOOKUP(F797,[9]Hárok1!$F$672:$S$793,7,0)</f>
        <v>14</v>
      </c>
      <c r="M797" s="43">
        <f>VLOOKUP(F797,[9]Hárok1!$F$672:$S$793,8,0)</f>
        <v>0</v>
      </c>
      <c r="N797" s="43">
        <f>VLOOKUP(F797,[9]Hárok1!$F$672:$S$793,9,0)</f>
        <v>1</v>
      </c>
      <c r="O797" s="43">
        <f>VLOOKUP(F797,[9]Hárok1!$F$672:$S$793,10,0)</f>
        <v>7</v>
      </c>
      <c r="P797" s="44">
        <f>VLOOKUP(F797,[9]Hárok1!$F$672:$S$793,11,0)</f>
        <v>1</v>
      </c>
      <c r="Q797" s="42">
        <f>VLOOKUP(F797,[9]Hárok1!$F$672:$S$793,12,0)</f>
        <v>1</v>
      </c>
      <c r="R797" s="43">
        <f>VLOOKUP(F797,[9]Hárok1!$F$672:$S$793,13,0)</f>
        <v>49</v>
      </c>
      <c r="S797" s="44">
        <f>VLOOKUP(F797,[9]Hárok1!$F$672:$S$793,14,0)</f>
        <v>9</v>
      </c>
      <c r="T797" s="45">
        <f t="shared" si="72"/>
        <v>469</v>
      </c>
      <c r="U797" s="46">
        <f>VLOOKUP(F797,[9]Hárok1!$F$672:$U$793,16,0)</f>
        <v>138.58000000000001</v>
      </c>
      <c r="V797" s="47">
        <f t="shared" si="73"/>
        <v>15</v>
      </c>
      <c r="W797" s="47">
        <f t="shared" si="74"/>
        <v>192.5</v>
      </c>
      <c r="X797" s="48">
        <f t="shared" si="75"/>
        <v>40.5</v>
      </c>
      <c r="Y797" s="49">
        <f t="shared" si="77"/>
        <v>855.58</v>
      </c>
      <c r="Z797" s="50">
        <f t="shared" si="76"/>
        <v>856</v>
      </c>
    </row>
    <row r="798" spans="1:26" x14ac:dyDescent="0.25">
      <c r="A798" s="29" t="s">
        <v>1428</v>
      </c>
      <c r="B798" s="29" t="s">
        <v>226</v>
      </c>
      <c r="C798" s="29" t="s">
        <v>1651</v>
      </c>
      <c r="D798" s="29">
        <v>51728061</v>
      </c>
      <c r="E798" s="32" t="s">
        <v>1652</v>
      </c>
      <c r="F798" s="29">
        <v>42102553</v>
      </c>
      <c r="G798" s="32" t="s">
        <v>1653</v>
      </c>
      <c r="H798" s="32" t="s">
        <v>1534</v>
      </c>
      <c r="I798" s="33" t="s">
        <v>1654</v>
      </c>
      <c r="J798" s="42">
        <f>VLOOKUP(F798,[9]Hárok1!$F$672:$S$793,5,0)</f>
        <v>7</v>
      </c>
      <c r="K798" s="43">
        <f>VLOOKUP(F798,[9]Hárok1!$F$672:$S$793,6,0)</f>
        <v>0</v>
      </c>
      <c r="L798" s="43">
        <f>VLOOKUP(F798,[9]Hárok1!$F$672:$S$793,7,0)</f>
        <v>28</v>
      </c>
      <c r="M798" s="43">
        <f>VLOOKUP(F798,[9]Hárok1!$F$672:$S$793,8,0)</f>
        <v>0</v>
      </c>
      <c r="N798" s="43">
        <f>VLOOKUP(F798,[9]Hárok1!$F$672:$S$793,9,0)</f>
        <v>1</v>
      </c>
      <c r="O798" s="43">
        <f>VLOOKUP(F798,[9]Hárok1!$F$672:$S$793,10,0)</f>
        <v>14</v>
      </c>
      <c r="P798" s="44">
        <f>VLOOKUP(F798,[9]Hárok1!$F$672:$S$793,11,0)</f>
        <v>0</v>
      </c>
      <c r="Q798" s="42">
        <f>VLOOKUP(F798,[9]Hárok1!$F$672:$S$793,12,0)</f>
        <v>3</v>
      </c>
      <c r="R798" s="43">
        <f>VLOOKUP(F798,[9]Hárok1!$F$672:$S$793,13,0)</f>
        <v>233</v>
      </c>
      <c r="S798" s="44">
        <f>VLOOKUP(F798,[9]Hárok1!$F$672:$S$793,14,0)</f>
        <v>0</v>
      </c>
      <c r="T798" s="45">
        <f t="shared" si="72"/>
        <v>938</v>
      </c>
      <c r="U798" s="46">
        <f>VLOOKUP(F798,[9]Hárok1!$F$672:$U$793,16,0)</f>
        <v>313.3</v>
      </c>
      <c r="V798" s="47">
        <f t="shared" si="73"/>
        <v>18</v>
      </c>
      <c r="W798" s="47">
        <f t="shared" si="74"/>
        <v>655</v>
      </c>
      <c r="X798" s="48">
        <f t="shared" si="75"/>
        <v>0</v>
      </c>
      <c r="Y798" s="49">
        <f t="shared" si="77"/>
        <v>1924.3</v>
      </c>
      <c r="Z798" s="50">
        <f t="shared" si="76"/>
        <v>1924</v>
      </c>
    </row>
    <row r="799" spans="1:26" x14ac:dyDescent="0.25">
      <c r="A799" s="29" t="s">
        <v>1428</v>
      </c>
      <c r="B799" s="29" t="s">
        <v>226</v>
      </c>
      <c r="C799" s="29" t="s">
        <v>1655</v>
      </c>
      <c r="D799" s="29">
        <v>90000337</v>
      </c>
      <c r="E799" s="32" t="s">
        <v>1656</v>
      </c>
      <c r="F799" s="29">
        <v>42410134</v>
      </c>
      <c r="G799" s="32" t="s">
        <v>229</v>
      </c>
      <c r="H799" s="32" t="s">
        <v>1169</v>
      </c>
      <c r="I799" s="33" t="s">
        <v>1657</v>
      </c>
      <c r="J799" s="42">
        <f>VLOOKUP(F799,[9]Hárok1!$F$672:$S$793,5,0)</f>
        <v>0</v>
      </c>
      <c r="K799" s="43">
        <f>VLOOKUP(F799,[9]Hárok1!$F$672:$S$793,6,0)</f>
        <v>0</v>
      </c>
      <c r="L799" s="43">
        <f>VLOOKUP(F799,[9]Hárok1!$F$672:$S$793,7,0)</f>
        <v>0</v>
      </c>
      <c r="M799" s="43">
        <f>VLOOKUP(F799,[9]Hárok1!$F$672:$S$793,8,0)</f>
        <v>0</v>
      </c>
      <c r="N799" s="43">
        <f>VLOOKUP(F799,[9]Hárok1!$F$672:$S$793,9,0)</f>
        <v>0</v>
      </c>
      <c r="O799" s="43">
        <f>VLOOKUP(F799,[9]Hárok1!$F$672:$S$793,10,0)</f>
        <v>0</v>
      </c>
      <c r="P799" s="44">
        <f>VLOOKUP(F799,[9]Hárok1!$F$672:$S$793,11,0)</f>
        <v>0</v>
      </c>
      <c r="Q799" s="42">
        <f>VLOOKUP(F799,[9]Hárok1!$F$672:$S$793,12,0)</f>
        <v>0</v>
      </c>
      <c r="R799" s="43">
        <f>VLOOKUP(F799,[9]Hárok1!$F$672:$S$793,13,0)</f>
        <v>0</v>
      </c>
      <c r="S799" s="44">
        <f>VLOOKUP(F799,[9]Hárok1!$F$672:$S$793,14,0)</f>
        <v>0</v>
      </c>
      <c r="T799" s="45">
        <f t="shared" si="72"/>
        <v>0</v>
      </c>
      <c r="U799" s="46">
        <f>VLOOKUP(F799,[9]Hárok1!$F$672:$U$793,16,0)</f>
        <v>0</v>
      </c>
      <c r="V799" s="47">
        <f t="shared" si="73"/>
        <v>0</v>
      </c>
      <c r="W799" s="47">
        <f t="shared" si="74"/>
        <v>0</v>
      </c>
      <c r="X799" s="48">
        <f>$X$1*P799+$V$1*S799</f>
        <v>0</v>
      </c>
      <c r="Y799" s="49">
        <f t="shared" si="77"/>
        <v>0</v>
      </c>
      <c r="Z799" s="50">
        <f t="shared" si="76"/>
        <v>0</v>
      </c>
    </row>
    <row r="800" spans="1:26" ht="15.75" thickBot="1" x14ac:dyDescent="0.3">
      <c r="A800" s="89" t="s">
        <v>1428</v>
      </c>
      <c r="B800" s="89" t="s">
        <v>226</v>
      </c>
      <c r="C800" s="89" t="s">
        <v>1600</v>
      </c>
      <c r="D800" s="89">
        <v>35581450</v>
      </c>
      <c r="E800" s="90" t="s">
        <v>1601</v>
      </c>
      <c r="F800" s="89">
        <v>42152411</v>
      </c>
      <c r="G800" s="90" t="s">
        <v>1602</v>
      </c>
      <c r="H800" s="90" t="s">
        <v>556</v>
      </c>
      <c r="I800" s="91" t="s">
        <v>558</v>
      </c>
      <c r="J800" s="92">
        <f>VLOOKUP(F800,[9]Hárok1!$F$672:$S$793,5,0)</f>
        <v>10</v>
      </c>
      <c r="K800" s="93">
        <f>VLOOKUP(F800,[9]Hárok1!$F$672:$S$793,6,0)</f>
        <v>0</v>
      </c>
      <c r="L800" s="93">
        <f>VLOOKUP(F800,[9]Hárok1!$F$672:$S$793,7,0)</f>
        <v>44</v>
      </c>
      <c r="M800" s="93">
        <f>VLOOKUP(F800,[9]Hárok1!$F$672:$S$793,8,0)</f>
        <v>0</v>
      </c>
      <c r="N800" s="93">
        <f>VLOOKUP(F800,[9]Hárok1!$F$672:$S$793,9,0)</f>
        <v>3</v>
      </c>
      <c r="O800" s="93">
        <f>VLOOKUP(F800,[9]Hárok1!$F$672:$S$793,10,0)</f>
        <v>10</v>
      </c>
      <c r="P800" s="94">
        <f>VLOOKUP(F800,[9]Hárok1!$F$672:$S$793,11,0)</f>
        <v>1</v>
      </c>
      <c r="Q800" s="92">
        <f>VLOOKUP(F800,[9]Hárok1!$F$672:$S$793,12,0)</f>
        <v>61</v>
      </c>
      <c r="R800" s="93">
        <f>VLOOKUP(F800,[9]Hárok1!$F$672:$S$793,13,0)</f>
        <v>290</v>
      </c>
      <c r="S800" s="94">
        <f>VLOOKUP(F800,[9]Hárok1!$F$672:$S$793,14,0)</f>
        <v>79</v>
      </c>
      <c r="T800" s="95">
        <f t="shared" si="72"/>
        <v>1474</v>
      </c>
      <c r="U800" s="96">
        <f>VLOOKUP(F800,[9]Hárok1!$F$672:$U$793,16,0)</f>
        <v>0</v>
      </c>
      <c r="V800" s="97">
        <f t="shared" si="73"/>
        <v>132</v>
      </c>
      <c r="W800" s="97">
        <f t="shared" si="74"/>
        <v>715</v>
      </c>
      <c r="X800" s="98">
        <f t="shared" si="75"/>
        <v>145.5</v>
      </c>
      <c r="Y800" s="99">
        <f t="shared" si="77"/>
        <v>2466.5</v>
      </c>
      <c r="Z800" s="100">
        <f t="shared" si="76"/>
        <v>2467</v>
      </c>
    </row>
    <row r="801" spans="1:26" ht="15.75" thickBot="1" x14ac:dyDescent="0.3">
      <c r="A801" s="101" t="s">
        <v>1658</v>
      </c>
      <c r="B801" s="102"/>
      <c r="C801" s="102"/>
      <c r="D801" s="102"/>
      <c r="E801" s="102"/>
      <c r="F801" s="102"/>
      <c r="G801" s="102"/>
      <c r="H801" s="102"/>
      <c r="I801" s="103"/>
      <c r="J801" s="104">
        <f t="shared" ref="J801:Z801" si="78">SUM(J4:J800)</f>
        <v>5280</v>
      </c>
      <c r="K801" s="105">
        <f t="shared" si="78"/>
        <v>307</v>
      </c>
      <c r="L801" s="105">
        <f t="shared" si="78"/>
        <v>19020</v>
      </c>
      <c r="M801" s="105">
        <f t="shared" si="78"/>
        <v>914</v>
      </c>
      <c r="N801" s="105">
        <f t="shared" si="78"/>
        <v>883</v>
      </c>
      <c r="O801" s="105">
        <f t="shared" si="78"/>
        <v>7411</v>
      </c>
      <c r="P801" s="106">
        <f t="shared" si="78"/>
        <v>700</v>
      </c>
      <c r="Q801" s="104">
        <f t="shared" si="78"/>
        <v>11386</v>
      </c>
      <c r="R801" s="105">
        <f t="shared" si="78"/>
        <v>143718</v>
      </c>
      <c r="S801" s="106">
        <f t="shared" si="78"/>
        <v>38341</v>
      </c>
      <c r="T801" s="104">
        <f t="shared" si="78"/>
        <v>637170</v>
      </c>
      <c r="U801" s="105">
        <f t="shared" si="78"/>
        <v>89140.520000000033</v>
      </c>
      <c r="V801" s="105">
        <f t="shared" si="78"/>
        <v>28999.5</v>
      </c>
      <c r="W801" s="105">
        <f t="shared" si="78"/>
        <v>387484.5</v>
      </c>
      <c r="X801" s="106">
        <f t="shared" si="78"/>
        <v>76411.5</v>
      </c>
      <c r="Y801" s="107">
        <f t="shared" si="78"/>
        <v>1219206.0200000003</v>
      </c>
      <c r="Z801" s="107">
        <f t="shared" si="78"/>
        <v>1219287</v>
      </c>
    </row>
    <row r="802" spans="1:26" x14ac:dyDescent="0.25">
      <c r="E802" s="108"/>
      <c r="F802" s="108"/>
      <c r="G802" s="108"/>
      <c r="H802" s="108"/>
      <c r="I802" s="108"/>
    </row>
    <row r="803" spans="1:26" x14ac:dyDescent="0.25">
      <c r="A803" t="s">
        <v>1659</v>
      </c>
    </row>
    <row r="804" spans="1:26" x14ac:dyDescent="0.25">
      <c r="A804" t="s">
        <v>1660</v>
      </c>
    </row>
    <row r="805" spans="1:26" x14ac:dyDescent="0.25">
      <c r="A805" t="s">
        <v>1661</v>
      </c>
    </row>
    <row r="806" spans="1:26" x14ac:dyDescent="0.25">
      <c r="A806" t="s">
        <v>1662</v>
      </c>
    </row>
    <row r="807" spans="1:26" x14ac:dyDescent="0.25">
      <c r="A807" t="s">
        <v>1663</v>
      </c>
    </row>
  </sheetData>
  <autoFilter ref="A3:I801" xr:uid="{7004E6D7-D8DF-4165-8468-12FEAC7EA049}"/>
  <mergeCells count="1">
    <mergeCell ref="B1:C1"/>
  </mergeCells>
  <pageMargins left="0.7" right="0.7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BB40E-EA11-4DD7-9111-BE51893BA37B}">
  <sheetPr>
    <pageSetUpPr fitToPage="1"/>
  </sheetPr>
  <dimension ref="A1:Z17"/>
  <sheetViews>
    <sheetView topLeftCell="F1" zoomScale="90" zoomScaleNormal="90" workbookViewId="0">
      <selection activeCell="G26" sqref="G26"/>
    </sheetView>
  </sheetViews>
  <sheetFormatPr defaultRowHeight="15" x14ac:dyDescent="0.25"/>
  <cols>
    <col min="1" max="1" width="6.5703125" customWidth="1"/>
    <col min="2" max="2" width="3.28515625" bestFit="1" customWidth="1"/>
    <col min="3" max="3" width="8.42578125" bestFit="1" customWidth="1"/>
    <col min="4" max="4" width="9" bestFit="1" customWidth="1"/>
    <col min="5" max="5" width="20.140625" customWidth="1"/>
    <col min="6" max="6" width="10" bestFit="1" customWidth="1"/>
    <col min="7" max="7" width="77" customWidth="1"/>
    <col min="8" max="8" width="22.85546875" customWidth="1"/>
    <col min="9" max="9" width="21.140625" customWidth="1"/>
  </cols>
  <sheetData>
    <row r="1" spans="1:26" ht="15.75" thickBot="1" x14ac:dyDescent="0.3">
      <c r="A1" s="1" t="s">
        <v>0</v>
      </c>
      <c r="B1" s="250" t="s">
        <v>1</v>
      </c>
      <c r="C1" s="250"/>
      <c r="T1" s="2">
        <v>33.5</v>
      </c>
      <c r="U1" s="2">
        <v>13.5</v>
      </c>
      <c r="V1" s="2">
        <v>1.5</v>
      </c>
      <c r="W1" s="2">
        <v>2</v>
      </c>
      <c r="X1" s="2">
        <v>27</v>
      </c>
    </row>
    <row r="2" spans="1:26" ht="209.25" x14ac:dyDescent="0.25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5" t="s">
        <v>8</v>
      </c>
      <c r="H2" s="4" t="s">
        <v>9</v>
      </c>
      <c r="I2" s="6" t="s">
        <v>10</v>
      </c>
      <c r="J2" s="7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9" t="s">
        <v>17</v>
      </c>
      <c r="Q2" s="7" t="s">
        <v>18</v>
      </c>
      <c r="R2" s="8" t="s">
        <v>19</v>
      </c>
      <c r="S2" s="10" t="s">
        <v>20</v>
      </c>
      <c r="T2" s="11" t="s">
        <v>21</v>
      </c>
      <c r="U2" s="12" t="s">
        <v>22</v>
      </c>
      <c r="V2" s="12" t="s">
        <v>23</v>
      </c>
      <c r="W2" s="12" t="s">
        <v>24</v>
      </c>
      <c r="X2" s="13" t="s">
        <v>25</v>
      </c>
      <c r="Y2" s="14" t="s">
        <v>26</v>
      </c>
      <c r="Z2" s="15" t="s">
        <v>27</v>
      </c>
    </row>
    <row r="3" spans="1:26" ht="27.75" thickBot="1" x14ac:dyDescent="0.3">
      <c r="A3" s="16" t="s">
        <v>28</v>
      </c>
      <c r="B3" s="17" t="s">
        <v>29</v>
      </c>
      <c r="C3" s="17" t="s">
        <v>30</v>
      </c>
      <c r="D3" s="17" t="s">
        <v>31</v>
      </c>
      <c r="E3" s="17" t="s">
        <v>32</v>
      </c>
      <c r="F3" s="17" t="s">
        <v>33</v>
      </c>
      <c r="G3" s="18" t="s">
        <v>34</v>
      </c>
      <c r="H3" s="18" t="s">
        <v>35</v>
      </c>
      <c r="I3" s="19" t="s">
        <v>36</v>
      </c>
      <c r="J3" s="20">
        <v>1</v>
      </c>
      <c r="K3" s="21">
        <v>2</v>
      </c>
      <c r="L3" s="21">
        <v>3</v>
      </c>
      <c r="M3" s="21">
        <v>4</v>
      </c>
      <c r="N3" s="21">
        <v>5</v>
      </c>
      <c r="O3" s="21">
        <v>6</v>
      </c>
      <c r="P3" s="22">
        <v>7</v>
      </c>
      <c r="Q3" s="20">
        <v>8</v>
      </c>
      <c r="R3" s="21">
        <v>9</v>
      </c>
      <c r="S3" s="23">
        <v>10</v>
      </c>
      <c r="T3" s="24" t="s">
        <v>37</v>
      </c>
      <c r="U3" s="21">
        <v>12</v>
      </c>
      <c r="V3" s="25" t="s">
        <v>38</v>
      </c>
      <c r="W3" s="25" t="s">
        <v>39</v>
      </c>
      <c r="X3" s="26" t="s">
        <v>40</v>
      </c>
      <c r="Y3" s="27" t="s">
        <v>41</v>
      </c>
      <c r="Z3" s="28">
        <v>17</v>
      </c>
    </row>
    <row r="4" spans="1:26" ht="15.75" thickTop="1" x14ac:dyDescent="0.25">
      <c r="A4" s="29" t="s">
        <v>42</v>
      </c>
      <c r="B4" s="29" t="s">
        <v>43</v>
      </c>
      <c r="C4" s="29" t="s">
        <v>44</v>
      </c>
      <c r="D4" s="30">
        <v>54130395</v>
      </c>
      <c r="E4" s="31" t="s">
        <v>45</v>
      </c>
      <c r="F4" s="29">
        <v>17337054</v>
      </c>
      <c r="G4" s="32" t="s">
        <v>49</v>
      </c>
      <c r="H4" s="32" t="s">
        <v>60</v>
      </c>
      <c r="I4" s="33" t="s">
        <v>61</v>
      </c>
      <c r="J4" s="42">
        <v>1</v>
      </c>
      <c r="K4" s="43">
        <v>0</v>
      </c>
      <c r="L4" s="43">
        <v>1</v>
      </c>
      <c r="M4" s="43">
        <v>0</v>
      </c>
      <c r="N4" s="43">
        <v>0</v>
      </c>
      <c r="O4" s="43">
        <v>0</v>
      </c>
      <c r="P4" s="52">
        <v>0</v>
      </c>
      <c r="Q4" s="42">
        <v>0</v>
      </c>
      <c r="R4" s="43">
        <v>91</v>
      </c>
      <c r="S4" s="44">
        <v>0</v>
      </c>
      <c r="T4" s="45">
        <f t="shared" ref="T4:T16" si="0">$T$1*L4</f>
        <v>33.5</v>
      </c>
      <c r="U4" s="46">
        <v>0</v>
      </c>
      <c r="V4" s="47">
        <f t="shared" ref="V4:V16" si="1">$U$1*N4+$V$1*Q4</f>
        <v>0</v>
      </c>
      <c r="W4" s="47">
        <f t="shared" ref="W4:W16" si="2">$U$1*O4+$W$1*R4</f>
        <v>182</v>
      </c>
      <c r="X4" s="48">
        <f t="shared" ref="X4:X16" si="3">$X$1*P4+$V$1*S4</f>
        <v>0</v>
      </c>
      <c r="Y4" s="49">
        <f t="shared" ref="Y4:Y16" si="4">T4+U4+V4+W4+X4</f>
        <v>215.5</v>
      </c>
      <c r="Z4" s="50">
        <f t="shared" ref="Z4:Z16" si="5">ROUND(Y4,0)</f>
        <v>216</v>
      </c>
    </row>
    <row r="5" spans="1:26" x14ac:dyDescent="0.25">
      <c r="A5" s="29" t="s">
        <v>42</v>
      </c>
      <c r="B5" s="29" t="s">
        <v>79</v>
      </c>
      <c r="C5" s="29" t="s">
        <v>80</v>
      </c>
      <c r="D5" s="30">
        <v>36063606</v>
      </c>
      <c r="E5" s="31" t="s">
        <v>81</v>
      </c>
      <c r="F5" s="29">
        <v>17337046</v>
      </c>
      <c r="G5" s="32" t="s">
        <v>84</v>
      </c>
      <c r="H5" s="32" t="s">
        <v>82</v>
      </c>
      <c r="I5" s="33" t="s">
        <v>85</v>
      </c>
      <c r="J5" s="42">
        <v>1</v>
      </c>
      <c r="K5" s="43">
        <v>0</v>
      </c>
      <c r="L5" s="43">
        <v>1</v>
      </c>
      <c r="M5" s="43">
        <v>0</v>
      </c>
      <c r="N5" s="43">
        <v>0</v>
      </c>
      <c r="O5" s="43">
        <v>0</v>
      </c>
      <c r="P5" s="52">
        <v>0</v>
      </c>
      <c r="Q5" s="42">
        <v>0</v>
      </c>
      <c r="R5" s="43">
        <v>15</v>
      </c>
      <c r="S5" s="44">
        <v>0</v>
      </c>
      <c r="T5" s="45">
        <f t="shared" si="0"/>
        <v>33.5</v>
      </c>
      <c r="U5" s="46">
        <v>0</v>
      </c>
      <c r="V5" s="47">
        <f t="shared" si="1"/>
        <v>0</v>
      </c>
      <c r="W5" s="47">
        <f t="shared" si="2"/>
        <v>30</v>
      </c>
      <c r="X5" s="48">
        <f t="shared" si="3"/>
        <v>0</v>
      </c>
      <c r="Y5" s="49">
        <f t="shared" si="4"/>
        <v>63.5</v>
      </c>
      <c r="Z5" s="50">
        <f t="shared" si="5"/>
        <v>64</v>
      </c>
    </row>
    <row r="6" spans="1:26" x14ac:dyDescent="0.25">
      <c r="A6" s="29" t="s">
        <v>42</v>
      </c>
      <c r="B6" s="29" t="s">
        <v>79</v>
      </c>
      <c r="C6" s="29" t="s">
        <v>80</v>
      </c>
      <c r="D6" s="30">
        <v>36063606</v>
      </c>
      <c r="E6" s="31" t="s">
        <v>81</v>
      </c>
      <c r="F6" s="29">
        <v>17337089</v>
      </c>
      <c r="G6" s="32" t="s">
        <v>94</v>
      </c>
      <c r="H6" s="32" t="s">
        <v>82</v>
      </c>
      <c r="I6" s="33" t="s">
        <v>95</v>
      </c>
      <c r="J6" s="42">
        <v>1</v>
      </c>
      <c r="K6" s="43">
        <v>0</v>
      </c>
      <c r="L6" s="43">
        <v>1</v>
      </c>
      <c r="M6" s="43">
        <v>0</v>
      </c>
      <c r="N6" s="43">
        <v>0</v>
      </c>
      <c r="O6" s="43">
        <v>0</v>
      </c>
      <c r="P6" s="52">
        <v>0</v>
      </c>
      <c r="Q6" s="42">
        <v>0</v>
      </c>
      <c r="R6" s="43">
        <v>70</v>
      </c>
      <c r="S6" s="44">
        <v>0</v>
      </c>
      <c r="T6" s="45">
        <f t="shared" si="0"/>
        <v>33.5</v>
      </c>
      <c r="U6" s="46">
        <v>0</v>
      </c>
      <c r="V6" s="47">
        <f t="shared" si="1"/>
        <v>0</v>
      </c>
      <c r="W6" s="47">
        <f t="shared" si="2"/>
        <v>140</v>
      </c>
      <c r="X6" s="48">
        <f t="shared" si="3"/>
        <v>0</v>
      </c>
      <c r="Y6" s="49">
        <f t="shared" si="4"/>
        <v>173.5</v>
      </c>
      <c r="Z6" s="50">
        <f t="shared" si="5"/>
        <v>174</v>
      </c>
    </row>
    <row r="7" spans="1:26" x14ac:dyDescent="0.25">
      <c r="A7" s="29" t="s">
        <v>42</v>
      </c>
      <c r="B7" s="29" t="s">
        <v>226</v>
      </c>
      <c r="C7" s="29" t="s">
        <v>279</v>
      </c>
      <c r="D7" s="29">
        <v>35839236</v>
      </c>
      <c r="E7" s="32" t="s">
        <v>280</v>
      </c>
      <c r="F7" s="29">
        <v>30792975</v>
      </c>
      <c r="G7" s="32" t="s">
        <v>281</v>
      </c>
      <c r="H7" s="32" t="s">
        <v>55</v>
      </c>
      <c r="I7" s="33" t="s">
        <v>282</v>
      </c>
      <c r="J7" s="42">
        <v>1</v>
      </c>
      <c r="K7" s="43">
        <v>0</v>
      </c>
      <c r="L7" s="43">
        <v>1</v>
      </c>
      <c r="M7" s="43">
        <v>0</v>
      </c>
      <c r="N7" s="43">
        <v>0</v>
      </c>
      <c r="O7" s="43">
        <v>0</v>
      </c>
      <c r="P7" s="52">
        <v>0</v>
      </c>
      <c r="Q7" s="42">
        <v>0</v>
      </c>
      <c r="R7" s="43">
        <v>20</v>
      </c>
      <c r="S7" s="44">
        <v>0</v>
      </c>
      <c r="T7" s="45">
        <f t="shared" si="0"/>
        <v>33.5</v>
      </c>
      <c r="U7" s="46">
        <v>0</v>
      </c>
      <c r="V7" s="47">
        <f t="shared" si="1"/>
        <v>0</v>
      </c>
      <c r="W7" s="47">
        <f t="shared" si="2"/>
        <v>40</v>
      </c>
      <c r="X7" s="48">
        <f t="shared" si="3"/>
        <v>0</v>
      </c>
      <c r="Y7" s="49">
        <f t="shared" si="4"/>
        <v>73.5</v>
      </c>
      <c r="Z7" s="50">
        <f t="shared" si="5"/>
        <v>74</v>
      </c>
    </row>
    <row r="8" spans="1:26" x14ac:dyDescent="0.25">
      <c r="A8" s="29" t="s">
        <v>357</v>
      </c>
      <c r="B8" s="29" t="s">
        <v>79</v>
      </c>
      <c r="C8" s="29" t="s">
        <v>380</v>
      </c>
      <c r="D8" s="30">
        <v>37836901</v>
      </c>
      <c r="E8" s="31" t="s">
        <v>381</v>
      </c>
      <c r="F8" s="29">
        <v>17050103</v>
      </c>
      <c r="G8" s="32" t="s">
        <v>392</v>
      </c>
      <c r="H8" s="32" t="s">
        <v>348</v>
      </c>
      <c r="I8" s="33" t="s">
        <v>393</v>
      </c>
      <c r="J8" s="42">
        <v>1</v>
      </c>
      <c r="K8" s="43">
        <v>0</v>
      </c>
      <c r="L8" s="43">
        <v>1</v>
      </c>
      <c r="M8" s="43">
        <v>0</v>
      </c>
      <c r="N8" s="43">
        <v>0</v>
      </c>
      <c r="O8" s="43">
        <v>0</v>
      </c>
      <c r="P8" s="52">
        <v>0</v>
      </c>
      <c r="Q8" s="42">
        <v>0</v>
      </c>
      <c r="R8" s="43">
        <v>77</v>
      </c>
      <c r="S8" s="44">
        <v>0</v>
      </c>
      <c r="T8" s="45">
        <f t="shared" si="0"/>
        <v>33.5</v>
      </c>
      <c r="U8" s="46">
        <v>0</v>
      </c>
      <c r="V8" s="47">
        <f t="shared" si="1"/>
        <v>0</v>
      </c>
      <c r="W8" s="47">
        <f t="shared" si="2"/>
        <v>154</v>
      </c>
      <c r="X8" s="48">
        <f t="shared" si="3"/>
        <v>0</v>
      </c>
      <c r="Y8" s="49">
        <f t="shared" si="4"/>
        <v>187.5</v>
      </c>
      <c r="Z8" s="50">
        <f t="shared" si="5"/>
        <v>188</v>
      </c>
    </row>
    <row r="9" spans="1:26" x14ac:dyDescent="0.25">
      <c r="A9" s="29" t="s">
        <v>357</v>
      </c>
      <c r="B9" s="29" t="s">
        <v>79</v>
      </c>
      <c r="C9" s="29" t="s">
        <v>380</v>
      </c>
      <c r="D9" s="30">
        <v>37836901</v>
      </c>
      <c r="E9" s="31" t="s">
        <v>381</v>
      </c>
      <c r="F9" s="29">
        <v>491861</v>
      </c>
      <c r="G9" s="32" t="s">
        <v>114</v>
      </c>
      <c r="H9" s="32" t="s">
        <v>219</v>
      </c>
      <c r="I9" s="33" t="s">
        <v>448</v>
      </c>
      <c r="J9" s="42">
        <v>1</v>
      </c>
      <c r="K9" s="43">
        <v>0</v>
      </c>
      <c r="L9" s="43">
        <v>1</v>
      </c>
      <c r="M9" s="43">
        <v>0</v>
      </c>
      <c r="N9" s="43">
        <v>0</v>
      </c>
      <c r="O9" s="43">
        <v>0</v>
      </c>
      <c r="P9" s="52">
        <v>0</v>
      </c>
      <c r="Q9" s="42">
        <v>0</v>
      </c>
      <c r="R9" s="43">
        <v>109</v>
      </c>
      <c r="S9" s="44">
        <v>0</v>
      </c>
      <c r="T9" s="45">
        <f t="shared" si="0"/>
        <v>33.5</v>
      </c>
      <c r="U9" s="46">
        <v>0</v>
      </c>
      <c r="V9" s="47">
        <f t="shared" si="1"/>
        <v>0</v>
      </c>
      <c r="W9" s="47">
        <f t="shared" si="2"/>
        <v>218</v>
      </c>
      <c r="X9" s="48">
        <f t="shared" si="3"/>
        <v>0</v>
      </c>
      <c r="Y9" s="49">
        <f t="shared" si="4"/>
        <v>251.5</v>
      </c>
      <c r="Z9" s="50">
        <f t="shared" si="5"/>
        <v>252</v>
      </c>
    </row>
    <row r="10" spans="1:26" x14ac:dyDescent="0.25">
      <c r="A10" s="29" t="s">
        <v>357</v>
      </c>
      <c r="B10" s="29" t="s">
        <v>79</v>
      </c>
      <c r="C10" s="29" t="s">
        <v>380</v>
      </c>
      <c r="D10" s="30">
        <v>37836901</v>
      </c>
      <c r="E10" s="31" t="s">
        <v>381</v>
      </c>
      <c r="F10" s="29">
        <v>36082058</v>
      </c>
      <c r="G10" s="32" t="s">
        <v>451</v>
      </c>
      <c r="H10" s="32" t="s">
        <v>219</v>
      </c>
      <c r="I10" s="33" t="s">
        <v>452</v>
      </c>
      <c r="J10" s="42">
        <v>1</v>
      </c>
      <c r="K10" s="43">
        <v>0</v>
      </c>
      <c r="L10" s="43">
        <v>1</v>
      </c>
      <c r="M10" s="43">
        <v>0</v>
      </c>
      <c r="N10" s="43">
        <v>0</v>
      </c>
      <c r="O10" s="43">
        <v>0</v>
      </c>
      <c r="P10" s="52">
        <v>0</v>
      </c>
      <c r="Q10" s="42">
        <v>0</v>
      </c>
      <c r="R10" s="43">
        <v>109</v>
      </c>
      <c r="S10" s="44">
        <v>0</v>
      </c>
      <c r="T10" s="45">
        <f t="shared" si="0"/>
        <v>33.5</v>
      </c>
      <c r="U10" s="46">
        <v>0</v>
      </c>
      <c r="V10" s="47">
        <f t="shared" si="1"/>
        <v>0</v>
      </c>
      <c r="W10" s="47">
        <f t="shared" si="2"/>
        <v>218</v>
      </c>
      <c r="X10" s="48">
        <f t="shared" si="3"/>
        <v>0</v>
      </c>
      <c r="Y10" s="49">
        <f t="shared" si="4"/>
        <v>251.5</v>
      </c>
      <c r="Z10" s="50">
        <f t="shared" si="5"/>
        <v>252</v>
      </c>
    </row>
    <row r="11" spans="1:26" x14ac:dyDescent="0.25">
      <c r="A11" s="29" t="s">
        <v>357</v>
      </c>
      <c r="B11" s="29" t="s">
        <v>79</v>
      </c>
      <c r="C11" s="29" t="s">
        <v>380</v>
      </c>
      <c r="D11" s="30">
        <v>37836901</v>
      </c>
      <c r="E11" s="31" t="s">
        <v>381</v>
      </c>
      <c r="F11" s="29">
        <v>607371</v>
      </c>
      <c r="G11" s="32" t="s">
        <v>117</v>
      </c>
      <c r="H11" s="32" t="s">
        <v>219</v>
      </c>
      <c r="I11" s="33" t="s">
        <v>453</v>
      </c>
      <c r="J11" s="42">
        <v>1</v>
      </c>
      <c r="K11" s="43">
        <v>0</v>
      </c>
      <c r="L11" s="43">
        <v>1</v>
      </c>
      <c r="M11" s="43">
        <v>0</v>
      </c>
      <c r="N11" s="43">
        <v>0</v>
      </c>
      <c r="O11" s="43">
        <v>0</v>
      </c>
      <c r="P11" s="52">
        <v>0</v>
      </c>
      <c r="Q11" s="42">
        <v>0</v>
      </c>
      <c r="R11" s="43">
        <v>109</v>
      </c>
      <c r="S11" s="44">
        <v>0</v>
      </c>
      <c r="T11" s="45">
        <f t="shared" si="0"/>
        <v>33.5</v>
      </c>
      <c r="U11" s="46">
        <v>0</v>
      </c>
      <c r="V11" s="47">
        <f t="shared" si="1"/>
        <v>0</v>
      </c>
      <c r="W11" s="47">
        <f t="shared" si="2"/>
        <v>218</v>
      </c>
      <c r="X11" s="48">
        <f t="shared" si="3"/>
        <v>0</v>
      </c>
      <c r="Y11" s="49">
        <f t="shared" si="4"/>
        <v>251.5</v>
      </c>
      <c r="Z11" s="50">
        <f t="shared" si="5"/>
        <v>252</v>
      </c>
    </row>
    <row r="12" spans="1:26" x14ac:dyDescent="0.25">
      <c r="A12" s="29" t="s">
        <v>531</v>
      </c>
      <c r="B12" s="29" t="s">
        <v>79</v>
      </c>
      <c r="C12" s="29" t="s">
        <v>565</v>
      </c>
      <c r="D12" s="29">
        <v>36126624</v>
      </c>
      <c r="E12" s="32" t="s">
        <v>566</v>
      </c>
      <c r="F12" s="29">
        <v>162094</v>
      </c>
      <c r="G12" s="32" t="s">
        <v>100</v>
      </c>
      <c r="H12" s="32" t="s">
        <v>549</v>
      </c>
      <c r="I12" s="33" t="s">
        <v>600</v>
      </c>
      <c r="J12" s="42">
        <v>1</v>
      </c>
      <c r="K12" s="43">
        <v>0</v>
      </c>
      <c r="L12" s="43">
        <v>1</v>
      </c>
      <c r="M12" s="43">
        <v>0</v>
      </c>
      <c r="N12" s="43">
        <v>0</v>
      </c>
      <c r="O12" s="43">
        <v>0</v>
      </c>
      <c r="P12" s="52">
        <v>0</v>
      </c>
      <c r="Q12" s="42">
        <v>0</v>
      </c>
      <c r="R12" s="43">
        <v>116</v>
      </c>
      <c r="S12" s="44">
        <v>0</v>
      </c>
      <c r="T12" s="45">
        <f t="shared" si="0"/>
        <v>33.5</v>
      </c>
      <c r="U12" s="46">
        <v>0</v>
      </c>
      <c r="V12" s="47">
        <f t="shared" si="1"/>
        <v>0</v>
      </c>
      <c r="W12" s="47">
        <f t="shared" si="2"/>
        <v>232</v>
      </c>
      <c r="X12" s="48">
        <f t="shared" si="3"/>
        <v>0</v>
      </c>
      <c r="Y12" s="49">
        <f t="shared" si="4"/>
        <v>265.5</v>
      </c>
      <c r="Z12" s="50">
        <f t="shared" si="5"/>
        <v>266</v>
      </c>
    </row>
    <row r="13" spans="1:26" x14ac:dyDescent="0.25">
      <c r="A13" s="29" t="s">
        <v>634</v>
      </c>
      <c r="B13" s="29" t="s">
        <v>79</v>
      </c>
      <c r="C13" s="29" t="s">
        <v>652</v>
      </c>
      <c r="D13" s="29">
        <v>37861298</v>
      </c>
      <c r="E13" s="32" t="s">
        <v>653</v>
      </c>
      <c r="F13" s="29">
        <v>160261</v>
      </c>
      <c r="G13" s="32" t="s">
        <v>49</v>
      </c>
      <c r="H13" s="32" t="s">
        <v>643</v>
      </c>
      <c r="I13" s="33" t="s">
        <v>694</v>
      </c>
      <c r="J13" s="42">
        <v>1</v>
      </c>
      <c r="K13" s="43">
        <v>0</v>
      </c>
      <c r="L13" s="43">
        <v>1</v>
      </c>
      <c r="M13" s="43">
        <v>0</v>
      </c>
      <c r="N13" s="43">
        <v>0</v>
      </c>
      <c r="O13" s="43">
        <v>0</v>
      </c>
      <c r="P13" s="52">
        <v>0</v>
      </c>
      <c r="Q13" s="42">
        <v>0</v>
      </c>
      <c r="R13" s="43">
        <v>116</v>
      </c>
      <c r="S13" s="44">
        <v>0</v>
      </c>
      <c r="T13" s="45">
        <f t="shared" si="0"/>
        <v>33.5</v>
      </c>
      <c r="U13" s="46">
        <v>0</v>
      </c>
      <c r="V13" s="47">
        <f t="shared" si="1"/>
        <v>0</v>
      </c>
      <c r="W13" s="47">
        <f t="shared" si="2"/>
        <v>232</v>
      </c>
      <c r="X13" s="48">
        <f t="shared" si="3"/>
        <v>0</v>
      </c>
      <c r="Y13" s="49">
        <f t="shared" si="4"/>
        <v>265.5</v>
      </c>
      <c r="Z13" s="50">
        <f t="shared" si="5"/>
        <v>266</v>
      </c>
    </row>
    <row r="14" spans="1:26" x14ac:dyDescent="0.25">
      <c r="A14" s="29" t="s">
        <v>634</v>
      </c>
      <c r="B14" s="29" t="s">
        <v>79</v>
      </c>
      <c r="C14" s="29" t="s">
        <v>652</v>
      </c>
      <c r="D14" s="29">
        <v>37861298</v>
      </c>
      <c r="E14" s="32" t="s">
        <v>653</v>
      </c>
      <c r="F14" s="29">
        <v>596876</v>
      </c>
      <c r="G14" s="32" t="s">
        <v>697</v>
      </c>
      <c r="H14" s="32" t="s">
        <v>643</v>
      </c>
      <c r="I14" s="33" t="s">
        <v>698</v>
      </c>
      <c r="J14" s="42">
        <v>1</v>
      </c>
      <c r="K14" s="43">
        <v>0</v>
      </c>
      <c r="L14" s="43">
        <v>1</v>
      </c>
      <c r="M14" s="43">
        <v>0</v>
      </c>
      <c r="N14" s="43">
        <v>0</v>
      </c>
      <c r="O14" s="43">
        <v>0</v>
      </c>
      <c r="P14" s="52">
        <v>0</v>
      </c>
      <c r="Q14" s="42">
        <v>0</v>
      </c>
      <c r="R14" s="43">
        <v>97</v>
      </c>
      <c r="S14" s="44">
        <v>0</v>
      </c>
      <c r="T14" s="45">
        <f t="shared" si="0"/>
        <v>33.5</v>
      </c>
      <c r="U14" s="46">
        <v>0</v>
      </c>
      <c r="V14" s="47">
        <f t="shared" si="1"/>
        <v>0</v>
      </c>
      <c r="W14" s="47">
        <f t="shared" si="2"/>
        <v>194</v>
      </c>
      <c r="X14" s="48">
        <f t="shared" si="3"/>
        <v>0</v>
      </c>
      <c r="Y14" s="49">
        <f t="shared" si="4"/>
        <v>227.5</v>
      </c>
      <c r="Z14" s="50">
        <f t="shared" si="5"/>
        <v>228</v>
      </c>
    </row>
    <row r="15" spans="1:26" x14ac:dyDescent="0.25">
      <c r="A15" s="29" t="s">
        <v>634</v>
      </c>
      <c r="B15" s="29" t="s">
        <v>79</v>
      </c>
      <c r="C15" s="29" t="s">
        <v>652</v>
      </c>
      <c r="D15" s="29">
        <v>37861298</v>
      </c>
      <c r="E15" s="32" t="s">
        <v>653</v>
      </c>
      <c r="F15" s="29">
        <v>893421</v>
      </c>
      <c r="G15" s="32" t="s">
        <v>721</v>
      </c>
      <c r="H15" s="32" t="s">
        <v>713</v>
      </c>
      <c r="I15" s="33" t="s">
        <v>722</v>
      </c>
      <c r="J15" s="42">
        <v>1</v>
      </c>
      <c r="K15" s="43">
        <v>0</v>
      </c>
      <c r="L15" s="43">
        <v>1</v>
      </c>
      <c r="M15" s="43">
        <v>0</v>
      </c>
      <c r="N15" s="43">
        <v>0</v>
      </c>
      <c r="O15" s="43">
        <v>0</v>
      </c>
      <c r="P15" s="52">
        <v>0</v>
      </c>
      <c r="Q15" s="42">
        <v>0</v>
      </c>
      <c r="R15" s="43">
        <v>70</v>
      </c>
      <c r="S15" s="44">
        <v>0</v>
      </c>
      <c r="T15" s="45">
        <f t="shared" si="0"/>
        <v>33.5</v>
      </c>
      <c r="U15" s="46">
        <v>0</v>
      </c>
      <c r="V15" s="47">
        <f t="shared" si="1"/>
        <v>0</v>
      </c>
      <c r="W15" s="47">
        <f t="shared" si="2"/>
        <v>140</v>
      </c>
      <c r="X15" s="48">
        <f t="shared" si="3"/>
        <v>0</v>
      </c>
      <c r="Y15" s="49">
        <f t="shared" si="4"/>
        <v>173.5</v>
      </c>
      <c r="Z15" s="50">
        <f t="shared" si="5"/>
        <v>174</v>
      </c>
    </row>
    <row r="16" spans="1:26" ht="15.75" thickBot="1" x14ac:dyDescent="0.3">
      <c r="A16" s="29" t="s">
        <v>991</v>
      </c>
      <c r="B16" s="29" t="s">
        <v>226</v>
      </c>
      <c r="C16" s="29" t="s">
        <v>1136</v>
      </c>
      <c r="D16" s="29">
        <v>47342242</v>
      </c>
      <c r="E16" s="32" t="s">
        <v>1137</v>
      </c>
      <c r="F16" s="29">
        <v>42114985</v>
      </c>
      <c r="G16" s="32" t="s">
        <v>1156</v>
      </c>
      <c r="H16" s="32" t="s">
        <v>643</v>
      </c>
      <c r="I16" s="33" t="s">
        <v>1157</v>
      </c>
      <c r="J16" s="42">
        <v>1</v>
      </c>
      <c r="K16" s="43">
        <v>0</v>
      </c>
      <c r="L16" s="43">
        <v>1</v>
      </c>
      <c r="M16" s="43">
        <v>0</v>
      </c>
      <c r="N16" s="43">
        <v>0</v>
      </c>
      <c r="O16" s="43">
        <v>0</v>
      </c>
      <c r="P16" s="52">
        <v>0</v>
      </c>
      <c r="Q16" s="42">
        <v>0</v>
      </c>
      <c r="R16" s="43">
        <v>116</v>
      </c>
      <c r="S16" s="44">
        <v>0</v>
      </c>
      <c r="T16" s="45">
        <f t="shared" si="0"/>
        <v>33.5</v>
      </c>
      <c r="U16" s="46">
        <v>0</v>
      </c>
      <c r="V16" s="47">
        <f t="shared" si="1"/>
        <v>0</v>
      </c>
      <c r="W16" s="47">
        <f t="shared" si="2"/>
        <v>232</v>
      </c>
      <c r="X16" s="48">
        <f t="shared" si="3"/>
        <v>0</v>
      </c>
      <c r="Y16" s="49">
        <f t="shared" si="4"/>
        <v>265.5</v>
      </c>
      <c r="Z16" s="50">
        <f t="shared" si="5"/>
        <v>266</v>
      </c>
    </row>
    <row r="17" spans="1:26" ht="15.75" thickBot="1" x14ac:dyDescent="0.3">
      <c r="A17" s="101" t="s">
        <v>1658</v>
      </c>
      <c r="B17" s="102"/>
      <c r="C17" s="102"/>
      <c r="D17" s="102"/>
      <c r="E17" s="102"/>
      <c r="F17" s="102"/>
      <c r="G17" s="102"/>
      <c r="H17" s="102"/>
      <c r="I17" s="103"/>
      <c r="J17" s="109">
        <f t="shared" ref="J17:Z17" si="6">SUM(J4:J16)</f>
        <v>13</v>
      </c>
      <c r="K17" s="109">
        <f t="shared" si="6"/>
        <v>0</v>
      </c>
      <c r="L17" s="109">
        <f t="shared" si="6"/>
        <v>13</v>
      </c>
      <c r="M17" s="109">
        <f t="shared" si="6"/>
        <v>0</v>
      </c>
      <c r="N17" s="109">
        <f t="shared" si="6"/>
        <v>0</v>
      </c>
      <c r="O17" s="109">
        <f t="shared" si="6"/>
        <v>0</v>
      </c>
      <c r="P17" s="109">
        <f t="shared" si="6"/>
        <v>0</v>
      </c>
      <c r="Q17" s="109">
        <f t="shared" si="6"/>
        <v>0</v>
      </c>
      <c r="R17" s="109">
        <f t="shared" si="6"/>
        <v>1115</v>
      </c>
      <c r="S17" s="109">
        <f t="shared" si="6"/>
        <v>0</v>
      </c>
      <c r="T17" s="110">
        <f t="shared" si="6"/>
        <v>435.5</v>
      </c>
      <c r="U17" s="109">
        <f t="shared" si="6"/>
        <v>0</v>
      </c>
      <c r="V17" s="109">
        <f t="shared" si="6"/>
        <v>0</v>
      </c>
      <c r="W17" s="109">
        <f t="shared" si="6"/>
        <v>2230</v>
      </c>
      <c r="X17" s="109">
        <f t="shared" si="6"/>
        <v>0</v>
      </c>
      <c r="Y17" s="109">
        <f t="shared" si="6"/>
        <v>2665.5</v>
      </c>
      <c r="Z17" s="109">
        <f t="shared" si="6"/>
        <v>2672</v>
      </c>
    </row>
  </sheetData>
  <autoFilter ref="A3:I17" xr:uid="{00000000-0009-0000-0000-000000000000}"/>
  <mergeCells count="1">
    <mergeCell ref="B1:C1"/>
  </mergeCells>
  <pageMargins left="0.25" right="0.25" top="0.75" bottom="0.75" header="0.3" footer="0.3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330FC-F37D-4763-9742-E4B0AE8066BB}">
  <sheetPr>
    <pageSetUpPr fitToPage="1"/>
  </sheetPr>
  <dimension ref="A1:Z542"/>
  <sheetViews>
    <sheetView topLeftCell="F515" workbookViewId="0">
      <selection activeCell="E549" sqref="E549"/>
    </sheetView>
  </sheetViews>
  <sheetFormatPr defaultRowHeight="15" x14ac:dyDescent="0.25"/>
  <cols>
    <col min="1" max="1" width="6.5703125" customWidth="1"/>
    <col min="2" max="2" width="3.28515625" bestFit="1" customWidth="1"/>
    <col min="3" max="3" width="8.42578125" bestFit="1" customWidth="1"/>
    <col min="4" max="4" width="9" bestFit="1" customWidth="1"/>
    <col min="5" max="5" width="44.85546875" customWidth="1"/>
    <col min="6" max="6" width="10" bestFit="1" customWidth="1"/>
    <col min="7" max="7" width="44.42578125" customWidth="1"/>
    <col min="8" max="8" width="22.85546875" customWidth="1"/>
    <col min="9" max="9" width="24.42578125" customWidth="1"/>
    <col min="20" max="20" width="12.140625" bestFit="1" customWidth="1"/>
    <col min="25" max="25" width="13.42578125" bestFit="1" customWidth="1"/>
  </cols>
  <sheetData>
    <row r="1" spans="1:26" ht="15.75" thickBot="1" x14ac:dyDescent="0.3">
      <c r="A1" s="1" t="s">
        <v>0</v>
      </c>
      <c r="B1" s="250" t="s">
        <v>1</v>
      </c>
      <c r="C1" s="250"/>
      <c r="T1" s="2">
        <v>33.5</v>
      </c>
      <c r="U1" s="2">
        <v>13.5</v>
      </c>
      <c r="V1" s="2">
        <v>1.5</v>
      </c>
      <c r="W1" s="2">
        <v>2</v>
      </c>
      <c r="X1" s="2">
        <v>27</v>
      </c>
    </row>
    <row r="2" spans="1:26" ht="213" customHeight="1" x14ac:dyDescent="0.25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5" t="s">
        <v>8</v>
      </c>
      <c r="H2" s="4" t="s">
        <v>9</v>
      </c>
      <c r="I2" s="6" t="s">
        <v>10</v>
      </c>
      <c r="J2" s="7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9" t="s">
        <v>17</v>
      </c>
      <c r="Q2" s="7" t="s">
        <v>18</v>
      </c>
      <c r="R2" s="8" t="s">
        <v>19</v>
      </c>
      <c r="S2" s="10" t="s">
        <v>20</v>
      </c>
      <c r="T2" s="11" t="s">
        <v>21</v>
      </c>
      <c r="U2" s="12" t="s">
        <v>22</v>
      </c>
      <c r="V2" s="12" t="s">
        <v>23</v>
      </c>
      <c r="W2" s="12" t="s">
        <v>24</v>
      </c>
      <c r="X2" s="13" t="s">
        <v>25</v>
      </c>
      <c r="Y2" s="14" t="s">
        <v>26</v>
      </c>
      <c r="Z2" s="15" t="s">
        <v>27</v>
      </c>
    </row>
    <row r="3" spans="1:26" ht="27.75" thickBot="1" x14ac:dyDescent="0.3">
      <c r="A3" s="16" t="s">
        <v>28</v>
      </c>
      <c r="B3" s="17" t="s">
        <v>29</v>
      </c>
      <c r="C3" s="17" t="s">
        <v>30</v>
      </c>
      <c r="D3" s="17" t="s">
        <v>31</v>
      </c>
      <c r="E3" s="17" t="s">
        <v>32</v>
      </c>
      <c r="F3" s="17" t="s">
        <v>33</v>
      </c>
      <c r="G3" s="18" t="s">
        <v>34</v>
      </c>
      <c r="H3" s="18" t="s">
        <v>35</v>
      </c>
      <c r="I3" s="19" t="s">
        <v>36</v>
      </c>
      <c r="J3" s="20">
        <v>1</v>
      </c>
      <c r="K3" s="21">
        <v>2</v>
      </c>
      <c r="L3" s="21">
        <v>3</v>
      </c>
      <c r="M3" s="21">
        <v>4</v>
      </c>
      <c r="N3" s="21">
        <v>5</v>
      </c>
      <c r="O3" s="21">
        <v>6</v>
      </c>
      <c r="P3" s="22">
        <v>7</v>
      </c>
      <c r="Q3" s="20">
        <v>8</v>
      </c>
      <c r="R3" s="21">
        <v>9</v>
      </c>
      <c r="S3" s="23">
        <v>10</v>
      </c>
      <c r="T3" s="24" t="s">
        <v>37</v>
      </c>
      <c r="U3" s="21">
        <v>12</v>
      </c>
      <c r="V3" s="25" t="s">
        <v>38</v>
      </c>
      <c r="W3" s="25" t="s">
        <v>39</v>
      </c>
      <c r="X3" s="26" t="s">
        <v>40</v>
      </c>
      <c r="Y3" s="27" t="s">
        <v>41</v>
      </c>
      <c r="Z3" s="28">
        <v>17</v>
      </c>
    </row>
    <row r="4" spans="1:26" ht="15.75" thickTop="1" x14ac:dyDescent="0.25">
      <c r="A4" s="111" t="s">
        <v>42</v>
      </c>
      <c r="B4" s="111" t="s">
        <v>43</v>
      </c>
      <c r="C4" s="111" t="s">
        <v>44</v>
      </c>
      <c r="D4" s="111">
        <v>54130395</v>
      </c>
      <c r="E4" s="112" t="s">
        <v>45</v>
      </c>
      <c r="F4" s="111">
        <v>17337097</v>
      </c>
      <c r="G4" s="113" t="s">
        <v>46</v>
      </c>
      <c r="H4" s="112" t="s">
        <v>47</v>
      </c>
      <c r="I4" s="114" t="s">
        <v>48</v>
      </c>
      <c r="J4" s="34">
        <v>4</v>
      </c>
      <c r="K4" s="35">
        <v>0</v>
      </c>
      <c r="L4" s="35">
        <v>4</v>
      </c>
      <c r="M4" s="35">
        <v>0</v>
      </c>
      <c r="N4" s="115">
        <v>0</v>
      </c>
      <c r="O4" s="115">
        <v>0</v>
      </c>
      <c r="P4" s="116">
        <v>0</v>
      </c>
      <c r="Q4" s="34">
        <v>0</v>
      </c>
      <c r="R4" s="35">
        <v>7</v>
      </c>
      <c r="S4" s="36">
        <v>0</v>
      </c>
      <c r="T4" s="37">
        <f t="shared" ref="T4:T67" si="0">$T$1*L4</f>
        <v>134</v>
      </c>
      <c r="U4" s="38">
        <v>0</v>
      </c>
      <c r="V4" s="38">
        <f t="shared" ref="V4:V67" si="1">$U$1*N4+$V$1*Q4</f>
        <v>0</v>
      </c>
      <c r="W4" s="38">
        <f t="shared" ref="W4:W67" si="2">$U$1*O4+$W$1*R4</f>
        <v>14</v>
      </c>
      <c r="X4" s="39">
        <f t="shared" ref="X4:X67" si="3">$X$1*P4+$V$1*S4</f>
        <v>0</v>
      </c>
      <c r="Y4" s="117">
        <f t="shared" ref="Y4:Y67" si="4">T4+U4+V4+W4+X4</f>
        <v>148</v>
      </c>
      <c r="Z4" s="118">
        <f t="shared" ref="Z4:Z67" si="5">ROUND(Y4,0)</f>
        <v>148</v>
      </c>
    </row>
    <row r="5" spans="1:26" x14ac:dyDescent="0.25">
      <c r="A5" s="30" t="s">
        <v>42</v>
      </c>
      <c r="B5" s="30" t="s">
        <v>43</v>
      </c>
      <c r="C5" s="30" t="s">
        <v>44</v>
      </c>
      <c r="D5" s="30">
        <v>54130395</v>
      </c>
      <c r="E5" s="31" t="s">
        <v>45</v>
      </c>
      <c r="F5" s="30">
        <v>42262488</v>
      </c>
      <c r="G5" s="119" t="s">
        <v>49</v>
      </c>
      <c r="H5" s="31" t="s">
        <v>50</v>
      </c>
      <c r="I5" s="120" t="s">
        <v>51</v>
      </c>
      <c r="J5" s="42">
        <v>2</v>
      </c>
      <c r="K5" s="43">
        <v>2</v>
      </c>
      <c r="L5" s="43">
        <v>2</v>
      </c>
      <c r="M5" s="43">
        <v>4</v>
      </c>
      <c r="N5" s="55">
        <v>0</v>
      </c>
      <c r="O5" s="55">
        <v>1</v>
      </c>
      <c r="P5" s="57">
        <v>1</v>
      </c>
      <c r="Q5" s="42">
        <v>0</v>
      </c>
      <c r="R5" s="43">
        <v>51</v>
      </c>
      <c r="S5" s="44">
        <v>50</v>
      </c>
      <c r="T5" s="45">
        <f t="shared" si="0"/>
        <v>67</v>
      </c>
      <c r="U5" s="46">
        <v>0</v>
      </c>
      <c r="V5" s="46">
        <f t="shared" si="1"/>
        <v>0</v>
      </c>
      <c r="W5" s="46">
        <f t="shared" si="2"/>
        <v>115.5</v>
      </c>
      <c r="X5" s="121">
        <f t="shared" si="3"/>
        <v>102</v>
      </c>
      <c r="Y5" s="122">
        <f t="shared" si="4"/>
        <v>284.5</v>
      </c>
      <c r="Z5" s="123">
        <f t="shared" si="5"/>
        <v>285</v>
      </c>
    </row>
    <row r="6" spans="1:26" x14ac:dyDescent="0.25">
      <c r="A6" s="30" t="s">
        <v>42</v>
      </c>
      <c r="B6" s="30" t="s">
        <v>43</v>
      </c>
      <c r="C6" s="30" t="s">
        <v>44</v>
      </c>
      <c r="D6" s="30">
        <v>54130395</v>
      </c>
      <c r="E6" s="31" t="s">
        <v>45</v>
      </c>
      <c r="F6" s="30">
        <v>36075213</v>
      </c>
      <c r="G6" s="119" t="s">
        <v>52</v>
      </c>
      <c r="H6" s="31" t="s">
        <v>50</v>
      </c>
      <c r="I6" s="120" t="s">
        <v>53</v>
      </c>
      <c r="J6" s="42">
        <v>4</v>
      </c>
      <c r="K6" s="43">
        <v>0</v>
      </c>
      <c r="L6" s="43">
        <v>6</v>
      </c>
      <c r="M6" s="43">
        <v>0</v>
      </c>
      <c r="N6" s="55">
        <v>0</v>
      </c>
      <c r="O6" s="55">
        <v>0</v>
      </c>
      <c r="P6" s="57">
        <v>0</v>
      </c>
      <c r="Q6" s="42">
        <v>0</v>
      </c>
      <c r="R6" s="43">
        <v>16</v>
      </c>
      <c r="S6" s="44">
        <v>18</v>
      </c>
      <c r="T6" s="45">
        <f t="shared" si="0"/>
        <v>201</v>
      </c>
      <c r="U6" s="46">
        <v>0</v>
      </c>
      <c r="V6" s="46">
        <f t="shared" si="1"/>
        <v>0</v>
      </c>
      <c r="W6" s="46">
        <f t="shared" si="2"/>
        <v>32</v>
      </c>
      <c r="X6" s="121">
        <f t="shared" si="3"/>
        <v>27</v>
      </c>
      <c r="Y6" s="122">
        <f t="shared" si="4"/>
        <v>260</v>
      </c>
      <c r="Z6" s="123">
        <f t="shared" si="5"/>
        <v>260</v>
      </c>
    </row>
    <row r="7" spans="1:26" ht="25.5" x14ac:dyDescent="0.25">
      <c r="A7" s="30" t="s">
        <v>42</v>
      </c>
      <c r="B7" s="30" t="s">
        <v>43</v>
      </c>
      <c r="C7" s="30" t="s">
        <v>44</v>
      </c>
      <c r="D7" s="30">
        <v>54130395</v>
      </c>
      <c r="E7" s="31" t="s">
        <v>45</v>
      </c>
      <c r="F7" s="30">
        <v>17319153</v>
      </c>
      <c r="G7" s="119" t="s">
        <v>54</v>
      </c>
      <c r="H7" s="31" t="s">
        <v>55</v>
      </c>
      <c r="I7" s="120" t="s">
        <v>56</v>
      </c>
      <c r="J7" s="42">
        <v>2</v>
      </c>
      <c r="K7" s="43">
        <v>0</v>
      </c>
      <c r="L7" s="43">
        <v>5</v>
      </c>
      <c r="M7" s="43">
        <v>0</v>
      </c>
      <c r="N7" s="55">
        <v>0</v>
      </c>
      <c r="O7" s="55">
        <v>0</v>
      </c>
      <c r="P7" s="57">
        <v>0</v>
      </c>
      <c r="Q7" s="42">
        <v>0</v>
      </c>
      <c r="R7" s="43">
        <v>2</v>
      </c>
      <c r="S7" s="44">
        <v>20</v>
      </c>
      <c r="T7" s="45">
        <f t="shared" si="0"/>
        <v>167.5</v>
      </c>
      <c r="U7" s="46">
        <v>0</v>
      </c>
      <c r="V7" s="46">
        <f t="shared" si="1"/>
        <v>0</v>
      </c>
      <c r="W7" s="46">
        <f t="shared" si="2"/>
        <v>4</v>
      </c>
      <c r="X7" s="121">
        <f t="shared" si="3"/>
        <v>30</v>
      </c>
      <c r="Y7" s="122">
        <f t="shared" si="4"/>
        <v>201.5</v>
      </c>
      <c r="Z7" s="123">
        <f t="shared" si="5"/>
        <v>202</v>
      </c>
    </row>
    <row r="8" spans="1:26" x14ac:dyDescent="0.25">
      <c r="A8" s="30" t="s">
        <v>42</v>
      </c>
      <c r="B8" s="30" t="s">
        <v>43</v>
      </c>
      <c r="C8" s="30" t="s">
        <v>44</v>
      </c>
      <c r="D8" s="30">
        <v>54130395</v>
      </c>
      <c r="E8" s="31" t="s">
        <v>45</v>
      </c>
      <c r="F8" s="30">
        <v>605751</v>
      </c>
      <c r="G8" s="119" t="s">
        <v>49</v>
      </c>
      <c r="H8" s="31" t="s">
        <v>57</v>
      </c>
      <c r="I8" s="120" t="s">
        <v>58</v>
      </c>
      <c r="J8" s="42">
        <v>3</v>
      </c>
      <c r="K8" s="43">
        <v>0</v>
      </c>
      <c r="L8" s="43">
        <v>3</v>
      </c>
      <c r="M8" s="43">
        <v>0</v>
      </c>
      <c r="N8" s="55">
        <v>0</v>
      </c>
      <c r="O8" s="55">
        <v>0</v>
      </c>
      <c r="P8" s="57">
        <v>0</v>
      </c>
      <c r="Q8" s="42">
        <v>0</v>
      </c>
      <c r="R8" s="43">
        <v>5</v>
      </c>
      <c r="S8" s="44">
        <v>0</v>
      </c>
      <c r="T8" s="45">
        <f t="shared" si="0"/>
        <v>100.5</v>
      </c>
      <c r="U8" s="46">
        <v>0</v>
      </c>
      <c r="V8" s="46">
        <f t="shared" si="1"/>
        <v>0</v>
      </c>
      <c r="W8" s="46">
        <f t="shared" si="2"/>
        <v>10</v>
      </c>
      <c r="X8" s="121">
        <f t="shared" si="3"/>
        <v>0</v>
      </c>
      <c r="Y8" s="122">
        <f t="shared" si="4"/>
        <v>110.5</v>
      </c>
      <c r="Z8" s="123">
        <f t="shared" si="5"/>
        <v>111</v>
      </c>
    </row>
    <row r="9" spans="1:26" x14ac:dyDescent="0.25">
      <c r="A9" s="30" t="s">
        <v>42</v>
      </c>
      <c r="B9" s="30" t="s">
        <v>43</v>
      </c>
      <c r="C9" s="30" t="s">
        <v>44</v>
      </c>
      <c r="D9" s="30">
        <v>54130395</v>
      </c>
      <c r="E9" s="31" t="s">
        <v>45</v>
      </c>
      <c r="F9" s="30">
        <v>17337054</v>
      </c>
      <c r="G9" s="119" t="s">
        <v>49</v>
      </c>
      <c r="H9" s="31" t="s">
        <v>60</v>
      </c>
      <c r="I9" s="120" t="s">
        <v>61</v>
      </c>
      <c r="J9" s="42">
        <v>9</v>
      </c>
      <c r="K9" s="43">
        <v>0</v>
      </c>
      <c r="L9" s="43">
        <v>11</v>
      </c>
      <c r="M9" s="43">
        <v>0</v>
      </c>
      <c r="N9" s="55">
        <v>0</v>
      </c>
      <c r="O9" s="55">
        <v>0</v>
      </c>
      <c r="P9" s="57">
        <v>0</v>
      </c>
      <c r="Q9" s="42">
        <v>1</v>
      </c>
      <c r="R9" s="43">
        <v>48</v>
      </c>
      <c r="S9" s="44">
        <v>0</v>
      </c>
      <c r="T9" s="45">
        <f t="shared" si="0"/>
        <v>368.5</v>
      </c>
      <c r="U9" s="46">
        <v>0</v>
      </c>
      <c r="V9" s="46">
        <f t="shared" si="1"/>
        <v>1.5</v>
      </c>
      <c r="W9" s="46">
        <f t="shared" si="2"/>
        <v>96</v>
      </c>
      <c r="X9" s="121">
        <f t="shared" si="3"/>
        <v>0</v>
      </c>
      <c r="Y9" s="122">
        <f t="shared" si="4"/>
        <v>466</v>
      </c>
      <c r="Z9" s="123">
        <f t="shared" si="5"/>
        <v>466</v>
      </c>
    </row>
    <row r="10" spans="1:26" x14ac:dyDescent="0.25">
      <c r="A10" s="30" t="s">
        <v>42</v>
      </c>
      <c r="B10" s="30" t="s">
        <v>43</v>
      </c>
      <c r="C10" s="30" t="s">
        <v>44</v>
      </c>
      <c r="D10" s="30">
        <v>54130395</v>
      </c>
      <c r="E10" s="31" t="s">
        <v>45</v>
      </c>
      <c r="F10" s="30">
        <v>30778964</v>
      </c>
      <c r="G10" s="119" t="s">
        <v>52</v>
      </c>
      <c r="H10" s="31" t="s">
        <v>60</v>
      </c>
      <c r="I10" s="120" t="s">
        <v>62</v>
      </c>
      <c r="J10" s="42">
        <v>4</v>
      </c>
      <c r="K10" s="43">
        <v>0</v>
      </c>
      <c r="L10" s="43">
        <v>6</v>
      </c>
      <c r="M10" s="43">
        <v>0</v>
      </c>
      <c r="N10" s="55">
        <v>0</v>
      </c>
      <c r="O10" s="55">
        <v>0</v>
      </c>
      <c r="P10" s="57">
        <v>0</v>
      </c>
      <c r="Q10" s="42">
        <v>0</v>
      </c>
      <c r="R10" s="43">
        <v>3</v>
      </c>
      <c r="S10" s="44">
        <v>31</v>
      </c>
      <c r="T10" s="45">
        <f t="shared" si="0"/>
        <v>201</v>
      </c>
      <c r="U10" s="46">
        <v>0</v>
      </c>
      <c r="V10" s="46">
        <f t="shared" si="1"/>
        <v>0</v>
      </c>
      <c r="W10" s="46">
        <f t="shared" si="2"/>
        <v>6</v>
      </c>
      <c r="X10" s="121">
        <f t="shared" si="3"/>
        <v>46.5</v>
      </c>
      <c r="Y10" s="122">
        <f t="shared" si="4"/>
        <v>253.5</v>
      </c>
      <c r="Z10" s="123">
        <f t="shared" si="5"/>
        <v>254</v>
      </c>
    </row>
    <row r="11" spans="1:26" s="108" customFormat="1" x14ac:dyDescent="0.25">
      <c r="A11" s="30" t="s">
        <v>42</v>
      </c>
      <c r="B11" s="30" t="s">
        <v>43</v>
      </c>
      <c r="C11" s="30" t="s">
        <v>44</v>
      </c>
      <c r="D11" s="30">
        <v>54130395</v>
      </c>
      <c r="E11" s="31" t="s">
        <v>45</v>
      </c>
      <c r="F11" s="30">
        <v>30775426</v>
      </c>
      <c r="G11" s="119" t="s">
        <v>65</v>
      </c>
      <c r="H11" s="31" t="s">
        <v>66</v>
      </c>
      <c r="I11" s="120" t="s">
        <v>67</v>
      </c>
      <c r="J11" s="54">
        <v>4</v>
      </c>
      <c r="K11" s="43">
        <v>0</v>
      </c>
      <c r="L11" s="55">
        <v>5</v>
      </c>
      <c r="M11" s="43">
        <v>0</v>
      </c>
      <c r="N11" s="55">
        <v>0</v>
      </c>
      <c r="O11" s="55">
        <v>0</v>
      </c>
      <c r="P11" s="57">
        <v>0</v>
      </c>
      <c r="Q11" s="42">
        <v>0</v>
      </c>
      <c r="R11" s="55">
        <v>17</v>
      </c>
      <c r="S11" s="57">
        <v>4</v>
      </c>
      <c r="T11" s="124">
        <f t="shared" si="0"/>
        <v>167.5</v>
      </c>
      <c r="U11" s="58">
        <v>0</v>
      </c>
      <c r="V11" s="58">
        <f t="shared" si="1"/>
        <v>0</v>
      </c>
      <c r="W11" s="58">
        <f t="shared" si="2"/>
        <v>34</v>
      </c>
      <c r="X11" s="125">
        <f t="shared" si="3"/>
        <v>6</v>
      </c>
      <c r="Y11" s="126">
        <f t="shared" si="4"/>
        <v>207.5</v>
      </c>
      <c r="Z11" s="123">
        <f t="shared" si="5"/>
        <v>208</v>
      </c>
    </row>
    <row r="12" spans="1:26" x14ac:dyDescent="0.25">
      <c r="A12" s="30" t="s">
        <v>42</v>
      </c>
      <c r="B12" s="30" t="s">
        <v>79</v>
      </c>
      <c r="C12" s="30" t="s">
        <v>80</v>
      </c>
      <c r="D12" s="30">
        <v>36063606</v>
      </c>
      <c r="E12" s="31" t="s">
        <v>81</v>
      </c>
      <c r="F12" s="30">
        <v>17337101</v>
      </c>
      <c r="G12" s="119" t="s">
        <v>49</v>
      </c>
      <c r="H12" s="31" t="s">
        <v>82</v>
      </c>
      <c r="I12" s="120" t="s">
        <v>83</v>
      </c>
      <c r="J12" s="42">
        <v>3</v>
      </c>
      <c r="K12" s="229">
        <v>0</v>
      </c>
      <c r="L12" s="43">
        <v>3</v>
      </c>
      <c r="M12" s="43">
        <v>0</v>
      </c>
      <c r="N12" s="55">
        <v>0</v>
      </c>
      <c r="O12" s="55">
        <v>2</v>
      </c>
      <c r="P12" s="57">
        <v>0</v>
      </c>
      <c r="Q12" s="42">
        <v>0</v>
      </c>
      <c r="R12" s="43">
        <v>7</v>
      </c>
      <c r="S12" s="44">
        <v>0</v>
      </c>
      <c r="T12" s="45">
        <f t="shared" si="0"/>
        <v>100.5</v>
      </c>
      <c r="U12" s="46">
        <v>0</v>
      </c>
      <c r="V12" s="46">
        <f t="shared" si="1"/>
        <v>0</v>
      </c>
      <c r="W12" s="46">
        <f t="shared" si="2"/>
        <v>41</v>
      </c>
      <c r="X12" s="121">
        <f t="shared" si="3"/>
        <v>0</v>
      </c>
      <c r="Y12" s="122">
        <f t="shared" si="4"/>
        <v>141.5</v>
      </c>
      <c r="Z12" s="123">
        <f t="shared" si="5"/>
        <v>142</v>
      </c>
    </row>
    <row r="13" spans="1:26" x14ac:dyDescent="0.25">
      <c r="A13" s="30" t="s">
        <v>42</v>
      </c>
      <c r="B13" s="30" t="s">
        <v>79</v>
      </c>
      <c r="C13" s="30" t="s">
        <v>80</v>
      </c>
      <c r="D13" s="30">
        <v>36063606</v>
      </c>
      <c r="E13" s="31" t="s">
        <v>81</v>
      </c>
      <c r="F13" s="30">
        <v>17337046</v>
      </c>
      <c r="G13" s="119" t="s">
        <v>84</v>
      </c>
      <c r="H13" s="31" t="s">
        <v>82</v>
      </c>
      <c r="I13" s="120" t="s">
        <v>85</v>
      </c>
      <c r="J13" s="42">
        <v>1</v>
      </c>
      <c r="K13" s="43">
        <v>0</v>
      </c>
      <c r="L13" s="43">
        <v>1</v>
      </c>
      <c r="M13" s="43">
        <v>0</v>
      </c>
      <c r="N13" s="55">
        <v>0</v>
      </c>
      <c r="O13" s="55">
        <v>0</v>
      </c>
      <c r="P13" s="57">
        <v>0</v>
      </c>
      <c r="Q13" s="42">
        <v>0</v>
      </c>
      <c r="R13" s="43">
        <v>1</v>
      </c>
      <c r="S13" s="44">
        <v>0</v>
      </c>
      <c r="T13" s="45">
        <f t="shared" si="0"/>
        <v>33.5</v>
      </c>
      <c r="U13" s="46">
        <v>0</v>
      </c>
      <c r="V13" s="46">
        <f t="shared" si="1"/>
        <v>0</v>
      </c>
      <c r="W13" s="46">
        <f t="shared" si="2"/>
        <v>2</v>
      </c>
      <c r="X13" s="121">
        <f t="shared" si="3"/>
        <v>0</v>
      </c>
      <c r="Y13" s="122">
        <f t="shared" si="4"/>
        <v>35.5</v>
      </c>
      <c r="Z13" s="123">
        <f t="shared" si="5"/>
        <v>36</v>
      </c>
    </row>
    <row r="14" spans="1:26" x14ac:dyDescent="0.25">
      <c r="A14" s="30" t="s">
        <v>42</v>
      </c>
      <c r="B14" s="30" t="s">
        <v>79</v>
      </c>
      <c r="C14" s="30" t="s">
        <v>80</v>
      </c>
      <c r="D14" s="30">
        <v>36063606</v>
      </c>
      <c r="E14" s="31" t="s">
        <v>81</v>
      </c>
      <c r="F14" s="30">
        <v>605808</v>
      </c>
      <c r="G14" s="119" t="s">
        <v>86</v>
      </c>
      <c r="H14" s="31" t="s">
        <v>82</v>
      </c>
      <c r="I14" s="120" t="s">
        <v>87</v>
      </c>
      <c r="J14" s="42">
        <v>5</v>
      </c>
      <c r="K14" s="43">
        <v>0</v>
      </c>
      <c r="L14" s="43">
        <v>5</v>
      </c>
      <c r="M14" s="43">
        <v>0</v>
      </c>
      <c r="N14" s="55">
        <v>0</v>
      </c>
      <c r="O14" s="55">
        <v>0</v>
      </c>
      <c r="P14" s="57">
        <v>0</v>
      </c>
      <c r="Q14" s="42">
        <v>0</v>
      </c>
      <c r="R14" s="43">
        <v>12</v>
      </c>
      <c r="S14" s="44">
        <v>5</v>
      </c>
      <c r="T14" s="45">
        <f t="shared" si="0"/>
        <v>167.5</v>
      </c>
      <c r="U14" s="46">
        <v>0</v>
      </c>
      <c r="V14" s="46">
        <f t="shared" si="1"/>
        <v>0</v>
      </c>
      <c r="W14" s="46">
        <f t="shared" si="2"/>
        <v>24</v>
      </c>
      <c r="X14" s="121">
        <f t="shared" si="3"/>
        <v>7.5</v>
      </c>
      <c r="Y14" s="122">
        <f t="shared" si="4"/>
        <v>199</v>
      </c>
      <c r="Z14" s="123">
        <f t="shared" si="5"/>
        <v>199</v>
      </c>
    </row>
    <row r="15" spans="1:26" x14ac:dyDescent="0.25">
      <c r="A15" s="30" t="s">
        <v>42</v>
      </c>
      <c r="B15" s="30" t="s">
        <v>79</v>
      </c>
      <c r="C15" s="30" t="s">
        <v>80</v>
      </c>
      <c r="D15" s="30">
        <v>36063606</v>
      </c>
      <c r="E15" s="31" t="s">
        <v>81</v>
      </c>
      <c r="F15" s="30">
        <v>30775353</v>
      </c>
      <c r="G15" s="119" t="s">
        <v>88</v>
      </c>
      <c r="H15" s="31" t="s">
        <v>82</v>
      </c>
      <c r="I15" s="120" t="s">
        <v>89</v>
      </c>
      <c r="J15" s="42">
        <v>7</v>
      </c>
      <c r="K15" s="43">
        <v>0</v>
      </c>
      <c r="L15" s="43">
        <v>9</v>
      </c>
      <c r="M15" s="43">
        <v>0</v>
      </c>
      <c r="N15" s="55">
        <v>0</v>
      </c>
      <c r="O15" s="55">
        <v>0</v>
      </c>
      <c r="P15" s="57">
        <v>0</v>
      </c>
      <c r="Q15" s="42">
        <v>1</v>
      </c>
      <c r="R15" s="43">
        <v>36</v>
      </c>
      <c r="S15" s="44">
        <v>12</v>
      </c>
      <c r="T15" s="45">
        <f t="shared" si="0"/>
        <v>301.5</v>
      </c>
      <c r="U15" s="46">
        <v>0</v>
      </c>
      <c r="V15" s="46">
        <f t="shared" si="1"/>
        <v>1.5</v>
      </c>
      <c r="W15" s="46">
        <f t="shared" si="2"/>
        <v>72</v>
      </c>
      <c r="X15" s="121">
        <f t="shared" si="3"/>
        <v>18</v>
      </c>
      <c r="Y15" s="122">
        <f t="shared" si="4"/>
        <v>393</v>
      </c>
      <c r="Z15" s="123">
        <f t="shared" si="5"/>
        <v>393</v>
      </c>
    </row>
    <row r="16" spans="1:26" x14ac:dyDescent="0.25">
      <c r="A16" s="30" t="s">
        <v>42</v>
      </c>
      <c r="B16" s="30" t="s">
        <v>79</v>
      </c>
      <c r="C16" s="30" t="s">
        <v>80</v>
      </c>
      <c r="D16" s="30">
        <v>36063606</v>
      </c>
      <c r="E16" s="31" t="s">
        <v>81</v>
      </c>
      <c r="F16" s="30">
        <v>30775396</v>
      </c>
      <c r="G16" s="119" t="s">
        <v>90</v>
      </c>
      <c r="H16" s="31" t="s">
        <v>82</v>
      </c>
      <c r="I16" s="120" t="s">
        <v>91</v>
      </c>
      <c r="J16" s="42">
        <v>7</v>
      </c>
      <c r="K16" s="43">
        <v>0</v>
      </c>
      <c r="L16" s="43">
        <v>11</v>
      </c>
      <c r="M16" s="43">
        <v>0</v>
      </c>
      <c r="N16" s="55">
        <v>0</v>
      </c>
      <c r="O16" s="55">
        <v>0</v>
      </c>
      <c r="P16" s="57">
        <v>0</v>
      </c>
      <c r="Q16" s="42">
        <v>0</v>
      </c>
      <c r="R16" s="43">
        <v>16</v>
      </c>
      <c r="S16" s="44">
        <v>5</v>
      </c>
      <c r="T16" s="45">
        <f t="shared" si="0"/>
        <v>368.5</v>
      </c>
      <c r="U16" s="46">
        <v>0</v>
      </c>
      <c r="V16" s="46">
        <f t="shared" si="1"/>
        <v>0</v>
      </c>
      <c r="W16" s="46">
        <f t="shared" si="2"/>
        <v>32</v>
      </c>
      <c r="X16" s="121">
        <f t="shared" si="3"/>
        <v>7.5</v>
      </c>
      <c r="Y16" s="122">
        <f t="shared" si="4"/>
        <v>408</v>
      </c>
      <c r="Z16" s="123">
        <f t="shared" si="5"/>
        <v>408</v>
      </c>
    </row>
    <row r="17" spans="1:26" x14ac:dyDescent="0.25">
      <c r="A17" s="30" t="s">
        <v>42</v>
      </c>
      <c r="B17" s="30" t="s">
        <v>79</v>
      </c>
      <c r="C17" s="30" t="s">
        <v>80</v>
      </c>
      <c r="D17" s="30">
        <v>36063606</v>
      </c>
      <c r="E17" s="31" t="s">
        <v>81</v>
      </c>
      <c r="F17" s="30">
        <v>30775302</v>
      </c>
      <c r="G17" s="119" t="s">
        <v>92</v>
      </c>
      <c r="H17" s="31" t="s">
        <v>82</v>
      </c>
      <c r="I17" s="120" t="s">
        <v>93</v>
      </c>
      <c r="J17" s="42">
        <v>3</v>
      </c>
      <c r="K17" s="43">
        <v>0</v>
      </c>
      <c r="L17" s="43">
        <v>3</v>
      </c>
      <c r="M17" s="43">
        <v>0</v>
      </c>
      <c r="N17" s="55">
        <v>0</v>
      </c>
      <c r="O17" s="55">
        <v>0</v>
      </c>
      <c r="P17" s="57">
        <v>0</v>
      </c>
      <c r="Q17" s="42">
        <v>0</v>
      </c>
      <c r="R17" s="43">
        <v>3</v>
      </c>
      <c r="S17" s="44">
        <v>5</v>
      </c>
      <c r="T17" s="45">
        <f t="shared" si="0"/>
        <v>100.5</v>
      </c>
      <c r="U17" s="46">
        <v>0</v>
      </c>
      <c r="V17" s="46">
        <f t="shared" si="1"/>
        <v>0</v>
      </c>
      <c r="W17" s="46">
        <f t="shared" si="2"/>
        <v>6</v>
      </c>
      <c r="X17" s="121">
        <f t="shared" si="3"/>
        <v>7.5</v>
      </c>
      <c r="Y17" s="122">
        <f t="shared" si="4"/>
        <v>114</v>
      </c>
      <c r="Z17" s="123">
        <f t="shared" si="5"/>
        <v>114</v>
      </c>
    </row>
    <row r="18" spans="1:26" ht="38.25" x14ac:dyDescent="0.25">
      <c r="A18" s="30" t="s">
        <v>42</v>
      </c>
      <c r="B18" s="30" t="s">
        <v>79</v>
      </c>
      <c r="C18" s="30" t="s">
        <v>80</v>
      </c>
      <c r="D18" s="30">
        <v>36063606</v>
      </c>
      <c r="E18" s="31" t="s">
        <v>81</v>
      </c>
      <c r="F18" s="30">
        <v>17337089</v>
      </c>
      <c r="G18" s="119" t="s">
        <v>94</v>
      </c>
      <c r="H18" s="31" t="s">
        <v>82</v>
      </c>
      <c r="I18" s="120" t="s">
        <v>95</v>
      </c>
      <c r="J18" s="42">
        <v>2</v>
      </c>
      <c r="K18" s="43">
        <v>0</v>
      </c>
      <c r="L18" s="43">
        <v>3</v>
      </c>
      <c r="M18" s="43">
        <v>0</v>
      </c>
      <c r="N18" s="55">
        <v>0</v>
      </c>
      <c r="O18" s="55">
        <v>0</v>
      </c>
      <c r="P18" s="57">
        <v>0</v>
      </c>
      <c r="Q18" s="42">
        <v>0</v>
      </c>
      <c r="R18" s="43">
        <v>4</v>
      </c>
      <c r="S18" s="44">
        <v>2</v>
      </c>
      <c r="T18" s="45">
        <f t="shared" si="0"/>
        <v>100.5</v>
      </c>
      <c r="U18" s="46">
        <v>16</v>
      </c>
      <c r="V18" s="46">
        <f t="shared" si="1"/>
        <v>0</v>
      </c>
      <c r="W18" s="46">
        <f t="shared" si="2"/>
        <v>8</v>
      </c>
      <c r="X18" s="121">
        <f t="shared" si="3"/>
        <v>3</v>
      </c>
      <c r="Y18" s="122">
        <f t="shared" si="4"/>
        <v>127.5</v>
      </c>
      <c r="Z18" s="123">
        <f t="shared" si="5"/>
        <v>128</v>
      </c>
    </row>
    <row r="19" spans="1:26" x14ac:dyDescent="0.25">
      <c r="A19" s="30" t="s">
        <v>42</v>
      </c>
      <c r="B19" s="30" t="s">
        <v>79</v>
      </c>
      <c r="C19" s="30" t="s">
        <v>80</v>
      </c>
      <c r="D19" s="30">
        <v>36063606</v>
      </c>
      <c r="E19" s="31" t="s">
        <v>81</v>
      </c>
      <c r="F19" s="30">
        <v>17337062</v>
      </c>
      <c r="G19" s="119" t="s">
        <v>96</v>
      </c>
      <c r="H19" s="31" t="s">
        <v>50</v>
      </c>
      <c r="I19" s="120" t="s">
        <v>97</v>
      </c>
      <c r="J19" s="42">
        <v>3</v>
      </c>
      <c r="K19" s="43">
        <v>0</v>
      </c>
      <c r="L19" s="43">
        <v>5</v>
      </c>
      <c r="M19" s="43">
        <v>0</v>
      </c>
      <c r="N19" s="55">
        <v>0</v>
      </c>
      <c r="O19" s="55">
        <v>0</v>
      </c>
      <c r="P19" s="57">
        <v>0</v>
      </c>
      <c r="Q19" s="42">
        <v>0</v>
      </c>
      <c r="R19" s="43">
        <v>2</v>
      </c>
      <c r="S19" s="44">
        <v>6</v>
      </c>
      <c r="T19" s="45">
        <f t="shared" si="0"/>
        <v>167.5</v>
      </c>
      <c r="U19" s="46">
        <v>0</v>
      </c>
      <c r="V19" s="46">
        <f t="shared" si="1"/>
        <v>0</v>
      </c>
      <c r="W19" s="46">
        <f t="shared" si="2"/>
        <v>4</v>
      </c>
      <c r="X19" s="121">
        <f t="shared" si="3"/>
        <v>9</v>
      </c>
      <c r="Y19" s="122">
        <f t="shared" si="4"/>
        <v>180.5</v>
      </c>
      <c r="Z19" s="123">
        <f t="shared" si="5"/>
        <v>181</v>
      </c>
    </row>
    <row r="20" spans="1:26" x14ac:dyDescent="0.25">
      <c r="A20" s="30" t="s">
        <v>42</v>
      </c>
      <c r="B20" s="30" t="s">
        <v>79</v>
      </c>
      <c r="C20" s="30" t="s">
        <v>80</v>
      </c>
      <c r="D20" s="30">
        <v>36063606</v>
      </c>
      <c r="E20" s="31" t="s">
        <v>81</v>
      </c>
      <c r="F20" s="30">
        <v>605786</v>
      </c>
      <c r="G20" s="119" t="s">
        <v>98</v>
      </c>
      <c r="H20" s="31" t="s">
        <v>50</v>
      </c>
      <c r="I20" s="120" t="s">
        <v>99</v>
      </c>
      <c r="J20" s="42">
        <v>3</v>
      </c>
      <c r="K20" s="43">
        <v>0</v>
      </c>
      <c r="L20" s="43">
        <v>3</v>
      </c>
      <c r="M20" s="43">
        <v>0</v>
      </c>
      <c r="N20" s="55">
        <v>0</v>
      </c>
      <c r="O20" s="55">
        <v>0</v>
      </c>
      <c r="P20" s="57">
        <v>0</v>
      </c>
      <c r="Q20" s="42">
        <v>0</v>
      </c>
      <c r="R20" s="43">
        <v>3</v>
      </c>
      <c r="S20" s="44">
        <v>0</v>
      </c>
      <c r="T20" s="45">
        <f t="shared" si="0"/>
        <v>100.5</v>
      </c>
      <c r="U20" s="46">
        <v>0</v>
      </c>
      <c r="V20" s="46">
        <f t="shared" si="1"/>
        <v>0</v>
      </c>
      <c r="W20" s="46">
        <f t="shared" si="2"/>
        <v>6</v>
      </c>
      <c r="X20" s="121">
        <f t="shared" si="3"/>
        <v>0</v>
      </c>
      <c r="Y20" s="122">
        <f t="shared" si="4"/>
        <v>106.5</v>
      </c>
      <c r="Z20" s="123">
        <f t="shared" si="5"/>
        <v>107</v>
      </c>
    </row>
    <row r="21" spans="1:26" x14ac:dyDescent="0.25">
      <c r="A21" s="30" t="s">
        <v>42</v>
      </c>
      <c r="B21" s="30" t="s">
        <v>79</v>
      </c>
      <c r="C21" s="30" t="s">
        <v>80</v>
      </c>
      <c r="D21" s="30">
        <v>36063606</v>
      </c>
      <c r="E21" s="31" t="s">
        <v>81</v>
      </c>
      <c r="F21" s="30">
        <v>17327652</v>
      </c>
      <c r="G21" s="119" t="s">
        <v>100</v>
      </c>
      <c r="H21" s="31" t="s">
        <v>50</v>
      </c>
      <c r="I21" s="120" t="s">
        <v>101</v>
      </c>
      <c r="J21" s="42">
        <v>4</v>
      </c>
      <c r="K21" s="43">
        <v>0</v>
      </c>
      <c r="L21" s="43">
        <v>8</v>
      </c>
      <c r="M21" s="43">
        <v>0</v>
      </c>
      <c r="N21" s="55">
        <v>0</v>
      </c>
      <c r="O21" s="55">
        <v>0</v>
      </c>
      <c r="P21" s="57">
        <v>0</v>
      </c>
      <c r="Q21" s="42">
        <v>0</v>
      </c>
      <c r="R21" s="43">
        <v>38</v>
      </c>
      <c r="S21" s="44">
        <v>1</v>
      </c>
      <c r="T21" s="45">
        <f t="shared" si="0"/>
        <v>268</v>
      </c>
      <c r="U21" s="46">
        <v>0</v>
      </c>
      <c r="V21" s="46">
        <f t="shared" si="1"/>
        <v>0</v>
      </c>
      <c r="W21" s="46">
        <f t="shared" si="2"/>
        <v>76</v>
      </c>
      <c r="X21" s="121">
        <f t="shared" si="3"/>
        <v>1.5</v>
      </c>
      <c r="Y21" s="122">
        <f t="shared" si="4"/>
        <v>345.5</v>
      </c>
      <c r="Z21" s="123">
        <f t="shared" si="5"/>
        <v>346</v>
      </c>
    </row>
    <row r="22" spans="1:26" x14ac:dyDescent="0.25">
      <c r="A22" s="30" t="s">
        <v>42</v>
      </c>
      <c r="B22" s="30" t="s">
        <v>79</v>
      </c>
      <c r="C22" s="30" t="s">
        <v>80</v>
      </c>
      <c r="D22" s="30">
        <v>36063606</v>
      </c>
      <c r="E22" s="31" t="s">
        <v>81</v>
      </c>
      <c r="F22" s="30">
        <v>30866499</v>
      </c>
      <c r="G22" s="119" t="s">
        <v>52</v>
      </c>
      <c r="H22" s="31" t="s">
        <v>50</v>
      </c>
      <c r="I22" s="120" t="s">
        <v>102</v>
      </c>
      <c r="J22" s="42">
        <v>5</v>
      </c>
      <c r="K22" s="43">
        <v>0</v>
      </c>
      <c r="L22" s="43">
        <v>6</v>
      </c>
      <c r="M22" s="43">
        <v>0</v>
      </c>
      <c r="N22" s="55">
        <v>0</v>
      </c>
      <c r="O22" s="55">
        <v>0</v>
      </c>
      <c r="P22" s="57">
        <v>0</v>
      </c>
      <c r="Q22" s="42">
        <v>0</v>
      </c>
      <c r="R22" s="43">
        <v>12</v>
      </c>
      <c r="S22" s="44">
        <v>13</v>
      </c>
      <c r="T22" s="45">
        <f t="shared" si="0"/>
        <v>201</v>
      </c>
      <c r="U22" s="46">
        <v>0</v>
      </c>
      <c r="V22" s="46">
        <f t="shared" si="1"/>
        <v>0</v>
      </c>
      <c r="W22" s="46">
        <f t="shared" si="2"/>
        <v>24</v>
      </c>
      <c r="X22" s="121">
        <f t="shared" si="3"/>
        <v>19.5</v>
      </c>
      <c r="Y22" s="122">
        <f t="shared" si="4"/>
        <v>244.5</v>
      </c>
      <c r="Z22" s="123">
        <f t="shared" si="5"/>
        <v>245</v>
      </c>
    </row>
    <row r="23" spans="1:26" x14ac:dyDescent="0.25">
      <c r="A23" s="127" t="s">
        <v>42</v>
      </c>
      <c r="B23" s="127" t="s">
        <v>79</v>
      </c>
      <c r="C23" s="127" t="s">
        <v>80</v>
      </c>
      <c r="D23" s="30">
        <v>36063606</v>
      </c>
      <c r="E23" s="31" t="s">
        <v>81</v>
      </c>
      <c r="F23" s="127">
        <v>53242726</v>
      </c>
      <c r="G23" s="119" t="s">
        <v>52</v>
      </c>
      <c r="H23" s="31" t="s">
        <v>50</v>
      </c>
      <c r="I23" s="120" t="s">
        <v>103</v>
      </c>
      <c r="J23" s="42">
        <v>3</v>
      </c>
      <c r="K23" s="43">
        <v>0</v>
      </c>
      <c r="L23" s="43">
        <v>3</v>
      </c>
      <c r="M23" s="43">
        <v>0</v>
      </c>
      <c r="N23" s="55">
        <v>0</v>
      </c>
      <c r="O23" s="55">
        <v>0</v>
      </c>
      <c r="P23" s="57">
        <v>0</v>
      </c>
      <c r="Q23" s="42">
        <v>0</v>
      </c>
      <c r="R23" s="43">
        <v>10</v>
      </c>
      <c r="S23" s="44">
        <v>0</v>
      </c>
      <c r="T23" s="45">
        <f t="shared" si="0"/>
        <v>100.5</v>
      </c>
      <c r="U23" s="46">
        <v>0</v>
      </c>
      <c r="V23" s="46">
        <f t="shared" si="1"/>
        <v>0</v>
      </c>
      <c r="W23" s="46">
        <f t="shared" si="2"/>
        <v>20</v>
      </c>
      <c r="X23" s="121">
        <f t="shared" si="3"/>
        <v>0</v>
      </c>
      <c r="Y23" s="122">
        <f t="shared" si="4"/>
        <v>120.5</v>
      </c>
      <c r="Z23" s="123">
        <f t="shared" si="5"/>
        <v>121</v>
      </c>
    </row>
    <row r="24" spans="1:26" x14ac:dyDescent="0.25">
      <c r="A24" s="127" t="s">
        <v>42</v>
      </c>
      <c r="B24" s="127" t="s">
        <v>79</v>
      </c>
      <c r="C24" s="127" t="s">
        <v>80</v>
      </c>
      <c r="D24" s="30">
        <v>36063606</v>
      </c>
      <c r="E24" s="31" t="s">
        <v>81</v>
      </c>
      <c r="F24" s="127">
        <v>31797920</v>
      </c>
      <c r="G24" s="119" t="s">
        <v>104</v>
      </c>
      <c r="H24" s="31" t="s">
        <v>50</v>
      </c>
      <c r="I24" s="120" t="s">
        <v>105</v>
      </c>
      <c r="J24" s="42">
        <v>3</v>
      </c>
      <c r="K24" s="43">
        <v>0</v>
      </c>
      <c r="L24" s="43">
        <v>4</v>
      </c>
      <c r="M24" s="43">
        <v>0</v>
      </c>
      <c r="N24" s="55">
        <v>0</v>
      </c>
      <c r="O24" s="55">
        <v>0</v>
      </c>
      <c r="P24" s="57">
        <v>0</v>
      </c>
      <c r="Q24" s="42">
        <v>0</v>
      </c>
      <c r="R24" s="43">
        <v>15</v>
      </c>
      <c r="S24" s="44">
        <v>4</v>
      </c>
      <c r="T24" s="45">
        <f t="shared" si="0"/>
        <v>134</v>
      </c>
      <c r="U24" s="46">
        <v>0</v>
      </c>
      <c r="V24" s="46">
        <f t="shared" si="1"/>
        <v>0</v>
      </c>
      <c r="W24" s="46">
        <f t="shared" si="2"/>
        <v>30</v>
      </c>
      <c r="X24" s="121">
        <f t="shared" si="3"/>
        <v>6</v>
      </c>
      <c r="Y24" s="122">
        <f t="shared" si="4"/>
        <v>170</v>
      </c>
      <c r="Z24" s="123">
        <f t="shared" si="5"/>
        <v>170</v>
      </c>
    </row>
    <row r="25" spans="1:26" x14ac:dyDescent="0.25">
      <c r="A25" s="30" t="s">
        <v>42</v>
      </c>
      <c r="B25" s="30" t="s">
        <v>79</v>
      </c>
      <c r="C25" s="30" t="s">
        <v>80</v>
      </c>
      <c r="D25" s="30">
        <v>36063606</v>
      </c>
      <c r="E25" s="31" t="s">
        <v>81</v>
      </c>
      <c r="F25" s="30">
        <v>42253900</v>
      </c>
      <c r="G25" s="119" t="s">
        <v>106</v>
      </c>
      <c r="H25" s="31" t="s">
        <v>50</v>
      </c>
      <c r="I25" s="120" t="s">
        <v>107</v>
      </c>
      <c r="J25" s="42">
        <v>2</v>
      </c>
      <c r="K25" s="43">
        <v>0</v>
      </c>
      <c r="L25" s="43">
        <v>3</v>
      </c>
      <c r="M25" s="43">
        <v>0</v>
      </c>
      <c r="N25" s="55">
        <v>0</v>
      </c>
      <c r="O25" s="55">
        <v>0</v>
      </c>
      <c r="P25" s="57">
        <v>0</v>
      </c>
      <c r="Q25" s="42">
        <v>0</v>
      </c>
      <c r="R25" s="43">
        <v>1</v>
      </c>
      <c r="S25" s="44">
        <v>5</v>
      </c>
      <c r="T25" s="45">
        <f t="shared" si="0"/>
        <v>100.5</v>
      </c>
      <c r="U25" s="46">
        <v>0</v>
      </c>
      <c r="V25" s="46">
        <f t="shared" si="1"/>
        <v>0</v>
      </c>
      <c r="W25" s="46">
        <f t="shared" si="2"/>
        <v>2</v>
      </c>
      <c r="X25" s="121">
        <f t="shared" si="3"/>
        <v>7.5</v>
      </c>
      <c r="Y25" s="122">
        <f t="shared" si="4"/>
        <v>110</v>
      </c>
      <c r="Z25" s="123">
        <f t="shared" si="5"/>
        <v>110</v>
      </c>
    </row>
    <row r="26" spans="1:26" x14ac:dyDescent="0.25">
      <c r="A26" s="30" t="s">
        <v>42</v>
      </c>
      <c r="B26" s="30" t="s">
        <v>79</v>
      </c>
      <c r="C26" s="30" t="s">
        <v>80</v>
      </c>
      <c r="D26" s="30">
        <v>36063606</v>
      </c>
      <c r="E26" s="31" t="s">
        <v>81</v>
      </c>
      <c r="F26" s="30">
        <v>17053871</v>
      </c>
      <c r="G26" s="119" t="s">
        <v>108</v>
      </c>
      <c r="H26" s="31" t="s">
        <v>50</v>
      </c>
      <c r="I26" s="120" t="s">
        <v>109</v>
      </c>
      <c r="J26" s="42">
        <v>1</v>
      </c>
      <c r="K26" s="43">
        <v>0</v>
      </c>
      <c r="L26" s="43">
        <v>1</v>
      </c>
      <c r="M26" s="43">
        <v>0</v>
      </c>
      <c r="N26" s="55">
        <v>0</v>
      </c>
      <c r="O26" s="55">
        <v>0</v>
      </c>
      <c r="P26" s="57">
        <v>0</v>
      </c>
      <c r="Q26" s="42">
        <v>0</v>
      </c>
      <c r="R26" s="43">
        <v>4</v>
      </c>
      <c r="S26" s="44">
        <v>0</v>
      </c>
      <c r="T26" s="45">
        <f t="shared" si="0"/>
        <v>33.5</v>
      </c>
      <c r="U26" s="46">
        <v>0</v>
      </c>
      <c r="V26" s="46">
        <f t="shared" si="1"/>
        <v>0</v>
      </c>
      <c r="W26" s="46">
        <f t="shared" si="2"/>
        <v>8</v>
      </c>
      <c r="X26" s="121">
        <f t="shared" si="3"/>
        <v>0</v>
      </c>
      <c r="Y26" s="122">
        <f t="shared" si="4"/>
        <v>41.5</v>
      </c>
      <c r="Z26" s="123">
        <f t="shared" si="5"/>
        <v>42</v>
      </c>
    </row>
    <row r="27" spans="1:26" ht="25.5" x14ac:dyDescent="0.25">
      <c r="A27" s="30" t="s">
        <v>42</v>
      </c>
      <c r="B27" s="30" t="s">
        <v>79</v>
      </c>
      <c r="C27" s="30" t="s">
        <v>80</v>
      </c>
      <c r="D27" s="30">
        <v>36063606</v>
      </c>
      <c r="E27" s="31" t="s">
        <v>81</v>
      </c>
      <c r="F27" s="30">
        <v>893463</v>
      </c>
      <c r="G27" s="119" t="s">
        <v>110</v>
      </c>
      <c r="H27" s="31" t="s">
        <v>50</v>
      </c>
      <c r="I27" s="120" t="s">
        <v>111</v>
      </c>
      <c r="J27" s="42">
        <v>6</v>
      </c>
      <c r="K27" s="43">
        <v>0</v>
      </c>
      <c r="L27" s="43">
        <v>10</v>
      </c>
      <c r="M27" s="43">
        <v>0</v>
      </c>
      <c r="N27" s="55">
        <v>0</v>
      </c>
      <c r="O27" s="55">
        <v>2</v>
      </c>
      <c r="P27" s="57">
        <v>0</v>
      </c>
      <c r="Q27" s="42">
        <v>0</v>
      </c>
      <c r="R27" s="43">
        <v>33</v>
      </c>
      <c r="S27" s="44">
        <v>21</v>
      </c>
      <c r="T27" s="45">
        <f t="shared" si="0"/>
        <v>335</v>
      </c>
      <c r="U27" s="46">
        <v>0</v>
      </c>
      <c r="V27" s="46">
        <f t="shared" si="1"/>
        <v>0</v>
      </c>
      <c r="W27" s="46">
        <f t="shared" si="2"/>
        <v>93</v>
      </c>
      <c r="X27" s="121">
        <f t="shared" si="3"/>
        <v>31.5</v>
      </c>
      <c r="Y27" s="122">
        <f t="shared" si="4"/>
        <v>459.5</v>
      </c>
      <c r="Z27" s="123">
        <f t="shared" si="5"/>
        <v>460</v>
      </c>
    </row>
    <row r="28" spans="1:26" x14ac:dyDescent="0.25">
      <c r="A28" s="30" t="s">
        <v>42</v>
      </c>
      <c r="B28" s="30" t="s">
        <v>79</v>
      </c>
      <c r="C28" s="30" t="s">
        <v>80</v>
      </c>
      <c r="D28" s="30">
        <v>36063606</v>
      </c>
      <c r="E28" s="31" t="s">
        <v>81</v>
      </c>
      <c r="F28" s="30">
        <v>42128790</v>
      </c>
      <c r="G28" s="119" t="s">
        <v>112</v>
      </c>
      <c r="H28" s="31" t="s">
        <v>50</v>
      </c>
      <c r="I28" s="120" t="s">
        <v>113</v>
      </c>
      <c r="J28" s="42">
        <v>4</v>
      </c>
      <c r="K28" s="43">
        <v>0</v>
      </c>
      <c r="L28" s="43">
        <v>5</v>
      </c>
      <c r="M28" s="43">
        <v>0</v>
      </c>
      <c r="N28" s="55">
        <v>0</v>
      </c>
      <c r="O28" s="55">
        <v>0</v>
      </c>
      <c r="P28" s="57">
        <v>0</v>
      </c>
      <c r="Q28" s="42">
        <v>0</v>
      </c>
      <c r="R28" s="43">
        <v>24</v>
      </c>
      <c r="S28" s="44">
        <v>9</v>
      </c>
      <c r="T28" s="45">
        <f t="shared" si="0"/>
        <v>167.5</v>
      </c>
      <c r="U28" s="46">
        <v>0</v>
      </c>
      <c r="V28" s="46">
        <f t="shared" si="1"/>
        <v>0</v>
      </c>
      <c r="W28" s="46">
        <f t="shared" si="2"/>
        <v>48</v>
      </c>
      <c r="X28" s="121">
        <f t="shared" si="3"/>
        <v>13.5</v>
      </c>
      <c r="Y28" s="122">
        <f t="shared" si="4"/>
        <v>229</v>
      </c>
      <c r="Z28" s="123">
        <f t="shared" si="5"/>
        <v>229</v>
      </c>
    </row>
    <row r="29" spans="1:26" x14ac:dyDescent="0.25">
      <c r="A29" s="30" t="s">
        <v>42</v>
      </c>
      <c r="B29" s="30" t="s">
        <v>79</v>
      </c>
      <c r="C29" s="30" t="s">
        <v>80</v>
      </c>
      <c r="D29" s="30">
        <v>36063606</v>
      </c>
      <c r="E29" s="31" t="s">
        <v>81</v>
      </c>
      <c r="F29" s="30">
        <v>30775311</v>
      </c>
      <c r="G29" s="119" t="s">
        <v>114</v>
      </c>
      <c r="H29" s="31" t="s">
        <v>50</v>
      </c>
      <c r="I29" s="120" t="s">
        <v>105</v>
      </c>
      <c r="J29" s="42">
        <v>2</v>
      </c>
      <c r="K29" s="43">
        <v>0</v>
      </c>
      <c r="L29" s="43">
        <v>2</v>
      </c>
      <c r="M29" s="43">
        <v>0</v>
      </c>
      <c r="N29" s="55">
        <v>0</v>
      </c>
      <c r="O29" s="55">
        <v>0</v>
      </c>
      <c r="P29" s="57">
        <v>0</v>
      </c>
      <c r="Q29" s="42">
        <v>0</v>
      </c>
      <c r="R29" s="43">
        <v>1</v>
      </c>
      <c r="S29" s="44">
        <v>8</v>
      </c>
      <c r="T29" s="45">
        <f t="shared" si="0"/>
        <v>67</v>
      </c>
      <c r="U29" s="46">
        <v>0</v>
      </c>
      <c r="V29" s="46">
        <f t="shared" si="1"/>
        <v>0</v>
      </c>
      <c r="W29" s="46">
        <f t="shared" si="2"/>
        <v>2</v>
      </c>
      <c r="X29" s="121">
        <f t="shared" si="3"/>
        <v>12</v>
      </c>
      <c r="Y29" s="122">
        <f t="shared" si="4"/>
        <v>81</v>
      </c>
      <c r="Z29" s="123">
        <f t="shared" si="5"/>
        <v>81</v>
      </c>
    </row>
    <row r="30" spans="1:26" x14ac:dyDescent="0.25">
      <c r="A30" s="30" t="s">
        <v>42</v>
      </c>
      <c r="B30" s="30" t="s">
        <v>79</v>
      </c>
      <c r="C30" s="30" t="s">
        <v>80</v>
      </c>
      <c r="D30" s="30">
        <v>36063606</v>
      </c>
      <c r="E30" s="31" t="s">
        <v>81</v>
      </c>
      <c r="F30" s="30">
        <v>42253888</v>
      </c>
      <c r="G30" s="119" t="s">
        <v>115</v>
      </c>
      <c r="H30" s="31" t="s">
        <v>50</v>
      </c>
      <c r="I30" s="120" t="s">
        <v>116</v>
      </c>
      <c r="J30" s="42">
        <v>4</v>
      </c>
      <c r="K30" s="43">
        <v>0</v>
      </c>
      <c r="L30" s="43">
        <v>5</v>
      </c>
      <c r="M30" s="43">
        <v>0</v>
      </c>
      <c r="N30" s="55">
        <v>0</v>
      </c>
      <c r="O30" s="55">
        <v>0</v>
      </c>
      <c r="P30" s="57">
        <v>0</v>
      </c>
      <c r="Q30" s="42">
        <v>0</v>
      </c>
      <c r="R30" s="43">
        <v>19</v>
      </c>
      <c r="S30" s="44">
        <v>6</v>
      </c>
      <c r="T30" s="45">
        <f t="shared" si="0"/>
        <v>167.5</v>
      </c>
      <c r="U30" s="46">
        <v>0</v>
      </c>
      <c r="V30" s="46">
        <f t="shared" si="1"/>
        <v>0</v>
      </c>
      <c r="W30" s="46">
        <f t="shared" si="2"/>
        <v>38</v>
      </c>
      <c r="X30" s="121">
        <f t="shared" si="3"/>
        <v>9</v>
      </c>
      <c r="Y30" s="122">
        <f t="shared" si="4"/>
        <v>214.5</v>
      </c>
      <c r="Z30" s="123">
        <f t="shared" si="5"/>
        <v>215</v>
      </c>
    </row>
    <row r="31" spans="1:26" x14ac:dyDescent="0.25">
      <c r="A31" s="30" t="s">
        <v>42</v>
      </c>
      <c r="B31" s="30" t="s">
        <v>79</v>
      </c>
      <c r="C31" s="30" t="s">
        <v>80</v>
      </c>
      <c r="D31" s="30">
        <v>36063606</v>
      </c>
      <c r="E31" s="31" t="s">
        <v>81</v>
      </c>
      <c r="F31" s="30">
        <v>607304</v>
      </c>
      <c r="G31" s="119" t="s">
        <v>117</v>
      </c>
      <c r="H31" s="31" t="s">
        <v>50</v>
      </c>
      <c r="I31" s="120" t="s">
        <v>118</v>
      </c>
      <c r="J31" s="42">
        <v>6</v>
      </c>
      <c r="K31" s="43">
        <v>0</v>
      </c>
      <c r="L31" s="43">
        <v>7</v>
      </c>
      <c r="M31" s="43">
        <v>0</v>
      </c>
      <c r="N31" s="55">
        <v>0</v>
      </c>
      <c r="O31" s="55">
        <v>1</v>
      </c>
      <c r="P31" s="57">
        <v>0</v>
      </c>
      <c r="Q31" s="42">
        <v>0</v>
      </c>
      <c r="R31" s="43">
        <v>17</v>
      </c>
      <c r="S31" s="44">
        <v>4</v>
      </c>
      <c r="T31" s="45">
        <f t="shared" si="0"/>
        <v>234.5</v>
      </c>
      <c r="U31" s="46">
        <v>237.46</v>
      </c>
      <c r="V31" s="46">
        <f t="shared" si="1"/>
        <v>0</v>
      </c>
      <c r="W31" s="46">
        <f t="shared" si="2"/>
        <v>47.5</v>
      </c>
      <c r="X31" s="121">
        <f t="shared" si="3"/>
        <v>6</v>
      </c>
      <c r="Y31" s="122">
        <f t="shared" si="4"/>
        <v>525.46</v>
      </c>
      <c r="Z31" s="123">
        <f t="shared" si="5"/>
        <v>525</v>
      </c>
    </row>
    <row r="32" spans="1:26" x14ac:dyDescent="0.25">
      <c r="A32" s="30" t="s">
        <v>42</v>
      </c>
      <c r="B32" s="30" t="s">
        <v>79</v>
      </c>
      <c r="C32" s="30" t="s">
        <v>80</v>
      </c>
      <c r="D32" s="30">
        <v>36063606</v>
      </c>
      <c r="E32" s="31" t="s">
        <v>81</v>
      </c>
      <c r="F32" s="30">
        <v>17314909</v>
      </c>
      <c r="G32" s="119" t="s">
        <v>119</v>
      </c>
      <c r="H32" s="31" t="s">
        <v>50</v>
      </c>
      <c r="I32" s="120" t="s">
        <v>120</v>
      </c>
      <c r="J32" s="42">
        <v>2</v>
      </c>
      <c r="K32" s="43">
        <v>0</v>
      </c>
      <c r="L32" s="43">
        <v>4</v>
      </c>
      <c r="M32" s="43">
        <v>0</v>
      </c>
      <c r="N32" s="55">
        <v>0</v>
      </c>
      <c r="O32" s="55">
        <v>0</v>
      </c>
      <c r="P32" s="57">
        <v>0</v>
      </c>
      <c r="Q32" s="42">
        <v>0</v>
      </c>
      <c r="R32" s="43">
        <v>1</v>
      </c>
      <c r="S32" s="44">
        <v>12</v>
      </c>
      <c r="T32" s="45">
        <f t="shared" si="0"/>
        <v>134</v>
      </c>
      <c r="U32" s="46">
        <v>0</v>
      </c>
      <c r="V32" s="46">
        <f t="shared" si="1"/>
        <v>0</v>
      </c>
      <c r="W32" s="46">
        <f t="shared" si="2"/>
        <v>2</v>
      </c>
      <c r="X32" s="121">
        <f t="shared" si="3"/>
        <v>18</v>
      </c>
      <c r="Y32" s="122">
        <f t="shared" si="4"/>
        <v>154</v>
      </c>
      <c r="Z32" s="123">
        <f t="shared" si="5"/>
        <v>154</v>
      </c>
    </row>
    <row r="33" spans="1:26" x14ac:dyDescent="0.25">
      <c r="A33" s="30" t="s">
        <v>42</v>
      </c>
      <c r="B33" s="30" t="s">
        <v>79</v>
      </c>
      <c r="C33" s="30" t="s">
        <v>80</v>
      </c>
      <c r="D33" s="30">
        <v>36063606</v>
      </c>
      <c r="E33" s="31" t="s">
        <v>81</v>
      </c>
      <c r="F33" s="30">
        <v>31780466</v>
      </c>
      <c r="G33" s="119" t="s">
        <v>121</v>
      </c>
      <c r="H33" s="31" t="s">
        <v>55</v>
      </c>
      <c r="I33" s="120" t="s">
        <v>122</v>
      </c>
      <c r="J33" s="42">
        <v>4</v>
      </c>
      <c r="K33" s="43">
        <v>0</v>
      </c>
      <c r="L33" s="43">
        <v>4</v>
      </c>
      <c r="M33" s="43">
        <v>0</v>
      </c>
      <c r="N33" s="55">
        <v>0</v>
      </c>
      <c r="O33" s="55">
        <v>0</v>
      </c>
      <c r="P33" s="57">
        <v>0</v>
      </c>
      <c r="Q33" s="42">
        <v>0</v>
      </c>
      <c r="R33" s="43">
        <v>8</v>
      </c>
      <c r="S33" s="44">
        <v>4</v>
      </c>
      <c r="T33" s="45">
        <f t="shared" si="0"/>
        <v>134</v>
      </c>
      <c r="U33" s="46">
        <v>0</v>
      </c>
      <c r="V33" s="46">
        <f t="shared" si="1"/>
        <v>0</v>
      </c>
      <c r="W33" s="46">
        <f t="shared" si="2"/>
        <v>16</v>
      </c>
      <c r="X33" s="121">
        <f t="shared" si="3"/>
        <v>6</v>
      </c>
      <c r="Y33" s="122">
        <f t="shared" si="4"/>
        <v>156</v>
      </c>
      <c r="Z33" s="123">
        <f t="shared" si="5"/>
        <v>156</v>
      </c>
    </row>
    <row r="34" spans="1:26" x14ac:dyDescent="0.25">
      <c r="A34" s="30" t="s">
        <v>42</v>
      </c>
      <c r="B34" s="30" t="s">
        <v>79</v>
      </c>
      <c r="C34" s="30" t="s">
        <v>80</v>
      </c>
      <c r="D34" s="30">
        <v>36063606</v>
      </c>
      <c r="E34" s="31" t="s">
        <v>81</v>
      </c>
      <c r="F34" s="30">
        <v>30775418</v>
      </c>
      <c r="G34" s="119" t="s">
        <v>100</v>
      </c>
      <c r="H34" s="31" t="s">
        <v>55</v>
      </c>
      <c r="I34" s="120" t="s">
        <v>123</v>
      </c>
      <c r="J34" s="42">
        <v>2</v>
      </c>
      <c r="K34" s="43">
        <v>0</v>
      </c>
      <c r="L34" s="43">
        <v>3</v>
      </c>
      <c r="M34" s="43">
        <v>0</v>
      </c>
      <c r="N34" s="55">
        <v>0</v>
      </c>
      <c r="O34" s="55">
        <v>0</v>
      </c>
      <c r="P34" s="57">
        <v>0</v>
      </c>
      <c r="Q34" s="42">
        <v>0</v>
      </c>
      <c r="R34" s="43">
        <v>2</v>
      </c>
      <c r="S34" s="44">
        <v>1</v>
      </c>
      <c r="T34" s="45">
        <f t="shared" si="0"/>
        <v>100.5</v>
      </c>
      <c r="U34" s="46"/>
      <c r="V34" s="46">
        <f t="shared" si="1"/>
        <v>0</v>
      </c>
      <c r="W34" s="46">
        <f t="shared" si="2"/>
        <v>4</v>
      </c>
      <c r="X34" s="121">
        <f t="shared" si="3"/>
        <v>1.5</v>
      </c>
      <c r="Y34" s="122">
        <f t="shared" si="4"/>
        <v>106</v>
      </c>
      <c r="Z34" s="123">
        <f t="shared" si="5"/>
        <v>106</v>
      </c>
    </row>
    <row r="35" spans="1:26" x14ac:dyDescent="0.25">
      <c r="A35" s="30" t="s">
        <v>42</v>
      </c>
      <c r="B35" s="30" t="s">
        <v>79</v>
      </c>
      <c r="C35" s="30" t="s">
        <v>80</v>
      </c>
      <c r="D35" s="30">
        <v>36063606</v>
      </c>
      <c r="E35" s="31" t="s">
        <v>81</v>
      </c>
      <c r="F35" s="30">
        <v>17314895</v>
      </c>
      <c r="G35" s="119" t="s">
        <v>124</v>
      </c>
      <c r="H35" s="31" t="s">
        <v>55</v>
      </c>
      <c r="I35" s="120" t="s">
        <v>125</v>
      </c>
      <c r="J35" s="42">
        <v>3</v>
      </c>
      <c r="K35" s="43">
        <v>0</v>
      </c>
      <c r="L35" s="43">
        <v>3</v>
      </c>
      <c r="M35" s="43">
        <v>0</v>
      </c>
      <c r="N35" s="55">
        <v>0</v>
      </c>
      <c r="O35" s="55">
        <v>0</v>
      </c>
      <c r="P35" s="57">
        <v>0</v>
      </c>
      <c r="Q35" s="42">
        <v>0</v>
      </c>
      <c r="R35" s="43">
        <v>22</v>
      </c>
      <c r="S35" s="44">
        <v>2</v>
      </c>
      <c r="T35" s="45">
        <f t="shared" si="0"/>
        <v>100.5</v>
      </c>
      <c r="U35" s="46">
        <v>0</v>
      </c>
      <c r="V35" s="46">
        <f t="shared" si="1"/>
        <v>0</v>
      </c>
      <c r="W35" s="46">
        <f t="shared" si="2"/>
        <v>44</v>
      </c>
      <c r="X35" s="121">
        <f t="shared" si="3"/>
        <v>3</v>
      </c>
      <c r="Y35" s="122">
        <f t="shared" si="4"/>
        <v>147.5</v>
      </c>
      <c r="Z35" s="123">
        <f t="shared" si="5"/>
        <v>148</v>
      </c>
    </row>
    <row r="36" spans="1:26" x14ac:dyDescent="0.25">
      <c r="A36" s="30" t="s">
        <v>42</v>
      </c>
      <c r="B36" s="30" t="s">
        <v>79</v>
      </c>
      <c r="C36" s="30" t="s">
        <v>80</v>
      </c>
      <c r="D36" s="30">
        <v>36063606</v>
      </c>
      <c r="E36" s="31" t="s">
        <v>81</v>
      </c>
      <c r="F36" s="30">
        <v>894915</v>
      </c>
      <c r="G36" s="119" t="s">
        <v>126</v>
      </c>
      <c r="H36" s="31" t="s">
        <v>55</v>
      </c>
      <c r="I36" s="120" t="s">
        <v>127</v>
      </c>
      <c r="J36" s="42">
        <v>3</v>
      </c>
      <c r="K36" s="43">
        <v>0</v>
      </c>
      <c r="L36" s="43">
        <v>5</v>
      </c>
      <c r="M36" s="43">
        <v>0</v>
      </c>
      <c r="N36" s="55">
        <v>0</v>
      </c>
      <c r="O36" s="55">
        <v>0</v>
      </c>
      <c r="P36" s="57">
        <v>0</v>
      </c>
      <c r="Q36" s="42">
        <v>0</v>
      </c>
      <c r="R36" s="43">
        <v>12</v>
      </c>
      <c r="S36" s="44">
        <v>10</v>
      </c>
      <c r="T36" s="45">
        <f t="shared" si="0"/>
        <v>167.5</v>
      </c>
      <c r="U36" s="46">
        <v>0</v>
      </c>
      <c r="V36" s="46">
        <f t="shared" si="1"/>
        <v>0</v>
      </c>
      <c r="W36" s="46">
        <f t="shared" si="2"/>
        <v>24</v>
      </c>
      <c r="X36" s="121">
        <f t="shared" si="3"/>
        <v>15</v>
      </c>
      <c r="Y36" s="122">
        <f t="shared" si="4"/>
        <v>206.5</v>
      </c>
      <c r="Z36" s="123">
        <f t="shared" si="5"/>
        <v>207</v>
      </c>
    </row>
    <row r="37" spans="1:26" ht="25.5" x14ac:dyDescent="0.25">
      <c r="A37" s="30" t="s">
        <v>42</v>
      </c>
      <c r="B37" s="30" t="s">
        <v>79</v>
      </c>
      <c r="C37" s="30" t="s">
        <v>80</v>
      </c>
      <c r="D37" s="30">
        <v>36063606</v>
      </c>
      <c r="E37" s="31" t="s">
        <v>81</v>
      </c>
      <c r="F37" s="30">
        <v>31787088</v>
      </c>
      <c r="G37" s="119" t="s">
        <v>128</v>
      </c>
      <c r="H37" s="31" t="s">
        <v>55</v>
      </c>
      <c r="I37" s="120" t="s">
        <v>129</v>
      </c>
      <c r="J37" s="42">
        <v>1</v>
      </c>
      <c r="K37" s="43">
        <v>0</v>
      </c>
      <c r="L37" s="43">
        <v>5</v>
      </c>
      <c r="M37" s="43">
        <v>0</v>
      </c>
      <c r="N37" s="55">
        <v>0</v>
      </c>
      <c r="O37" s="55">
        <v>0</v>
      </c>
      <c r="P37" s="57">
        <v>0</v>
      </c>
      <c r="Q37" s="42">
        <v>1</v>
      </c>
      <c r="R37" s="43">
        <v>5</v>
      </c>
      <c r="S37" s="44">
        <v>3</v>
      </c>
      <c r="T37" s="45">
        <f t="shared" si="0"/>
        <v>167.5</v>
      </c>
      <c r="U37" s="46">
        <v>0</v>
      </c>
      <c r="V37" s="46">
        <f t="shared" si="1"/>
        <v>1.5</v>
      </c>
      <c r="W37" s="46">
        <f t="shared" si="2"/>
        <v>10</v>
      </c>
      <c r="X37" s="121">
        <f t="shared" si="3"/>
        <v>4.5</v>
      </c>
      <c r="Y37" s="122">
        <f t="shared" si="4"/>
        <v>183.5</v>
      </c>
      <c r="Z37" s="123">
        <f t="shared" si="5"/>
        <v>184</v>
      </c>
    </row>
    <row r="38" spans="1:26" x14ac:dyDescent="0.25">
      <c r="A38" s="30" t="s">
        <v>42</v>
      </c>
      <c r="B38" s="30" t="s">
        <v>79</v>
      </c>
      <c r="C38" s="30" t="s">
        <v>80</v>
      </c>
      <c r="D38" s="30">
        <v>36063606</v>
      </c>
      <c r="E38" s="31" t="s">
        <v>81</v>
      </c>
      <c r="F38" s="30">
        <v>17337071</v>
      </c>
      <c r="G38" s="119" t="s">
        <v>49</v>
      </c>
      <c r="H38" s="31" t="s">
        <v>130</v>
      </c>
      <c r="I38" s="120" t="s">
        <v>131</v>
      </c>
      <c r="J38" s="42">
        <v>3</v>
      </c>
      <c r="K38" s="43">
        <v>0</v>
      </c>
      <c r="L38" s="43">
        <v>4</v>
      </c>
      <c r="M38" s="43">
        <v>0</v>
      </c>
      <c r="N38" s="55">
        <v>0</v>
      </c>
      <c r="O38" s="55">
        <v>0</v>
      </c>
      <c r="P38" s="57">
        <v>0</v>
      </c>
      <c r="Q38" s="42">
        <v>0</v>
      </c>
      <c r="R38" s="43">
        <v>6</v>
      </c>
      <c r="S38" s="44">
        <v>3</v>
      </c>
      <c r="T38" s="45">
        <f t="shared" si="0"/>
        <v>134</v>
      </c>
      <c r="U38" s="46">
        <v>0</v>
      </c>
      <c r="V38" s="46">
        <f t="shared" si="1"/>
        <v>0</v>
      </c>
      <c r="W38" s="46">
        <f t="shared" si="2"/>
        <v>12</v>
      </c>
      <c r="X38" s="121">
        <f t="shared" si="3"/>
        <v>4.5</v>
      </c>
      <c r="Y38" s="122">
        <f t="shared" si="4"/>
        <v>150.5</v>
      </c>
      <c r="Z38" s="123">
        <f t="shared" si="5"/>
        <v>151</v>
      </c>
    </row>
    <row r="39" spans="1:26" ht="25.5" x14ac:dyDescent="0.25">
      <c r="A39" s="30" t="s">
        <v>42</v>
      </c>
      <c r="B39" s="30" t="s">
        <v>79</v>
      </c>
      <c r="C39" s="30" t="s">
        <v>80</v>
      </c>
      <c r="D39" s="30">
        <v>36063606</v>
      </c>
      <c r="E39" s="31" t="s">
        <v>81</v>
      </c>
      <c r="F39" s="30">
        <v>893471</v>
      </c>
      <c r="G39" s="119" t="s">
        <v>132</v>
      </c>
      <c r="H39" s="31" t="s">
        <v>130</v>
      </c>
      <c r="I39" s="120" t="s">
        <v>133</v>
      </c>
      <c r="J39" s="42">
        <v>6</v>
      </c>
      <c r="K39" s="43">
        <v>0</v>
      </c>
      <c r="L39" s="43">
        <v>8</v>
      </c>
      <c r="M39" s="43">
        <v>0</v>
      </c>
      <c r="N39" s="55">
        <v>0</v>
      </c>
      <c r="O39" s="55">
        <v>0</v>
      </c>
      <c r="P39" s="57">
        <v>0</v>
      </c>
      <c r="Q39" s="42">
        <v>0</v>
      </c>
      <c r="R39" s="43">
        <v>18</v>
      </c>
      <c r="S39" s="44">
        <v>0</v>
      </c>
      <c r="T39" s="45">
        <f t="shared" si="0"/>
        <v>268</v>
      </c>
      <c r="U39" s="46">
        <v>5.6</v>
      </c>
      <c r="V39" s="46">
        <f t="shared" si="1"/>
        <v>0</v>
      </c>
      <c r="W39" s="46">
        <f t="shared" si="2"/>
        <v>36</v>
      </c>
      <c r="X39" s="121">
        <f t="shared" si="3"/>
        <v>0</v>
      </c>
      <c r="Y39" s="122">
        <f t="shared" si="4"/>
        <v>309.60000000000002</v>
      </c>
      <c r="Z39" s="123">
        <f t="shared" si="5"/>
        <v>310</v>
      </c>
    </row>
    <row r="40" spans="1:26" x14ac:dyDescent="0.25">
      <c r="A40" s="30" t="s">
        <v>42</v>
      </c>
      <c r="B40" s="30" t="s">
        <v>79</v>
      </c>
      <c r="C40" s="30" t="s">
        <v>80</v>
      </c>
      <c r="D40" s="30">
        <v>36063606</v>
      </c>
      <c r="E40" s="31" t="s">
        <v>81</v>
      </c>
      <c r="F40" s="30">
        <v>17055415</v>
      </c>
      <c r="G40" s="119" t="s">
        <v>134</v>
      </c>
      <c r="H40" s="31" t="s">
        <v>130</v>
      </c>
      <c r="I40" s="120" t="s">
        <v>135</v>
      </c>
      <c r="J40" s="42">
        <v>6</v>
      </c>
      <c r="K40" s="43">
        <v>0</v>
      </c>
      <c r="L40" s="43">
        <v>9</v>
      </c>
      <c r="M40" s="43">
        <v>0</v>
      </c>
      <c r="N40" s="55">
        <v>0</v>
      </c>
      <c r="O40" s="55">
        <v>0</v>
      </c>
      <c r="P40" s="57">
        <v>0</v>
      </c>
      <c r="Q40" s="42">
        <v>0</v>
      </c>
      <c r="R40" s="43">
        <v>15</v>
      </c>
      <c r="S40" s="44">
        <v>4</v>
      </c>
      <c r="T40" s="45">
        <f t="shared" si="0"/>
        <v>301.5</v>
      </c>
      <c r="U40" s="46">
        <v>45.9</v>
      </c>
      <c r="V40" s="46">
        <f t="shared" si="1"/>
        <v>0</v>
      </c>
      <c r="W40" s="46">
        <f t="shared" si="2"/>
        <v>30</v>
      </c>
      <c r="X40" s="121">
        <f t="shared" si="3"/>
        <v>6</v>
      </c>
      <c r="Y40" s="122">
        <f t="shared" si="4"/>
        <v>383.4</v>
      </c>
      <c r="Z40" s="123">
        <f t="shared" si="5"/>
        <v>383</v>
      </c>
    </row>
    <row r="41" spans="1:26" ht="25.5" x14ac:dyDescent="0.25">
      <c r="A41" s="30" t="s">
        <v>42</v>
      </c>
      <c r="B41" s="30" t="s">
        <v>79</v>
      </c>
      <c r="C41" s="30" t="s">
        <v>80</v>
      </c>
      <c r="D41" s="30">
        <v>36063606</v>
      </c>
      <c r="E41" s="31" t="s">
        <v>81</v>
      </c>
      <c r="F41" s="30">
        <v>30775400</v>
      </c>
      <c r="G41" s="119" t="s">
        <v>136</v>
      </c>
      <c r="H41" s="31" t="s">
        <v>130</v>
      </c>
      <c r="I41" s="120" t="s">
        <v>137</v>
      </c>
      <c r="J41" s="42">
        <v>4</v>
      </c>
      <c r="K41" s="43">
        <v>0</v>
      </c>
      <c r="L41" s="43">
        <v>4</v>
      </c>
      <c r="M41" s="43">
        <v>0</v>
      </c>
      <c r="N41" s="55">
        <v>0</v>
      </c>
      <c r="O41" s="55">
        <v>0</v>
      </c>
      <c r="P41" s="57">
        <v>0</v>
      </c>
      <c r="Q41" s="42">
        <v>0</v>
      </c>
      <c r="R41" s="43">
        <v>18</v>
      </c>
      <c r="S41" s="44">
        <v>6</v>
      </c>
      <c r="T41" s="45">
        <f t="shared" si="0"/>
        <v>134</v>
      </c>
      <c r="U41" s="46">
        <v>0</v>
      </c>
      <c r="V41" s="46">
        <f t="shared" si="1"/>
        <v>0</v>
      </c>
      <c r="W41" s="46">
        <f t="shared" si="2"/>
        <v>36</v>
      </c>
      <c r="X41" s="121">
        <f t="shared" si="3"/>
        <v>9</v>
      </c>
      <c r="Y41" s="122">
        <f t="shared" si="4"/>
        <v>179</v>
      </c>
      <c r="Z41" s="123">
        <f t="shared" si="5"/>
        <v>179</v>
      </c>
    </row>
    <row r="42" spans="1:26" x14ac:dyDescent="0.25">
      <c r="A42" s="30" t="s">
        <v>42</v>
      </c>
      <c r="B42" s="30" t="s">
        <v>79</v>
      </c>
      <c r="C42" s="30" t="s">
        <v>80</v>
      </c>
      <c r="D42" s="30">
        <v>36063606</v>
      </c>
      <c r="E42" s="31" t="s">
        <v>81</v>
      </c>
      <c r="F42" s="30">
        <v>893161</v>
      </c>
      <c r="G42" s="119" t="s">
        <v>138</v>
      </c>
      <c r="H42" s="31" t="s">
        <v>139</v>
      </c>
      <c r="I42" s="120" t="s">
        <v>140</v>
      </c>
      <c r="J42" s="42">
        <v>2</v>
      </c>
      <c r="K42" s="43">
        <v>0</v>
      </c>
      <c r="L42" s="43">
        <v>4</v>
      </c>
      <c r="M42" s="43">
        <v>0</v>
      </c>
      <c r="N42" s="55">
        <v>0</v>
      </c>
      <c r="O42" s="55">
        <v>0</v>
      </c>
      <c r="P42" s="57">
        <v>0</v>
      </c>
      <c r="Q42" s="42">
        <v>0</v>
      </c>
      <c r="R42" s="43">
        <v>1</v>
      </c>
      <c r="S42" s="44">
        <v>12</v>
      </c>
      <c r="T42" s="45">
        <f t="shared" si="0"/>
        <v>134</v>
      </c>
      <c r="U42" s="46">
        <v>0</v>
      </c>
      <c r="V42" s="46">
        <f t="shared" si="1"/>
        <v>0</v>
      </c>
      <c r="W42" s="46">
        <f t="shared" si="2"/>
        <v>2</v>
      </c>
      <c r="X42" s="121">
        <f t="shared" si="3"/>
        <v>18</v>
      </c>
      <c r="Y42" s="122">
        <f t="shared" si="4"/>
        <v>154</v>
      </c>
      <c r="Z42" s="123">
        <f t="shared" si="5"/>
        <v>154</v>
      </c>
    </row>
    <row r="43" spans="1:26" x14ac:dyDescent="0.25">
      <c r="A43" s="30" t="s">
        <v>42</v>
      </c>
      <c r="B43" s="30" t="s">
        <v>79</v>
      </c>
      <c r="C43" s="30" t="s">
        <v>80</v>
      </c>
      <c r="D43" s="30">
        <v>36063606</v>
      </c>
      <c r="E43" s="31" t="s">
        <v>81</v>
      </c>
      <c r="F43" s="30">
        <v>30775361</v>
      </c>
      <c r="G43" s="119" t="s">
        <v>141</v>
      </c>
      <c r="H43" s="31" t="s">
        <v>57</v>
      </c>
      <c r="I43" s="120" t="s">
        <v>142</v>
      </c>
      <c r="J43" s="42">
        <v>4</v>
      </c>
      <c r="K43" s="43">
        <v>0</v>
      </c>
      <c r="L43" s="43">
        <v>7</v>
      </c>
      <c r="M43" s="43">
        <v>0</v>
      </c>
      <c r="N43" s="55">
        <v>0</v>
      </c>
      <c r="O43" s="55">
        <v>0</v>
      </c>
      <c r="P43" s="57">
        <v>0</v>
      </c>
      <c r="Q43" s="42">
        <v>0</v>
      </c>
      <c r="R43" s="43">
        <v>16</v>
      </c>
      <c r="S43" s="44">
        <v>13</v>
      </c>
      <c r="T43" s="45">
        <f t="shared" si="0"/>
        <v>234.5</v>
      </c>
      <c r="U43" s="46"/>
      <c r="V43" s="46">
        <f t="shared" si="1"/>
        <v>0</v>
      </c>
      <c r="W43" s="46">
        <f t="shared" si="2"/>
        <v>32</v>
      </c>
      <c r="X43" s="121">
        <f t="shared" si="3"/>
        <v>19.5</v>
      </c>
      <c r="Y43" s="122">
        <f t="shared" si="4"/>
        <v>286</v>
      </c>
      <c r="Z43" s="123">
        <f t="shared" si="5"/>
        <v>286</v>
      </c>
    </row>
    <row r="44" spans="1:26" x14ac:dyDescent="0.25">
      <c r="A44" s="30" t="s">
        <v>42</v>
      </c>
      <c r="B44" s="30" t="s">
        <v>79</v>
      </c>
      <c r="C44" s="30" t="s">
        <v>80</v>
      </c>
      <c r="D44" s="30">
        <v>36063606</v>
      </c>
      <c r="E44" s="31" t="s">
        <v>81</v>
      </c>
      <c r="F44" s="30">
        <v>17319161</v>
      </c>
      <c r="G44" s="119" t="s">
        <v>88</v>
      </c>
      <c r="H44" s="31" t="s">
        <v>57</v>
      </c>
      <c r="I44" s="120" t="s">
        <v>143</v>
      </c>
      <c r="J44" s="42">
        <v>5</v>
      </c>
      <c r="K44" s="43">
        <v>0</v>
      </c>
      <c r="L44" s="43">
        <v>6</v>
      </c>
      <c r="M44" s="43">
        <v>0</v>
      </c>
      <c r="N44" s="55">
        <v>0</v>
      </c>
      <c r="O44" s="55">
        <v>0</v>
      </c>
      <c r="P44" s="57">
        <v>0</v>
      </c>
      <c r="Q44" s="42">
        <v>0</v>
      </c>
      <c r="R44" s="43">
        <v>28</v>
      </c>
      <c r="S44" s="44">
        <v>17</v>
      </c>
      <c r="T44" s="45">
        <f t="shared" si="0"/>
        <v>201</v>
      </c>
      <c r="U44" s="46">
        <v>0</v>
      </c>
      <c r="V44" s="46">
        <f t="shared" si="1"/>
        <v>0</v>
      </c>
      <c r="W44" s="46">
        <f t="shared" si="2"/>
        <v>56</v>
      </c>
      <c r="X44" s="121">
        <f t="shared" si="3"/>
        <v>25.5</v>
      </c>
      <c r="Y44" s="122">
        <f t="shared" si="4"/>
        <v>282.5</v>
      </c>
      <c r="Z44" s="123">
        <f t="shared" si="5"/>
        <v>283</v>
      </c>
    </row>
    <row r="45" spans="1:26" x14ac:dyDescent="0.25">
      <c r="A45" s="30" t="s">
        <v>42</v>
      </c>
      <c r="B45" s="30" t="s">
        <v>79</v>
      </c>
      <c r="C45" s="30" t="s">
        <v>80</v>
      </c>
      <c r="D45" s="30">
        <v>36063606</v>
      </c>
      <c r="E45" s="31" t="s">
        <v>81</v>
      </c>
      <c r="F45" s="30">
        <v>30775329</v>
      </c>
      <c r="G45" s="119" t="s">
        <v>144</v>
      </c>
      <c r="H45" s="31" t="s">
        <v>60</v>
      </c>
      <c r="I45" s="120" t="s">
        <v>145</v>
      </c>
      <c r="J45" s="42">
        <v>6</v>
      </c>
      <c r="K45" s="43">
        <v>0</v>
      </c>
      <c r="L45" s="43">
        <v>7</v>
      </c>
      <c r="M45" s="43">
        <v>0</v>
      </c>
      <c r="N45" s="55">
        <v>0</v>
      </c>
      <c r="O45" s="55">
        <v>0</v>
      </c>
      <c r="P45" s="57">
        <v>0</v>
      </c>
      <c r="Q45" s="42">
        <v>0</v>
      </c>
      <c r="R45" s="43">
        <v>19</v>
      </c>
      <c r="S45" s="44">
        <v>2</v>
      </c>
      <c r="T45" s="45">
        <f t="shared" si="0"/>
        <v>234.5</v>
      </c>
      <c r="U45" s="46">
        <v>0</v>
      </c>
      <c r="V45" s="46">
        <f t="shared" si="1"/>
        <v>0</v>
      </c>
      <c r="W45" s="46">
        <f t="shared" si="2"/>
        <v>38</v>
      </c>
      <c r="X45" s="121">
        <f t="shared" si="3"/>
        <v>3</v>
      </c>
      <c r="Y45" s="122">
        <f t="shared" si="4"/>
        <v>275.5</v>
      </c>
      <c r="Z45" s="123">
        <f t="shared" si="5"/>
        <v>276</v>
      </c>
    </row>
    <row r="46" spans="1:26" x14ac:dyDescent="0.25">
      <c r="A46" s="127" t="s">
        <v>42</v>
      </c>
      <c r="B46" s="127" t="s">
        <v>79</v>
      </c>
      <c r="C46" s="127" t="s">
        <v>80</v>
      </c>
      <c r="D46" s="30">
        <v>36063606</v>
      </c>
      <c r="E46" s="31" t="s">
        <v>81</v>
      </c>
      <c r="F46" s="127">
        <v>605760</v>
      </c>
      <c r="G46" s="119" t="s">
        <v>146</v>
      </c>
      <c r="H46" s="31" t="s">
        <v>66</v>
      </c>
      <c r="I46" s="120" t="s">
        <v>147</v>
      </c>
      <c r="J46" s="42">
        <v>2</v>
      </c>
      <c r="K46" s="43">
        <v>0</v>
      </c>
      <c r="L46" s="43">
        <v>4</v>
      </c>
      <c r="M46" s="43">
        <v>0</v>
      </c>
      <c r="N46" s="55">
        <v>0</v>
      </c>
      <c r="O46" s="55">
        <v>0</v>
      </c>
      <c r="P46" s="57">
        <v>0</v>
      </c>
      <c r="Q46" s="42">
        <v>0</v>
      </c>
      <c r="R46" s="43">
        <v>3</v>
      </c>
      <c r="S46" s="44">
        <v>9</v>
      </c>
      <c r="T46" s="45">
        <f t="shared" si="0"/>
        <v>134</v>
      </c>
      <c r="U46" s="46">
        <v>0</v>
      </c>
      <c r="V46" s="46">
        <f t="shared" si="1"/>
        <v>0</v>
      </c>
      <c r="W46" s="46">
        <f t="shared" si="2"/>
        <v>6</v>
      </c>
      <c r="X46" s="121">
        <f t="shared" si="3"/>
        <v>13.5</v>
      </c>
      <c r="Y46" s="122">
        <f t="shared" si="4"/>
        <v>153.5</v>
      </c>
      <c r="Z46" s="123">
        <f t="shared" si="5"/>
        <v>154</v>
      </c>
    </row>
    <row r="47" spans="1:26" x14ac:dyDescent="0.25">
      <c r="A47" s="127" t="s">
        <v>42</v>
      </c>
      <c r="B47" s="127" t="s">
        <v>79</v>
      </c>
      <c r="C47" s="127" t="s">
        <v>80</v>
      </c>
      <c r="D47" s="30">
        <v>36063606</v>
      </c>
      <c r="E47" s="31" t="s">
        <v>81</v>
      </c>
      <c r="F47" s="127">
        <v>30775434</v>
      </c>
      <c r="G47" s="119" t="s">
        <v>100</v>
      </c>
      <c r="H47" s="31" t="s">
        <v>66</v>
      </c>
      <c r="I47" s="120" t="s">
        <v>148</v>
      </c>
      <c r="J47" s="42">
        <v>5</v>
      </c>
      <c r="K47" s="43">
        <v>0</v>
      </c>
      <c r="L47" s="43">
        <v>9</v>
      </c>
      <c r="M47" s="43">
        <v>0</v>
      </c>
      <c r="N47" s="55">
        <v>0</v>
      </c>
      <c r="O47" s="55">
        <v>0</v>
      </c>
      <c r="P47" s="57">
        <v>0</v>
      </c>
      <c r="Q47" s="42">
        <v>0</v>
      </c>
      <c r="R47" s="43">
        <v>29</v>
      </c>
      <c r="S47" s="44">
        <v>9</v>
      </c>
      <c r="T47" s="45">
        <f t="shared" si="0"/>
        <v>301.5</v>
      </c>
      <c r="U47" s="46">
        <v>0</v>
      </c>
      <c r="V47" s="46">
        <f t="shared" si="1"/>
        <v>0</v>
      </c>
      <c r="W47" s="46">
        <f t="shared" si="2"/>
        <v>58</v>
      </c>
      <c r="X47" s="121">
        <f t="shared" si="3"/>
        <v>13.5</v>
      </c>
      <c r="Y47" s="122">
        <f t="shared" si="4"/>
        <v>373</v>
      </c>
      <c r="Z47" s="123">
        <f t="shared" si="5"/>
        <v>373</v>
      </c>
    </row>
    <row r="48" spans="1:26" x14ac:dyDescent="0.25">
      <c r="A48" s="30" t="s">
        <v>42</v>
      </c>
      <c r="B48" s="30" t="s">
        <v>79</v>
      </c>
      <c r="C48" s="30" t="s">
        <v>80</v>
      </c>
      <c r="D48" s="30">
        <v>36063606</v>
      </c>
      <c r="E48" s="31" t="s">
        <v>81</v>
      </c>
      <c r="F48" s="30">
        <v>53242742</v>
      </c>
      <c r="G48" s="119" t="s">
        <v>52</v>
      </c>
      <c r="H48" s="31" t="s">
        <v>66</v>
      </c>
      <c r="I48" s="120" t="s">
        <v>149</v>
      </c>
      <c r="J48" s="42">
        <v>3</v>
      </c>
      <c r="K48" s="43">
        <v>0</v>
      </c>
      <c r="L48" s="43">
        <v>5</v>
      </c>
      <c r="M48" s="43">
        <v>0</v>
      </c>
      <c r="N48" s="55">
        <v>0</v>
      </c>
      <c r="O48" s="55">
        <v>0</v>
      </c>
      <c r="P48" s="57">
        <v>0</v>
      </c>
      <c r="Q48" s="42">
        <v>0</v>
      </c>
      <c r="R48" s="43">
        <v>3</v>
      </c>
      <c r="S48" s="44">
        <v>10</v>
      </c>
      <c r="T48" s="45">
        <f t="shared" si="0"/>
        <v>167.5</v>
      </c>
      <c r="U48" s="46">
        <v>0</v>
      </c>
      <c r="V48" s="46">
        <f t="shared" si="1"/>
        <v>0</v>
      </c>
      <c r="W48" s="46">
        <f t="shared" si="2"/>
        <v>6</v>
      </c>
      <c r="X48" s="121">
        <f t="shared" si="3"/>
        <v>15</v>
      </c>
      <c r="Y48" s="122">
        <f t="shared" si="4"/>
        <v>188.5</v>
      </c>
      <c r="Z48" s="123">
        <f t="shared" si="5"/>
        <v>189</v>
      </c>
    </row>
    <row r="49" spans="1:26" ht="25.5" x14ac:dyDescent="0.25">
      <c r="A49" s="30" t="s">
        <v>42</v>
      </c>
      <c r="B49" s="30" t="s">
        <v>79</v>
      </c>
      <c r="C49" s="30" t="s">
        <v>80</v>
      </c>
      <c r="D49" s="30">
        <v>36063606</v>
      </c>
      <c r="E49" s="31" t="s">
        <v>81</v>
      </c>
      <c r="F49" s="30">
        <v>17054281</v>
      </c>
      <c r="G49" s="119" t="s">
        <v>150</v>
      </c>
      <c r="H49" s="31" t="s">
        <v>66</v>
      </c>
      <c r="I49" s="120" t="s">
        <v>151</v>
      </c>
      <c r="J49" s="42">
        <v>2</v>
      </c>
      <c r="K49" s="43">
        <v>3</v>
      </c>
      <c r="L49" s="43">
        <v>1</v>
      </c>
      <c r="M49" s="43">
        <v>4</v>
      </c>
      <c r="N49" s="55">
        <v>0</v>
      </c>
      <c r="O49" s="55">
        <v>0</v>
      </c>
      <c r="P49" s="57">
        <v>0</v>
      </c>
      <c r="Q49" s="42">
        <v>8</v>
      </c>
      <c r="R49" s="43">
        <v>15</v>
      </c>
      <c r="S49" s="44">
        <v>20</v>
      </c>
      <c r="T49" s="45">
        <f t="shared" si="0"/>
        <v>33.5</v>
      </c>
      <c r="U49" s="46">
        <v>0</v>
      </c>
      <c r="V49" s="46">
        <f t="shared" si="1"/>
        <v>12</v>
      </c>
      <c r="W49" s="46">
        <f t="shared" si="2"/>
        <v>30</v>
      </c>
      <c r="X49" s="121">
        <f t="shared" si="3"/>
        <v>30</v>
      </c>
      <c r="Y49" s="122">
        <f t="shared" si="4"/>
        <v>105.5</v>
      </c>
      <c r="Z49" s="123">
        <f t="shared" si="5"/>
        <v>106</v>
      </c>
    </row>
    <row r="50" spans="1:26" x14ac:dyDescent="0.25">
      <c r="A50" s="127" t="s">
        <v>42</v>
      </c>
      <c r="B50" s="127" t="s">
        <v>79</v>
      </c>
      <c r="C50" s="127" t="s">
        <v>80</v>
      </c>
      <c r="D50" s="30">
        <v>36063606</v>
      </c>
      <c r="E50" s="31" t="s">
        <v>81</v>
      </c>
      <c r="F50" s="127">
        <v>17327717</v>
      </c>
      <c r="G50" s="119" t="s">
        <v>152</v>
      </c>
      <c r="H50" s="31" t="s">
        <v>66</v>
      </c>
      <c r="I50" s="120" t="s">
        <v>153</v>
      </c>
      <c r="J50" s="42">
        <v>4</v>
      </c>
      <c r="K50" s="43">
        <v>0</v>
      </c>
      <c r="L50" s="43">
        <v>6</v>
      </c>
      <c r="M50" s="43">
        <v>0</v>
      </c>
      <c r="N50" s="55">
        <v>0</v>
      </c>
      <c r="O50" s="55">
        <v>0</v>
      </c>
      <c r="P50" s="57">
        <v>0</v>
      </c>
      <c r="Q50" s="42">
        <v>0</v>
      </c>
      <c r="R50" s="43">
        <v>16</v>
      </c>
      <c r="S50" s="44">
        <v>3</v>
      </c>
      <c r="T50" s="45">
        <f t="shared" si="0"/>
        <v>201</v>
      </c>
      <c r="U50" s="46">
        <v>0</v>
      </c>
      <c r="V50" s="46">
        <f t="shared" si="1"/>
        <v>0</v>
      </c>
      <c r="W50" s="46">
        <f t="shared" si="2"/>
        <v>32</v>
      </c>
      <c r="X50" s="121">
        <f t="shared" si="3"/>
        <v>4.5</v>
      </c>
      <c r="Y50" s="122">
        <f t="shared" si="4"/>
        <v>237.5</v>
      </c>
      <c r="Z50" s="123">
        <f t="shared" si="5"/>
        <v>238</v>
      </c>
    </row>
    <row r="51" spans="1:26" x14ac:dyDescent="0.25">
      <c r="A51" s="127" t="s">
        <v>42</v>
      </c>
      <c r="B51" s="127" t="s">
        <v>79</v>
      </c>
      <c r="C51" s="127" t="s">
        <v>80</v>
      </c>
      <c r="D51" s="30">
        <v>36063606</v>
      </c>
      <c r="E51" s="31" t="s">
        <v>81</v>
      </c>
      <c r="F51" s="127">
        <v>17050332</v>
      </c>
      <c r="G51" s="119" t="s">
        <v>154</v>
      </c>
      <c r="H51" s="31" t="s">
        <v>66</v>
      </c>
      <c r="I51" s="120" t="s">
        <v>155</v>
      </c>
      <c r="J51" s="42">
        <v>1</v>
      </c>
      <c r="K51" s="43">
        <v>0</v>
      </c>
      <c r="L51" s="43">
        <v>1</v>
      </c>
      <c r="M51" s="43">
        <v>0</v>
      </c>
      <c r="N51" s="55">
        <v>0</v>
      </c>
      <c r="O51" s="55">
        <v>0</v>
      </c>
      <c r="P51" s="57">
        <v>0</v>
      </c>
      <c r="Q51" s="42">
        <v>0</v>
      </c>
      <c r="R51" s="43">
        <v>3</v>
      </c>
      <c r="S51" s="44">
        <v>0</v>
      </c>
      <c r="T51" s="45">
        <f t="shared" si="0"/>
        <v>33.5</v>
      </c>
      <c r="U51" s="46">
        <v>0</v>
      </c>
      <c r="V51" s="46">
        <f t="shared" si="1"/>
        <v>0</v>
      </c>
      <c r="W51" s="46">
        <f t="shared" si="2"/>
        <v>6</v>
      </c>
      <c r="X51" s="121">
        <f t="shared" si="3"/>
        <v>0</v>
      </c>
      <c r="Y51" s="122">
        <f t="shared" si="4"/>
        <v>39.5</v>
      </c>
      <c r="Z51" s="123">
        <f t="shared" si="5"/>
        <v>40</v>
      </c>
    </row>
    <row r="52" spans="1:26" x14ac:dyDescent="0.25">
      <c r="A52" s="30" t="s">
        <v>42</v>
      </c>
      <c r="B52" s="30" t="s">
        <v>79</v>
      </c>
      <c r="C52" s="30" t="s">
        <v>80</v>
      </c>
      <c r="D52" s="30">
        <v>36063606</v>
      </c>
      <c r="E52" s="31" t="s">
        <v>81</v>
      </c>
      <c r="F52" s="30">
        <v>17327661</v>
      </c>
      <c r="G52" s="119" t="s">
        <v>88</v>
      </c>
      <c r="H52" s="31" t="s">
        <v>66</v>
      </c>
      <c r="I52" s="120" t="s">
        <v>156</v>
      </c>
      <c r="J52" s="42">
        <v>10</v>
      </c>
      <c r="K52" s="43">
        <v>0</v>
      </c>
      <c r="L52" s="43">
        <v>11</v>
      </c>
      <c r="M52" s="43">
        <v>0</v>
      </c>
      <c r="N52" s="55">
        <v>0</v>
      </c>
      <c r="O52" s="55">
        <v>0</v>
      </c>
      <c r="P52" s="57">
        <v>0</v>
      </c>
      <c r="Q52" s="42">
        <v>0</v>
      </c>
      <c r="R52" s="43">
        <v>29</v>
      </c>
      <c r="S52" s="44">
        <v>3</v>
      </c>
      <c r="T52" s="45">
        <f t="shared" si="0"/>
        <v>368.5</v>
      </c>
      <c r="U52" s="46">
        <v>0</v>
      </c>
      <c r="V52" s="46">
        <f t="shared" si="1"/>
        <v>0</v>
      </c>
      <c r="W52" s="46">
        <f t="shared" si="2"/>
        <v>58</v>
      </c>
      <c r="X52" s="121">
        <f t="shared" si="3"/>
        <v>4.5</v>
      </c>
      <c r="Y52" s="122">
        <f t="shared" si="4"/>
        <v>431</v>
      </c>
      <c r="Z52" s="123">
        <f t="shared" si="5"/>
        <v>431</v>
      </c>
    </row>
    <row r="53" spans="1:26" x14ac:dyDescent="0.25">
      <c r="A53" s="30" t="s">
        <v>42</v>
      </c>
      <c r="B53" s="30" t="s">
        <v>79</v>
      </c>
      <c r="C53" s="30" t="s">
        <v>80</v>
      </c>
      <c r="D53" s="30">
        <v>36063606</v>
      </c>
      <c r="E53" s="31" t="s">
        <v>81</v>
      </c>
      <c r="F53" s="30">
        <v>31793185</v>
      </c>
      <c r="G53" s="119" t="s">
        <v>117</v>
      </c>
      <c r="H53" s="31" t="s">
        <v>66</v>
      </c>
      <c r="I53" s="120" t="s">
        <v>153</v>
      </c>
      <c r="J53" s="42">
        <v>3</v>
      </c>
      <c r="K53" s="43">
        <v>0</v>
      </c>
      <c r="L53" s="43">
        <v>3</v>
      </c>
      <c r="M53" s="43">
        <v>0</v>
      </c>
      <c r="N53" s="55">
        <v>0</v>
      </c>
      <c r="O53" s="55">
        <v>0</v>
      </c>
      <c r="P53" s="57">
        <v>0</v>
      </c>
      <c r="Q53" s="42">
        <v>0</v>
      </c>
      <c r="R53" s="43">
        <v>10</v>
      </c>
      <c r="S53" s="44">
        <v>5</v>
      </c>
      <c r="T53" s="45">
        <f t="shared" si="0"/>
        <v>100.5</v>
      </c>
      <c r="U53" s="46">
        <v>179.15</v>
      </c>
      <c r="V53" s="46">
        <f t="shared" si="1"/>
        <v>0</v>
      </c>
      <c r="W53" s="46">
        <f t="shared" si="2"/>
        <v>20</v>
      </c>
      <c r="X53" s="121">
        <f t="shared" si="3"/>
        <v>7.5</v>
      </c>
      <c r="Y53" s="122">
        <f t="shared" si="4"/>
        <v>307.14999999999998</v>
      </c>
      <c r="Z53" s="123">
        <f t="shared" si="5"/>
        <v>307</v>
      </c>
    </row>
    <row r="54" spans="1:26" x14ac:dyDescent="0.25">
      <c r="A54" s="30" t="s">
        <v>42</v>
      </c>
      <c r="B54" s="30" t="s">
        <v>79</v>
      </c>
      <c r="C54" s="30" t="s">
        <v>80</v>
      </c>
      <c r="D54" s="30">
        <v>36063606</v>
      </c>
      <c r="E54" s="31" t="s">
        <v>81</v>
      </c>
      <c r="F54" s="30">
        <v>162787</v>
      </c>
      <c r="G54" s="119" t="s">
        <v>141</v>
      </c>
      <c r="H54" s="31" t="s">
        <v>159</v>
      </c>
      <c r="I54" s="120" t="s">
        <v>161</v>
      </c>
      <c r="J54" s="42">
        <v>4</v>
      </c>
      <c r="K54" s="43">
        <v>0</v>
      </c>
      <c r="L54" s="43">
        <v>5</v>
      </c>
      <c r="M54" s="43">
        <v>0</v>
      </c>
      <c r="N54" s="55">
        <v>0</v>
      </c>
      <c r="O54" s="55">
        <v>0</v>
      </c>
      <c r="P54" s="57">
        <v>0</v>
      </c>
      <c r="Q54" s="42">
        <v>1</v>
      </c>
      <c r="R54" s="43">
        <v>2</v>
      </c>
      <c r="S54" s="44">
        <v>5</v>
      </c>
      <c r="T54" s="45">
        <f t="shared" si="0"/>
        <v>167.5</v>
      </c>
      <c r="U54" s="46"/>
      <c r="V54" s="46">
        <f t="shared" si="1"/>
        <v>1.5</v>
      </c>
      <c r="W54" s="46">
        <f t="shared" si="2"/>
        <v>4</v>
      </c>
      <c r="X54" s="121">
        <f t="shared" si="3"/>
        <v>7.5</v>
      </c>
      <c r="Y54" s="122">
        <f t="shared" si="4"/>
        <v>180.5</v>
      </c>
      <c r="Z54" s="123">
        <f t="shared" si="5"/>
        <v>181</v>
      </c>
    </row>
    <row r="55" spans="1:26" x14ac:dyDescent="0.25">
      <c r="A55" s="30" t="s">
        <v>42</v>
      </c>
      <c r="B55" s="30" t="s">
        <v>79</v>
      </c>
      <c r="C55" s="30" t="s">
        <v>80</v>
      </c>
      <c r="D55" s="30">
        <v>36063606</v>
      </c>
      <c r="E55" s="31" t="s">
        <v>81</v>
      </c>
      <c r="F55" s="30">
        <v>162311</v>
      </c>
      <c r="G55" s="119" t="s">
        <v>162</v>
      </c>
      <c r="H55" s="31" t="s">
        <v>159</v>
      </c>
      <c r="I55" s="120" t="s">
        <v>163</v>
      </c>
      <c r="J55" s="42">
        <v>0</v>
      </c>
      <c r="K55" s="43">
        <v>2</v>
      </c>
      <c r="L55" s="43"/>
      <c r="M55" s="43">
        <v>2</v>
      </c>
      <c r="N55" s="55">
        <v>2</v>
      </c>
      <c r="O55" s="55">
        <v>0</v>
      </c>
      <c r="P55" s="57">
        <v>0</v>
      </c>
      <c r="Q55" s="42">
        <v>3</v>
      </c>
      <c r="R55" s="43">
        <v>0</v>
      </c>
      <c r="S55" s="44">
        <v>0</v>
      </c>
      <c r="T55" s="45">
        <f t="shared" si="0"/>
        <v>0</v>
      </c>
      <c r="U55" s="46">
        <v>0</v>
      </c>
      <c r="V55" s="46">
        <f t="shared" si="1"/>
        <v>31.5</v>
      </c>
      <c r="W55" s="46">
        <f t="shared" si="2"/>
        <v>0</v>
      </c>
      <c r="X55" s="121">
        <f t="shared" si="3"/>
        <v>0</v>
      </c>
      <c r="Y55" s="122">
        <f t="shared" si="4"/>
        <v>31.5</v>
      </c>
      <c r="Z55" s="123">
        <f t="shared" si="5"/>
        <v>32</v>
      </c>
    </row>
    <row r="56" spans="1:26" x14ac:dyDescent="0.25">
      <c r="A56" s="30" t="s">
        <v>42</v>
      </c>
      <c r="B56" s="30" t="s">
        <v>79</v>
      </c>
      <c r="C56" s="30" t="s">
        <v>80</v>
      </c>
      <c r="D56" s="30">
        <v>36063606</v>
      </c>
      <c r="E56" s="31" t="s">
        <v>81</v>
      </c>
      <c r="F56" s="30">
        <v>17050201</v>
      </c>
      <c r="G56" s="119" t="s">
        <v>49</v>
      </c>
      <c r="H56" s="31" t="s">
        <v>75</v>
      </c>
      <c r="I56" s="120" t="s">
        <v>164</v>
      </c>
      <c r="J56" s="42">
        <v>3</v>
      </c>
      <c r="K56" s="43">
        <v>0</v>
      </c>
      <c r="L56" s="43">
        <v>3</v>
      </c>
      <c r="M56" s="43">
        <v>0</v>
      </c>
      <c r="N56" s="55">
        <v>0</v>
      </c>
      <c r="O56" s="55">
        <v>0</v>
      </c>
      <c r="P56" s="57">
        <v>0</v>
      </c>
      <c r="Q56" s="42">
        <v>0</v>
      </c>
      <c r="R56" s="43">
        <v>2</v>
      </c>
      <c r="S56" s="44">
        <v>1</v>
      </c>
      <c r="T56" s="45">
        <f t="shared" si="0"/>
        <v>100.5</v>
      </c>
      <c r="U56" s="46">
        <v>0</v>
      </c>
      <c r="V56" s="46">
        <f t="shared" si="1"/>
        <v>0</v>
      </c>
      <c r="W56" s="46">
        <f t="shared" si="2"/>
        <v>4</v>
      </c>
      <c r="X56" s="121">
        <f t="shared" si="3"/>
        <v>1.5</v>
      </c>
      <c r="Y56" s="122">
        <f t="shared" si="4"/>
        <v>106</v>
      </c>
      <c r="Z56" s="123">
        <f t="shared" si="5"/>
        <v>106</v>
      </c>
    </row>
    <row r="57" spans="1:26" x14ac:dyDescent="0.25">
      <c r="A57" s="30" t="s">
        <v>42</v>
      </c>
      <c r="B57" s="30" t="s">
        <v>79</v>
      </c>
      <c r="C57" s="30" t="s">
        <v>80</v>
      </c>
      <c r="D57" s="30">
        <v>36063606</v>
      </c>
      <c r="E57" s="31" t="s">
        <v>81</v>
      </c>
      <c r="F57" s="30">
        <v>31874452</v>
      </c>
      <c r="G57" s="119" t="s">
        <v>100</v>
      </c>
      <c r="H57" s="31" t="s">
        <v>75</v>
      </c>
      <c r="I57" s="120" t="s">
        <v>165</v>
      </c>
      <c r="J57" s="42">
        <v>1</v>
      </c>
      <c r="K57" s="43">
        <v>0</v>
      </c>
      <c r="L57" s="43">
        <v>1</v>
      </c>
      <c r="M57" s="43">
        <v>0</v>
      </c>
      <c r="N57" s="55">
        <v>0</v>
      </c>
      <c r="O57" s="55">
        <v>0</v>
      </c>
      <c r="P57" s="57">
        <v>0</v>
      </c>
      <c r="Q57" s="42">
        <v>0</v>
      </c>
      <c r="R57" s="43">
        <v>0</v>
      </c>
      <c r="S57" s="44">
        <v>7</v>
      </c>
      <c r="T57" s="45">
        <f t="shared" si="0"/>
        <v>33.5</v>
      </c>
      <c r="U57" s="46"/>
      <c r="V57" s="46">
        <f t="shared" si="1"/>
        <v>0</v>
      </c>
      <c r="W57" s="46">
        <f t="shared" si="2"/>
        <v>0</v>
      </c>
      <c r="X57" s="121">
        <f t="shared" si="3"/>
        <v>10.5</v>
      </c>
      <c r="Y57" s="122">
        <f t="shared" si="4"/>
        <v>44</v>
      </c>
      <c r="Z57" s="123">
        <f t="shared" si="5"/>
        <v>44</v>
      </c>
    </row>
    <row r="58" spans="1:26" x14ac:dyDescent="0.25">
      <c r="A58" s="30" t="s">
        <v>42</v>
      </c>
      <c r="B58" s="30" t="s">
        <v>79</v>
      </c>
      <c r="C58" s="30" t="s">
        <v>80</v>
      </c>
      <c r="D58" s="30">
        <v>36063606</v>
      </c>
      <c r="E58" s="31" t="s">
        <v>81</v>
      </c>
      <c r="F58" s="30">
        <v>42128919</v>
      </c>
      <c r="G58" s="119" t="s">
        <v>52</v>
      </c>
      <c r="H58" s="31" t="s">
        <v>167</v>
      </c>
      <c r="I58" s="120" t="s">
        <v>168</v>
      </c>
      <c r="J58" s="42">
        <v>9</v>
      </c>
      <c r="K58" s="43">
        <v>0</v>
      </c>
      <c r="L58" s="43">
        <v>10</v>
      </c>
      <c r="M58" s="43">
        <v>0</v>
      </c>
      <c r="N58" s="55">
        <v>0</v>
      </c>
      <c r="O58" s="55">
        <v>0</v>
      </c>
      <c r="P58" s="57">
        <v>0</v>
      </c>
      <c r="Q58" s="42">
        <v>3</v>
      </c>
      <c r="R58" s="43">
        <v>20</v>
      </c>
      <c r="S58" s="44">
        <v>15</v>
      </c>
      <c r="T58" s="45">
        <f t="shared" si="0"/>
        <v>335</v>
      </c>
      <c r="U58" s="46">
        <v>0</v>
      </c>
      <c r="V58" s="46">
        <f t="shared" si="1"/>
        <v>4.5</v>
      </c>
      <c r="W58" s="46">
        <f t="shared" si="2"/>
        <v>40</v>
      </c>
      <c r="X58" s="121">
        <f t="shared" si="3"/>
        <v>22.5</v>
      </c>
      <c r="Y58" s="122">
        <f t="shared" si="4"/>
        <v>402</v>
      </c>
      <c r="Z58" s="123">
        <f t="shared" si="5"/>
        <v>402</v>
      </c>
    </row>
    <row r="59" spans="1:26" x14ac:dyDescent="0.25">
      <c r="A59" s="30" t="s">
        <v>42</v>
      </c>
      <c r="B59" s="30" t="s">
        <v>79</v>
      </c>
      <c r="C59" s="30" t="s">
        <v>80</v>
      </c>
      <c r="D59" s="30">
        <v>36063606</v>
      </c>
      <c r="E59" s="31" t="s">
        <v>81</v>
      </c>
      <c r="F59" s="30">
        <v>52585212</v>
      </c>
      <c r="G59" s="119" t="s">
        <v>52</v>
      </c>
      <c r="H59" s="31" t="s">
        <v>169</v>
      </c>
      <c r="I59" s="120" t="s">
        <v>170</v>
      </c>
      <c r="J59" s="42">
        <v>3</v>
      </c>
      <c r="K59" s="43">
        <v>0</v>
      </c>
      <c r="L59" s="43">
        <v>3</v>
      </c>
      <c r="M59" s="43">
        <v>0</v>
      </c>
      <c r="N59" s="55">
        <v>0</v>
      </c>
      <c r="O59" s="55">
        <v>0</v>
      </c>
      <c r="P59" s="57">
        <v>0</v>
      </c>
      <c r="Q59" s="42">
        <v>0</v>
      </c>
      <c r="R59" s="43">
        <v>14</v>
      </c>
      <c r="S59" s="44">
        <v>2</v>
      </c>
      <c r="T59" s="45">
        <f t="shared" si="0"/>
        <v>100.5</v>
      </c>
      <c r="U59" s="46">
        <v>0</v>
      </c>
      <c r="V59" s="46">
        <f t="shared" si="1"/>
        <v>0</v>
      </c>
      <c r="W59" s="46">
        <f t="shared" si="2"/>
        <v>28</v>
      </c>
      <c r="X59" s="121">
        <f t="shared" si="3"/>
        <v>3</v>
      </c>
      <c r="Y59" s="122">
        <f t="shared" si="4"/>
        <v>131.5</v>
      </c>
      <c r="Z59" s="123">
        <f t="shared" si="5"/>
        <v>132</v>
      </c>
    </row>
    <row r="60" spans="1:26" x14ac:dyDescent="0.25">
      <c r="A60" s="30" t="s">
        <v>42</v>
      </c>
      <c r="B60" s="30" t="s">
        <v>79</v>
      </c>
      <c r="C60" s="30" t="s">
        <v>80</v>
      </c>
      <c r="D60" s="30">
        <v>36063606</v>
      </c>
      <c r="E60" s="31" t="s">
        <v>81</v>
      </c>
      <c r="F60" s="127">
        <v>160326</v>
      </c>
      <c r="G60" s="119" t="s">
        <v>171</v>
      </c>
      <c r="H60" s="31" t="s">
        <v>77</v>
      </c>
      <c r="I60" s="120" t="s">
        <v>172</v>
      </c>
      <c r="J60" s="42">
        <v>2</v>
      </c>
      <c r="K60" s="43">
        <v>0</v>
      </c>
      <c r="L60" s="43">
        <v>2</v>
      </c>
      <c r="M60" s="43">
        <v>0</v>
      </c>
      <c r="N60" s="55">
        <v>1</v>
      </c>
      <c r="O60" s="55">
        <v>0</v>
      </c>
      <c r="P60" s="57">
        <v>0</v>
      </c>
      <c r="Q60" s="42">
        <v>0</v>
      </c>
      <c r="R60" s="43">
        <v>4</v>
      </c>
      <c r="S60" s="44">
        <v>0</v>
      </c>
      <c r="T60" s="45">
        <f t="shared" si="0"/>
        <v>67</v>
      </c>
      <c r="U60" s="46">
        <v>16.5</v>
      </c>
      <c r="V60" s="46">
        <f t="shared" si="1"/>
        <v>13.5</v>
      </c>
      <c r="W60" s="46">
        <f t="shared" si="2"/>
        <v>8</v>
      </c>
      <c r="X60" s="121">
        <f t="shared" si="3"/>
        <v>0</v>
      </c>
      <c r="Y60" s="122">
        <f t="shared" si="4"/>
        <v>105</v>
      </c>
      <c r="Z60" s="123">
        <f t="shared" si="5"/>
        <v>105</v>
      </c>
    </row>
    <row r="61" spans="1:26" x14ac:dyDescent="0.25">
      <c r="A61" s="30" t="s">
        <v>42</v>
      </c>
      <c r="B61" s="30" t="s">
        <v>79</v>
      </c>
      <c r="C61" s="30" t="s">
        <v>80</v>
      </c>
      <c r="D61" s="30">
        <v>36063606</v>
      </c>
      <c r="E61" s="31" t="s">
        <v>81</v>
      </c>
      <c r="F61" s="30">
        <v>30797799</v>
      </c>
      <c r="G61" s="119" t="s">
        <v>173</v>
      </c>
      <c r="H61" s="31" t="s">
        <v>77</v>
      </c>
      <c r="I61" s="120" t="s">
        <v>174</v>
      </c>
      <c r="J61" s="42">
        <v>2</v>
      </c>
      <c r="K61" s="43">
        <v>0</v>
      </c>
      <c r="L61" s="43">
        <v>2</v>
      </c>
      <c r="M61" s="43">
        <v>0</v>
      </c>
      <c r="N61" s="55">
        <v>0</v>
      </c>
      <c r="O61" s="55">
        <v>0</v>
      </c>
      <c r="P61" s="57">
        <v>0</v>
      </c>
      <c r="Q61" s="42">
        <v>0</v>
      </c>
      <c r="R61" s="43">
        <v>2</v>
      </c>
      <c r="S61" s="44">
        <v>1</v>
      </c>
      <c r="T61" s="45">
        <f t="shared" si="0"/>
        <v>67</v>
      </c>
      <c r="U61" s="46">
        <v>19.8</v>
      </c>
      <c r="V61" s="46">
        <f t="shared" si="1"/>
        <v>0</v>
      </c>
      <c r="W61" s="46">
        <f t="shared" si="2"/>
        <v>4</v>
      </c>
      <c r="X61" s="121">
        <f t="shared" si="3"/>
        <v>1.5</v>
      </c>
      <c r="Y61" s="122">
        <f t="shared" si="4"/>
        <v>92.3</v>
      </c>
      <c r="Z61" s="123">
        <f t="shared" si="5"/>
        <v>92</v>
      </c>
    </row>
    <row r="62" spans="1:26" x14ac:dyDescent="0.25">
      <c r="A62" s="30" t="s">
        <v>42</v>
      </c>
      <c r="B62" s="30" t="s">
        <v>79</v>
      </c>
      <c r="C62" s="30" t="s">
        <v>80</v>
      </c>
      <c r="D62" s="30">
        <v>36063606</v>
      </c>
      <c r="E62" s="31" t="s">
        <v>81</v>
      </c>
      <c r="F62" s="30">
        <v>36064386</v>
      </c>
      <c r="G62" s="119" t="s">
        <v>175</v>
      </c>
      <c r="H62" s="31" t="s">
        <v>77</v>
      </c>
      <c r="I62" s="120" t="s">
        <v>176</v>
      </c>
      <c r="J62" s="42">
        <v>2</v>
      </c>
      <c r="K62" s="43">
        <v>0</v>
      </c>
      <c r="L62" s="43">
        <v>3</v>
      </c>
      <c r="M62" s="43">
        <v>0</v>
      </c>
      <c r="N62" s="55">
        <v>0</v>
      </c>
      <c r="O62" s="55">
        <v>0</v>
      </c>
      <c r="P62" s="57">
        <v>0</v>
      </c>
      <c r="Q62" s="42">
        <v>0</v>
      </c>
      <c r="R62" s="43">
        <v>7</v>
      </c>
      <c r="S62" s="44">
        <v>0</v>
      </c>
      <c r="T62" s="45">
        <f t="shared" si="0"/>
        <v>100.5</v>
      </c>
      <c r="U62" s="46">
        <v>10.199999999999999</v>
      </c>
      <c r="V62" s="46">
        <f t="shared" si="1"/>
        <v>0</v>
      </c>
      <c r="W62" s="46">
        <f t="shared" si="2"/>
        <v>14</v>
      </c>
      <c r="X62" s="121">
        <f t="shared" si="3"/>
        <v>0</v>
      </c>
      <c r="Y62" s="122">
        <f t="shared" si="4"/>
        <v>124.7</v>
      </c>
      <c r="Z62" s="123">
        <f t="shared" si="5"/>
        <v>125</v>
      </c>
    </row>
    <row r="63" spans="1:26" x14ac:dyDescent="0.25">
      <c r="A63" s="30" t="s">
        <v>42</v>
      </c>
      <c r="B63" s="30" t="s">
        <v>177</v>
      </c>
      <c r="C63" s="30" t="s">
        <v>178</v>
      </c>
      <c r="D63" s="30">
        <v>603520</v>
      </c>
      <c r="E63" s="31" t="s">
        <v>179</v>
      </c>
      <c r="F63" s="30">
        <v>31750214</v>
      </c>
      <c r="G63" s="119" t="s">
        <v>52</v>
      </c>
      <c r="H63" s="31" t="s">
        <v>60</v>
      </c>
      <c r="I63" s="120" t="s">
        <v>180</v>
      </c>
      <c r="J63" s="42">
        <v>4</v>
      </c>
      <c r="K63" s="43">
        <v>0</v>
      </c>
      <c r="L63" s="43">
        <v>5</v>
      </c>
      <c r="M63" s="43">
        <v>0</v>
      </c>
      <c r="N63" s="55">
        <v>0</v>
      </c>
      <c r="O63" s="55">
        <v>0</v>
      </c>
      <c r="P63" s="57">
        <v>0</v>
      </c>
      <c r="Q63" s="42">
        <v>0</v>
      </c>
      <c r="R63" s="43">
        <v>4</v>
      </c>
      <c r="S63" s="44">
        <v>0</v>
      </c>
      <c r="T63" s="45">
        <f t="shared" si="0"/>
        <v>167.5</v>
      </c>
      <c r="U63" s="46">
        <v>0</v>
      </c>
      <c r="V63" s="46">
        <f t="shared" si="1"/>
        <v>0</v>
      </c>
      <c r="W63" s="46">
        <f t="shared" si="2"/>
        <v>8</v>
      </c>
      <c r="X63" s="121">
        <f t="shared" si="3"/>
        <v>0</v>
      </c>
      <c r="Y63" s="122">
        <f t="shared" si="4"/>
        <v>175.5</v>
      </c>
      <c r="Z63" s="123">
        <f t="shared" si="5"/>
        <v>176</v>
      </c>
    </row>
    <row r="64" spans="1:26" ht="25.5" x14ac:dyDescent="0.25">
      <c r="A64" s="30" t="s">
        <v>42</v>
      </c>
      <c r="B64" s="30" t="s">
        <v>181</v>
      </c>
      <c r="C64" s="30" t="s">
        <v>182</v>
      </c>
      <c r="D64" s="30">
        <v>42131685</v>
      </c>
      <c r="E64" s="31" t="s">
        <v>183</v>
      </c>
      <c r="F64" s="30">
        <v>30815339</v>
      </c>
      <c r="G64" s="119" t="s">
        <v>184</v>
      </c>
      <c r="H64" s="31" t="s">
        <v>82</v>
      </c>
      <c r="I64" s="120" t="s">
        <v>185</v>
      </c>
      <c r="J64" s="42">
        <v>3</v>
      </c>
      <c r="K64" s="43">
        <v>0</v>
      </c>
      <c r="L64" s="43">
        <v>3</v>
      </c>
      <c r="M64" s="43">
        <v>0</v>
      </c>
      <c r="N64" s="55">
        <v>0</v>
      </c>
      <c r="O64" s="55">
        <v>0</v>
      </c>
      <c r="P64" s="57">
        <v>0</v>
      </c>
      <c r="Q64" s="42">
        <v>0</v>
      </c>
      <c r="R64" s="43">
        <v>10</v>
      </c>
      <c r="S64" s="44">
        <v>1</v>
      </c>
      <c r="T64" s="45">
        <f t="shared" si="0"/>
        <v>100.5</v>
      </c>
      <c r="U64" s="46">
        <v>0</v>
      </c>
      <c r="V64" s="46">
        <f t="shared" si="1"/>
        <v>0</v>
      </c>
      <c r="W64" s="46">
        <f t="shared" si="2"/>
        <v>20</v>
      </c>
      <c r="X64" s="121">
        <f t="shared" si="3"/>
        <v>1.5</v>
      </c>
      <c r="Y64" s="122">
        <f t="shared" si="4"/>
        <v>122</v>
      </c>
      <c r="Z64" s="123">
        <f t="shared" si="5"/>
        <v>122</v>
      </c>
    </row>
    <row r="65" spans="1:26" x14ac:dyDescent="0.25">
      <c r="A65" s="30" t="s">
        <v>42</v>
      </c>
      <c r="B65" s="30" t="s">
        <v>181</v>
      </c>
      <c r="C65" s="30" t="s">
        <v>186</v>
      </c>
      <c r="D65" s="30">
        <v>586358</v>
      </c>
      <c r="E65" s="31" t="s">
        <v>187</v>
      </c>
      <c r="F65" s="30">
        <v>17318840</v>
      </c>
      <c r="G65" s="119" t="s">
        <v>188</v>
      </c>
      <c r="H65" s="31" t="s">
        <v>82</v>
      </c>
      <c r="I65" s="120" t="s">
        <v>189</v>
      </c>
      <c r="J65" s="42">
        <v>5</v>
      </c>
      <c r="K65" s="43">
        <v>0</v>
      </c>
      <c r="L65" s="43">
        <v>6</v>
      </c>
      <c r="M65" s="43">
        <v>0</v>
      </c>
      <c r="N65" s="55">
        <v>0</v>
      </c>
      <c r="O65" s="55">
        <v>0</v>
      </c>
      <c r="P65" s="57">
        <v>0</v>
      </c>
      <c r="Q65" s="42">
        <v>0</v>
      </c>
      <c r="R65" s="43">
        <v>30</v>
      </c>
      <c r="S65" s="44">
        <v>2</v>
      </c>
      <c r="T65" s="45">
        <f t="shared" si="0"/>
        <v>201</v>
      </c>
      <c r="U65" s="46">
        <v>0</v>
      </c>
      <c r="V65" s="46">
        <f t="shared" si="1"/>
        <v>0</v>
      </c>
      <c r="W65" s="46">
        <f t="shared" si="2"/>
        <v>60</v>
      </c>
      <c r="X65" s="121">
        <f t="shared" si="3"/>
        <v>3</v>
      </c>
      <c r="Y65" s="122">
        <f t="shared" si="4"/>
        <v>264</v>
      </c>
      <c r="Z65" s="123">
        <f t="shared" si="5"/>
        <v>264</v>
      </c>
    </row>
    <row r="66" spans="1:26" x14ac:dyDescent="0.25">
      <c r="A66" s="30" t="s">
        <v>42</v>
      </c>
      <c r="B66" s="30" t="s">
        <v>181</v>
      </c>
      <c r="C66" s="30" t="s">
        <v>190</v>
      </c>
      <c r="D66" s="30">
        <v>586722</v>
      </c>
      <c r="E66" s="31" t="s">
        <v>191</v>
      </c>
      <c r="F66" s="30">
        <v>52547477</v>
      </c>
      <c r="G66" s="119" t="s">
        <v>192</v>
      </c>
      <c r="H66" s="31" t="s">
        <v>82</v>
      </c>
      <c r="I66" s="120" t="s">
        <v>193</v>
      </c>
      <c r="J66" s="42">
        <v>2</v>
      </c>
      <c r="K66" s="43">
        <v>0</v>
      </c>
      <c r="L66" s="43">
        <v>2</v>
      </c>
      <c r="M66" s="43">
        <v>0</v>
      </c>
      <c r="N66" s="55">
        <v>0</v>
      </c>
      <c r="O66" s="55">
        <v>0</v>
      </c>
      <c r="P66" s="57">
        <v>0</v>
      </c>
      <c r="Q66" s="42">
        <v>0</v>
      </c>
      <c r="R66" s="43">
        <v>2</v>
      </c>
      <c r="S66" s="44">
        <v>0</v>
      </c>
      <c r="T66" s="45">
        <f t="shared" si="0"/>
        <v>67</v>
      </c>
      <c r="U66" s="46">
        <v>0</v>
      </c>
      <c r="V66" s="46">
        <f t="shared" si="1"/>
        <v>0</v>
      </c>
      <c r="W66" s="46">
        <f t="shared" si="2"/>
        <v>4</v>
      </c>
      <c r="X66" s="121">
        <f t="shared" si="3"/>
        <v>0</v>
      </c>
      <c r="Y66" s="122">
        <f t="shared" si="4"/>
        <v>71</v>
      </c>
      <c r="Z66" s="123">
        <f t="shared" si="5"/>
        <v>71</v>
      </c>
    </row>
    <row r="67" spans="1:26" x14ac:dyDescent="0.25">
      <c r="A67" s="30" t="s">
        <v>42</v>
      </c>
      <c r="B67" s="30" t="s">
        <v>181</v>
      </c>
      <c r="C67" s="30" t="s">
        <v>182</v>
      </c>
      <c r="D67" s="30">
        <v>42131685</v>
      </c>
      <c r="E67" s="31" t="s">
        <v>183</v>
      </c>
      <c r="F67" s="30">
        <v>30852056</v>
      </c>
      <c r="G67" s="119" t="s">
        <v>194</v>
      </c>
      <c r="H67" s="31" t="s">
        <v>50</v>
      </c>
      <c r="I67" s="120" t="s">
        <v>195</v>
      </c>
      <c r="J67" s="42">
        <v>1</v>
      </c>
      <c r="K67" s="43">
        <v>0</v>
      </c>
      <c r="L67" s="43">
        <v>1</v>
      </c>
      <c r="M67" s="43">
        <v>0</v>
      </c>
      <c r="N67" s="55">
        <v>0</v>
      </c>
      <c r="O67" s="55">
        <v>0</v>
      </c>
      <c r="P67" s="57">
        <v>0</v>
      </c>
      <c r="Q67" s="42">
        <v>0</v>
      </c>
      <c r="R67" s="43">
        <v>4</v>
      </c>
      <c r="S67" s="44">
        <v>0</v>
      </c>
      <c r="T67" s="45">
        <f t="shared" si="0"/>
        <v>33.5</v>
      </c>
      <c r="U67" s="46"/>
      <c r="V67" s="46">
        <f t="shared" si="1"/>
        <v>0</v>
      </c>
      <c r="W67" s="46">
        <f t="shared" si="2"/>
        <v>8</v>
      </c>
      <c r="X67" s="121">
        <f t="shared" si="3"/>
        <v>0</v>
      </c>
      <c r="Y67" s="122">
        <f t="shared" si="4"/>
        <v>41.5</v>
      </c>
      <c r="Z67" s="123">
        <f t="shared" si="5"/>
        <v>42</v>
      </c>
    </row>
    <row r="68" spans="1:26" x14ac:dyDescent="0.25">
      <c r="A68" s="127" t="s">
        <v>42</v>
      </c>
      <c r="B68" s="127" t="s">
        <v>181</v>
      </c>
      <c r="C68" s="127" t="s">
        <v>196</v>
      </c>
      <c r="D68" s="127">
        <v>585661</v>
      </c>
      <c r="E68" s="31" t="s">
        <v>197</v>
      </c>
      <c r="F68" s="127">
        <v>42258120</v>
      </c>
      <c r="G68" s="119" t="s">
        <v>198</v>
      </c>
      <c r="H68" s="31" t="s">
        <v>130</v>
      </c>
      <c r="I68" s="120" t="s">
        <v>199</v>
      </c>
      <c r="J68" s="42">
        <v>1</v>
      </c>
      <c r="K68" s="43">
        <v>0</v>
      </c>
      <c r="L68" s="43">
        <v>1</v>
      </c>
      <c r="M68" s="43">
        <v>0</v>
      </c>
      <c r="N68" s="55">
        <v>0</v>
      </c>
      <c r="O68" s="55">
        <v>0</v>
      </c>
      <c r="P68" s="57">
        <v>0</v>
      </c>
      <c r="Q68" s="42">
        <v>0</v>
      </c>
      <c r="R68" s="43">
        <v>2</v>
      </c>
      <c r="S68" s="44">
        <v>0</v>
      </c>
      <c r="T68" s="45">
        <f t="shared" ref="T68:T131" si="6">$T$1*L68</f>
        <v>33.5</v>
      </c>
      <c r="U68" s="46">
        <v>0</v>
      </c>
      <c r="V68" s="46">
        <f t="shared" ref="V68:V131" si="7">$U$1*N68+$V$1*Q68</f>
        <v>0</v>
      </c>
      <c r="W68" s="46">
        <f t="shared" ref="W68:W131" si="8">$U$1*O68+$W$1*R68</f>
        <v>4</v>
      </c>
      <c r="X68" s="121">
        <f t="shared" ref="X68:X131" si="9">$X$1*P68+$V$1*S68</f>
        <v>0</v>
      </c>
      <c r="Y68" s="122">
        <f t="shared" ref="Y68:Y131" si="10">T68+U68+V68+W68+X68</f>
        <v>37.5</v>
      </c>
      <c r="Z68" s="123">
        <f t="shared" ref="Z68:Z131" si="11">ROUND(Y68,0)</f>
        <v>38</v>
      </c>
    </row>
    <row r="69" spans="1:26" x14ac:dyDescent="0.25">
      <c r="A69" s="30" t="s">
        <v>42</v>
      </c>
      <c r="B69" s="30" t="s">
        <v>181</v>
      </c>
      <c r="C69" s="30" t="s">
        <v>182</v>
      </c>
      <c r="D69" s="30">
        <v>42131685</v>
      </c>
      <c r="E69" s="31" t="s">
        <v>183</v>
      </c>
      <c r="F69" s="30">
        <v>42176182</v>
      </c>
      <c r="G69" s="119" t="s">
        <v>200</v>
      </c>
      <c r="H69" s="31" t="s">
        <v>60</v>
      </c>
      <c r="I69" s="120" t="s">
        <v>201</v>
      </c>
      <c r="J69" s="42">
        <v>2</v>
      </c>
      <c r="K69" s="43">
        <v>0</v>
      </c>
      <c r="L69" s="43">
        <v>2</v>
      </c>
      <c r="M69" s="43">
        <v>0</v>
      </c>
      <c r="N69" s="55">
        <v>0</v>
      </c>
      <c r="O69" s="55">
        <v>0</v>
      </c>
      <c r="P69" s="57">
        <v>0</v>
      </c>
      <c r="Q69" s="42">
        <v>0</v>
      </c>
      <c r="R69" s="43">
        <v>2</v>
      </c>
      <c r="S69" s="44">
        <v>0</v>
      </c>
      <c r="T69" s="45">
        <f t="shared" si="6"/>
        <v>67</v>
      </c>
      <c r="U69" s="46">
        <v>0</v>
      </c>
      <c r="V69" s="46">
        <f t="shared" si="7"/>
        <v>0</v>
      </c>
      <c r="W69" s="46">
        <f t="shared" si="8"/>
        <v>4</v>
      </c>
      <c r="X69" s="121">
        <f t="shared" si="9"/>
        <v>0</v>
      </c>
      <c r="Y69" s="122">
        <f t="shared" si="10"/>
        <v>71</v>
      </c>
      <c r="Z69" s="123">
        <f t="shared" si="11"/>
        <v>71</v>
      </c>
    </row>
    <row r="70" spans="1:26" x14ac:dyDescent="0.25">
      <c r="A70" s="30" t="s">
        <v>42</v>
      </c>
      <c r="B70" s="30" t="s">
        <v>181</v>
      </c>
      <c r="C70" s="30" t="s">
        <v>202</v>
      </c>
      <c r="D70" s="30">
        <v>42365023</v>
      </c>
      <c r="E70" s="31" t="s">
        <v>203</v>
      </c>
      <c r="F70" s="30">
        <v>30848008</v>
      </c>
      <c r="G70" s="119" t="s">
        <v>204</v>
      </c>
      <c r="H70" s="31" t="s">
        <v>66</v>
      </c>
      <c r="I70" s="120" t="s">
        <v>205</v>
      </c>
      <c r="J70" s="42">
        <v>2</v>
      </c>
      <c r="K70" s="43">
        <v>0</v>
      </c>
      <c r="L70" s="43">
        <v>2</v>
      </c>
      <c r="M70" s="43">
        <v>0</v>
      </c>
      <c r="N70" s="55">
        <v>0</v>
      </c>
      <c r="O70" s="55">
        <v>0</v>
      </c>
      <c r="P70" s="57">
        <v>0</v>
      </c>
      <c r="Q70" s="42">
        <v>0</v>
      </c>
      <c r="R70" s="43">
        <v>1</v>
      </c>
      <c r="S70" s="44">
        <v>1</v>
      </c>
      <c r="T70" s="45">
        <f t="shared" si="6"/>
        <v>67</v>
      </c>
      <c r="U70" s="46">
        <v>0</v>
      </c>
      <c r="V70" s="46">
        <f t="shared" si="7"/>
        <v>0</v>
      </c>
      <c r="W70" s="46">
        <f t="shared" si="8"/>
        <v>2</v>
      </c>
      <c r="X70" s="121">
        <f t="shared" si="9"/>
        <v>1.5</v>
      </c>
      <c r="Y70" s="122">
        <f t="shared" si="10"/>
        <v>70.5</v>
      </c>
      <c r="Z70" s="123">
        <f t="shared" si="11"/>
        <v>71</v>
      </c>
    </row>
    <row r="71" spans="1:26" x14ac:dyDescent="0.25">
      <c r="A71" s="127" t="s">
        <v>42</v>
      </c>
      <c r="B71" s="30" t="s">
        <v>181</v>
      </c>
      <c r="C71" s="30" t="s">
        <v>182</v>
      </c>
      <c r="D71" s="30">
        <v>42131685</v>
      </c>
      <c r="E71" s="31" t="s">
        <v>183</v>
      </c>
      <c r="F71" s="30">
        <v>30843006</v>
      </c>
      <c r="G71" s="119" t="s">
        <v>206</v>
      </c>
      <c r="H71" s="31" t="s">
        <v>66</v>
      </c>
      <c r="I71" s="120" t="s">
        <v>207</v>
      </c>
      <c r="J71" s="42">
        <v>1</v>
      </c>
      <c r="K71" s="43">
        <v>0</v>
      </c>
      <c r="L71" s="43">
        <v>1</v>
      </c>
      <c r="M71" s="43">
        <v>0</v>
      </c>
      <c r="N71" s="55">
        <v>0</v>
      </c>
      <c r="O71" s="55">
        <v>0</v>
      </c>
      <c r="P71" s="57">
        <v>0</v>
      </c>
      <c r="Q71" s="42">
        <v>0</v>
      </c>
      <c r="R71" s="43">
        <v>12</v>
      </c>
      <c r="S71" s="44">
        <v>0</v>
      </c>
      <c r="T71" s="45">
        <f t="shared" si="6"/>
        <v>33.5</v>
      </c>
      <c r="U71" s="46">
        <v>0</v>
      </c>
      <c r="V71" s="46">
        <f t="shared" si="7"/>
        <v>0</v>
      </c>
      <c r="W71" s="46">
        <f t="shared" si="8"/>
        <v>24</v>
      </c>
      <c r="X71" s="121">
        <f t="shared" si="9"/>
        <v>0</v>
      </c>
      <c r="Y71" s="122">
        <f t="shared" si="10"/>
        <v>57.5</v>
      </c>
      <c r="Z71" s="123">
        <f t="shared" si="11"/>
        <v>58</v>
      </c>
    </row>
    <row r="72" spans="1:26" x14ac:dyDescent="0.25">
      <c r="A72" s="30" t="s">
        <v>42</v>
      </c>
      <c r="B72" s="30" t="s">
        <v>181</v>
      </c>
      <c r="C72" s="30" t="s">
        <v>182</v>
      </c>
      <c r="D72" s="30">
        <v>42131685</v>
      </c>
      <c r="E72" s="31" t="s">
        <v>183</v>
      </c>
      <c r="F72" s="30">
        <v>42178941</v>
      </c>
      <c r="G72" s="119" t="s">
        <v>208</v>
      </c>
      <c r="H72" s="31" t="s">
        <v>66</v>
      </c>
      <c r="I72" s="120" t="s">
        <v>209</v>
      </c>
      <c r="J72" s="42">
        <v>1</v>
      </c>
      <c r="K72" s="43">
        <v>0</v>
      </c>
      <c r="L72" s="43">
        <v>1</v>
      </c>
      <c r="M72" s="43">
        <v>0</v>
      </c>
      <c r="N72" s="55">
        <v>0</v>
      </c>
      <c r="O72" s="55">
        <v>0</v>
      </c>
      <c r="P72" s="57">
        <v>0</v>
      </c>
      <c r="Q72" s="42">
        <v>0</v>
      </c>
      <c r="R72" s="43">
        <v>4</v>
      </c>
      <c r="S72" s="44">
        <v>0</v>
      </c>
      <c r="T72" s="45">
        <f t="shared" si="6"/>
        <v>33.5</v>
      </c>
      <c r="U72" s="46"/>
      <c r="V72" s="46">
        <f t="shared" si="7"/>
        <v>0</v>
      </c>
      <c r="W72" s="46">
        <f t="shared" si="8"/>
        <v>8</v>
      </c>
      <c r="X72" s="121">
        <f t="shared" si="9"/>
        <v>0</v>
      </c>
      <c r="Y72" s="122">
        <f t="shared" si="10"/>
        <v>41.5</v>
      </c>
      <c r="Z72" s="123">
        <f t="shared" si="11"/>
        <v>42</v>
      </c>
    </row>
    <row r="73" spans="1:26" x14ac:dyDescent="0.25">
      <c r="A73" s="30" t="s">
        <v>42</v>
      </c>
      <c r="B73" s="30" t="s">
        <v>181</v>
      </c>
      <c r="C73" s="30" t="s">
        <v>211</v>
      </c>
      <c r="D73" s="30">
        <v>587141</v>
      </c>
      <c r="E73" s="31" t="s">
        <v>212</v>
      </c>
      <c r="F73" s="30">
        <v>17078334</v>
      </c>
      <c r="G73" s="119" t="s">
        <v>213</v>
      </c>
      <c r="H73" s="31" t="s">
        <v>214</v>
      </c>
      <c r="I73" s="120" t="s">
        <v>215</v>
      </c>
      <c r="J73" s="42">
        <v>4</v>
      </c>
      <c r="K73" s="43">
        <v>0</v>
      </c>
      <c r="L73" s="43">
        <v>4</v>
      </c>
      <c r="M73" s="43">
        <v>0</v>
      </c>
      <c r="N73" s="55">
        <v>0</v>
      </c>
      <c r="O73" s="55">
        <v>0</v>
      </c>
      <c r="P73" s="57">
        <v>0</v>
      </c>
      <c r="Q73" s="42">
        <v>0</v>
      </c>
      <c r="R73" s="43">
        <v>6</v>
      </c>
      <c r="S73" s="44">
        <v>3</v>
      </c>
      <c r="T73" s="45">
        <f t="shared" si="6"/>
        <v>134</v>
      </c>
      <c r="U73" s="46">
        <v>0</v>
      </c>
      <c r="V73" s="46">
        <f t="shared" si="7"/>
        <v>0</v>
      </c>
      <c r="W73" s="46">
        <f t="shared" si="8"/>
        <v>12</v>
      </c>
      <c r="X73" s="121">
        <f t="shared" si="9"/>
        <v>4.5</v>
      </c>
      <c r="Y73" s="122">
        <f t="shared" si="10"/>
        <v>150.5</v>
      </c>
      <c r="Z73" s="123">
        <f t="shared" si="11"/>
        <v>151</v>
      </c>
    </row>
    <row r="74" spans="1:26" x14ac:dyDescent="0.25">
      <c r="A74" s="30" t="s">
        <v>42</v>
      </c>
      <c r="B74" s="30" t="s">
        <v>181</v>
      </c>
      <c r="C74" s="30" t="s">
        <v>182</v>
      </c>
      <c r="D74" s="30">
        <v>42131685</v>
      </c>
      <c r="E74" s="31" t="s">
        <v>183</v>
      </c>
      <c r="F74" s="30">
        <v>42256887</v>
      </c>
      <c r="G74" s="119" t="s">
        <v>216</v>
      </c>
      <c r="H74" s="31" t="s">
        <v>68</v>
      </c>
      <c r="I74" s="120" t="s">
        <v>217</v>
      </c>
      <c r="J74" s="42">
        <v>2</v>
      </c>
      <c r="K74" s="43">
        <v>0</v>
      </c>
      <c r="L74" s="43">
        <v>2</v>
      </c>
      <c r="M74" s="43">
        <v>0</v>
      </c>
      <c r="N74" s="55">
        <v>0</v>
      </c>
      <c r="O74" s="55">
        <v>0</v>
      </c>
      <c r="P74" s="57">
        <v>0</v>
      </c>
      <c r="Q74" s="42">
        <v>0</v>
      </c>
      <c r="R74" s="43">
        <v>2</v>
      </c>
      <c r="S74" s="44">
        <v>2</v>
      </c>
      <c r="T74" s="45">
        <f t="shared" si="6"/>
        <v>67</v>
      </c>
      <c r="U74" s="46">
        <v>0</v>
      </c>
      <c r="V74" s="46">
        <f t="shared" si="7"/>
        <v>0</v>
      </c>
      <c r="W74" s="46">
        <f t="shared" si="8"/>
        <v>4</v>
      </c>
      <c r="X74" s="121">
        <f t="shared" si="9"/>
        <v>3</v>
      </c>
      <c r="Y74" s="122">
        <f t="shared" si="10"/>
        <v>74</v>
      </c>
      <c r="Z74" s="123">
        <f t="shared" si="11"/>
        <v>74</v>
      </c>
    </row>
    <row r="75" spans="1:26" x14ac:dyDescent="0.25">
      <c r="A75" s="30" t="s">
        <v>42</v>
      </c>
      <c r="B75" s="30" t="s">
        <v>181</v>
      </c>
      <c r="C75" s="30" t="s">
        <v>190</v>
      </c>
      <c r="D75" s="30">
        <v>586722</v>
      </c>
      <c r="E75" s="31" t="s">
        <v>191</v>
      </c>
      <c r="F75" s="30">
        <v>588032</v>
      </c>
      <c r="G75" s="119" t="s">
        <v>218</v>
      </c>
      <c r="H75" s="31" t="s">
        <v>219</v>
      </c>
      <c r="I75" s="120" t="s">
        <v>220</v>
      </c>
      <c r="J75" s="42">
        <v>4</v>
      </c>
      <c r="K75" s="43">
        <v>0</v>
      </c>
      <c r="L75" s="43">
        <v>5</v>
      </c>
      <c r="M75" s="43">
        <v>0</v>
      </c>
      <c r="N75" s="55">
        <v>0</v>
      </c>
      <c r="O75" s="55">
        <v>0</v>
      </c>
      <c r="P75" s="57">
        <v>0</v>
      </c>
      <c r="Q75" s="42">
        <v>0</v>
      </c>
      <c r="R75" s="43">
        <v>4</v>
      </c>
      <c r="S75" s="44">
        <v>1</v>
      </c>
      <c r="T75" s="45">
        <f t="shared" si="6"/>
        <v>167.5</v>
      </c>
      <c r="U75" s="46">
        <v>0</v>
      </c>
      <c r="V75" s="46">
        <f t="shared" si="7"/>
        <v>0</v>
      </c>
      <c r="W75" s="46">
        <f t="shared" si="8"/>
        <v>8</v>
      </c>
      <c r="X75" s="121">
        <f t="shared" si="9"/>
        <v>1.5</v>
      </c>
      <c r="Y75" s="122">
        <f t="shared" si="10"/>
        <v>177</v>
      </c>
      <c r="Z75" s="123">
        <f t="shared" si="11"/>
        <v>177</v>
      </c>
    </row>
    <row r="76" spans="1:26" x14ac:dyDescent="0.25">
      <c r="A76" s="30" t="s">
        <v>42</v>
      </c>
      <c r="B76" s="30" t="s">
        <v>226</v>
      </c>
      <c r="C76" s="30" t="s">
        <v>227</v>
      </c>
      <c r="D76" s="30">
        <v>168637</v>
      </c>
      <c r="E76" s="31" t="s">
        <v>228</v>
      </c>
      <c r="F76" s="30">
        <v>686981</v>
      </c>
      <c r="G76" s="119" t="s">
        <v>229</v>
      </c>
      <c r="H76" s="31" t="s">
        <v>230</v>
      </c>
      <c r="I76" s="120" t="s">
        <v>231</v>
      </c>
      <c r="J76" s="42">
        <v>2</v>
      </c>
      <c r="K76" s="43">
        <v>0</v>
      </c>
      <c r="L76" s="43">
        <v>2</v>
      </c>
      <c r="M76" s="43">
        <v>0</v>
      </c>
      <c r="N76" s="55">
        <v>0</v>
      </c>
      <c r="O76" s="55">
        <v>0</v>
      </c>
      <c r="P76" s="57">
        <v>0</v>
      </c>
      <c r="Q76" s="42">
        <v>0</v>
      </c>
      <c r="R76" s="43">
        <v>2</v>
      </c>
      <c r="S76" s="44">
        <v>0</v>
      </c>
      <c r="T76" s="45">
        <f t="shared" si="6"/>
        <v>67</v>
      </c>
      <c r="U76" s="46">
        <v>0</v>
      </c>
      <c r="V76" s="46">
        <f t="shared" si="7"/>
        <v>0</v>
      </c>
      <c r="W76" s="46">
        <f t="shared" si="8"/>
        <v>4</v>
      </c>
      <c r="X76" s="121">
        <f t="shared" si="9"/>
        <v>0</v>
      </c>
      <c r="Y76" s="122">
        <f t="shared" si="10"/>
        <v>71</v>
      </c>
      <c r="Z76" s="123">
        <f t="shared" si="11"/>
        <v>71</v>
      </c>
    </row>
    <row r="77" spans="1:26" ht="25.5" x14ac:dyDescent="0.25">
      <c r="A77" s="30" t="s">
        <v>42</v>
      </c>
      <c r="B77" s="30" t="s">
        <v>226</v>
      </c>
      <c r="C77" s="30" t="s">
        <v>232</v>
      </c>
      <c r="D77" s="30">
        <v>35807181</v>
      </c>
      <c r="E77" s="31" t="s">
        <v>233</v>
      </c>
      <c r="F77" s="30">
        <v>42261121</v>
      </c>
      <c r="G77" s="119" t="s">
        <v>234</v>
      </c>
      <c r="H77" s="31" t="s">
        <v>82</v>
      </c>
      <c r="I77" s="120" t="s">
        <v>235</v>
      </c>
      <c r="J77" s="42">
        <v>1</v>
      </c>
      <c r="K77" s="43">
        <v>0</v>
      </c>
      <c r="L77" s="43">
        <v>2</v>
      </c>
      <c r="M77" s="43">
        <v>0</v>
      </c>
      <c r="N77" s="55">
        <v>0</v>
      </c>
      <c r="O77" s="55">
        <v>0</v>
      </c>
      <c r="P77" s="57">
        <v>1</v>
      </c>
      <c r="Q77" s="42">
        <v>0</v>
      </c>
      <c r="R77" s="43">
        <v>0</v>
      </c>
      <c r="S77" s="44">
        <v>35</v>
      </c>
      <c r="T77" s="45">
        <f t="shared" si="6"/>
        <v>67</v>
      </c>
      <c r="U77" s="46">
        <v>0</v>
      </c>
      <c r="V77" s="46">
        <f t="shared" si="7"/>
        <v>0</v>
      </c>
      <c r="W77" s="46">
        <f t="shared" si="8"/>
        <v>0</v>
      </c>
      <c r="X77" s="121">
        <f t="shared" si="9"/>
        <v>79.5</v>
      </c>
      <c r="Y77" s="122">
        <f t="shared" si="10"/>
        <v>146.5</v>
      </c>
      <c r="Z77" s="123">
        <f t="shared" si="11"/>
        <v>147</v>
      </c>
    </row>
    <row r="78" spans="1:26" x14ac:dyDescent="0.25">
      <c r="A78" s="30" t="s">
        <v>42</v>
      </c>
      <c r="B78" s="30" t="s">
        <v>226</v>
      </c>
      <c r="C78" s="30" t="s">
        <v>244</v>
      </c>
      <c r="D78" s="30">
        <v>46482601</v>
      </c>
      <c r="E78" s="31" t="s">
        <v>245</v>
      </c>
      <c r="F78" s="30">
        <v>30795290</v>
      </c>
      <c r="G78" s="119" t="s">
        <v>246</v>
      </c>
      <c r="H78" s="31" t="s">
        <v>47</v>
      </c>
      <c r="I78" s="120" t="s">
        <v>247</v>
      </c>
      <c r="J78" s="42">
        <v>2</v>
      </c>
      <c r="K78" s="43">
        <v>2</v>
      </c>
      <c r="L78" s="43">
        <v>2</v>
      </c>
      <c r="M78" s="43">
        <v>2</v>
      </c>
      <c r="N78" s="55">
        <v>0</v>
      </c>
      <c r="O78" s="55">
        <v>0</v>
      </c>
      <c r="P78" s="57">
        <v>0</v>
      </c>
      <c r="Q78" s="42">
        <v>3</v>
      </c>
      <c r="R78" s="43">
        <v>3</v>
      </c>
      <c r="S78" s="44">
        <v>0</v>
      </c>
      <c r="T78" s="45">
        <f t="shared" si="6"/>
        <v>67</v>
      </c>
      <c r="U78" s="46">
        <v>0</v>
      </c>
      <c r="V78" s="46">
        <f t="shared" si="7"/>
        <v>4.5</v>
      </c>
      <c r="W78" s="46">
        <f t="shared" si="8"/>
        <v>6</v>
      </c>
      <c r="X78" s="121">
        <f t="shared" si="9"/>
        <v>0</v>
      </c>
      <c r="Y78" s="122">
        <f t="shared" si="10"/>
        <v>77.5</v>
      </c>
      <c r="Z78" s="123">
        <f t="shared" si="11"/>
        <v>78</v>
      </c>
    </row>
    <row r="79" spans="1:26" x14ac:dyDescent="0.25">
      <c r="A79" s="30" t="s">
        <v>42</v>
      </c>
      <c r="B79" s="30" t="s">
        <v>226</v>
      </c>
      <c r="C79" s="30" t="s">
        <v>251</v>
      </c>
      <c r="D79" s="30">
        <v>31377491</v>
      </c>
      <c r="E79" s="31" t="s">
        <v>252</v>
      </c>
      <c r="F79" s="30">
        <v>52413250</v>
      </c>
      <c r="G79" s="119" t="s">
        <v>253</v>
      </c>
      <c r="H79" s="31" t="s">
        <v>47</v>
      </c>
      <c r="I79" s="120" t="s">
        <v>243</v>
      </c>
      <c r="J79" s="42">
        <v>1</v>
      </c>
      <c r="K79" s="43">
        <v>0</v>
      </c>
      <c r="L79" s="43">
        <v>4</v>
      </c>
      <c r="M79" s="43">
        <v>0</v>
      </c>
      <c r="N79" s="55">
        <v>0</v>
      </c>
      <c r="O79" s="55">
        <v>0</v>
      </c>
      <c r="P79" s="57">
        <v>0</v>
      </c>
      <c r="Q79" s="42">
        <v>0</v>
      </c>
      <c r="R79" s="43">
        <v>0</v>
      </c>
      <c r="S79" s="44">
        <v>1</v>
      </c>
      <c r="T79" s="45">
        <f t="shared" si="6"/>
        <v>134</v>
      </c>
      <c r="U79" s="46">
        <v>0</v>
      </c>
      <c r="V79" s="46">
        <f t="shared" si="7"/>
        <v>0</v>
      </c>
      <c r="W79" s="46">
        <f t="shared" si="8"/>
        <v>0</v>
      </c>
      <c r="X79" s="121">
        <f t="shared" si="9"/>
        <v>1.5</v>
      </c>
      <c r="Y79" s="122">
        <f t="shared" si="10"/>
        <v>135.5</v>
      </c>
      <c r="Z79" s="123">
        <f t="shared" si="11"/>
        <v>136</v>
      </c>
    </row>
    <row r="80" spans="1:26" x14ac:dyDescent="0.25">
      <c r="A80" s="30" t="s">
        <v>42</v>
      </c>
      <c r="B80" s="30" t="s">
        <v>226</v>
      </c>
      <c r="C80" s="30" t="s">
        <v>254</v>
      </c>
      <c r="D80" s="30">
        <v>35893991</v>
      </c>
      <c r="E80" s="31" t="s">
        <v>255</v>
      </c>
      <c r="F80" s="30">
        <v>710212674</v>
      </c>
      <c r="G80" s="119" t="s">
        <v>256</v>
      </c>
      <c r="H80" s="31" t="s">
        <v>47</v>
      </c>
      <c r="I80" s="120" t="s">
        <v>243</v>
      </c>
      <c r="J80" s="42">
        <v>1</v>
      </c>
      <c r="K80" s="43">
        <v>0</v>
      </c>
      <c r="L80" s="43">
        <v>1</v>
      </c>
      <c r="M80" s="43">
        <v>0</v>
      </c>
      <c r="N80" s="55">
        <v>0</v>
      </c>
      <c r="O80" s="55">
        <v>0</v>
      </c>
      <c r="P80" s="57">
        <v>0</v>
      </c>
      <c r="Q80" s="42">
        <v>0</v>
      </c>
      <c r="R80" s="43">
        <v>1</v>
      </c>
      <c r="S80" s="44">
        <v>0</v>
      </c>
      <c r="T80" s="45">
        <f t="shared" si="6"/>
        <v>33.5</v>
      </c>
      <c r="U80" s="46">
        <v>0</v>
      </c>
      <c r="V80" s="46">
        <f t="shared" si="7"/>
        <v>0</v>
      </c>
      <c r="W80" s="46">
        <f t="shared" si="8"/>
        <v>2</v>
      </c>
      <c r="X80" s="121">
        <f t="shared" si="9"/>
        <v>0</v>
      </c>
      <c r="Y80" s="122">
        <f t="shared" si="10"/>
        <v>35.5</v>
      </c>
      <c r="Z80" s="123">
        <f t="shared" si="11"/>
        <v>36</v>
      </c>
    </row>
    <row r="81" spans="1:26" x14ac:dyDescent="0.25">
      <c r="A81" s="30" t="s">
        <v>42</v>
      </c>
      <c r="B81" s="30" t="s">
        <v>226</v>
      </c>
      <c r="C81" s="30" t="s">
        <v>257</v>
      </c>
      <c r="D81" s="30">
        <v>17326192</v>
      </c>
      <c r="E81" s="31" t="s">
        <v>258</v>
      </c>
      <c r="F81" s="30">
        <v>50343971</v>
      </c>
      <c r="G81" s="119" t="s">
        <v>259</v>
      </c>
      <c r="H81" s="31" t="s">
        <v>50</v>
      </c>
      <c r="I81" s="120" t="s">
        <v>260</v>
      </c>
      <c r="J81" s="42">
        <v>5</v>
      </c>
      <c r="K81" s="43">
        <v>0</v>
      </c>
      <c r="L81" s="43">
        <v>8</v>
      </c>
      <c r="M81" s="43">
        <v>0</v>
      </c>
      <c r="N81" s="55">
        <v>0</v>
      </c>
      <c r="O81" s="55">
        <v>0</v>
      </c>
      <c r="P81" s="57">
        <v>1</v>
      </c>
      <c r="Q81" s="42">
        <v>0</v>
      </c>
      <c r="R81" s="43">
        <v>7</v>
      </c>
      <c r="S81" s="44">
        <v>17</v>
      </c>
      <c r="T81" s="45">
        <f t="shared" si="6"/>
        <v>268</v>
      </c>
      <c r="U81" s="46">
        <v>0</v>
      </c>
      <c r="V81" s="46">
        <f t="shared" si="7"/>
        <v>0</v>
      </c>
      <c r="W81" s="46">
        <f t="shared" si="8"/>
        <v>14</v>
      </c>
      <c r="X81" s="121">
        <f t="shared" si="9"/>
        <v>52.5</v>
      </c>
      <c r="Y81" s="122">
        <f t="shared" si="10"/>
        <v>334.5</v>
      </c>
      <c r="Z81" s="123">
        <f t="shared" si="11"/>
        <v>335</v>
      </c>
    </row>
    <row r="82" spans="1:26" x14ac:dyDescent="0.25">
      <c r="A82" s="30" t="s">
        <v>42</v>
      </c>
      <c r="B82" s="30" t="s">
        <v>226</v>
      </c>
      <c r="C82" s="30" t="s">
        <v>261</v>
      </c>
      <c r="D82" s="30">
        <v>35972181</v>
      </c>
      <c r="E82" s="31" t="s">
        <v>262</v>
      </c>
      <c r="F82" s="30">
        <v>681881</v>
      </c>
      <c r="G82" s="119" t="s">
        <v>229</v>
      </c>
      <c r="H82" s="31" t="s">
        <v>50</v>
      </c>
      <c r="I82" s="120" t="s">
        <v>263</v>
      </c>
      <c r="J82" s="42">
        <v>5</v>
      </c>
      <c r="K82" s="43">
        <v>0</v>
      </c>
      <c r="L82" s="43">
        <v>7</v>
      </c>
      <c r="M82" s="43">
        <v>0</v>
      </c>
      <c r="N82" s="55">
        <v>0</v>
      </c>
      <c r="O82" s="55">
        <v>0</v>
      </c>
      <c r="P82" s="57">
        <v>0</v>
      </c>
      <c r="Q82" s="42">
        <v>0</v>
      </c>
      <c r="R82" s="43">
        <v>14</v>
      </c>
      <c r="S82" s="44">
        <v>10</v>
      </c>
      <c r="T82" s="45">
        <f t="shared" si="6"/>
        <v>234.5</v>
      </c>
      <c r="U82" s="46">
        <v>0</v>
      </c>
      <c r="V82" s="46">
        <f t="shared" si="7"/>
        <v>0</v>
      </c>
      <c r="W82" s="46">
        <f t="shared" si="8"/>
        <v>28</v>
      </c>
      <c r="X82" s="121">
        <f t="shared" si="9"/>
        <v>15</v>
      </c>
      <c r="Y82" s="122">
        <f t="shared" si="10"/>
        <v>277.5</v>
      </c>
      <c r="Z82" s="123">
        <f t="shared" si="11"/>
        <v>278</v>
      </c>
    </row>
    <row r="83" spans="1:26" ht="25.5" x14ac:dyDescent="0.25">
      <c r="A83" s="30" t="s">
        <v>42</v>
      </c>
      <c r="B83" s="30" t="s">
        <v>226</v>
      </c>
      <c r="C83" s="30" t="s">
        <v>264</v>
      </c>
      <c r="D83" s="30">
        <v>90000303</v>
      </c>
      <c r="E83" s="31" t="s">
        <v>265</v>
      </c>
      <c r="F83" s="30">
        <v>30868645</v>
      </c>
      <c r="G83" s="119" t="s">
        <v>266</v>
      </c>
      <c r="H83" s="31" t="s">
        <v>50</v>
      </c>
      <c r="I83" s="120" t="s">
        <v>111</v>
      </c>
      <c r="J83" s="42">
        <v>1</v>
      </c>
      <c r="K83" s="43">
        <v>0</v>
      </c>
      <c r="L83" s="43">
        <v>1</v>
      </c>
      <c r="M83" s="43">
        <v>0</v>
      </c>
      <c r="N83" s="55">
        <v>0</v>
      </c>
      <c r="O83" s="55">
        <v>0</v>
      </c>
      <c r="P83" s="57">
        <v>0</v>
      </c>
      <c r="Q83" s="42">
        <v>0</v>
      </c>
      <c r="R83" s="43">
        <v>10</v>
      </c>
      <c r="S83" s="44">
        <v>0</v>
      </c>
      <c r="T83" s="45">
        <f t="shared" si="6"/>
        <v>33.5</v>
      </c>
      <c r="U83" s="46">
        <v>0</v>
      </c>
      <c r="V83" s="46">
        <f t="shared" si="7"/>
        <v>0</v>
      </c>
      <c r="W83" s="46">
        <f t="shared" si="8"/>
        <v>20</v>
      </c>
      <c r="X83" s="121">
        <f t="shared" si="9"/>
        <v>0</v>
      </c>
      <c r="Y83" s="122">
        <f t="shared" si="10"/>
        <v>53.5</v>
      </c>
      <c r="Z83" s="123">
        <f t="shared" si="11"/>
        <v>54</v>
      </c>
    </row>
    <row r="84" spans="1:26" ht="25.5" x14ac:dyDescent="0.25">
      <c r="A84" s="30" t="s">
        <v>42</v>
      </c>
      <c r="B84" s="30" t="s">
        <v>226</v>
      </c>
      <c r="C84" s="30" t="s">
        <v>271</v>
      </c>
      <c r="D84" s="30">
        <v>90000330</v>
      </c>
      <c r="E84" s="31" t="s">
        <v>272</v>
      </c>
      <c r="F84" s="30">
        <v>31792952</v>
      </c>
      <c r="G84" s="119" t="s">
        <v>273</v>
      </c>
      <c r="H84" s="31" t="s">
        <v>50</v>
      </c>
      <c r="I84" s="120" t="s">
        <v>113</v>
      </c>
      <c r="J84" s="42">
        <v>5</v>
      </c>
      <c r="K84" s="43">
        <v>0</v>
      </c>
      <c r="L84" s="43">
        <v>5</v>
      </c>
      <c r="M84" s="43">
        <v>0</v>
      </c>
      <c r="N84" s="55">
        <v>0</v>
      </c>
      <c r="O84" s="55">
        <v>0</v>
      </c>
      <c r="P84" s="57">
        <v>0</v>
      </c>
      <c r="Q84" s="42">
        <v>0</v>
      </c>
      <c r="R84" s="43">
        <v>5</v>
      </c>
      <c r="S84" s="44">
        <v>4</v>
      </c>
      <c r="T84" s="45">
        <f t="shared" si="6"/>
        <v>167.5</v>
      </c>
      <c r="U84" s="46">
        <v>0</v>
      </c>
      <c r="V84" s="46">
        <f t="shared" si="7"/>
        <v>0</v>
      </c>
      <c r="W84" s="46">
        <f t="shared" si="8"/>
        <v>10</v>
      </c>
      <c r="X84" s="121">
        <f t="shared" si="9"/>
        <v>6</v>
      </c>
      <c r="Y84" s="122">
        <f t="shared" si="10"/>
        <v>183.5</v>
      </c>
      <c r="Z84" s="123">
        <f t="shared" si="11"/>
        <v>184</v>
      </c>
    </row>
    <row r="85" spans="1:26" x14ac:dyDescent="0.25">
      <c r="A85" s="30" t="s">
        <v>42</v>
      </c>
      <c r="B85" s="30" t="s">
        <v>226</v>
      </c>
      <c r="C85" s="30" t="s">
        <v>274</v>
      </c>
      <c r="D85" s="30">
        <v>90000324</v>
      </c>
      <c r="E85" s="31" t="s">
        <v>275</v>
      </c>
      <c r="F85" s="30">
        <v>30805473</v>
      </c>
      <c r="G85" s="119" t="s">
        <v>276</v>
      </c>
      <c r="H85" s="31" t="s">
        <v>277</v>
      </c>
      <c r="I85" s="120" t="s">
        <v>278</v>
      </c>
      <c r="J85" s="42">
        <v>5</v>
      </c>
      <c r="K85" s="43">
        <v>0</v>
      </c>
      <c r="L85" s="43">
        <v>5</v>
      </c>
      <c r="M85" s="43">
        <v>0</v>
      </c>
      <c r="N85" s="55">
        <v>0</v>
      </c>
      <c r="O85" s="55">
        <v>0</v>
      </c>
      <c r="P85" s="57">
        <v>0</v>
      </c>
      <c r="Q85" s="42">
        <v>0</v>
      </c>
      <c r="R85" s="43">
        <v>5</v>
      </c>
      <c r="S85" s="44">
        <v>1</v>
      </c>
      <c r="T85" s="45">
        <f t="shared" si="6"/>
        <v>167.5</v>
      </c>
      <c r="U85" s="46">
        <v>0</v>
      </c>
      <c r="V85" s="46">
        <f t="shared" si="7"/>
        <v>0</v>
      </c>
      <c r="W85" s="46">
        <f t="shared" si="8"/>
        <v>10</v>
      </c>
      <c r="X85" s="121">
        <f t="shared" si="9"/>
        <v>1.5</v>
      </c>
      <c r="Y85" s="122">
        <f t="shared" si="10"/>
        <v>179</v>
      </c>
      <c r="Z85" s="123">
        <f t="shared" si="11"/>
        <v>179</v>
      </c>
    </row>
    <row r="86" spans="1:26" s="136" customFormat="1" x14ac:dyDescent="0.25">
      <c r="A86" s="30" t="s">
        <v>42</v>
      </c>
      <c r="B86" s="30" t="s">
        <v>226</v>
      </c>
      <c r="C86" s="30" t="s">
        <v>279</v>
      </c>
      <c r="D86" s="30">
        <v>35839236</v>
      </c>
      <c r="E86" s="31" t="s">
        <v>280</v>
      </c>
      <c r="F86" s="30">
        <v>30792975</v>
      </c>
      <c r="G86" s="119" t="s">
        <v>281</v>
      </c>
      <c r="H86" s="31" t="s">
        <v>55</v>
      </c>
      <c r="I86" s="120" t="s">
        <v>282</v>
      </c>
      <c r="J86" s="128">
        <v>3</v>
      </c>
      <c r="K86" s="43">
        <v>0</v>
      </c>
      <c r="L86" s="129">
        <v>3</v>
      </c>
      <c r="M86" s="43">
        <v>0</v>
      </c>
      <c r="N86" s="55">
        <v>0</v>
      </c>
      <c r="O86" s="55">
        <v>0</v>
      </c>
      <c r="P86" s="57">
        <v>0</v>
      </c>
      <c r="Q86" s="42">
        <v>0</v>
      </c>
      <c r="R86" s="129">
        <v>3</v>
      </c>
      <c r="S86" s="130">
        <v>2</v>
      </c>
      <c r="T86" s="131">
        <f t="shared" si="6"/>
        <v>100.5</v>
      </c>
      <c r="U86" s="132">
        <v>0</v>
      </c>
      <c r="V86" s="132">
        <f t="shared" si="7"/>
        <v>0</v>
      </c>
      <c r="W86" s="132">
        <f t="shared" si="8"/>
        <v>6</v>
      </c>
      <c r="X86" s="133">
        <f t="shared" si="9"/>
        <v>3</v>
      </c>
      <c r="Y86" s="134">
        <f t="shared" si="10"/>
        <v>109.5</v>
      </c>
      <c r="Z86" s="135">
        <f t="shared" si="11"/>
        <v>110</v>
      </c>
    </row>
    <row r="87" spans="1:26" x14ac:dyDescent="0.25">
      <c r="A87" s="30" t="s">
        <v>42</v>
      </c>
      <c r="B87" s="30" t="s">
        <v>226</v>
      </c>
      <c r="C87" s="30" t="s">
        <v>287</v>
      </c>
      <c r="D87" s="30">
        <v>35923890</v>
      </c>
      <c r="E87" s="31" t="s">
        <v>288</v>
      </c>
      <c r="F87" s="30">
        <v>30858321</v>
      </c>
      <c r="G87" s="119" t="s">
        <v>276</v>
      </c>
      <c r="H87" s="31" t="s">
        <v>55</v>
      </c>
      <c r="I87" s="120" t="s">
        <v>289</v>
      </c>
      <c r="J87" s="42">
        <v>5</v>
      </c>
      <c r="K87" s="43">
        <v>0</v>
      </c>
      <c r="L87" s="43">
        <v>5</v>
      </c>
      <c r="M87" s="43">
        <v>0</v>
      </c>
      <c r="N87" s="55">
        <v>0</v>
      </c>
      <c r="O87" s="55">
        <v>0</v>
      </c>
      <c r="P87" s="57">
        <v>0</v>
      </c>
      <c r="Q87" s="42">
        <v>0</v>
      </c>
      <c r="R87" s="43">
        <v>39</v>
      </c>
      <c r="S87" s="44">
        <v>2</v>
      </c>
      <c r="T87" s="45">
        <f t="shared" si="6"/>
        <v>167.5</v>
      </c>
      <c r="U87" s="46">
        <v>0</v>
      </c>
      <c r="V87" s="46">
        <f t="shared" si="7"/>
        <v>0</v>
      </c>
      <c r="W87" s="46">
        <f t="shared" si="8"/>
        <v>78</v>
      </c>
      <c r="X87" s="121">
        <f t="shared" si="9"/>
        <v>3</v>
      </c>
      <c r="Y87" s="122">
        <f t="shared" si="10"/>
        <v>248.5</v>
      </c>
      <c r="Z87" s="123">
        <f t="shared" si="11"/>
        <v>249</v>
      </c>
    </row>
    <row r="88" spans="1:26" x14ac:dyDescent="0.25">
      <c r="A88" s="30" t="s">
        <v>42</v>
      </c>
      <c r="B88" s="30" t="s">
        <v>226</v>
      </c>
      <c r="C88" s="30" t="s">
        <v>290</v>
      </c>
      <c r="D88" s="30">
        <v>50073893</v>
      </c>
      <c r="E88" s="31" t="s">
        <v>291</v>
      </c>
      <c r="F88" s="30">
        <v>891657</v>
      </c>
      <c r="G88" s="119" t="s">
        <v>292</v>
      </c>
      <c r="H88" s="31" t="s">
        <v>293</v>
      </c>
      <c r="I88" s="137" t="s">
        <v>294</v>
      </c>
      <c r="J88" s="42">
        <v>4</v>
      </c>
      <c r="K88" s="43">
        <v>0</v>
      </c>
      <c r="L88" s="43">
        <v>4</v>
      </c>
      <c r="M88" s="43">
        <v>0</v>
      </c>
      <c r="N88" s="55">
        <v>0</v>
      </c>
      <c r="O88" s="55">
        <v>0</v>
      </c>
      <c r="P88" s="57">
        <v>0</v>
      </c>
      <c r="Q88" s="42">
        <v>0</v>
      </c>
      <c r="R88" s="43">
        <v>13</v>
      </c>
      <c r="S88" s="44">
        <v>0</v>
      </c>
      <c r="T88" s="45">
        <f t="shared" si="6"/>
        <v>134</v>
      </c>
      <c r="U88" s="46">
        <v>10</v>
      </c>
      <c r="V88" s="46">
        <f t="shared" si="7"/>
        <v>0</v>
      </c>
      <c r="W88" s="46">
        <f t="shared" si="8"/>
        <v>26</v>
      </c>
      <c r="X88" s="121">
        <f t="shared" si="9"/>
        <v>0</v>
      </c>
      <c r="Y88" s="122">
        <f t="shared" si="10"/>
        <v>170</v>
      </c>
      <c r="Z88" s="123">
        <f t="shared" si="11"/>
        <v>170</v>
      </c>
    </row>
    <row r="89" spans="1:26" x14ac:dyDescent="0.25">
      <c r="A89" s="30" t="s">
        <v>42</v>
      </c>
      <c r="B89" s="30" t="s">
        <v>226</v>
      </c>
      <c r="C89" s="30" t="s">
        <v>295</v>
      </c>
      <c r="D89" s="30">
        <v>13999745</v>
      </c>
      <c r="E89" s="31" t="s">
        <v>296</v>
      </c>
      <c r="F89" s="30">
        <v>30804825</v>
      </c>
      <c r="G89" s="119" t="s">
        <v>297</v>
      </c>
      <c r="H89" s="31" t="s">
        <v>57</v>
      </c>
      <c r="I89" s="120" t="s">
        <v>298</v>
      </c>
      <c r="J89" s="42">
        <v>3</v>
      </c>
      <c r="K89" s="43">
        <v>0</v>
      </c>
      <c r="L89" s="43">
        <v>4</v>
      </c>
      <c r="M89" s="43">
        <v>0</v>
      </c>
      <c r="N89" s="55">
        <v>0</v>
      </c>
      <c r="O89" s="55">
        <v>2</v>
      </c>
      <c r="P89" s="57">
        <v>0</v>
      </c>
      <c r="Q89" s="42">
        <v>0</v>
      </c>
      <c r="R89" s="43">
        <v>6</v>
      </c>
      <c r="S89" s="44">
        <v>9</v>
      </c>
      <c r="T89" s="45">
        <f t="shared" si="6"/>
        <v>134</v>
      </c>
      <c r="U89" s="46">
        <v>0</v>
      </c>
      <c r="V89" s="46">
        <f t="shared" si="7"/>
        <v>0</v>
      </c>
      <c r="W89" s="46">
        <f t="shared" si="8"/>
        <v>39</v>
      </c>
      <c r="X89" s="121">
        <f t="shared" si="9"/>
        <v>13.5</v>
      </c>
      <c r="Y89" s="122">
        <f t="shared" si="10"/>
        <v>186.5</v>
      </c>
      <c r="Z89" s="123">
        <f t="shared" si="11"/>
        <v>187</v>
      </c>
    </row>
    <row r="90" spans="1:26" ht="25.5" x14ac:dyDescent="0.25">
      <c r="A90" s="30" t="s">
        <v>42</v>
      </c>
      <c r="B90" s="30" t="s">
        <v>226</v>
      </c>
      <c r="C90" s="30" t="s">
        <v>307</v>
      </c>
      <c r="D90" s="30">
        <v>37924745</v>
      </c>
      <c r="E90" s="31" t="s">
        <v>308</v>
      </c>
      <c r="F90" s="30">
        <v>42363501</v>
      </c>
      <c r="G90" s="119" t="s">
        <v>309</v>
      </c>
      <c r="H90" s="31" t="s">
        <v>60</v>
      </c>
      <c r="I90" s="120" t="s">
        <v>310</v>
      </c>
      <c r="J90" s="42">
        <v>1</v>
      </c>
      <c r="K90" s="43">
        <v>0</v>
      </c>
      <c r="L90" s="43">
        <v>1</v>
      </c>
      <c r="M90" s="43">
        <v>0</v>
      </c>
      <c r="N90" s="55">
        <v>0</v>
      </c>
      <c r="O90" s="55">
        <v>0</v>
      </c>
      <c r="P90" s="57">
        <v>0</v>
      </c>
      <c r="Q90" s="42">
        <v>0</v>
      </c>
      <c r="R90" s="43">
        <v>5</v>
      </c>
      <c r="S90" s="44">
        <v>0</v>
      </c>
      <c r="T90" s="45">
        <f t="shared" si="6"/>
        <v>33.5</v>
      </c>
      <c r="U90" s="46">
        <v>0</v>
      </c>
      <c r="V90" s="46">
        <f t="shared" si="7"/>
        <v>0</v>
      </c>
      <c r="W90" s="46">
        <f t="shared" si="8"/>
        <v>10</v>
      </c>
      <c r="X90" s="121">
        <f t="shared" si="9"/>
        <v>0</v>
      </c>
      <c r="Y90" s="122">
        <f t="shared" si="10"/>
        <v>43.5</v>
      </c>
      <c r="Z90" s="123">
        <f t="shared" si="11"/>
        <v>44</v>
      </c>
    </row>
    <row r="91" spans="1:26" ht="25.5" x14ac:dyDescent="0.25">
      <c r="A91" s="30" t="s">
        <v>42</v>
      </c>
      <c r="B91" s="30" t="s">
        <v>226</v>
      </c>
      <c r="C91" s="30" t="s">
        <v>319</v>
      </c>
      <c r="D91" s="30">
        <v>35870494</v>
      </c>
      <c r="E91" s="31" t="s">
        <v>320</v>
      </c>
      <c r="F91" s="30">
        <v>42254647</v>
      </c>
      <c r="G91" s="119" t="s">
        <v>321</v>
      </c>
      <c r="H91" s="31" t="s">
        <v>66</v>
      </c>
      <c r="I91" s="120" t="s">
        <v>155</v>
      </c>
      <c r="J91" s="42">
        <v>6</v>
      </c>
      <c r="K91" s="43">
        <v>1</v>
      </c>
      <c r="L91" s="43">
        <v>8</v>
      </c>
      <c r="M91" s="43">
        <v>1</v>
      </c>
      <c r="N91" s="55">
        <v>0</v>
      </c>
      <c r="O91" s="55">
        <v>0</v>
      </c>
      <c r="P91" s="57">
        <v>0</v>
      </c>
      <c r="Q91" s="42">
        <v>8</v>
      </c>
      <c r="R91" s="43">
        <v>27</v>
      </c>
      <c r="S91" s="44">
        <v>6</v>
      </c>
      <c r="T91" s="45">
        <f t="shared" si="6"/>
        <v>268</v>
      </c>
      <c r="U91" s="46">
        <v>0</v>
      </c>
      <c r="V91" s="46">
        <f t="shared" si="7"/>
        <v>12</v>
      </c>
      <c r="W91" s="46">
        <f t="shared" si="8"/>
        <v>54</v>
      </c>
      <c r="X91" s="121">
        <f t="shared" si="9"/>
        <v>9</v>
      </c>
      <c r="Y91" s="122">
        <f t="shared" si="10"/>
        <v>343</v>
      </c>
      <c r="Z91" s="123">
        <f t="shared" si="11"/>
        <v>343</v>
      </c>
    </row>
    <row r="92" spans="1:26" x14ac:dyDescent="0.25">
      <c r="A92" s="30" t="s">
        <v>42</v>
      </c>
      <c r="B92" s="30" t="s">
        <v>226</v>
      </c>
      <c r="C92" s="30" t="s">
        <v>326</v>
      </c>
      <c r="D92" s="30">
        <v>50922718</v>
      </c>
      <c r="E92" s="31" t="s">
        <v>327</v>
      </c>
      <c r="F92" s="30">
        <v>42182760</v>
      </c>
      <c r="G92" s="119" t="s">
        <v>328</v>
      </c>
      <c r="H92" s="31" t="s">
        <v>66</v>
      </c>
      <c r="I92" s="120" t="s">
        <v>318</v>
      </c>
      <c r="J92" s="42">
        <v>1</v>
      </c>
      <c r="K92" s="43">
        <v>0</v>
      </c>
      <c r="L92" s="43">
        <v>2</v>
      </c>
      <c r="M92" s="43">
        <v>0</v>
      </c>
      <c r="N92" s="55">
        <v>0</v>
      </c>
      <c r="O92" s="55">
        <v>0</v>
      </c>
      <c r="P92" s="57">
        <v>0</v>
      </c>
      <c r="Q92" s="42">
        <v>0</v>
      </c>
      <c r="R92" s="43">
        <v>2</v>
      </c>
      <c r="S92" s="44">
        <v>0</v>
      </c>
      <c r="T92" s="45">
        <f t="shared" si="6"/>
        <v>67</v>
      </c>
      <c r="U92" s="46">
        <v>0</v>
      </c>
      <c r="V92" s="46">
        <f t="shared" si="7"/>
        <v>0</v>
      </c>
      <c r="W92" s="46">
        <f t="shared" si="8"/>
        <v>4</v>
      </c>
      <c r="X92" s="121">
        <f t="shared" si="9"/>
        <v>0</v>
      </c>
      <c r="Y92" s="122">
        <f t="shared" si="10"/>
        <v>71</v>
      </c>
      <c r="Z92" s="123">
        <f t="shared" si="11"/>
        <v>71</v>
      </c>
    </row>
    <row r="93" spans="1:26" ht="25.5" x14ac:dyDescent="0.25">
      <c r="A93" s="30" t="s">
        <v>42</v>
      </c>
      <c r="B93" s="30" t="s">
        <v>226</v>
      </c>
      <c r="C93" s="30" t="s">
        <v>329</v>
      </c>
      <c r="D93" s="30">
        <v>90000036</v>
      </c>
      <c r="E93" s="31" t="s">
        <v>330</v>
      </c>
      <c r="F93" s="30">
        <v>36068284</v>
      </c>
      <c r="G93" s="119" t="s">
        <v>331</v>
      </c>
      <c r="H93" s="31" t="s">
        <v>66</v>
      </c>
      <c r="I93" s="120" t="s">
        <v>332</v>
      </c>
      <c r="J93" s="42">
        <v>3</v>
      </c>
      <c r="K93" s="43">
        <v>0</v>
      </c>
      <c r="L93" s="43">
        <v>6</v>
      </c>
      <c r="M93" s="43">
        <v>0</v>
      </c>
      <c r="N93" s="55">
        <v>0</v>
      </c>
      <c r="O93" s="55">
        <v>0</v>
      </c>
      <c r="P93" s="57">
        <v>0</v>
      </c>
      <c r="Q93" s="42">
        <v>0</v>
      </c>
      <c r="R93" s="43">
        <v>11</v>
      </c>
      <c r="S93" s="44">
        <v>44</v>
      </c>
      <c r="T93" s="45">
        <f t="shared" si="6"/>
        <v>201</v>
      </c>
      <c r="U93" s="46">
        <v>0</v>
      </c>
      <c r="V93" s="46">
        <f t="shared" si="7"/>
        <v>0</v>
      </c>
      <c r="W93" s="46">
        <f t="shared" si="8"/>
        <v>22</v>
      </c>
      <c r="X93" s="121">
        <f t="shared" si="9"/>
        <v>66</v>
      </c>
      <c r="Y93" s="122">
        <f t="shared" si="10"/>
        <v>289</v>
      </c>
      <c r="Z93" s="123">
        <f t="shared" si="11"/>
        <v>289</v>
      </c>
    </row>
    <row r="94" spans="1:26" x14ac:dyDescent="0.25">
      <c r="A94" s="30" t="s">
        <v>42</v>
      </c>
      <c r="B94" s="30" t="s">
        <v>226</v>
      </c>
      <c r="C94" s="30" t="s">
        <v>333</v>
      </c>
      <c r="D94" s="30">
        <v>90000010</v>
      </c>
      <c r="E94" s="31" t="s">
        <v>334</v>
      </c>
      <c r="F94" s="30">
        <v>31801722</v>
      </c>
      <c r="G94" s="119" t="s">
        <v>335</v>
      </c>
      <c r="H94" s="31" t="s">
        <v>66</v>
      </c>
      <c r="I94" s="120" t="s">
        <v>336</v>
      </c>
      <c r="J94" s="42">
        <v>1</v>
      </c>
      <c r="K94" s="43">
        <v>0</v>
      </c>
      <c r="L94" s="43">
        <v>1</v>
      </c>
      <c r="M94" s="43">
        <v>0</v>
      </c>
      <c r="N94" s="55">
        <v>0</v>
      </c>
      <c r="O94" s="55">
        <v>0</v>
      </c>
      <c r="P94" s="57">
        <v>0</v>
      </c>
      <c r="Q94" s="42">
        <v>0</v>
      </c>
      <c r="R94" s="43">
        <v>1</v>
      </c>
      <c r="S94" s="44">
        <v>0</v>
      </c>
      <c r="T94" s="45">
        <f t="shared" si="6"/>
        <v>33.5</v>
      </c>
      <c r="U94" s="46">
        <v>0</v>
      </c>
      <c r="V94" s="46">
        <f t="shared" si="7"/>
        <v>0</v>
      </c>
      <c r="W94" s="46">
        <f t="shared" si="8"/>
        <v>2</v>
      </c>
      <c r="X94" s="121">
        <f t="shared" si="9"/>
        <v>0</v>
      </c>
      <c r="Y94" s="122">
        <f t="shared" si="10"/>
        <v>35.5</v>
      </c>
      <c r="Z94" s="123">
        <f t="shared" si="11"/>
        <v>36</v>
      </c>
    </row>
    <row r="95" spans="1:26" x14ac:dyDescent="0.25">
      <c r="A95" s="30" t="s">
        <v>42</v>
      </c>
      <c r="B95" s="30" t="s">
        <v>226</v>
      </c>
      <c r="C95" s="30" t="s">
        <v>341</v>
      </c>
      <c r="D95" s="30">
        <v>90000241</v>
      </c>
      <c r="E95" s="31" t="s">
        <v>342</v>
      </c>
      <c r="F95" s="30">
        <v>30843201</v>
      </c>
      <c r="G95" s="119" t="s">
        <v>343</v>
      </c>
      <c r="H95" s="31" t="s">
        <v>66</v>
      </c>
      <c r="I95" s="120" t="s">
        <v>344</v>
      </c>
      <c r="J95" s="42">
        <v>4</v>
      </c>
      <c r="K95" s="43">
        <v>0</v>
      </c>
      <c r="L95" s="43">
        <v>5</v>
      </c>
      <c r="M95" s="43">
        <v>0</v>
      </c>
      <c r="N95" s="55">
        <v>0</v>
      </c>
      <c r="O95" s="55">
        <v>0</v>
      </c>
      <c r="P95" s="57">
        <v>0</v>
      </c>
      <c r="Q95" s="42">
        <v>0</v>
      </c>
      <c r="R95" s="43">
        <v>15</v>
      </c>
      <c r="S95" s="44">
        <v>4</v>
      </c>
      <c r="T95" s="45">
        <f t="shared" si="6"/>
        <v>167.5</v>
      </c>
      <c r="U95" s="46">
        <v>0</v>
      </c>
      <c r="V95" s="46">
        <f t="shared" si="7"/>
        <v>0</v>
      </c>
      <c r="W95" s="46">
        <f t="shared" si="8"/>
        <v>30</v>
      </c>
      <c r="X95" s="121">
        <f t="shared" si="9"/>
        <v>6</v>
      </c>
      <c r="Y95" s="122">
        <f t="shared" si="10"/>
        <v>203.5</v>
      </c>
      <c r="Z95" s="123">
        <f t="shared" si="11"/>
        <v>204</v>
      </c>
    </row>
    <row r="96" spans="1:26" x14ac:dyDescent="0.25">
      <c r="A96" s="30" t="s">
        <v>42</v>
      </c>
      <c r="B96" s="30" t="s">
        <v>226</v>
      </c>
      <c r="C96" s="30" t="s">
        <v>345</v>
      </c>
      <c r="D96" s="30">
        <v>35697547</v>
      </c>
      <c r="E96" s="31" t="s">
        <v>346</v>
      </c>
      <c r="F96" s="30">
        <v>36082040</v>
      </c>
      <c r="G96" s="119" t="s">
        <v>347</v>
      </c>
      <c r="H96" s="31" t="s">
        <v>348</v>
      </c>
      <c r="I96" s="120" t="s">
        <v>349</v>
      </c>
      <c r="J96" s="42">
        <v>1</v>
      </c>
      <c r="K96" s="43">
        <v>0</v>
      </c>
      <c r="L96" s="43">
        <v>2</v>
      </c>
      <c r="M96" s="43">
        <v>0</v>
      </c>
      <c r="N96" s="55">
        <v>0</v>
      </c>
      <c r="O96" s="55">
        <v>0</v>
      </c>
      <c r="P96" s="57">
        <v>0</v>
      </c>
      <c r="Q96" s="42">
        <v>0</v>
      </c>
      <c r="R96" s="43">
        <v>13</v>
      </c>
      <c r="S96" s="44">
        <v>0</v>
      </c>
      <c r="T96" s="45">
        <f t="shared" si="6"/>
        <v>67</v>
      </c>
      <c r="U96" s="46">
        <v>6.8</v>
      </c>
      <c r="V96" s="46">
        <f t="shared" si="7"/>
        <v>0</v>
      </c>
      <c r="W96" s="46">
        <f t="shared" si="8"/>
        <v>26</v>
      </c>
      <c r="X96" s="121">
        <f t="shared" si="9"/>
        <v>0</v>
      </c>
      <c r="Y96" s="122">
        <f t="shared" si="10"/>
        <v>99.8</v>
      </c>
      <c r="Z96" s="123">
        <f t="shared" si="11"/>
        <v>100</v>
      </c>
    </row>
    <row r="97" spans="1:26" x14ac:dyDescent="0.25">
      <c r="A97" s="30" t="s">
        <v>42</v>
      </c>
      <c r="B97" s="30" t="s">
        <v>226</v>
      </c>
      <c r="C97" s="30" t="s">
        <v>227</v>
      </c>
      <c r="D97" s="30">
        <v>168637</v>
      </c>
      <c r="E97" s="31" t="s">
        <v>228</v>
      </c>
      <c r="F97" s="30">
        <v>686964</v>
      </c>
      <c r="G97" s="119" t="s">
        <v>229</v>
      </c>
      <c r="H97" s="31" t="s">
        <v>351</v>
      </c>
      <c r="I97" s="120" t="s">
        <v>352</v>
      </c>
      <c r="J97" s="42">
        <v>3</v>
      </c>
      <c r="K97" s="43">
        <v>0</v>
      </c>
      <c r="L97" s="43">
        <v>3</v>
      </c>
      <c r="M97" s="43">
        <v>0</v>
      </c>
      <c r="N97" s="55">
        <v>0</v>
      </c>
      <c r="O97" s="55">
        <v>0</v>
      </c>
      <c r="P97" s="57">
        <v>0</v>
      </c>
      <c r="Q97" s="42">
        <v>0</v>
      </c>
      <c r="R97" s="43">
        <v>3</v>
      </c>
      <c r="S97" s="44">
        <v>0</v>
      </c>
      <c r="T97" s="45">
        <f t="shared" si="6"/>
        <v>100.5</v>
      </c>
      <c r="U97" s="46">
        <v>22.5</v>
      </c>
      <c r="V97" s="46">
        <f t="shared" si="7"/>
        <v>0</v>
      </c>
      <c r="W97" s="46">
        <f t="shared" si="8"/>
        <v>6</v>
      </c>
      <c r="X97" s="121">
        <f t="shared" si="9"/>
        <v>0</v>
      </c>
      <c r="Y97" s="122">
        <f t="shared" si="10"/>
        <v>129</v>
      </c>
      <c r="Z97" s="123">
        <f t="shared" si="11"/>
        <v>129</v>
      </c>
    </row>
    <row r="98" spans="1:26" x14ac:dyDescent="0.25">
      <c r="A98" s="30" t="s">
        <v>357</v>
      </c>
      <c r="B98" s="30" t="s">
        <v>43</v>
      </c>
      <c r="C98" s="30" t="s">
        <v>358</v>
      </c>
      <c r="D98" s="30">
        <v>54130531</v>
      </c>
      <c r="E98" s="31" t="s">
        <v>359</v>
      </c>
      <c r="F98" s="30">
        <v>158461</v>
      </c>
      <c r="G98" s="119" t="s">
        <v>52</v>
      </c>
      <c r="H98" s="31" t="s">
        <v>366</v>
      </c>
      <c r="I98" s="120" t="s">
        <v>368</v>
      </c>
      <c r="J98" s="42">
        <v>1</v>
      </c>
      <c r="K98" s="43">
        <v>0</v>
      </c>
      <c r="L98" s="43">
        <v>3</v>
      </c>
      <c r="M98" s="43">
        <v>0</v>
      </c>
      <c r="N98" s="43">
        <v>0</v>
      </c>
      <c r="O98" s="43">
        <v>1</v>
      </c>
      <c r="P98" s="44">
        <v>0</v>
      </c>
      <c r="Q98" s="42">
        <v>0</v>
      </c>
      <c r="R98" s="43">
        <v>2</v>
      </c>
      <c r="S98" s="44">
        <v>0</v>
      </c>
      <c r="T98" s="45">
        <f t="shared" si="6"/>
        <v>100.5</v>
      </c>
      <c r="U98" s="46">
        <v>31.5</v>
      </c>
      <c r="V98" s="46">
        <f t="shared" si="7"/>
        <v>0</v>
      </c>
      <c r="W98" s="46">
        <f t="shared" si="8"/>
        <v>17.5</v>
      </c>
      <c r="X98" s="121">
        <f t="shared" si="9"/>
        <v>0</v>
      </c>
      <c r="Y98" s="122">
        <f t="shared" si="10"/>
        <v>149.5</v>
      </c>
      <c r="Z98" s="138">
        <f t="shared" si="11"/>
        <v>150</v>
      </c>
    </row>
    <row r="99" spans="1:26" x14ac:dyDescent="0.25">
      <c r="A99" s="30" t="s">
        <v>357</v>
      </c>
      <c r="B99" s="30" t="s">
        <v>43</v>
      </c>
      <c r="C99" s="30" t="s">
        <v>358</v>
      </c>
      <c r="D99" s="30">
        <v>54130531</v>
      </c>
      <c r="E99" s="31" t="s">
        <v>359</v>
      </c>
      <c r="F99" s="30">
        <v>51279177</v>
      </c>
      <c r="G99" s="119" t="s">
        <v>52</v>
      </c>
      <c r="H99" s="31" t="s">
        <v>219</v>
      </c>
      <c r="I99" s="120" t="s">
        <v>377</v>
      </c>
      <c r="J99" s="42">
        <v>1</v>
      </c>
      <c r="K99" s="43">
        <v>0</v>
      </c>
      <c r="L99" s="43">
        <v>3</v>
      </c>
      <c r="M99" s="43">
        <v>0</v>
      </c>
      <c r="N99" s="43">
        <v>0</v>
      </c>
      <c r="O99" s="43">
        <v>1</v>
      </c>
      <c r="P99" s="44">
        <v>0</v>
      </c>
      <c r="Q99" s="42">
        <v>0</v>
      </c>
      <c r="R99" s="43">
        <v>1</v>
      </c>
      <c r="S99" s="44">
        <v>0</v>
      </c>
      <c r="T99" s="45">
        <f t="shared" si="6"/>
        <v>100.5</v>
      </c>
      <c r="U99" s="46">
        <v>0</v>
      </c>
      <c r="V99" s="46">
        <f t="shared" si="7"/>
        <v>0</v>
      </c>
      <c r="W99" s="46">
        <f t="shared" si="8"/>
        <v>15.5</v>
      </c>
      <c r="X99" s="121">
        <f t="shared" si="9"/>
        <v>0</v>
      </c>
      <c r="Y99" s="122">
        <f t="shared" si="10"/>
        <v>116</v>
      </c>
      <c r="Z99" s="138">
        <f t="shared" si="11"/>
        <v>116</v>
      </c>
    </row>
    <row r="100" spans="1:26" ht="25.5" x14ac:dyDescent="0.25">
      <c r="A100" s="30" t="s">
        <v>357</v>
      </c>
      <c r="B100" s="30" t="s">
        <v>79</v>
      </c>
      <c r="C100" s="30" t="s">
        <v>380</v>
      </c>
      <c r="D100" s="30">
        <v>37836901</v>
      </c>
      <c r="E100" s="31" t="s">
        <v>381</v>
      </c>
      <c r="F100" s="30">
        <v>160130</v>
      </c>
      <c r="G100" s="119" t="s">
        <v>382</v>
      </c>
      <c r="H100" s="31" t="s">
        <v>360</v>
      </c>
      <c r="I100" s="120" t="s">
        <v>383</v>
      </c>
      <c r="J100" s="60">
        <v>4</v>
      </c>
      <c r="K100" s="61">
        <v>0</v>
      </c>
      <c r="L100" s="61">
        <v>5</v>
      </c>
      <c r="M100" s="61">
        <v>0</v>
      </c>
      <c r="N100" s="61">
        <v>0</v>
      </c>
      <c r="O100" s="61">
        <v>0</v>
      </c>
      <c r="P100" s="63">
        <v>0</v>
      </c>
      <c r="Q100" s="60">
        <v>0</v>
      </c>
      <c r="R100" s="61">
        <v>15</v>
      </c>
      <c r="S100" s="63">
        <v>2</v>
      </c>
      <c r="T100" s="45">
        <f t="shared" si="6"/>
        <v>167.5</v>
      </c>
      <c r="U100" s="46">
        <v>0</v>
      </c>
      <c r="V100" s="46">
        <f t="shared" si="7"/>
        <v>0</v>
      </c>
      <c r="W100" s="46">
        <f t="shared" si="8"/>
        <v>30</v>
      </c>
      <c r="X100" s="121">
        <f t="shared" si="9"/>
        <v>3</v>
      </c>
      <c r="Y100" s="122">
        <f t="shared" si="10"/>
        <v>200.5</v>
      </c>
      <c r="Z100" s="138">
        <f t="shared" si="11"/>
        <v>201</v>
      </c>
    </row>
    <row r="101" spans="1:26" x14ac:dyDescent="0.25">
      <c r="A101" s="30" t="s">
        <v>357</v>
      </c>
      <c r="B101" s="30" t="s">
        <v>79</v>
      </c>
      <c r="C101" s="30" t="s">
        <v>380</v>
      </c>
      <c r="D101" s="30">
        <v>37836901</v>
      </c>
      <c r="E101" s="31" t="s">
        <v>381</v>
      </c>
      <c r="F101" s="30">
        <v>53638549</v>
      </c>
      <c r="G101" s="119" t="s">
        <v>386</v>
      </c>
      <c r="H101" s="31" t="s">
        <v>360</v>
      </c>
      <c r="I101" s="120" t="s">
        <v>387</v>
      </c>
      <c r="J101" s="60">
        <v>5</v>
      </c>
      <c r="K101" s="61">
        <v>0</v>
      </c>
      <c r="L101" s="61">
        <v>7</v>
      </c>
      <c r="M101" s="61">
        <v>0</v>
      </c>
      <c r="N101" s="61">
        <v>0</v>
      </c>
      <c r="O101" s="61">
        <v>0</v>
      </c>
      <c r="P101" s="63">
        <v>0</v>
      </c>
      <c r="Q101" s="60">
        <v>0</v>
      </c>
      <c r="R101" s="61">
        <v>10</v>
      </c>
      <c r="S101" s="63">
        <v>25</v>
      </c>
      <c r="T101" s="45">
        <f t="shared" si="6"/>
        <v>234.5</v>
      </c>
      <c r="U101" s="46">
        <v>40.700000000000003</v>
      </c>
      <c r="V101" s="46">
        <f t="shared" si="7"/>
        <v>0</v>
      </c>
      <c r="W101" s="46">
        <f t="shared" si="8"/>
        <v>20</v>
      </c>
      <c r="X101" s="121">
        <f t="shared" si="9"/>
        <v>37.5</v>
      </c>
      <c r="Y101" s="122">
        <f t="shared" si="10"/>
        <v>332.7</v>
      </c>
      <c r="Z101" s="138">
        <f t="shared" si="11"/>
        <v>333</v>
      </c>
    </row>
    <row r="102" spans="1:26" x14ac:dyDescent="0.25">
      <c r="A102" s="30" t="s">
        <v>357</v>
      </c>
      <c r="B102" s="30" t="s">
        <v>79</v>
      </c>
      <c r="C102" s="30" t="s">
        <v>380</v>
      </c>
      <c r="D102" s="30">
        <v>37836901</v>
      </c>
      <c r="E102" s="31" t="s">
        <v>381</v>
      </c>
      <c r="F102" s="30">
        <v>53638522</v>
      </c>
      <c r="G102" s="119" t="s">
        <v>52</v>
      </c>
      <c r="H102" s="31" t="s">
        <v>360</v>
      </c>
      <c r="I102" s="120" t="s">
        <v>361</v>
      </c>
      <c r="J102" s="60">
        <v>5</v>
      </c>
      <c r="K102" s="61">
        <v>0</v>
      </c>
      <c r="L102" s="61">
        <v>10</v>
      </c>
      <c r="M102" s="61">
        <v>0</v>
      </c>
      <c r="N102" s="61">
        <v>0</v>
      </c>
      <c r="O102" s="61">
        <v>0</v>
      </c>
      <c r="P102" s="63">
        <v>0</v>
      </c>
      <c r="Q102" s="60">
        <v>0</v>
      </c>
      <c r="R102" s="61">
        <v>17</v>
      </c>
      <c r="S102" s="63">
        <v>16</v>
      </c>
      <c r="T102" s="45">
        <f t="shared" si="6"/>
        <v>335</v>
      </c>
      <c r="U102" s="46">
        <v>0</v>
      </c>
      <c r="V102" s="46">
        <f t="shared" si="7"/>
        <v>0</v>
      </c>
      <c r="W102" s="46">
        <f t="shared" si="8"/>
        <v>34</v>
      </c>
      <c r="X102" s="121">
        <f t="shared" si="9"/>
        <v>24</v>
      </c>
      <c r="Y102" s="122">
        <f t="shared" si="10"/>
        <v>393</v>
      </c>
      <c r="Z102" s="138">
        <f t="shared" si="11"/>
        <v>393</v>
      </c>
    </row>
    <row r="103" spans="1:26" ht="25.5" x14ac:dyDescent="0.25">
      <c r="A103" s="30" t="s">
        <v>357</v>
      </c>
      <c r="B103" s="30" t="s">
        <v>79</v>
      </c>
      <c r="C103" s="30" t="s">
        <v>380</v>
      </c>
      <c r="D103" s="30">
        <v>37836901</v>
      </c>
      <c r="E103" s="31" t="s">
        <v>381</v>
      </c>
      <c r="F103" s="30">
        <v>891649</v>
      </c>
      <c r="G103" s="119" t="s">
        <v>388</v>
      </c>
      <c r="H103" s="31" t="s">
        <v>360</v>
      </c>
      <c r="I103" s="120" t="s">
        <v>389</v>
      </c>
      <c r="J103" s="60">
        <v>3</v>
      </c>
      <c r="K103" s="61">
        <v>0</v>
      </c>
      <c r="L103" s="61">
        <v>5</v>
      </c>
      <c r="M103" s="61">
        <v>0</v>
      </c>
      <c r="N103" s="61">
        <v>0</v>
      </c>
      <c r="O103" s="61">
        <v>0</v>
      </c>
      <c r="P103" s="63">
        <v>0</v>
      </c>
      <c r="Q103" s="60">
        <v>0</v>
      </c>
      <c r="R103" s="61">
        <v>8</v>
      </c>
      <c r="S103" s="63">
        <v>2</v>
      </c>
      <c r="T103" s="45">
        <f t="shared" si="6"/>
        <v>167.5</v>
      </c>
      <c r="U103" s="46">
        <v>0</v>
      </c>
      <c r="V103" s="46">
        <f t="shared" si="7"/>
        <v>0</v>
      </c>
      <c r="W103" s="46">
        <f t="shared" si="8"/>
        <v>16</v>
      </c>
      <c r="X103" s="121">
        <f t="shared" si="9"/>
        <v>3</v>
      </c>
      <c r="Y103" s="122">
        <f t="shared" si="10"/>
        <v>186.5</v>
      </c>
      <c r="Z103" s="138">
        <f t="shared" si="11"/>
        <v>187</v>
      </c>
    </row>
    <row r="104" spans="1:26" x14ac:dyDescent="0.25">
      <c r="A104" s="127" t="s">
        <v>357</v>
      </c>
      <c r="B104" s="127" t="s">
        <v>79</v>
      </c>
      <c r="C104" s="127" t="s">
        <v>380</v>
      </c>
      <c r="D104" s="30">
        <v>37836901</v>
      </c>
      <c r="E104" s="31" t="s">
        <v>381</v>
      </c>
      <c r="F104" s="127">
        <v>160407</v>
      </c>
      <c r="G104" s="119" t="s">
        <v>394</v>
      </c>
      <c r="H104" s="31" t="s">
        <v>348</v>
      </c>
      <c r="I104" s="120" t="s">
        <v>393</v>
      </c>
      <c r="J104" s="60">
        <v>2</v>
      </c>
      <c r="K104" s="61">
        <v>0</v>
      </c>
      <c r="L104" s="61">
        <v>3</v>
      </c>
      <c r="M104" s="61">
        <v>0</v>
      </c>
      <c r="N104" s="61">
        <v>0</v>
      </c>
      <c r="O104" s="61">
        <v>0</v>
      </c>
      <c r="P104" s="63">
        <v>0</v>
      </c>
      <c r="Q104" s="60">
        <v>1</v>
      </c>
      <c r="R104" s="61">
        <v>3</v>
      </c>
      <c r="S104" s="63">
        <v>4</v>
      </c>
      <c r="T104" s="45">
        <f t="shared" si="6"/>
        <v>100.5</v>
      </c>
      <c r="U104" s="46">
        <v>0</v>
      </c>
      <c r="V104" s="46">
        <f t="shared" si="7"/>
        <v>1.5</v>
      </c>
      <c r="W104" s="46">
        <f t="shared" si="8"/>
        <v>6</v>
      </c>
      <c r="X104" s="121">
        <f t="shared" si="9"/>
        <v>6</v>
      </c>
      <c r="Y104" s="122">
        <f t="shared" si="10"/>
        <v>114</v>
      </c>
      <c r="Z104" s="138">
        <f t="shared" si="11"/>
        <v>114</v>
      </c>
    </row>
    <row r="105" spans="1:26" x14ac:dyDescent="0.25">
      <c r="A105" s="30" t="s">
        <v>357</v>
      </c>
      <c r="B105" s="30" t="s">
        <v>79</v>
      </c>
      <c r="C105" s="30" t="s">
        <v>380</v>
      </c>
      <c r="D105" s="30">
        <v>37836901</v>
      </c>
      <c r="E105" s="31" t="s">
        <v>381</v>
      </c>
      <c r="F105" s="30">
        <v>44351</v>
      </c>
      <c r="G105" s="119" t="s">
        <v>395</v>
      </c>
      <c r="H105" s="31" t="s">
        <v>396</v>
      </c>
      <c r="I105" s="120" t="s">
        <v>397</v>
      </c>
      <c r="J105" s="60">
        <v>1</v>
      </c>
      <c r="K105" s="61">
        <v>0</v>
      </c>
      <c r="L105" s="61">
        <v>1</v>
      </c>
      <c r="M105" s="61">
        <v>0</v>
      </c>
      <c r="N105" s="61">
        <v>0</v>
      </c>
      <c r="O105" s="61">
        <v>0</v>
      </c>
      <c r="P105" s="63">
        <v>0</v>
      </c>
      <c r="Q105" s="60">
        <v>0</v>
      </c>
      <c r="R105" s="61">
        <v>1</v>
      </c>
      <c r="S105" s="63">
        <v>2</v>
      </c>
      <c r="T105" s="45">
        <f t="shared" si="6"/>
        <v>33.5</v>
      </c>
      <c r="U105" s="46">
        <v>10.5</v>
      </c>
      <c r="V105" s="46">
        <f t="shared" si="7"/>
        <v>0</v>
      </c>
      <c r="W105" s="46">
        <f t="shared" si="8"/>
        <v>2</v>
      </c>
      <c r="X105" s="121">
        <f t="shared" si="9"/>
        <v>3</v>
      </c>
      <c r="Y105" s="122">
        <f t="shared" si="10"/>
        <v>49</v>
      </c>
      <c r="Z105" s="138">
        <f t="shared" si="11"/>
        <v>49</v>
      </c>
    </row>
    <row r="106" spans="1:26" x14ac:dyDescent="0.25">
      <c r="A106" s="30" t="s">
        <v>357</v>
      </c>
      <c r="B106" s="30" t="s">
        <v>79</v>
      </c>
      <c r="C106" s="30" t="s">
        <v>380</v>
      </c>
      <c r="D106" s="30">
        <v>37836901</v>
      </c>
      <c r="E106" s="31" t="s">
        <v>381</v>
      </c>
      <c r="F106" s="30">
        <v>351873</v>
      </c>
      <c r="G106" s="119" t="s">
        <v>402</v>
      </c>
      <c r="H106" s="31" t="s">
        <v>399</v>
      </c>
      <c r="I106" s="120" t="s">
        <v>403</v>
      </c>
      <c r="J106" s="60">
        <v>6</v>
      </c>
      <c r="K106" s="61">
        <v>0</v>
      </c>
      <c r="L106" s="61">
        <v>6</v>
      </c>
      <c r="M106" s="61">
        <v>0</v>
      </c>
      <c r="N106" s="61">
        <v>0</v>
      </c>
      <c r="O106" s="61">
        <v>0</v>
      </c>
      <c r="P106" s="63">
        <v>0</v>
      </c>
      <c r="Q106" s="60">
        <v>0</v>
      </c>
      <c r="R106" s="61">
        <v>11</v>
      </c>
      <c r="S106" s="63">
        <v>5</v>
      </c>
      <c r="T106" s="45">
        <f t="shared" si="6"/>
        <v>201</v>
      </c>
      <c r="U106" s="46">
        <v>54.9</v>
      </c>
      <c r="V106" s="46">
        <f t="shared" si="7"/>
        <v>0</v>
      </c>
      <c r="W106" s="46">
        <f t="shared" si="8"/>
        <v>22</v>
      </c>
      <c r="X106" s="121">
        <f t="shared" si="9"/>
        <v>7.5</v>
      </c>
      <c r="Y106" s="122">
        <f t="shared" si="10"/>
        <v>285.39999999999998</v>
      </c>
      <c r="Z106" s="138">
        <f t="shared" si="11"/>
        <v>285</v>
      </c>
    </row>
    <row r="107" spans="1:26" ht="25.5" x14ac:dyDescent="0.25">
      <c r="A107" s="30" t="s">
        <v>357</v>
      </c>
      <c r="B107" s="30" t="s">
        <v>79</v>
      </c>
      <c r="C107" s="30" t="s">
        <v>380</v>
      </c>
      <c r="D107" s="30">
        <v>37836901</v>
      </c>
      <c r="E107" s="31" t="s">
        <v>381</v>
      </c>
      <c r="F107" s="30">
        <v>158984</v>
      </c>
      <c r="G107" s="119" t="s">
        <v>388</v>
      </c>
      <c r="H107" s="31" t="s">
        <v>399</v>
      </c>
      <c r="I107" s="120" t="s">
        <v>404</v>
      </c>
      <c r="J107" s="60">
        <v>4</v>
      </c>
      <c r="K107" s="61">
        <v>0</v>
      </c>
      <c r="L107" s="61">
        <v>4</v>
      </c>
      <c r="M107" s="61">
        <v>0</v>
      </c>
      <c r="N107" s="61">
        <v>1</v>
      </c>
      <c r="O107" s="61">
        <v>0</v>
      </c>
      <c r="P107" s="63">
        <v>0</v>
      </c>
      <c r="Q107" s="60">
        <v>1</v>
      </c>
      <c r="R107" s="61">
        <v>3</v>
      </c>
      <c r="S107" s="63">
        <v>3</v>
      </c>
      <c r="T107" s="45">
        <f t="shared" si="6"/>
        <v>134</v>
      </c>
      <c r="U107" s="64">
        <v>2.5</v>
      </c>
      <c r="V107" s="46">
        <f t="shared" si="7"/>
        <v>15</v>
      </c>
      <c r="W107" s="46">
        <f t="shared" si="8"/>
        <v>6</v>
      </c>
      <c r="X107" s="121">
        <f t="shared" si="9"/>
        <v>4.5</v>
      </c>
      <c r="Y107" s="122">
        <f t="shared" si="10"/>
        <v>162</v>
      </c>
      <c r="Z107" s="138">
        <f t="shared" si="11"/>
        <v>162</v>
      </c>
    </row>
    <row r="108" spans="1:26" x14ac:dyDescent="0.25">
      <c r="A108" s="30" t="s">
        <v>357</v>
      </c>
      <c r="B108" s="30" t="s">
        <v>79</v>
      </c>
      <c r="C108" s="30" t="s">
        <v>380</v>
      </c>
      <c r="D108" s="30">
        <v>37836901</v>
      </c>
      <c r="E108" s="31" t="s">
        <v>381</v>
      </c>
      <c r="F108" s="30">
        <v>160351</v>
      </c>
      <c r="G108" s="119" t="s">
        <v>405</v>
      </c>
      <c r="H108" s="31" t="s">
        <v>406</v>
      </c>
      <c r="I108" s="120" t="s">
        <v>407</v>
      </c>
      <c r="J108" s="60">
        <v>1</v>
      </c>
      <c r="K108" s="61">
        <v>0</v>
      </c>
      <c r="L108" s="61">
        <v>1</v>
      </c>
      <c r="M108" s="61">
        <v>0</v>
      </c>
      <c r="N108" s="61">
        <v>0</v>
      </c>
      <c r="O108" s="61">
        <v>0</v>
      </c>
      <c r="P108" s="63">
        <v>0</v>
      </c>
      <c r="Q108" s="60">
        <v>0</v>
      </c>
      <c r="R108" s="61">
        <v>1</v>
      </c>
      <c r="S108" s="63">
        <v>1</v>
      </c>
      <c r="T108" s="45">
        <f t="shared" si="6"/>
        <v>33.5</v>
      </c>
      <c r="U108" s="46">
        <v>0</v>
      </c>
      <c r="V108" s="46">
        <f t="shared" si="7"/>
        <v>0</v>
      </c>
      <c r="W108" s="46">
        <f t="shared" si="8"/>
        <v>2</v>
      </c>
      <c r="X108" s="121">
        <f t="shared" si="9"/>
        <v>1.5</v>
      </c>
      <c r="Y108" s="122">
        <f t="shared" si="10"/>
        <v>37</v>
      </c>
      <c r="Z108" s="138">
        <f t="shared" si="11"/>
        <v>37</v>
      </c>
    </row>
    <row r="109" spans="1:26" x14ac:dyDescent="0.25">
      <c r="A109" s="127" t="s">
        <v>357</v>
      </c>
      <c r="B109" s="127" t="s">
        <v>79</v>
      </c>
      <c r="C109" s="127" t="s">
        <v>380</v>
      </c>
      <c r="D109" s="30">
        <v>37836901</v>
      </c>
      <c r="E109" s="31" t="s">
        <v>381</v>
      </c>
      <c r="F109" s="127">
        <v>400238</v>
      </c>
      <c r="G109" s="119" t="s">
        <v>100</v>
      </c>
      <c r="H109" s="31" t="s">
        <v>406</v>
      </c>
      <c r="I109" s="120" t="s">
        <v>408</v>
      </c>
      <c r="J109" s="60">
        <v>1</v>
      </c>
      <c r="K109" s="61">
        <v>0</v>
      </c>
      <c r="L109" s="61">
        <v>1</v>
      </c>
      <c r="M109" s="61">
        <v>0</v>
      </c>
      <c r="N109" s="61">
        <v>0</v>
      </c>
      <c r="O109" s="61">
        <v>0</v>
      </c>
      <c r="P109" s="63">
        <v>0</v>
      </c>
      <c r="Q109" s="60">
        <v>0</v>
      </c>
      <c r="R109" s="61">
        <v>2</v>
      </c>
      <c r="S109" s="63">
        <v>0</v>
      </c>
      <c r="T109" s="45">
        <f t="shared" si="6"/>
        <v>33.5</v>
      </c>
      <c r="U109" s="46">
        <v>2.9</v>
      </c>
      <c r="V109" s="46">
        <f t="shared" si="7"/>
        <v>0</v>
      </c>
      <c r="W109" s="46">
        <f t="shared" si="8"/>
        <v>4</v>
      </c>
      <c r="X109" s="121">
        <f t="shared" si="9"/>
        <v>0</v>
      </c>
      <c r="Y109" s="122">
        <f t="shared" si="10"/>
        <v>40.4</v>
      </c>
      <c r="Z109" s="138">
        <f t="shared" si="11"/>
        <v>40</v>
      </c>
    </row>
    <row r="110" spans="1:26" x14ac:dyDescent="0.25">
      <c r="A110" s="30" t="s">
        <v>357</v>
      </c>
      <c r="B110" s="30" t="s">
        <v>79</v>
      </c>
      <c r="C110" s="30" t="s">
        <v>380</v>
      </c>
      <c r="D110" s="30">
        <v>37836901</v>
      </c>
      <c r="E110" s="31" t="s">
        <v>381</v>
      </c>
      <c r="F110" s="30">
        <v>160164</v>
      </c>
      <c r="G110" s="119" t="s">
        <v>409</v>
      </c>
      <c r="H110" s="31" t="s">
        <v>366</v>
      </c>
      <c r="I110" s="120" t="s">
        <v>410</v>
      </c>
      <c r="J110" s="60">
        <v>1</v>
      </c>
      <c r="K110" s="61">
        <v>0</v>
      </c>
      <c r="L110" s="61">
        <v>1</v>
      </c>
      <c r="M110" s="61">
        <v>0</v>
      </c>
      <c r="N110" s="61">
        <v>0</v>
      </c>
      <c r="O110" s="61">
        <v>0</v>
      </c>
      <c r="P110" s="63">
        <v>0</v>
      </c>
      <c r="Q110" s="60">
        <v>0</v>
      </c>
      <c r="R110" s="61">
        <v>2</v>
      </c>
      <c r="S110" s="63">
        <v>2</v>
      </c>
      <c r="T110" s="45">
        <f t="shared" si="6"/>
        <v>33.5</v>
      </c>
      <c r="U110" s="46">
        <v>0</v>
      </c>
      <c r="V110" s="46">
        <f t="shared" si="7"/>
        <v>0</v>
      </c>
      <c r="W110" s="46">
        <f t="shared" si="8"/>
        <v>4</v>
      </c>
      <c r="X110" s="121">
        <f t="shared" si="9"/>
        <v>3</v>
      </c>
      <c r="Y110" s="122">
        <f t="shared" si="10"/>
        <v>40.5</v>
      </c>
      <c r="Z110" s="138">
        <f t="shared" si="11"/>
        <v>41</v>
      </c>
    </row>
    <row r="111" spans="1:26" x14ac:dyDescent="0.25">
      <c r="A111" s="30" t="s">
        <v>357</v>
      </c>
      <c r="B111" s="30" t="s">
        <v>79</v>
      </c>
      <c r="C111" s="30" t="s">
        <v>380</v>
      </c>
      <c r="D111" s="30">
        <v>37836901</v>
      </c>
      <c r="E111" s="31" t="s">
        <v>381</v>
      </c>
      <c r="F111" s="30">
        <v>17053811</v>
      </c>
      <c r="G111" s="119" t="s">
        <v>106</v>
      </c>
      <c r="H111" s="31" t="s">
        <v>366</v>
      </c>
      <c r="I111" s="120" t="s">
        <v>411</v>
      </c>
      <c r="J111" s="60">
        <v>2</v>
      </c>
      <c r="K111" s="61">
        <v>0</v>
      </c>
      <c r="L111" s="61">
        <v>2</v>
      </c>
      <c r="M111" s="61">
        <v>0</v>
      </c>
      <c r="N111" s="61">
        <v>0</v>
      </c>
      <c r="O111" s="61">
        <v>0</v>
      </c>
      <c r="P111" s="63">
        <v>0</v>
      </c>
      <c r="Q111" s="60">
        <v>0</v>
      </c>
      <c r="R111" s="61">
        <v>3</v>
      </c>
      <c r="S111" s="63">
        <v>0</v>
      </c>
      <c r="T111" s="45">
        <f t="shared" si="6"/>
        <v>67</v>
      </c>
      <c r="U111" s="46">
        <v>0</v>
      </c>
      <c r="V111" s="46">
        <f t="shared" si="7"/>
        <v>0</v>
      </c>
      <c r="W111" s="46">
        <f t="shared" si="8"/>
        <v>6</v>
      </c>
      <c r="X111" s="121">
        <f t="shared" si="9"/>
        <v>0</v>
      </c>
      <c r="Y111" s="122">
        <f t="shared" si="10"/>
        <v>73</v>
      </c>
      <c r="Z111" s="138">
        <f t="shared" si="11"/>
        <v>73</v>
      </c>
    </row>
    <row r="112" spans="1:26" x14ac:dyDescent="0.25">
      <c r="A112" s="30" t="s">
        <v>357</v>
      </c>
      <c r="B112" s="30" t="s">
        <v>79</v>
      </c>
      <c r="C112" s="30" t="s">
        <v>380</v>
      </c>
      <c r="D112" s="30">
        <v>37836901</v>
      </c>
      <c r="E112" s="31" t="s">
        <v>381</v>
      </c>
      <c r="F112" s="30">
        <v>17050324</v>
      </c>
      <c r="G112" s="119" t="s">
        <v>154</v>
      </c>
      <c r="H112" s="31" t="s">
        <v>366</v>
      </c>
      <c r="I112" s="120" t="s">
        <v>412</v>
      </c>
      <c r="J112" s="60">
        <v>4</v>
      </c>
      <c r="K112" s="61">
        <v>0</v>
      </c>
      <c r="L112" s="61">
        <v>6</v>
      </c>
      <c r="M112" s="61">
        <v>0</v>
      </c>
      <c r="N112" s="61">
        <v>0</v>
      </c>
      <c r="O112" s="61">
        <v>0</v>
      </c>
      <c r="P112" s="63">
        <v>0</v>
      </c>
      <c r="Q112" s="60">
        <v>0</v>
      </c>
      <c r="R112" s="61">
        <v>16</v>
      </c>
      <c r="S112" s="63">
        <v>18</v>
      </c>
      <c r="T112" s="45">
        <f t="shared" si="6"/>
        <v>201</v>
      </c>
      <c r="U112" s="46">
        <v>55.35</v>
      </c>
      <c r="V112" s="46">
        <f t="shared" si="7"/>
        <v>0</v>
      </c>
      <c r="W112" s="46">
        <f t="shared" si="8"/>
        <v>32</v>
      </c>
      <c r="X112" s="121">
        <f t="shared" si="9"/>
        <v>27</v>
      </c>
      <c r="Y112" s="122">
        <f t="shared" si="10"/>
        <v>315.35000000000002</v>
      </c>
      <c r="Z112" s="138">
        <f t="shared" si="11"/>
        <v>315</v>
      </c>
    </row>
    <row r="113" spans="1:26" x14ac:dyDescent="0.25">
      <c r="A113" s="30" t="s">
        <v>357</v>
      </c>
      <c r="B113" s="30" t="s">
        <v>79</v>
      </c>
      <c r="C113" s="30" t="s">
        <v>380</v>
      </c>
      <c r="D113" s="30">
        <v>37836901</v>
      </c>
      <c r="E113" s="31" t="s">
        <v>381</v>
      </c>
      <c r="F113" s="30">
        <v>160318</v>
      </c>
      <c r="G113" s="119" t="s">
        <v>413</v>
      </c>
      <c r="H113" s="31" t="s">
        <v>369</v>
      </c>
      <c r="I113" s="120" t="s">
        <v>414</v>
      </c>
      <c r="J113" s="60">
        <v>1</v>
      </c>
      <c r="K113" s="61">
        <v>0</v>
      </c>
      <c r="L113" s="61">
        <v>1</v>
      </c>
      <c r="M113" s="61">
        <v>0</v>
      </c>
      <c r="N113" s="61">
        <v>0</v>
      </c>
      <c r="O113" s="61">
        <v>0</v>
      </c>
      <c r="P113" s="63">
        <v>0</v>
      </c>
      <c r="Q113" s="60">
        <v>0</v>
      </c>
      <c r="R113" s="61">
        <v>1</v>
      </c>
      <c r="S113" s="63">
        <v>1</v>
      </c>
      <c r="T113" s="45">
        <f t="shared" si="6"/>
        <v>33.5</v>
      </c>
      <c r="U113" s="46">
        <v>2.1</v>
      </c>
      <c r="V113" s="46">
        <f t="shared" si="7"/>
        <v>0</v>
      </c>
      <c r="W113" s="46">
        <f t="shared" si="8"/>
        <v>2</v>
      </c>
      <c r="X113" s="121">
        <f t="shared" si="9"/>
        <v>1.5</v>
      </c>
      <c r="Y113" s="122">
        <f t="shared" si="10"/>
        <v>39.1</v>
      </c>
      <c r="Z113" s="138">
        <f t="shared" si="11"/>
        <v>39</v>
      </c>
    </row>
    <row r="114" spans="1:26" x14ac:dyDescent="0.25">
      <c r="A114" s="30" t="s">
        <v>357</v>
      </c>
      <c r="B114" s="30" t="s">
        <v>79</v>
      </c>
      <c r="C114" s="30" t="s">
        <v>380</v>
      </c>
      <c r="D114" s="30">
        <v>37836901</v>
      </c>
      <c r="E114" s="31" t="s">
        <v>381</v>
      </c>
      <c r="F114" s="30">
        <v>162019</v>
      </c>
      <c r="G114" s="119" t="s">
        <v>415</v>
      </c>
      <c r="H114" s="31" t="s">
        <v>369</v>
      </c>
      <c r="I114" s="120" t="s">
        <v>416</v>
      </c>
      <c r="J114" s="60">
        <v>3</v>
      </c>
      <c r="K114" s="61">
        <v>0</v>
      </c>
      <c r="L114" s="61">
        <v>11</v>
      </c>
      <c r="M114" s="61">
        <v>0</v>
      </c>
      <c r="N114" s="61">
        <v>0</v>
      </c>
      <c r="O114" s="61">
        <v>3</v>
      </c>
      <c r="P114" s="63">
        <v>0</v>
      </c>
      <c r="Q114" s="60">
        <v>0</v>
      </c>
      <c r="R114" s="61">
        <v>106</v>
      </c>
      <c r="S114" s="63">
        <v>0</v>
      </c>
      <c r="T114" s="45">
        <f t="shared" si="6"/>
        <v>368.5</v>
      </c>
      <c r="U114" s="46">
        <v>0</v>
      </c>
      <c r="V114" s="46">
        <f t="shared" si="7"/>
        <v>0</v>
      </c>
      <c r="W114" s="46">
        <f t="shared" si="8"/>
        <v>252.5</v>
      </c>
      <c r="X114" s="121">
        <f t="shared" si="9"/>
        <v>0</v>
      </c>
      <c r="Y114" s="122">
        <f t="shared" si="10"/>
        <v>621</v>
      </c>
      <c r="Z114" s="138">
        <f t="shared" si="11"/>
        <v>621</v>
      </c>
    </row>
    <row r="115" spans="1:26" x14ac:dyDescent="0.25">
      <c r="A115" s="30" t="s">
        <v>357</v>
      </c>
      <c r="B115" s="30" t="s">
        <v>79</v>
      </c>
      <c r="C115" s="30" t="s">
        <v>380</v>
      </c>
      <c r="D115" s="30">
        <v>37836901</v>
      </c>
      <c r="E115" s="31" t="s">
        <v>381</v>
      </c>
      <c r="F115" s="30">
        <v>654302</v>
      </c>
      <c r="G115" s="119" t="s">
        <v>402</v>
      </c>
      <c r="H115" s="31" t="s">
        <v>369</v>
      </c>
      <c r="I115" s="120" t="s">
        <v>417</v>
      </c>
      <c r="J115" s="60">
        <v>1</v>
      </c>
      <c r="K115" s="61">
        <v>0</v>
      </c>
      <c r="L115" s="61">
        <v>2</v>
      </c>
      <c r="M115" s="61">
        <v>0</v>
      </c>
      <c r="N115" s="61">
        <v>0</v>
      </c>
      <c r="O115" s="61">
        <v>0</v>
      </c>
      <c r="P115" s="63">
        <v>0</v>
      </c>
      <c r="Q115" s="60">
        <v>0</v>
      </c>
      <c r="R115" s="61">
        <v>0</v>
      </c>
      <c r="S115" s="63">
        <v>11</v>
      </c>
      <c r="T115" s="45">
        <f t="shared" si="6"/>
        <v>67</v>
      </c>
      <c r="U115" s="46">
        <v>14.6</v>
      </c>
      <c r="V115" s="46">
        <f t="shared" si="7"/>
        <v>0</v>
      </c>
      <c r="W115" s="46">
        <f t="shared" si="8"/>
        <v>0</v>
      </c>
      <c r="X115" s="121">
        <f t="shared" si="9"/>
        <v>16.5</v>
      </c>
      <c r="Y115" s="122">
        <f t="shared" si="10"/>
        <v>98.1</v>
      </c>
      <c r="Z115" s="138">
        <f t="shared" si="11"/>
        <v>98</v>
      </c>
    </row>
    <row r="116" spans="1:26" x14ac:dyDescent="0.25">
      <c r="A116" s="30" t="s">
        <v>357</v>
      </c>
      <c r="B116" s="30" t="s">
        <v>79</v>
      </c>
      <c r="C116" s="30" t="s">
        <v>380</v>
      </c>
      <c r="D116" s="30">
        <v>37836901</v>
      </c>
      <c r="E116" s="31" t="s">
        <v>381</v>
      </c>
      <c r="F116" s="30">
        <v>891568</v>
      </c>
      <c r="G116" s="119" t="s">
        <v>154</v>
      </c>
      <c r="H116" s="31" t="s">
        <v>369</v>
      </c>
      <c r="I116" s="120" t="s">
        <v>418</v>
      </c>
      <c r="J116" s="60">
        <v>1</v>
      </c>
      <c r="K116" s="61">
        <v>0</v>
      </c>
      <c r="L116" s="61">
        <v>3</v>
      </c>
      <c r="M116" s="61">
        <v>0</v>
      </c>
      <c r="N116" s="61">
        <v>0</v>
      </c>
      <c r="O116" s="61">
        <v>0</v>
      </c>
      <c r="P116" s="63">
        <v>0</v>
      </c>
      <c r="Q116" s="60">
        <v>0</v>
      </c>
      <c r="R116" s="61">
        <v>0</v>
      </c>
      <c r="S116" s="63">
        <v>70</v>
      </c>
      <c r="T116" s="45">
        <f t="shared" si="6"/>
        <v>100.5</v>
      </c>
      <c r="U116" s="46">
        <v>0</v>
      </c>
      <c r="V116" s="46">
        <f t="shared" si="7"/>
        <v>0</v>
      </c>
      <c r="W116" s="46">
        <f t="shared" si="8"/>
        <v>0</v>
      </c>
      <c r="X116" s="121">
        <f t="shared" si="9"/>
        <v>105</v>
      </c>
      <c r="Y116" s="122">
        <f t="shared" si="10"/>
        <v>205.5</v>
      </c>
      <c r="Z116" s="138">
        <f t="shared" si="11"/>
        <v>206</v>
      </c>
    </row>
    <row r="117" spans="1:26" x14ac:dyDescent="0.25">
      <c r="A117" s="30" t="s">
        <v>357</v>
      </c>
      <c r="B117" s="30" t="s">
        <v>79</v>
      </c>
      <c r="C117" s="30" t="s">
        <v>380</v>
      </c>
      <c r="D117" s="30">
        <v>37836901</v>
      </c>
      <c r="E117" s="31" t="s">
        <v>381</v>
      </c>
      <c r="F117" s="30">
        <v>161454</v>
      </c>
      <c r="G117" s="119" t="s">
        <v>88</v>
      </c>
      <c r="H117" s="31" t="s">
        <v>369</v>
      </c>
      <c r="I117" s="120" t="s">
        <v>419</v>
      </c>
      <c r="J117" s="60">
        <v>3</v>
      </c>
      <c r="K117" s="61">
        <v>0</v>
      </c>
      <c r="L117" s="61">
        <v>3</v>
      </c>
      <c r="M117" s="61">
        <v>0</v>
      </c>
      <c r="N117" s="61">
        <v>0</v>
      </c>
      <c r="O117" s="61">
        <v>0</v>
      </c>
      <c r="P117" s="63">
        <v>0</v>
      </c>
      <c r="Q117" s="60">
        <v>0</v>
      </c>
      <c r="R117" s="61">
        <v>3</v>
      </c>
      <c r="S117" s="63">
        <v>1</v>
      </c>
      <c r="T117" s="45">
        <f t="shared" si="6"/>
        <v>100.5</v>
      </c>
      <c r="U117" s="46">
        <v>0</v>
      </c>
      <c r="V117" s="46">
        <f t="shared" si="7"/>
        <v>0</v>
      </c>
      <c r="W117" s="46">
        <f t="shared" si="8"/>
        <v>6</v>
      </c>
      <c r="X117" s="121">
        <f t="shared" si="9"/>
        <v>1.5</v>
      </c>
      <c r="Y117" s="122">
        <f t="shared" si="10"/>
        <v>108</v>
      </c>
      <c r="Z117" s="138">
        <f t="shared" si="11"/>
        <v>108</v>
      </c>
    </row>
    <row r="118" spans="1:26" x14ac:dyDescent="0.25">
      <c r="A118" s="30" t="s">
        <v>357</v>
      </c>
      <c r="B118" s="30" t="s">
        <v>79</v>
      </c>
      <c r="C118" s="30" t="s">
        <v>380</v>
      </c>
      <c r="D118" s="30">
        <v>37836901</v>
      </c>
      <c r="E118" s="31" t="s">
        <v>381</v>
      </c>
      <c r="F118" s="30">
        <v>53638581</v>
      </c>
      <c r="G118" s="119" t="s">
        <v>52</v>
      </c>
      <c r="H118" s="31" t="s">
        <v>420</v>
      </c>
      <c r="I118" s="120" t="s">
        <v>421</v>
      </c>
      <c r="J118" s="60">
        <v>1</v>
      </c>
      <c r="K118" s="61">
        <v>0</v>
      </c>
      <c r="L118" s="61">
        <v>1</v>
      </c>
      <c r="M118" s="61">
        <v>0</v>
      </c>
      <c r="N118" s="61">
        <v>0</v>
      </c>
      <c r="O118" s="61">
        <v>1</v>
      </c>
      <c r="P118" s="63">
        <v>0</v>
      </c>
      <c r="Q118" s="60">
        <v>0</v>
      </c>
      <c r="R118" s="61">
        <v>1</v>
      </c>
      <c r="S118" s="63">
        <v>0</v>
      </c>
      <c r="T118" s="45">
        <f t="shared" si="6"/>
        <v>33.5</v>
      </c>
      <c r="U118" s="46">
        <v>12.8</v>
      </c>
      <c r="V118" s="46">
        <f t="shared" si="7"/>
        <v>0</v>
      </c>
      <c r="W118" s="46">
        <f t="shared" si="8"/>
        <v>15.5</v>
      </c>
      <c r="X118" s="121">
        <f t="shared" si="9"/>
        <v>0</v>
      </c>
      <c r="Y118" s="122">
        <f t="shared" si="10"/>
        <v>61.8</v>
      </c>
      <c r="Z118" s="138">
        <f t="shared" si="11"/>
        <v>62</v>
      </c>
    </row>
    <row r="119" spans="1:26" x14ac:dyDescent="0.25">
      <c r="A119" s="30" t="s">
        <v>357</v>
      </c>
      <c r="B119" s="30" t="s">
        <v>79</v>
      </c>
      <c r="C119" s="30" t="s">
        <v>380</v>
      </c>
      <c r="D119" s="30">
        <v>37836901</v>
      </c>
      <c r="E119" s="31" t="s">
        <v>381</v>
      </c>
      <c r="F119" s="30">
        <v>36092479</v>
      </c>
      <c r="G119" s="119" t="s">
        <v>422</v>
      </c>
      <c r="H119" s="31" t="s">
        <v>371</v>
      </c>
      <c r="I119" s="120" t="s">
        <v>423</v>
      </c>
      <c r="J119" s="60">
        <v>2</v>
      </c>
      <c r="K119" s="61">
        <v>0</v>
      </c>
      <c r="L119" s="61">
        <v>2</v>
      </c>
      <c r="M119" s="61">
        <v>0</v>
      </c>
      <c r="N119" s="61">
        <v>0</v>
      </c>
      <c r="O119" s="61">
        <v>0</v>
      </c>
      <c r="P119" s="63">
        <v>0</v>
      </c>
      <c r="Q119" s="60">
        <v>0</v>
      </c>
      <c r="R119" s="61">
        <v>7</v>
      </c>
      <c r="S119" s="63">
        <v>0</v>
      </c>
      <c r="T119" s="45">
        <f t="shared" si="6"/>
        <v>67</v>
      </c>
      <c r="U119" s="46">
        <v>0</v>
      </c>
      <c r="V119" s="46">
        <f t="shared" si="7"/>
        <v>0</v>
      </c>
      <c r="W119" s="46">
        <f t="shared" si="8"/>
        <v>14</v>
      </c>
      <c r="X119" s="121">
        <f t="shared" si="9"/>
        <v>0</v>
      </c>
      <c r="Y119" s="122">
        <f t="shared" si="10"/>
        <v>81</v>
      </c>
      <c r="Z119" s="138">
        <f t="shared" si="11"/>
        <v>81</v>
      </c>
    </row>
    <row r="120" spans="1:26" x14ac:dyDescent="0.25">
      <c r="A120" s="30" t="s">
        <v>357</v>
      </c>
      <c r="B120" s="30" t="s">
        <v>79</v>
      </c>
      <c r="C120" s="30" t="s">
        <v>380</v>
      </c>
      <c r="D120" s="30">
        <v>37836901</v>
      </c>
      <c r="E120" s="31" t="s">
        <v>381</v>
      </c>
      <c r="F120" s="30">
        <v>160342</v>
      </c>
      <c r="G120" s="119" t="s">
        <v>98</v>
      </c>
      <c r="H120" s="31" t="s">
        <v>373</v>
      </c>
      <c r="I120" s="120" t="s">
        <v>424</v>
      </c>
      <c r="J120" s="60">
        <v>1</v>
      </c>
      <c r="K120" s="61">
        <v>0</v>
      </c>
      <c r="L120" s="61">
        <v>1</v>
      </c>
      <c r="M120" s="61">
        <v>0</v>
      </c>
      <c r="N120" s="61">
        <v>0</v>
      </c>
      <c r="O120" s="61">
        <v>0</v>
      </c>
      <c r="P120" s="63">
        <v>0</v>
      </c>
      <c r="Q120" s="60">
        <v>0</v>
      </c>
      <c r="R120" s="61">
        <v>2</v>
      </c>
      <c r="S120" s="63">
        <v>0</v>
      </c>
      <c r="T120" s="45">
        <f t="shared" si="6"/>
        <v>33.5</v>
      </c>
      <c r="U120" s="46">
        <v>0</v>
      </c>
      <c r="V120" s="46">
        <f t="shared" si="7"/>
        <v>0</v>
      </c>
      <c r="W120" s="46">
        <f t="shared" si="8"/>
        <v>4</v>
      </c>
      <c r="X120" s="121">
        <f t="shared" si="9"/>
        <v>0</v>
      </c>
      <c r="Y120" s="122">
        <f t="shared" si="10"/>
        <v>37.5</v>
      </c>
      <c r="Z120" s="138">
        <f t="shared" si="11"/>
        <v>38</v>
      </c>
    </row>
    <row r="121" spans="1:26" ht="25.5" x14ac:dyDescent="0.25">
      <c r="A121" s="30" t="s">
        <v>357</v>
      </c>
      <c r="B121" s="30" t="s">
        <v>79</v>
      </c>
      <c r="C121" s="30" t="s">
        <v>380</v>
      </c>
      <c r="D121" s="30">
        <v>37836901</v>
      </c>
      <c r="E121" s="31" t="s">
        <v>381</v>
      </c>
      <c r="F121" s="30">
        <v>351997</v>
      </c>
      <c r="G121" s="119" t="s">
        <v>426</v>
      </c>
      <c r="H121" s="31" t="s">
        <v>373</v>
      </c>
      <c r="I121" s="120" t="s">
        <v>427</v>
      </c>
      <c r="J121" s="60">
        <v>6</v>
      </c>
      <c r="K121" s="61">
        <v>0</v>
      </c>
      <c r="L121" s="61">
        <v>7</v>
      </c>
      <c r="M121" s="61">
        <v>0</v>
      </c>
      <c r="N121" s="61">
        <v>0</v>
      </c>
      <c r="O121" s="61">
        <v>0</v>
      </c>
      <c r="P121" s="63">
        <v>0</v>
      </c>
      <c r="Q121" s="60">
        <v>0</v>
      </c>
      <c r="R121" s="61">
        <v>7</v>
      </c>
      <c r="S121" s="63">
        <v>5</v>
      </c>
      <c r="T121" s="45">
        <f t="shared" si="6"/>
        <v>234.5</v>
      </c>
      <c r="U121" s="46">
        <v>0</v>
      </c>
      <c r="V121" s="46">
        <f t="shared" si="7"/>
        <v>0</v>
      </c>
      <c r="W121" s="46">
        <f t="shared" si="8"/>
        <v>14</v>
      </c>
      <c r="X121" s="121">
        <f t="shared" si="9"/>
        <v>7.5</v>
      </c>
      <c r="Y121" s="122">
        <f t="shared" si="10"/>
        <v>256</v>
      </c>
      <c r="Z121" s="138">
        <f t="shared" si="11"/>
        <v>256</v>
      </c>
    </row>
    <row r="122" spans="1:26" x14ac:dyDescent="0.25">
      <c r="A122" s="30" t="s">
        <v>357</v>
      </c>
      <c r="B122" s="30" t="s">
        <v>79</v>
      </c>
      <c r="C122" s="30" t="s">
        <v>380</v>
      </c>
      <c r="D122" s="30">
        <v>37836901</v>
      </c>
      <c r="E122" s="31" t="s">
        <v>381</v>
      </c>
      <c r="F122" s="30">
        <v>17050456</v>
      </c>
      <c r="G122" s="119" t="s">
        <v>138</v>
      </c>
      <c r="H122" s="31" t="s">
        <v>428</v>
      </c>
      <c r="I122" s="120" t="s">
        <v>429</v>
      </c>
      <c r="J122" s="60">
        <v>3</v>
      </c>
      <c r="K122" s="61">
        <v>0</v>
      </c>
      <c r="L122" s="61">
        <v>6</v>
      </c>
      <c r="M122" s="61">
        <v>0</v>
      </c>
      <c r="N122" s="61">
        <v>0</v>
      </c>
      <c r="O122" s="61">
        <v>0</v>
      </c>
      <c r="P122" s="63">
        <v>0</v>
      </c>
      <c r="Q122" s="60">
        <v>1</v>
      </c>
      <c r="R122" s="61">
        <v>7</v>
      </c>
      <c r="S122" s="63">
        <v>4</v>
      </c>
      <c r="T122" s="45">
        <f t="shared" si="6"/>
        <v>201</v>
      </c>
      <c r="U122" s="46">
        <v>8.6</v>
      </c>
      <c r="V122" s="46">
        <f t="shared" si="7"/>
        <v>1.5</v>
      </c>
      <c r="W122" s="46">
        <f t="shared" si="8"/>
        <v>14</v>
      </c>
      <c r="X122" s="121">
        <f t="shared" si="9"/>
        <v>6</v>
      </c>
      <c r="Y122" s="122">
        <f t="shared" si="10"/>
        <v>231.1</v>
      </c>
      <c r="Z122" s="138">
        <f t="shared" si="11"/>
        <v>231</v>
      </c>
    </row>
    <row r="123" spans="1:26" x14ac:dyDescent="0.25">
      <c r="A123" s="30" t="s">
        <v>357</v>
      </c>
      <c r="B123" s="30" t="s">
        <v>79</v>
      </c>
      <c r="C123" s="30" t="s">
        <v>380</v>
      </c>
      <c r="D123" s="30">
        <v>37836901</v>
      </c>
      <c r="E123" s="31" t="s">
        <v>381</v>
      </c>
      <c r="F123" s="30">
        <v>53638611</v>
      </c>
      <c r="G123" s="119" t="s">
        <v>52</v>
      </c>
      <c r="H123" s="31" t="s">
        <v>430</v>
      </c>
      <c r="I123" s="120" t="s">
        <v>431</v>
      </c>
      <c r="J123" s="60">
        <v>9</v>
      </c>
      <c r="K123" s="61">
        <v>0</v>
      </c>
      <c r="L123" s="61">
        <v>13</v>
      </c>
      <c r="M123" s="61">
        <v>0</v>
      </c>
      <c r="N123" s="61">
        <v>0</v>
      </c>
      <c r="O123" s="61">
        <v>0</v>
      </c>
      <c r="P123" s="63">
        <v>0</v>
      </c>
      <c r="Q123" s="60">
        <v>2</v>
      </c>
      <c r="R123" s="61">
        <v>11</v>
      </c>
      <c r="S123" s="63">
        <v>12</v>
      </c>
      <c r="T123" s="45">
        <f t="shared" si="6"/>
        <v>435.5</v>
      </c>
      <c r="U123" s="58">
        <v>84</v>
      </c>
      <c r="V123" s="46">
        <f t="shared" si="7"/>
        <v>3</v>
      </c>
      <c r="W123" s="46">
        <f t="shared" si="8"/>
        <v>22</v>
      </c>
      <c r="X123" s="121">
        <f t="shared" si="9"/>
        <v>18</v>
      </c>
      <c r="Y123" s="122">
        <f t="shared" si="10"/>
        <v>562.5</v>
      </c>
      <c r="Z123" s="138">
        <f t="shared" si="11"/>
        <v>563</v>
      </c>
    </row>
    <row r="124" spans="1:26" x14ac:dyDescent="0.25">
      <c r="A124" s="30" t="s">
        <v>357</v>
      </c>
      <c r="B124" s="30" t="s">
        <v>79</v>
      </c>
      <c r="C124" s="30" t="s">
        <v>380</v>
      </c>
      <c r="D124" s="30">
        <v>37836901</v>
      </c>
      <c r="E124" s="31" t="s">
        <v>381</v>
      </c>
      <c r="F124" s="30">
        <v>160369</v>
      </c>
      <c r="G124" s="119" t="s">
        <v>432</v>
      </c>
      <c r="H124" s="31" t="s">
        <v>433</v>
      </c>
      <c r="I124" s="120" t="s">
        <v>434</v>
      </c>
      <c r="J124" s="60">
        <v>5</v>
      </c>
      <c r="K124" s="61">
        <v>0</v>
      </c>
      <c r="L124" s="61">
        <v>9</v>
      </c>
      <c r="M124" s="61">
        <v>0</v>
      </c>
      <c r="N124" s="61">
        <v>0</v>
      </c>
      <c r="O124" s="61">
        <v>0</v>
      </c>
      <c r="P124" s="63">
        <v>0</v>
      </c>
      <c r="Q124" s="60">
        <v>0</v>
      </c>
      <c r="R124" s="61">
        <v>12</v>
      </c>
      <c r="S124" s="63">
        <v>9</v>
      </c>
      <c r="T124" s="45">
        <f t="shared" si="6"/>
        <v>301.5</v>
      </c>
      <c r="U124" s="46">
        <v>16.23</v>
      </c>
      <c r="V124" s="46">
        <f t="shared" si="7"/>
        <v>0</v>
      </c>
      <c r="W124" s="46">
        <f t="shared" si="8"/>
        <v>24</v>
      </c>
      <c r="X124" s="121">
        <f t="shared" si="9"/>
        <v>13.5</v>
      </c>
      <c r="Y124" s="122">
        <f t="shared" si="10"/>
        <v>355.23</v>
      </c>
      <c r="Z124" s="138">
        <f t="shared" si="11"/>
        <v>355</v>
      </c>
    </row>
    <row r="125" spans="1:26" x14ac:dyDescent="0.25">
      <c r="A125" s="30" t="s">
        <v>357</v>
      </c>
      <c r="B125" s="30" t="s">
        <v>79</v>
      </c>
      <c r="C125" s="30" t="s">
        <v>380</v>
      </c>
      <c r="D125" s="30">
        <v>37836901</v>
      </c>
      <c r="E125" s="31" t="s">
        <v>381</v>
      </c>
      <c r="F125" s="30">
        <v>893137</v>
      </c>
      <c r="G125" s="119" t="s">
        <v>435</v>
      </c>
      <c r="H125" s="31" t="s">
        <v>433</v>
      </c>
      <c r="I125" s="120" t="s">
        <v>436</v>
      </c>
      <c r="J125" s="60">
        <v>4</v>
      </c>
      <c r="K125" s="61">
        <v>0</v>
      </c>
      <c r="L125" s="61">
        <v>9</v>
      </c>
      <c r="M125" s="61">
        <v>0</v>
      </c>
      <c r="N125" s="61">
        <v>0</v>
      </c>
      <c r="O125" s="61">
        <v>6</v>
      </c>
      <c r="P125" s="63">
        <v>1</v>
      </c>
      <c r="Q125" s="60">
        <v>0</v>
      </c>
      <c r="R125" s="61">
        <v>14</v>
      </c>
      <c r="S125" s="63">
        <v>17</v>
      </c>
      <c r="T125" s="45">
        <f t="shared" si="6"/>
        <v>301.5</v>
      </c>
      <c r="U125" s="46">
        <v>0</v>
      </c>
      <c r="V125" s="46">
        <f t="shared" si="7"/>
        <v>0</v>
      </c>
      <c r="W125" s="46">
        <f t="shared" si="8"/>
        <v>109</v>
      </c>
      <c r="X125" s="121">
        <f t="shared" si="9"/>
        <v>52.5</v>
      </c>
      <c r="Y125" s="122">
        <f t="shared" si="10"/>
        <v>463</v>
      </c>
      <c r="Z125" s="138">
        <f t="shared" si="11"/>
        <v>463</v>
      </c>
    </row>
    <row r="126" spans="1:26" x14ac:dyDescent="0.25">
      <c r="A126" s="30" t="s">
        <v>357</v>
      </c>
      <c r="B126" s="30" t="s">
        <v>79</v>
      </c>
      <c r="C126" s="30" t="s">
        <v>380</v>
      </c>
      <c r="D126" s="30">
        <v>37836901</v>
      </c>
      <c r="E126" s="31" t="s">
        <v>381</v>
      </c>
      <c r="F126" s="30">
        <v>160466</v>
      </c>
      <c r="G126" s="119" t="s">
        <v>438</v>
      </c>
      <c r="H126" s="31" t="s">
        <v>219</v>
      </c>
      <c r="I126" s="120" t="s">
        <v>439</v>
      </c>
      <c r="J126" s="60">
        <v>2</v>
      </c>
      <c r="K126" s="61">
        <v>0</v>
      </c>
      <c r="L126" s="61">
        <v>2</v>
      </c>
      <c r="M126" s="61">
        <v>0</v>
      </c>
      <c r="N126" s="61">
        <v>0</v>
      </c>
      <c r="O126" s="61">
        <v>0</v>
      </c>
      <c r="P126" s="63">
        <v>0</v>
      </c>
      <c r="Q126" s="60">
        <v>0</v>
      </c>
      <c r="R126" s="61">
        <v>0</v>
      </c>
      <c r="S126" s="63">
        <v>3</v>
      </c>
      <c r="T126" s="45">
        <f t="shared" si="6"/>
        <v>67</v>
      </c>
      <c r="U126" s="46">
        <v>0</v>
      </c>
      <c r="V126" s="46">
        <f t="shared" si="7"/>
        <v>0</v>
      </c>
      <c r="W126" s="46">
        <f t="shared" si="8"/>
        <v>0</v>
      </c>
      <c r="X126" s="121">
        <f t="shared" si="9"/>
        <v>4.5</v>
      </c>
      <c r="Y126" s="122">
        <f t="shared" si="10"/>
        <v>71.5</v>
      </c>
      <c r="Z126" s="138">
        <f t="shared" si="11"/>
        <v>72</v>
      </c>
    </row>
    <row r="127" spans="1:26" x14ac:dyDescent="0.25">
      <c r="A127" s="30" t="s">
        <v>357</v>
      </c>
      <c r="B127" s="30" t="s">
        <v>79</v>
      </c>
      <c r="C127" s="30" t="s">
        <v>380</v>
      </c>
      <c r="D127" s="30">
        <v>37836901</v>
      </c>
      <c r="E127" s="31" t="s">
        <v>381</v>
      </c>
      <c r="F127" s="30">
        <v>162001</v>
      </c>
      <c r="G127" s="119" t="s">
        <v>100</v>
      </c>
      <c r="H127" s="31" t="s">
        <v>219</v>
      </c>
      <c r="I127" s="120" t="s">
        <v>440</v>
      </c>
      <c r="J127" s="60">
        <v>3</v>
      </c>
      <c r="K127" s="61">
        <v>0</v>
      </c>
      <c r="L127" s="61">
        <v>4</v>
      </c>
      <c r="M127" s="61">
        <v>0</v>
      </c>
      <c r="N127" s="61">
        <v>0</v>
      </c>
      <c r="O127" s="61">
        <v>0</v>
      </c>
      <c r="P127" s="63">
        <v>0</v>
      </c>
      <c r="Q127" s="60">
        <v>0</v>
      </c>
      <c r="R127" s="61">
        <v>3</v>
      </c>
      <c r="S127" s="63">
        <v>1</v>
      </c>
      <c r="T127" s="45">
        <f t="shared" si="6"/>
        <v>134</v>
      </c>
      <c r="U127" s="46">
        <v>0</v>
      </c>
      <c r="V127" s="46">
        <f t="shared" si="7"/>
        <v>0</v>
      </c>
      <c r="W127" s="46">
        <f t="shared" si="8"/>
        <v>6</v>
      </c>
      <c r="X127" s="121">
        <f t="shared" si="9"/>
        <v>1.5</v>
      </c>
      <c r="Y127" s="122">
        <f t="shared" si="10"/>
        <v>141.5</v>
      </c>
      <c r="Z127" s="138">
        <f t="shared" si="11"/>
        <v>142</v>
      </c>
    </row>
    <row r="128" spans="1:26" x14ac:dyDescent="0.25">
      <c r="A128" s="30" t="s">
        <v>357</v>
      </c>
      <c r="B128" s="30" t="s">
        <v>79</v>
      </c>
      <c r="C128" s="30" t="s">
        <v>380</v>
      </c>
      <c r="D128" s="30">
        <v>37836901</v>
      </c>
      <c r="E128" s="31" t="s">
        <v>381</v>
      </c>
      <c r="F128" s="30">
        <v>53242599</v>
      </c>
      <c r="G128" s="119" t="s">
        <v>52</v>
      </c>
      <c r="H128" s="31" t="s">
        <v>219</v>
      </c>
      <c r="I128" s="120" t="s">
        <v>441</v>
      </c>
      <c r="J128" s="60">
        <v>1</v>
      </c>
      <c r="K128" s="61">
        <v>0</v>
      </c>
      <c r="L128" s="61">
        <v>1</v>
      </c>
      <c r="M128" s="61">
        <v>0</v>
      </c>
      <c r="N128" s="61">
        <v>0</v>
      </c>
      <c r="O128" s="61">
        <v>0</v>
      </c>
      <c r="P128" s="63">
        <v>0</v>
      </c>
      <c r="Q128" s="60">
        <v>0</v>
      </c>
      <c r="R128" s="61">
        <v>1</v>
      </c>
      <c r="S128" s="63">
        <v>0</v>
      </c>
      <c r="T128" s="45">
        <f t="shared" si="6"/>
        <v>33.5</v>
      </c>
      <c r="U128" s="46">
        <v>0</v>
      </c>
      <c r="V128" s="46">
        <f t="shared" si="7"/>
        <v>0</v>
      </c>
      <c r="W128" s="46">
        <f t="shared" si="8"/>
        <v>2</v>
      </c>
      <c r="X128" s="121">
        <f t="shared" si="9"/>
        <v>0</v>
      </c>
      <c r="Y128" s="122">
        <f t="shared" si="10"/>
        <v>35.5</v>
      </c>
      <c r="Z128" s="138">
        <f t="shared" si="11"/>
        <v>36</v>
      </c>
    </row>
    <row r="129" spans="1:26" x14ac:dyDescent="0.25">
      <c r="A129" s="30" t="s">
        <v>357</v>
      </c>
      <c r="B129" s="30" t="s">
        <v>79</v>
      </c>
      <c r="C129" s="30" t="s">
        <v>380</v>
      </c>
      <c r="D129" s="30">
        <v>37836901</v>
      </c>
      <c r="E129" s="31" t="s">
        <v>381</v>
      </c>
      <c r="F129" s="30">
        <v>17053676</v>
      </c>
      <c r="G129" s="119" t="s">
        <v>442</v>
      </c>
      <c r="H129" s="31" t="s">
        <v>219</v>
      </c>
      <c r="I129" s="120" t="s">
        <v>443</v>
      </c>
      <c r="J129" s="60">
        <v>3</v>
      </c>
      <c r="K129" s="61">
        <v>0</v>
      </c>
      <c r="L129" s="61">
        <v>3</v>
      </c>
      <c r="M129" s="61">
        <v>0</v>
      </c>
      <c r="N129" s="61">
        <v>0</v>
      </c>
      <c r="O129" s="61">
        <v>0</v>
      </c>
      <c r="P129" s="63">
        <v>0</v>
      </c>
      <c r="Q129" s="60">
        <v>0</v>
      </c>
      <c r="R129" s="61">
        <v>9</v>
      </c>
      <c r="S129" s="63">
        <v>7</v>
      </c>
      <c r="T129" s="45">
        <f t="shared" si="6"/>
        <v>100.5</v>
      </c>
      <c r="U129" s="46">
        <v>14.6</v>
      </c>
      <c r="V129" s="46">
        <f t="shared" si="7"/>
        <v>0</v>
      </c>
      <c r="W129" s="46">
        <f t="shared" si="8"/>
        <v>18</v>
      </c>
      <c r="X129" s="121">
        <f t="shared" si="9"/>
        <v>10.5</v>
      </c>
      <c r="Y129" s="122">
        <f t="shared" si="10"/>
        <v>143.6</v>
      </c>
      <c r="Z129" s="138">
        <f t="shared" si="11"/>
        <v>144</v>
      </c>
    </row>
    <row r="130" spans="1:26" x14ac:dyDescent="0.25">
      <c r="A130" s="30" t="s">
        <v>357</v>
      </c>
      <c r="B130" s="30" t="s">
        <v>79</v>
      </c>
      <c r="C130" s="30" t="s">
        <v>380</v>
      </c>
      <c r="D130" s="30">
        <v>37836901</v>
      </c>
      <c r="E130" s="31" t="s">
        <v>381</v>
      </c>
      <c r="F130" s="30">
        <v>17055385</v>
      </c>
      <c r="G130" s="119" t="s">
        <v>138</v>
      </c>
      <c r="H130" s="31" t="s">
        <v>219</v>
      </c>
      <c r="I130" s="120" t="s">
        <v>444</v>
      </c>
      <c r="J130" s="60">
        <v>8</v>
      </c>
      <c r="K130" s="61">
        <v>0</v>
      </c>
      <c r="L130" s="61">
        <v>10</v>
      </c>
      <c r="M130" s="61">
        <v>0</v>
      </c>
      <c r="N130" s="61">
        <v>0</v>
      </c>
      <c r="O130" s="61">
        <v>1</v>
      </c>
      <c r="P130" s="63">
        <v>0</v>
      </c>
      <c r="Q130" s="60">
        <v>0</v>
      </c>
      <c r="R130" s="61">
        <v>22</v>
      </c>
      <c r="S130" s="63">
        <v>11</v>
      </c>
      <c r="T130" s="45">
        <f t="shared" si="6"/>
        <v>335</v>
      </c>
      <c r="U130" s="46">
        <v>61.2</v>
      </c>
      <c r="V130" s="46">
        <f t="shared" si="7"/>
        <v>0</v>
      </c>
      <c r="W130" s="46">
        <f t="shared" si="8"/>
        <v>57.5</v>
      </c>
      <c r="X130" s="121">
        <f t="shared" si="9"/>
        <v>16.5</v>
      </c>
      <c r="Y130" s="122">
        <f t="shared" si="10"/>
        <v>470.2</v>
      </c>
      <c r="Z130" s="138">
        <f t="shared" si="11"/>
        <v>470</v>
      </c>
    </row>
    <row r="131" spans="1:26" x14ac:dyDescent="0.25">
      <c r="A131" s="30" t="s">
        <v>357</v>
      </c>
      <c r="B131" s="30" t="s">
        <v>79</v>
      </c>
      <c r="C131" s="30" t="s">
        <v>380</v>
      </c>
      <c r="D131" s="30">
        <v>37836901</v>
      </c>
      <c r="E131" s="31" t="s">
        <v>381</v>
      </c>
      <c r="F131" s="30">
        <v>893412</v>
      </c>
      <c r="G131" s="119" t="s">
        <v>402</v>
      </c>
      <c r="H131" s="31" t="s">
        <v>219</v>
      </c>
      <c r="I131" s="120" t="s">
        <v>445</v>
      </c>
      <c r="J131" s="60">
        <v>9</v>
      </c>
      <c r="K131" s="61">
        <v>0</v>
      </c>
      <c r="L131" s="61">
        <v>10</v>
      </c>
      <c r="M131" s="61">
        <v>0</v>
      </c>
      <c r="N131" s="61">
        <v>0</v>
      </c>
      <c r="O131" s="61">
        <v>0</v>
      </c>
      <c r="P131" s="63">
        <v>0</v>
      </c>
      <c r="Q131" s="60">
        <v>0</v>
      </c>
      <c r="R131" s="61">
        <v>16</v>
      </c>
      <c r="S131" s="63">
        <v>5</v>
      </c>
      <c r="T131" s="45">
        <f t="shared" si="6"/>
        <v>335</v>
      </c>
      <c r="U131" s="46">
        <v>25.8</v>
      </c>
      <c r="V131" s="46">
        <f t="shared" si="7"/>
        <v>0</v>
      </c>
      <c r="W131" s="46">
        <f t="shared" si="8"/>
        <v>32</v>
      </c>
      <c r="X131" s="121">
        <f t="shared" si="9"/>
        <v>7.5</v>
      </c>
      <c r="Y131" s="122">
        <f t="shared" si="10"/>
        <v>400.3</v>
      </c>
      <c r="Z131" s="138">
        <f t="shared" si="11"/>
        <v>400</v>
      </c>
    </row>
    <row r="132" spans="1:26" ht="25.5" x14ac:dyDescent="0.25">
      <c r="A132" s="30" t="s">
        <v>357</v>
      </c>
      <c r="B132" s="30" t="s">
        <v>79</v>
      </c>
      <c r="C132" s="30" t="s">
        <v>380</v>
      </c>
      <c r="D132" s="30">
        <v>37836901</v>
      </c>
      <c r="E132" s="31" t="s">
        <v>381</v>
      </c>
      <c r="F132" s="30">
        <v>162451</v>
      </c>
      <c r="G132" s="119" t="s">
        <v>446</v>
      </c>
      <c r="H132" s="31" t="s">
        <v>219</v>
      </c>
      <c r="I132" s="120" t="s">
        <v>447</v>
      </c>
      <c r="J132" s="60">
        <v>1</v>
      </c>
      <c r="K132" s="61">
        <v>0</v>
      </c>
      <c r="L132" s="61">
        <v>2</v>
      </c>
      <c r="M132" s="61">
        <v>0</v>
      </c>
      <c r="N132" s="61">
        <v>0</v>
      </c>
      <c r="O132" s="61">
        <v>0</v>
      </c>
      <c r="P132" s="63">
        <v>0</v>
      </c>
      <c r="Q132" s="60">
        <v>0</v>
      </c>
      <c r="R132" s="61">
        <v>2</v>
      </c>
      <c r="S132" s="63">
        <v>0</v>
      </c>
      <c r="T132" s="45">
        <f t="shared" ref="T132:T195" si="12">$T$1*L132</f>
        <v>67</v>
      </c>
      <c r="U132" s="46">
        <v>0</v>
      </c>
      <c r="V132" s="46">
        <f t="shared" ref="V132:V195" si="13">$U$1*N132+$V$1*Q132</f>
        <v>0</v>
      </c>
      <c r="W132" s="46">
        <f t="shared" ref="W132:W195" si="14">$U$1*O132+$W$1*R132</f>
        <v>4</v>
      </c>
      <c r="X132" s="121">
        <f t="shared" ref="X132:X195" si="15">$X$1*P132+$V$1*S132</f>
        <v>0</v>
      </c>
      <c r="Y132" s="122">
        <f t="shared" ref="Y132:Y195" si="16">T132+U132+V132+W132+X132</f>
        <v>71</v>
      </c>
      <c r="Z132" s="138">
        <f t="shared" ref="Z132:Z195" si="17">ROUND(Y132,0)</f>
        <v>71</v>
      </c>
    </row>
    <row r="133" spans="1:26" x14ac:dyDescent="0.25">
      <c r="A133" s="30" t="s">
        <v>357</v>
      </c>
      <c r="B133" s="30" t="s">
        <v>79</v>
      </c>
      <c r="C133" s="30" t="s">
        <v>380</v>
      </c>
      <c r="D133" s="30">
        <v>37836901</v>
      </c>
      <c r="E133" s="31" t="s">
        <v>381</v>
      </c>
      <c r="F133" s="30">
        <v>491861</v>
      </c>
      <c r="G133" s="119" t="s">
        <v>114</v>
      </c>
      <c r="H133" s="31" t="s">
        <v>219</v>
      </c>
      <c r="I133" s="120" t="s">
        <v>448</v>
      </c>
      <c r="J133" s="60">
        <v>9</v>
      </c>
      <c r="K133" s="61">
        <v>0</v>
      </c>
      <c r="L133" s="61">
        <v>10</v>
      </c>
      <c r="M133" s="61">
        <v>0</v>
      </c>
      <c r="N133" s="61">
        <v>0</v>
      </c>
      <c r="O133" s="61">
        <v>2</v>
      </c>
      <c r="P133" s="63">
        <v>0</v>
      </c>
      <c r="Q133" s="60">
        <v>0</v>
      </c>
      <c r="R133" s="61">
        <v>15</v>
      </c>
      <c r="S133" s="63">
        <v>4</v>
      </c>
      <c r="T133" s="45">
        <f t="shared" si="12"/>
        <v>335</v>
      </c>
      <c r="U133" s="46">
        <v>0</v>
      </c>
      <c r="V133" s="46">
        <f t="shared" si="13"/>
        <v>0</v>
      </c>
      <c r="W133" s="46">
        <f t="shared" si="14"/>
        <v>57</v>
      </c>
      <c r="X133" s="121">
        <f t="shared" si="15"/>
        <v>6</v>
      </c>
      <c r="Y133" s="122">
        <f t="shared" si="16"/>
        <v>398</v>
      </c>
      <c r="Z133" s="138">
        <f t="shared" si="17"/>
        <v>398</v>
      </c>
    </row>
    <row r="134" spans="1:26" ht="25.5" x14ac:dyDescent="0.25">
      <c r="A134" s="30" t="s">
        <v>357</v>
      </c>
      <c r="B134" s="30" t="s">
        <v>79</v>
      </c>
      <c r="C134" s="30" t="s">
        <v>380</v>
      </c>
      <c r="D134" s="30">
        <v>37836901</v>
      </c>
      <c r="E134" s="31" t="s">
        <v>381</v>
      </c>
      <c r="F134" s="30">
        <v>399817</v>
      </c>
      <c r="G134" s="119" t="s">
        <v>449</v>
      </c>
      <c r="H134" s="31" t="s">
        <v>219</v>
      </c>
      <c r="I134" s="120" t="s">
        <v>450</v>
      </c>
      <c r="J134" s="60">
        <v>3</v>
      </c>
      <c r="K134" s="61">
        <v>0</v>
      </c>
      <c r="L134" s="61">
        <v>4</v>
      </c>
      <c r="M134" s="61">
        <v>0</v>
      </c>
      <c r="N134" s="61">
        <v>0</v>
      </c>
      <c r="O134" s="61">
        <v>0</v>
      </c>
      <c r="P134" s="63">
        <v>0</v>
      </c>
      <c r="Q134" s="60">
        <v>0</v>
      </c>
      <c r="R134" s="61">
        <v>5</v>
      </c>
      <c r="S134" s="63">
        <v>2</v>
      </c>
      <c r="T134" s="45">
        <f t="shared" si="12"/>
        <v>134</v>
      </c>
      <c r="U134" s="46">
        <v>0</v>
      </c>
      <c r="V134" s="46">
        <f t="shared" si="13"/>
        <v>0</v>
      </c>
      <c r="W134" s="46">
        <f t="shared" si="14"/>
        <v>10</v>
      </c>
      <c r="X134" s="121">
        <f t="shared" si="15"/>
        <v>3</v>
      </c>
      <c r="Y134" s="122">
        <f t="shared" si="16"/>
        <v>147</v>
      </c>
      <c r="Z134" s="138">
        <f t="shared" si="17"/>
        <v>147</v>
      </c>
    </row>
    <row r="135" spans="1:26" x14ac:dyDescent="0.25">
      <c r="A135" s="30" t="s">
        <v>357</v>
      </c>
      <c r="B135" s="30" t="s">
        <v>79</v>
      </c>
      <c r="C135" s="30" t="s">
        <v>380</v>
      </c>
      <c r="D135" s="30">
        <v>37836901</v>
      </c>
      <c r="E135" s="31" t="s">
        <v>381</v>
      </c>
      <c r="F135" s="30">
        <v>36082058</v>
      </c>
      <c r="G135" s="119" t="s">
        <v>451</v>
      </c>
      <c r="H135" s="31" t="s">
        <v>219</v>
      </c>
      <c r="I135" s="120" t="s">
        <v>452</v>
      </c>
      <c r="J135" s="60">
        <v>7</v>
      </c>
      <c r="K135" s="61">
        <v>0</v>
      </c>
      <c r="L135" s="61">
        <v>11</v>
      </c>
      <c r="M135" s="61">
        <v>0</v>
      </c>
      <c r="N135" s="61">
        <v>0</v>
      </c>
      <c r="O135" s="61">
        <v>0</v>
      </c>
      <c r="P135" s="63">
        <v>0</v>
      </c>
      <c r="Q135" s="60">
        <v>0</v>
      </c>
      <c r="R135" s="61">
        <v>34</v>
      </c>
      <c r="S135" s="63">
        <v>2</v>
      </c>
      <c r="T135" s="45">
        <f t="shared" si="12"/>
        <v>368.5</v>
      </c>
      <c r="U135" s="46">
        <v>29.2</v>
      </c>
      <c r="V135" s="46">
        <f t="shared" si="13"/>
        <v>0</v>
      </c>
      <c r="W135" s="46">
        <f t="shared" si="14"/>
        <v>68</v>
      </c>
      <c r="X135" s="121">
        <f t="shared" si="15"/>
        <v>3</v>
      </c>
      <c r="Y135" s="122">
        <f t="shared" si="16"/>
        <v>468.7</v>
      </c>
      <c r="Z135" s="138">
        <f t="shared" si="17"/>
        <v>469</v>
      </c>
    </row>
    <row r="136" spans="1:26" x14ac:dyDescent="0.25">
      <c r="A136" s="30" t="s">
        <v>357</v>
      </c>
      <c r="B136" s="30" t="s">
        <v>79</v>
      </c>
      <c r="C136" s="30" t="s">
        <v>380</v>
      </c>
      <c r="D136" s="30">
        <v>37836901</v>
      </c>
      <c r="E136" s="31" t="s">
        <v>381</v>
      </c>
      <c r="F136" s="30">
        <v>607371</v>
      </c>
      <c r="G136" s="119" t="s">
        <v>117</v>
      </c>
      <c r="H136" s="31" t="s">
        <v>219</v>
      </c>
      <c r="I136" s="120" t="s">
        <v>453</v>
      </c>
      <c r="J136" s="60">
        <v>5</v>
      </c>
      <c r="K136" s="61">
        <v>0</v>
      </c>
      <c r="L136" s="61">
        <v>7</v>
      </c>
      <c r="M136" s="61">
        <v>0</v>
      </c>
      <c r="N136" s="61">
        <v>0</v>
      </c>
      <c r="O136" s="61">
        <v>0</v>
      </c>
      <c r="P136" s="63">
        <v>0</v>
      </c>
      <c r="Q136" s="60">
        <v>0</v>
      </c>
      <c r="R136" s="61">
        <v>13</v>
      </c>
      <c r="S136" s="63">
        <v>29</v>
      </c>
      <c r="T136" s="45">
        <f t="shared" si="12"/>
        <v>234.5</v>
      </c>
      <c r="U136" s="46">
        <v>69.099999999999994</v>
      </c>
      <c r="V136" s="46">
        <f t="shared" si="13"/>
        <v>0</v>
      </c>
      <c r="W136" s="46">
        <f t="shared" si="14"/>
        <v>26</v>
      </c>
      <c r="X136" s="121">
        <f t="shared" si="15"/>
        <v>43.5</v>
      </c>
      <c r="Y136" s="122">
        <f t="shared" si="16"/>
        <v>373.1</v>
      </c>
      <c r="Z136" s="138">
        <f t="shared" si="17"/>
        <v>373</v>
      </c>
    </row>
    <row r="137" spans="1:26" ht="38.25" x14ac:dyDescent="0.25">
      <c r="A137" s="30" t="s">
        <v>357</v>
      </c>
      <c r="B137" s="30" t="s">
        <v>226</v>
      </c>
      <c r="C137" s="30" t="s">
        <v>474</v>
      </c>
      <c r="D137" s="30">
        <v>36269298</v>
      </c>
      <c r="E137" s="31" t="s">
        <v>475</v>
      </c>
      <c r="F137" s="30">
        <v>37839403</v>
      </c>
      <c r="G137" s="119" t="s">
        <v>476</v>
      </c>
      <c r="H137" s="31" t="s">
        <v>360</v>
      </c>
      <c r="I137" s="120" t="s">
        <v>477</v>
      </c>
      <c r="J137" s="42">
        <v>1</v>
      </c>
      <c r="K137" s="43">
        <v>0</v>
      </c>
      <c r="L137" s="43">
        <v>1</v>
      </c>
      <c r="M137" s="43">
        <v>0</v>
      </c>
      <c r="N137" s="43">
        <v>0</v>
      </c>
      <c r="O137" s="43">
        <v>0</v>
      </c>
      <c r="P137" s="44">
        <v>0</v>
      </c>
      <c r="Q137" s="42">
        <v>0</v>
      </c>
      <c r="R137" s="43">
        <v>1</v>
      </c>
      <c r="S137" s="44">
        <v>0</v>
      </c>
      <c r="T137" s="45">
        <f t="shared" si="12"/>
        <v>33.5</v>
      </c>
      <c r="U137" s="46">
        <v>0</v>
      </c>
      <c r="V137" s="46">
        <f t="shared" si="13"/>
        <v>0</v>
      </c>
      <c r="W137" s="46">
        <f t="shared" si="14"/>
        <v>2</v>
      </c>
      <c r="X137" s="121">
        <f t="shared" si="15"/>
        <v>0</v>
      </c>
      <c r="Y137" s="122">
        <f t="shared" si="16"/>
        <v>35.5</v>
      </c>
      <c r="Z137" s="138">
        <f t="shared" si="17"/>
        <v>36</v>
      </c>
    </row>
    <row r="138" spans="1:26" ht="38.25" x14ac:dyDescent="0.25">
      <c r="A138" s="30" t="s">
        <v>357</v>
      </c>
      <c r="B138" s="30" t="s">
        <v>226</v>
      </c>
      <c r="C138" s="30" t="s">
        <v>478</v>
      </c>
      <c r="D138" s="30">
        <v>90000209</v>
      </c>
      <c r="E138" s="31" t="s">
        <v>479</v>
      </c>
      <c r="F138" s="30">
        <v>45014906</v>
      </c>
      <c r="G138" s="119" t="s">
        <v>480</v>
      </c>
      <c r="H138" s="31" t="s">
        <v>360</v>
      </c>
      <c r="I138" s="120" t="s">
        <v>481</v>
      </c>
      <c r="J138" s="42">
        <v>2</v>
      </c>
      <c r="K138" s="43">
        <v>0</v>
      </c>
      <c r="L138" s="43">
        <v>2</v>
      </c>
      <c r="M138" s="43">
        <v>0</v>
      </c>
      <c r="N138" s="43">
        <v>0</v>
      </c>
      <c r="O138" s="43">
        <v>0</v>
      </c>
      <c r="P138" s="44">
        <v>0</v>
      </c>
      <c r="Q138" s="42">
        <v>0</v>
      </c>
      <c r="R138" s="43">
        <v>5</v>
      </c>
      <c r="S138" s="44">
        <v>0</v>
      </c>
      <c r="T138" s="45">
        <f t="shared" si="12"/>
        <v>67</v>
      </c>
      <c r="U138" s="46">
        <v>48.7</v>
      </c>
      <c r="V138" s="46">
        <f t="shared" si="13"/>
        <v>0</v>
      </c>
      <c r="W138" s="46">
        <f t="shared" si="14"/>
        <v>10</v>
      </c>
      <c r="X138" s="121">
        <f t="shared" si="15"/>
        <v>0</v>
      </c>
      <c r="Y138" s="122">
        <f t="shared" si="16"/>
        <v>125.7</v>
      </c>
      <c r="Z138" s="138">
        <f t="shared" si="17"/>
        <v>126</v>
      </c>
    </row>
    <row r="139" spans="1:26" ht="51" x14ac:dyDescent="0.25">
      <c r="A139" s="30" t="s">
        <v>357</v>
      </c>
      <c r="B139" s="30" t="s">
        <v>226</v>
      </c>
      <c r="C139" s="30" t="s">
        <v>486</v>
      </c>
      <c r="D139" s="30">
        <v>47138556</v>
      </c>
      <c r="E139" s="31" t="s">
        <v>487</v>
      </c>
      <c r="F139" s="30">
        <v>11882115</v>
      </c>
      <c r="G139" s="119" t="s">
        <v>488</v>
      </c>
      <c r="H139" s="31" t="s">
        <v>489</v>
      </c>
      <c r="I139" s="120" t="s">
        <v>490</v>
      </c>
      <c r="J139" s="42">
        <v>1</v>
      </c>
      <c r="K139" s="43">
        <v>0</v>
      </c>
      <c r="L139" s="43">
        <v>1</v>
      </c>
      <c r="M139" s="43">
        <v>0</v>
      </c>
      <c r="N139" s="43">
        <v>0</v>
      </c>
      <c r="O139" s="43">
        <v>1</v>
      </c>
      <c r="P139" s="44">
        <v>0</v>
      </c>
      <c r="Q139" s="42">
        <v>0</v>
      </c>
      <c r="R139" s="43">
        <v>1</v>
      </c>
      <c r="S139" s="44">
        <v>0</v>
      </c>
      <c r="T139" s="45">
        <f t="shared" si="12"/>
        <v>33.5</v>
      </c>
      <c r="U139" s="46">
        <v>0</v>
      </c>
      <c r="V139" s="46">
        <f t="shared" si="13"/>
        <v>0</v>
      </c>
      <c r="W139" s="46">
        <f t="shared" si="14"/>
        <v>15.5</v>
      </c>
      <c r="X139" s="121">
        <f t="shared" si="15"/>
        <v>0</v>
      </c>
      <c r="Y139" s="122">
        <f t="shared" si="16"/>
        <v>49</v>
      </c>
      <c r="Z139" s="138">
        <f t="shared" si="17"/>
        <v>49</v>
      </c>
    </row>
    <row r="140" spans="1:26" x14ac:dyDescent="0.25">
      <c r="A140" s="30" t="s">
        <v>357</v>
      </c>
      <c r="B140" s="30" t="s">
        <v>226</v>
      </c>
      <c r="C140" s="30" t="s">
        <v>507</v>
      </c>
      <c r="D140" s="30">
        <v>42156548</v>
      </c>
      <c r="E140" s="31" t="s">
        <v>508</v>
      </c>
      <c r="F140" s="30">
        <v>36088978</v>
      </c>
      <c r="G140" s="119" t="s">
        <v>509</v>
      </c>
      <c r="H140" s="31" t="s">
        <v>433</v>
      </c>
      <c r="I140" s="120" t="s">
        <v>1664</v>
      </c>
      <c r="J140" s="42">
        <v>3</v>
      </c>
      <c r="K140" s="43">
        <v>0</v>
      </c>
      <c r="L140" s="43">
        <v>3</v>
      </c>
      <c r="M140" s="43">
        <v>0</v>
      </c>
      <c r="N140" s="43">
        <v>0</v>
      </c>
      <c r="O140" s="43">
        <v>0</v>
      </c>
      <c r="P140" s="44">
        <v>0</v>
      </c>
      <c r="Q140" s="42">
        <v>1</v>
      </c>
      <c r="R140" s="43">
        <v>5</v>
      </c>
      <c r="S140" s="44">
        <v>1</v>
      </c>
      <c r="T140" s="45">
        <f t="shared" si="12"/>
        <v>100.5</v>
      </c>
      <c r="U140" s="46">
        <v>31.5</v>
      </c>
      <c r="V140" s="46">
        <f t="shared" si="13"/>
        <v>1.5</v>
      </c>
      <c r="W140" s="46">
        <f t="shared" si="14"/>
        <v>10</v>
      </c>
      <c r="X140" s="121">
        <f t="shared" si="15"/>
        <v>1.5</v>
      </c>
      <c r="Y140" s="122">
        <f t="shared" si="16"/>
        <v>145</v>
      </c>
      <c r="Z140" s="138">
        <f t="shared" si="17"/>
        <v>145</v>
      </c>
    </row>
    <row r="141" spans="1:26" x14ac:dyDescent="0.25">
      <c r="A141" s="30" t="s">
        <v>357</v>
      </c>
      <c r="B141" s="30" t="s">
        <v>226</v>
      </c>
      <c r="C141" s="30" t="s">
        <v>511</v>
      </c>
      <c r="D141" s="30">
        <v>36271390</v>
      </c>
      <c r="E141" s="31" t="s">
        <v>512</v>
      </c>
      <c r="F141" s="30">
        <v>686484</v>
      </c>
      <c r="G141" s="119" t="s">
        <v>513</v>
      </c>
      <c r="H141" s="31" t="s">
        <v>219</v>
      </c>
      <c r="I141" s="120" t="s">
        <v>514</v>
      </c>
      <c r="J141" s="42">
        <v>10</v>
      </c>
      <c r="K141" s="43">
        <v>0</v>
      </c>
      <c r="L141" s="43">
        <v>11</v>
      </c>
      <c r="M141" s="43">
        <v>0</v>
      </c>
      <c r="N141" s="43">
        <v>0</v>
      </c>
      <c r="O141" s="43">
        <v>0</v>
      </c>
      <c r="P141" s="44">
        <v>0</v>
      </c>
      <c r="Q141" s="42">
        <v>1</v>
      </c>
      <c r="R141" s="43">
        <v>19</v>
      </c>
      <c r="S141" s="44">
        <v>6</v>
      </c>
      <c r="T141" s="45">
        <f t="shared" si="12"/>
        <v>368.5</v>
      </c>
      <c r="U141" s="46">
        <v>66.400000000000006</v>
      </c>
      <c r="V141" s="46">
        <f t="shared" si="13"/>
        <v>1.5</v>
      </c>
      <c r="W141" s="46">
        <f t="shared" si="14"/>
        <v>38</v>
      </c>
      <c r="X141" s="121">
        <f t="shared" si="15"/>
        <v>9</v>
      </c>
      <c r="Y141" s="122">
        <f t="shared" si="16"/>
        <v>483.4</v>
      </c>
      <c r="Z141" s="138">
        <f t="shared" si="17"/>
        <v>483</v>
      </c>
    </row>
    <row r="142" spans="1:26" x14ac:dyDescent="0.25">
      <c r="A142" s="74" t="s">
        <v>531</v>
      </c>
      <c r="B142" s="74" t="s">
        <v>43</v>
      </c>
      <c r="C142" s="74" t="s">
        <v>532</v>
      </c>
      <c r="D142" s="74">
        <v>54130450</v>
      </c>
      <c r="E142" s="75" t="s">
        <v>533</v>
      </c>
      <c r="F142" s="74">
        <v>17055202</v>
      </c>
      <c r="G142" s="139" t="s">
        <v>104</v>
      </c>
      <c r="H142" s="75" t="s">
        <v>556</v>
      </c>
      <c r="I142" s="140" t="s">
        <v>558</v>
      </c>
      <c r="J142" s="42">
        <v>0</v>
      </c>
      <c r="K142" s="43">
        <v>0</v>
      </c>
      <c r="L142" s="43">
        <v>10</v>
      </c>
      <c r="M142" s="43">
        <v>0</v>
      </c>
      <c r="N142" s="43">
        <v>0</v>
      </c>
      <c r="O142" s="43">
        <v>0</v>
      </c>
      <c r="P142" s="44">
        <v>1</v>
      </c>
      <c r="Q142" s="42">
        <v>1</v>
      </c>
      <c r="R142" s="43">
        <v>7</v>
      </c>
      <c r="S142" s="44">
        <v>20</v>
      </c>
      <c r="T142" s="45">
        <f t="shared" si="12"/>
        <v>335</v>
      </c>
      <c r="U142" s="46">
        <v>0</v>
      </c>
      <c r="V142" s="46">
        <f t="shared" si="13"/>
        <v>1.5</v>
      </c>
      <c r="W142" s="46">
        <f t="shared" si="14"/>
        <v>14</v>
      </c>
      <c r="X142" s="121">
        <f t="shared" si="15"/>
        <v>57</v>
      </c>
      <c r="Y142" s="122">
        <f t="shared" si="16"/>
        <v>407.5</v>
      </c>
      <c r="Z142" s="138">
        <f t="shared" si="17"/>
        <v>408</v>
      </c>
    </row>
    <row r="143" spans="1:26" x14ac:dyDescent="0.25">
      <c r="A143" s="74" t="s">
        <v>531</v>
      </c>
      <c r="B143" s="74" t="s">
        <v>43</v>
      </c>
      <c r="C143" s="74" t="s">
        <v>532</v>
      </c>
      <c r="D143" s="74">
        <v>54130450</v>
      </c>
      <c r="E143" s="75" t="s">
        <v>533</v>
      </c>
      <c r="F143" s="74">
        <v>17638593</v>
      </c>
      <c r="G143" s="139" t="s">
        <v>559</v>
      </c>
      <c r="H143" s="75" t="s">
        <v>556</v>
      </c>
      <c r="I143" s="140" t="s">
        <v>560</v>
      </c>
      <c r="J143" s="42">
        <v>0</v>
      </c>
      <c r="K143" s="43">
        <v>0</v>
      </c>
      <c r="L143" s="43">
        <v>2</v>
      </c>
      <c r="M143" s="43">
        <v>0</v>
      </c>
      <c r="N143" s="43">
        <v>0</v>
      </c>
      <c r="O143" s="43">
        <v>0</v>
      </c>
      <c r="P143" s="44">
        <v>0</v>
      </c>
      <c r="Q143" s="42">
        <v>0</v>
      </c>
      <c r="R143" s="43">
        <v>2</v>
      </c>
      <c r="S143" s="44">
        <v>0</v>
      </c>
      <c r="T143" s="45">
        <f t="shared" si="12"/>
        <v>67</v>
      </c>
      <c r="U143" s="46">
        <v>0</v>
      </c>
      <c r="V143" s="46">
        <f t="shared" si="13"/>
        <v>0</v>
      </c>
      <c r="W143" s="46">
        <f t="shared" si="14"/>
        <v>4</v>
      </c>
      <c r="X143" s="121">
        <f t="shared" si="15"/>
        <v>0</v>
      </c>
      <c r="Y143" s="122">
        <f t="shared" si="16"/>
        <v>71</v>
      </c>
      <c r="Z143" s="138">
        <f t="shared" si="17"/>
        <v>71</v>
      </c>
    </row>
    <row r="144" spans="1:26" x14ac:dyDescent="0.25">
      <c r="A144" s="74" t="s">
        <v>531</v>
      </c>
      <c r="B144" s="74" t="s">
        <v>79</v>
      </c>
      <c r="C144" s="74" t="s">
        <v>565</v>
      </c>
      <c r="D144" s="74">
        <v>36126624</v>
      </c>
      <c r="E144" s="75" t="s">
        <v>566</v>
      </c>
      <c r="F144" s="74">
        <v>17050227</v>
      </c>
      <c r="G144" s="139" t="s">
        <v>567</v>
      </c>
      <c r="H144" s="75" t="s">
        <v>568</v>
      </c>
      <c r="I144" s="140" t="s">
        <v>569</v>
      </c>
      <c r="J144" s="42">
        <v>2</v>
      </c>
      <c r="K144" s="43">
        <v>0</v>
      </c>
      <c r="L144" s="43">
        <v>2</v>
      </c>
      <c r="M144" s="43">
        <v>0</v>
      </c>
      <c r="N144" s="43">
        <v>0</v>
      </c>
      <c r="O144" s="43">
        <v>0</v>
      </c>
      <c r="P144" s="44">
        <v>0</v>
      </c>
      <c r="Q144" s="42">
        <v>0</v>
      </c>
      <c r="R144" s="43">
        <v>5</v>
      </c>
      <c r="S144" s="44">
        <v>7</v>
      </c>
      <c r="T144" s="45">
        <f t="shared" si="12"/>
        <v>67</v>
      </c>
      <c r="U144" s="46">
        <v>14.6</v>
      </c>
      <c r="V144" s="46">
        <f t="shared" si="13"/>
        <v>0</v>
      </c>
      <c r="W144" s="46">
        <f t="shared" si="14"/>
        <v>10</v>
      </c>
      <c r="X144" s="121">
        <f t="shared" si="15"/>
        <v>10.5</v>
      </c>
      <c r="Y144" s="122">
        <f t="shared" si="16"/>
        <v>102.1</v>
      </c>
      <c r="Z144" s="138">
        <f t="shared" si="17"/>
        <v>102</v>
      </c>
    </row>
    <row r="145" spans="1:26" x14ac:dyDescent="0.25">
      <c r="A145" s="74" t="s">
        <v>531</v>
      </c>
      <c r="B145" s="74" t="s">
        <v>79</v>
      </c>
      <c r="C145" s="74" t="s">
        <v>565</v>
      </c>
      <c r="D145" s="74">
        <v>36126624</v>
      </c>
      <c r="E145" s="75" t="s">
        <v>566</v>
      </c>
      <c r="F145" s="74">
        <v>37922459</v>
      </c>
      <c r="G145" s="139" t="s">
        <v>435</v>
      </c>
      <c r="H145" s="75" t="s">
        <v>568</v>
      </c>
      <c r="I145" s="140" t="s">
        <v>570</v>
      </c>
      <c r="J145" s="42">
        <v>4</v>
      </c>
      <c r="K145" s="43">
        <v>0</v>
      </c>
      <c r="L145" s="43">
        <v>4</v>
      </c>
      <c r="M145" s="43">
        <v>0</v>
      </c>
      <c r="N145" s="43">
        <v>0</v>
      </c>
      <c r="O145" s="43">
        <v>0</v>
      </c>
      <c r="P145" s="44">
        <v>0</v>
      </c>
      <c r="Q145" s="42">
        <v>0</v>
      </c>
      <c r="R145" s="43">
        <v>2</v>
      </c>
      <c r="S145" s="44">
        <v>1</v>
      </c>
      <c r="T145" s="45">
        <f t="shared" si="12"/>
        <v>134</v>
      </c>
      <c r="U145" s="46">
        <v>0</v>
      </c>
      <c r="V145" s="46">
        <f t="shared" si="13"/>
        <v>0</v>
      </c>
      <c r="W145" s="46">
        <f t="shared" si="14"/>
        <v>4</v>
      </c>
      <c r="X145" s="121">
        <f t="shared" si="15"/>
        <v>1.5</v>
      </c>
      <c r="Y145" s="122">
        <f t="shared" si="16"/>
        <v>139.5</v>
      </c>
      <c r="Z145" s="138">
        <f t="shared" si="17"/>
        <v>140</v>
      </c>
    </row>
    <row r="146" spans="1:26" x14ac:dyDescent="0.25">
      <c r="A146" s="74" t="s">
        <v>531</v>
      </c>
      <c r="B146" s="74" t="s">
        <v>79</v>
      </c>
      <c r="C146" s="74" t="s">
        <v>565</v>
      </c>
      <c r="D146" s="74">
        <v>36126624</v>
      </c>
      <c r="E146" s="75" t="s">
        <v>566</v>
      </c>
      <c r="F146" s="74">
        <v>160628</v>
      </c>
      <c r="G146" s="139" t="s">
        <v>49</v>
      </c>
      <c r="H146" s="75" t="s">
        <v>534</v>
      </c>
      <c r="I146" s="140" t="s">
        <v>571</v>
      </c>
      <c r="J146" s="42">
        <v>2</v>
      </c>
      <c r="K146" s="43">
        <v>0</v>
      </c>
      <c r="L146" s="43">
        <v>2</v>
      </c>
      <c r="M146" s="43">
        <v>0</v>
      </c>
      <c r="N146" s="43">
        <v>0</v>
      </c>
      <c r="O146" s="43">
        <v>0</v>
      </c>
      <c r="P146" s="44">
        <v>0</v>
      </c>
      <c r="Q146" s="42">
        <v>0</v>
      </c>
      <c r="R146" s="43">
        <v>1</v>
      </c>
      <c r="S146" s="44">
        <v>3</v>
      </c>
      <c r="T146" s="45">
        <f t="shared" si="12"/>
        <v>67</v>
      </c>
      <c r="U146" s="46">
        <v>9.4</v>
      </c>
      <c r="V146" s="46">
        <f t="shared" si="13"/>
        <v>0</v>
      </c>
      <c r="W146" s="46">
        <f t="shared" si="14"/>
        <v>2</v>
      </c>
      <c r="X146" s="121">
        <f t="shared" si="15"/>
        <v>4.5</v>
      </c>
      <c r="Y146" s="122">
        <f t="shared" si="16"/>
        <v>82.9</v>
      </c>
      <c r="Z146" s="138">
        <f t="shared" si="17"/>
        <v>83</v>
      </c>
    </row>
    <row r="147" spans="1:26" x14ac:dyDescent="0.25">
      <c r="A147" s="74" t="s">
        <v>531</v>
      </c>
      <c r="B147" s="74" t="s">
        <v>79</v>
      </c>
      <c r="C147" s="74" t="s">
        <v>565</v>
      </c>
      <c r="D147" s="74">
        <v>36126624</v>
      </c>
      <c r="E147" s="75" t="s">
        <v>566</v>
      </c>
      <c r="F147" s="74">
        <v>42026393</v>
      </c>
      <c r="G147" s="139" t="s">
        <v>154</v>
      </c>
      <c r="H147" s="75" t="s">
        <v>534</v>
      </c>
      <c r="I147" s="140" t="s">
        <v>572</v>
      </c>
      <c r="J147" s="42">
        <v>5</v>
      </c>
      <c r="K147" s="43">
        <v>0</v>
      </c>
      <c r="L147" s="43">
        <v>5</v>
      </c>
      <c r="M147" s="43">
        <v>0</v>
      </c>
      <c r="N147" s="43">
        <v>0</v>
      </c>
      <c r="O147" s="43">
        <v>0</v>
      </c>
      <c r="P147" s="44">
        <v>0</v>
      </c>
      <c r="Q147" s="42">
        <v>0</v>
      </c>
      <c r="R147" s="43">
        <v>15</v>
      </c>
      <c r="S147" s="44">
        <v>0</v>
      </c>
      <c r="T147" s="45">
        <f t="shared" si="12"/>
        <v>167.5</v>
      </c>
      <c r="U147" s="46">
        <v>25.55</v>
      </c>
      <c r="V147" s="46">
        <f t="shared" si="13"/>
        <v>0</v>
      </c>
      <c r="W147" s="46">
        <f t="shared" si="14"/>
        <v>30</v>
      </c>
      <c r="X147" s="121">
        <f t="shared" si="15"/>
        <v>0</v>
      </c>
      <c r="Y147" s="122">
        <f t="shared" si="16"/>
        <v>223.05</v>
      </c>
      <c r="Z147" s="138">
        <f t="shared" si="17"/>
        <v>223</v>
      </c>
    </row>
    <row r="148" spans="1:26" x14ac:dyDescent="0.25">
      <c r="A148" s="74" t="s">
        <v>531</v>
      </c>
      <c r="B148" s="74" t="s">
        <v>79</v>
      </c>
      <c r="C148" s="74" t="s">
        <v>565</v>
      </c>
      <c r="D148" s="74">
        <v>36126624</v>
      </c>
      <c r="E148" s="75" t="s">
        <v>566</v>
      </c>
      <c r="F148" s="74">
        <v>161586</v>
      </c>
      <c r="G148" s="139" t="s">
        <v>573</v>
      </c>
      <c r="H148" s="75" t="s">
        <v>534</v>
      </c>
      <c r="I148" s="140" t="s">
        <v>574</v>
      </c>
      <c r="J148" s="42">
        <v>3</v>
      </c>
      <c r="K148" s="43">
        <v>0</v>
      </c>
      <c r="L148" s="43">
        <v>3</v>
      </c>
      <c r="M148" s="43">
        <v>0</v>
      </c>
      <c r="N148" s="43">
        <v>0</v>
      </c>
      <c r="O148" s="43">
        <v>0</v>
      </c>
      <c r="P148" s="44">
        <v>0</v>
      </c>
      <c r="Q148" s="42">
        <v>0</v>
      </c>
      <c r="R148" s="43">
        <v>6</v>
      </c>
      <c r="S148" s="44">
        <v>7</v>
      </c>
      <c r="T148" s="45">
        <f t="shared" si="12"/>
        <v>100.5</v>
      </c>
      <c r="U148" s="46">
        <v>0</v>
      </c>
      <c r="V148" s="46">
        <f t="shared" si="13"/>
        <v>0</v>
      </c>
      <c r="W148" s="46">
        <f t="shared" si="14"/>
        <v>12</v>
      </c>
      <c r="X148" s="121">
        <f t="shared" si="15"/>
        <v>10.5</v>
      </c>
      <c r="Y148" s="122">
        <f t="shared" si="16"/>
        <v>123</v>
      </c>
      <c r="Z148" s="138">
        <f t="shared" si="17"/>
        <v>123</v>
      </c>
    </row>
    <row r="149" spans="1:26" x14ac:dyDescent="0.25">
      <c r="A149" s="74" t="s">
        <v>531</v>
      </c>
      <c r="B149" s="74" t="s">
        <v>79</v>
      </c>
      <c r="C149" s="74" t="s">
        <v>565</v>
      </c>
      <c r="D149" s="74">
        <v>36126624</v>
      </c>
      <c r="E149" s="75" t="s">
        <v>566</v>
      </c>
      <c r="F149" s="74">
        <v>159298</v>
      </c>
      <c r="G149" s="139" t="s">
        <v>575</v>
      </c>
      <c r="H149" s="75" t="s">
        <v>576</v>
      </c>
      <c r="I149" s="140" t="s">
        <v>577</v>
      </c>
      <c r="J149" s="42">
        <v>4</v>
      </c>
      <c r="K149" s="43">
        <v>0</v>
      </c>
      <c r="L149" s="43">
        <v>4</v>
      </c>
      <c r="M149" s="43">
        <v>0</v>
      </c>
      <c r="N149" s="43">
        <v>0</v>
      </c>
      <c r="O149" s="43">
        <v>0</v>
      </c>
      <c r="P149" s="44">
        <v>0</v>
      </c>
      <c r="Q149" s="42">
        <v>0</v>
      </c>
      <c r="R149" s="43">
        <v>6</v>
      </c>
      <c r="S149" s="44">
        <v>3</v>
      </c>
      <c r="T149" s="45">
        <f t="shared" si="12"/>
        <v>134</v>
      </c>
      <c r="U149" s="46">
        <v>0</v>
      </c>
      <c r="V149" s="46">
        <f t="shared" si="13"/>
        <v>0</v>
      </c>
      <c r="W149" s="46">
        <f t="shared" si="14"/>
        <v>12</v>
      </c>
      <c r="X149" s="121">
        <f t="shared" si="15"/>
        <v>4.5</v>
      </c>
      <c r="Y149" s="122">
        <f t="shared" si="16"/>
        <v>150.5</v>
      </c>
      <c r="Z149" s="138">
        <f t="shared" si="17"/>
        <v>151</v>
      </c>
    </row>
    <row r="150" spans="1:26" x14ac:dyDescent="0.25">
      <c r="A150" s="74" t="s">
        <v>531</v>
      </c>
      <c r="B150" s="74" t="s">
        <v>79</v>
      </c>
      <c r="C150" s="74" t="s">
        <v>565</v>
      </c>
      <c r="D150" s="74">
        <v>36126624</v>
      </c>
      <c r="E150" s="75" t="s">
        <v>566</v>
      </c>
      <c r="F150" s="141">
        <v>596680</v>
      </c>
      <c r="G150" s="139" t="s">
        <v>49</v>
      </c>
      <c r="H150" s="75" t="s">
        <v>539</v>
      </c>
      <c r="I150" s="140" t="s">
        <v>578</v>
      </c>
      <c r="J150" s="42">
        <v>4</v>
      </c>
      <c r="K150" s="43">
        <v>0</v>
      </c>
      <c r="L150" s="43">
        <v>4</v>
      </c>
      <c r="M150" s="43">
        <v>0</v>
      </c>
      <c r="N150" s="43">
        <v>0</v>
      </c>
      <c r="O150" s="43">
        <v>0</v>
      </c>
      <c r="P150" s="44">
        <v>0</v>
      </c>
      <c r="Q150" s="42">
        <v>0</v>
      </c>
      <c r="R150" s="43">
        <v>12</v>
      </c>
      <c r="S150" s="44">
        <v>7</v>
      </c>
      <c r="T150" s="45">
        <f t="shared" si="12"/>
        <v>134</v>
      </c>
      <c r="U150" s="46">
        <v>0</v>
      </c>
      <c r="V150" s="46">
        <f t="shared" si="13"/>
        <v>0</v>
      </c>
      <c r="W150" s="46">
        <f t="shared" si="14"/>
        <v>24</v>
      </c>
      <c r="X150" s="121">
        <f t="shared" si="15"/>
        <v>10.5</v>
      </c>
      <c r="Y150" s="122">
        <f t="shared" si="16"/>
        <v>168.5</v>
      </c>
      <c r="Z150" s="138">
        <f t="shared" si="17"/>
        <v>169</v>
      </c>
    </row>
    <row r="151" spans="1:26" x14ac:dyDescent="0.25">
      <c r="A151" s="74" t="s">
        <v>531</v>
      </c>
      <c r="B151" s="74" t="s">
        <v>79</v>
      </c>
      <c r="C151" s="74" t="s">
        <v>565</v>
      </c>
      <c r="D151" s="74">
        <v>36126624</v>
      </c>
      <c r="E151" s="75" t="s">
        <v>566</v>
      </c>
      <c r="F151" s="74">
        <v>161381</v>
      </c>
      <c r="G151" s="139" t="s">
        <v>573</v>
      </c>
      <c r="H151" s="75" t="s">
        <v>539</v>
      </c>
      <c r="I151" s="140" t="s">
        <v>579</v>
      </c>
      <c r="J151" s="42">
        <v>3</v>
      </c>
      <c r="K151" s="43">
        <v>0</v>
      </c>
      <c r="L151" s="43">
        <v>3</v>
      </c>
      <c r="M151" s="43">
        <v>0</v>
      </c>
      <c r="N151" s="43">
        <v>0</v>
      </c>
      <c r="O151" s="43">
        <v>0</v>
      </c>
      <c r="P151" s="44">
        <v>0</v>
      </c>
      <c r="Q151" s="42">
        <v>0</v>
      </c>
      <c r="R151" s="43">
        <v>5</v>
      </c>
      <c r="S151" s="44">
        <v>8</v>
      </c>
      <c r="T151" s="45">
        <f t="shared" si="12"/>
        <v>100.5</v>
      </c>
      <c r="U151" s="46">
        <v>0</v>
      </c>
      <c r="V151" s="46">
        <f t="shared" si="13"/>
        <v>0</v>
      </c>
      <c r="W151" s="46">
        <f t="shared" si="14"/>
        <v>10</v>
      </c>
      <c r="X151" s="121">
        <f t="shared" si="15"/>
        <v>12</v>
      </c>
      <c r="Y151" s="122">
        <f t="shared" si="16"/>
        <v>122.5</v>
      </c>
      <c r="Z151" s="138">
        <f t="shared" si="17"/>
        <v>123</v>
      </c>
    </row>
    <row r="152" spans="1:26" x14ac:dyDescent="0.25">
      <c r="A152" s="74" t="s">
        <v>531</v>
      </c>
      <c r="B152" s="74" t="s">
        <v>79</v>
      </c>
      <c r="C152" s="74" t="s">
        <v>565</v>
      </c>
      <c r="D152" s="74">
        <v>36126624</v>
      </c>
      <c r="E152" s="75" t="s">
        <v>566</v>
      </c>
      <c r="F152" s="74">
        <v>893111</v>
      </c>
      <c r="G152" s="139" t="s">
        <v>402</v>
      </c>
      <c r="H152" s="75" t="s">
        <v>542</v>
      </c>
      <c r="I152" s="140" t="s">
        <v>581</v>
      </c>
      <c r="J152" s="42">
        <v>2</v>
      </c>
      <c r="K152" s="43">
        <v>0</v>
      </c>
      <c r="L152" s="43">
        <v>3</v>
      </c>
      <c r="M152" s="43">
        <v>0</v>
      </c>
      <c r="N152" s="43">
        <v>0</v>
      </c>
      <c r="O152" s="43">
        <v>0</v>
      </c>
      <c r="P152" s="44">
        <v>0</v>
      </c>
      <c r="Q152" s="42">
        <v>0</v>
      </c>
      <c r="R152" s="43">
        <v>5</v>
      </c>
      <c r="S152" s="44">
        <v>0</v>
      </c>
      <c r="T152" s="45">
        <f t="shared" si="12"/>
        <v>100.5</v>
      </c>
      <c r="U152" s="46">
        <v>0</v>
      </c>
      <c r="V152" s="46">
        <f t="shared" si="13"/>
        <v>0</v>
      </c>
      <c r="W152" s="46">
        <f t="shared" si="14"/>
        <v>10</v>
      </c>
      <c r="X152" s="121">
        <f t="shared" si="15"/>
        <v>0</v>
      </c>
      <c r="Y152" s="122">
        <f t="shared" si="16"/>
        <v>110.5</v>
      </c>
      <c r="Z152" s="138">
        <f t="shared" si="17"/>
        <v>111</v>
      </c>
    </row>
    <row r="153" spans="1:26" x14ac:dyDescent="0.25">
      <c r="A153" s="74" t="s">
        <v>531</v>
      </c>
      <c r="B153" s="74" t="s">
        <v>79</v>
      </c>
      <c r="C153" s="74" t="s">
        <v>565</v>
      </c>
      <c r="D153" s="74">
        <v>36126624</v>
      </c>
      <c r="E153" s="75" t="s">
        <v>566</v>
      </c>
      <c r="F153" s="74">
        <v>161403</v>
      </c>
      <c r="G153" s="139" t="s">
        <v>573</v>
      </c>
      <c r="H153" s="75" t="s">
        <v>542</v>
      </c>
      <c r="I153" s="140" t="s">
        <v>582</v>
      </c>
      <c r="J153" s="42">
        <v>4</v>
      </c>
      <c r="K153" s="43">
        <v>0</v>
      </c>
      <c r="L153" s="43">
        <v>4</v>
      </c>
      <c r="M153" s="43">
        <v>0</v>
      </c>
      <c r="N153" s="43">
        <v>0</v>
      </c>
      <c r="O153" s="43">
        <v>0</v>
      </c>
      <c r="P153" s="44">
        <v>0</v>
      </c>
      <c r="Q153" s="42">
        <v>0</v>
      </c>
      <c r="R153" s="43">
        <v>15</v>
      </c>
      <c r="S153" s="44">
        <v>4</v>
      </c>
      <c r="T153" s="45">
        <f t="shared" si="12"/>
        <v>134</v>
      </c>
      <c r="U153" s="46">
        <v>14.6</v>
      </c>
      <c r="V153" s="46">
        <f t="shared" si="13"/>
        <v>0</v>
      </c>
      <c r="W153" s="46">
        <f t="shared" si="14"/>
        <v>30</v>
      </c>
      <c r="X153" s="121">
        <f t="shared" si="15"/>
        <v>6</v>
      </c>
      <c r="Y153" s="122">
        <f t="shared" si="16"/>
        <v>184.6</v>
      </c>
      <c r="Z153" s="138">
        <f t="shared" si="17"/>
        <v>185</v>
      </c>
    </row>
    <row r="154" spans="1:26" x14ac:dyDescent="0.25">
      <c r="A154" s="74" t="s">
        <v>531</v>
      </c>
      <c r="B154" s="74" t="s">
        <v>79</v>
      </c>
      <c r="C154" s="74" t="s">
        <v>565</v>
      </c>
      <c r="D154" s="74">
        <v>36126624</v>
      </c>
      <c r="E154" s="75" t="s">
        <v>566</v>
      </c>
      <c r="F154" s="74">
        <v>160296</v>
      </c>
      <c r="G154" s="139" t="s">
        <v>49</v>
      </c>
      <c r="H154" s="75" t="s">
        <v>563</v>
      </c>
      <c r="I154" s="140" t="s">
        <v>585</v>
      </c>
      <c r="J154" s="42">
        <v>3</v>
      </c>
      <c r="K154" s="43">
        <v>0</v>
      </c>
      <c r="L154" s="43">
        <v>4</v>
      </c>
      <c r="M154" s="43">
        <v>0</v>
      </c>
      <c r="N154" s="43">
        <v>0</v>
      </c>
      <c r="O154" s="43">
        <v>0</v>
      </c>
      <c r="P154" s="44">
        <v>0</v>
      </c>
      <c r="Q154" s="42">
        <v>0</v>
      </c>
      <c r="R154" s="43">
        <v>7</v>
      </c>
      <c r="S154" s="44">
        <v>7</v>
      </c>
      <c r="T154" s="45">
        <f t="shared" si="12"/>
        <v>134</v>
      </c>
      <c r="U154" s="46">
        <v>0</v>
      </c>
      <c r="V154" s="46">
        <f t="shared" si="13"/>
        <v>0</v>
      </c>
      <c r="W154" s="46">
        <f t="shared" si="14"/>
        <v>14</v>
      </c>
      <c r="X154" s="121">
        <f t="shared" si="15"/>
        <v>10.5</v>
      </c>
      <c r="Y154" s="122">
        <f t="shared" si="16"/>
        <v>158.5</v>
      </c>
      <c r="Z154" s="138">
        <f t="shared" si="17"/>
        <v>159</v>
      </c>
    </row>
    <row r="155" spans="1:26" x14ac:dyDescent="0.25">
      <c r="A155" s="141" t="s">
        <v>531</v>
      </c>
      <c r="B155" s="141" t="s">
        <v>79</v>
      </c>
      <c r="C155" s="141" t="s">
        <v>565</v>
      </c>
      <c r="D155" s="141">
        <v>36126624</v>
      </c>
      <c r="E155" s="75" t="s">
        <v>566</v>
      </c>
      <c r="F155" s="141">
        <v>50424891</v>
      </c>
      <c r="G155" s="139" t="s">
        <v>586</v>
      </c>
      <c r="H155" s="75" t="s">
        <v>563</v>
      </c>
      <c r="I155" s="140" t="s">
        <v>587</v>
      </c>
      <c r="J155" s="42">
        <v>1</v>
      </c>
      <c r="K155" s="43">
        <v>0</v>
      </c>
      <c r="L155" s="43">
        <v>1</v>
      </c>
      <c r="M155" s="43">
        <v>0</v>
      </c>
      <c r="N155" s="43">
        <v>0</v>
      </c>
      <c r="O155" s="43">
        <v>0</v>
      </c>
      <c r="P155" s="44">
        <v>0</v>
      </c>
      <c r="Q155" s="42">
        <v>0</v>
      </c>
      <c r="R155" s="43">
        <v>6</v>
      </c>
      <c r="S155" s="44">
        <v>0</v>
      </c>
      <c r="T155" s="45">
        <f t="shared" si="12"/>
        <v>33.5</v>
      </c>
      <c r="U155" s="46">
        <v>2</v>
      </c>
      <c r="V155" s="46">
        <f t="shared" si="13"/>
        <v>0</v>
      </c>
      <c r="W155" s="46">
        <f t="shared" si="14"/>
        <v>12</v>
      </c>
      <c r="X155" s="121">
        <f t="shared" si="15"/>
        <v>0</v>
      </c>
      <c r="Y155" s="122">
        <f t="shared" si="16"/>
        <v>47.5</v>
      </c>
      <c r="Z155" s="138">
        <f t="shared" si="17"/>
        <v>48</v>
      </c>
    </row>
    <row r="156" spans="1:26" x14ac:dyDescent="0.25">
      <c r="A156" s="74" t="s">
        <v>531</v>
      </c>
      <c r="B156" s="74" t="s">
        <v>79</v>
      </c>
      <c r="C156" s="74" t="s">
        <v>565</v>
      </c>
      <c r="D156" s="74">
        <v>36126624</v>
      </c>
      <c r="E156" s="75" t="s">
        <v>566</v>
      </c>
      <c r="F156" s="74">
        <v>162086</v>
      </c>
      <c r="G156" s="139" t="s">
        <v>100</v>
      </c>
      <c r="H156" s="75" t="s">
        <v>501</v>
      </c>
      <c r="I156" s="140" t="s">
        <v>589</v>
      </c>
      <c r="J156" s="42">
        <v>4</v>
      </c>
      <c r="K156" s="43">
        <v>0</v>
      </c>
      <c r="L156" s="43">
        <v>6</v>
      </c>
      <c r="M156" s="43">
        <v>0</v>
      </c>
      <c r="N156" s="43">
        <v>0</v>
      </c>
      <c r="O156" s="43">
        <v>0</v>
      </c>
      <c r="P156" s="44">
        <v>0</v>
      </c>
      <c r="Q156" s="42">
        <v>0</v>
      </c>
      <c r="R156" s="43">
        <v>11</v>
      </c>
      <c r="S156" s="44">
        <v>0</v>
      </c>
      <c r="T156" s="45">
        <f t="shared" si="12"/>
        <v>201</v>
      </c>
      <c r="U156" s="46">
        <v>24.8</v>
      </c>
      <c r="V156" s="46">
        <f t="shared" si="13"/>
        <v>0</v>
      </c>
      <c r="W156" s="46">
        <f t="shared" si="14"/>
        <v>22</v>
      </c>
      <c r="X156" s="121">
        <f t="shared" si="15"/>
        <v>0</v>
      </c>
      <c r="Y156" s="122">
        <f t="shared" si="16"/>
        <v>247.8</v>
      </c>
      <c r="Z156" s="138">
        <f t="shared" si="17"/>
        <v>248</v>
      </c>
    </row>
    <row r="157" spans="1:26" x14ac:dyDescent="0.25">
      <c r="A157" s="74" t="s">
        <v>531</v>
      </c>
      <c r="B157" s="74" t="s">
        <v>79</v>
      </c>
      <c r="C157" s="74" t="s">
        <v>565</v>
      </c>
      <c r="D157" s="74">
        <v>36126624</v>
      </c>
      <c r="E157" s="75" t="s">
        <v>566</v>
      </c>
      <c r="F157" s="74">
        <v>42141443</v>
      </c>
      <c r="G157" s="139" t="s">
        <v>575</v>
      </c>
      <c r="H157" s="75" t="s">
        <v>501</v>
      </c>
      <c r="I157" s="140" t="s">
        <v>590</v>
      </c>
      <c r="J157" s="42">
        <v>3</v>
      </c>
      <c r="K157" s="43">
        <v>0</v>
      </c>
      <c r="L157" s="43">
        <v>3</v>
      </c>
      <c r="M157" s="43">
        <v>0</v>
      </c>
      <c r="N157" s="43">
        <v>0</v>
      </c>
      <c r="O157" s="43">
        <v>0</v>
      </c>
      <c r="P157" s="44">
        <v>0</v>
      </c>
      <c r="Q157" s="42">
        <v>0</v>
      </c>
      <c r="R157" s="43">
        <v>2</v>
      </c>
      <c r="S157" s="44">
        <v>1</v>
      </c>
      <c r="T157" s="45">
        <f t="shared" si="12"/>
        <v>100.5</v>
      </c>
      <c r="U157" s="46">
        <v>0</v>
      </c>
      <c r="V157" s="46">
        <f t="shared" si="13"/>
        <v>0</v>
      </c>
      <c r="W157" s="46">
        <f t="shared" si="14"/>
        <v>4</v>
      </c>
      <c r="X157" s="121">
        <f t="shared" si="15"/>
        <v>1.5</v>
      </c>
      <c r="Y157" s="122">
        <f t="shared" si="16"/>
        <v>106</v>
      </c>
      <c r="Z157" s="138">
        <f t="shared" si="17"/>
        <v>106</v>
      </c>
    </row>
    <row r="158" spans="1:26" x14ac:dyDescent="0.25">
      <c r="A158" s="74" t="s">
        <v>531</v>
      </c>
      <c r="B158" s="74" t="s">
        <v>79</v>
      </c>
      <c r="C158" s="74" t="s">
        <v>565</v>
      </c>
      <c r="D158" s="74">
        <v>36126624</v>
      </c>
      <c r="E158" s="75" t="s">
        <v>566</v>
      </c>
      <c r="F158" s="74">
        <v>17050561</v>
      </c>
      <c r="G158" s="139" t="s">
        <v>435</v>
      </c>
      <c r="H158" s="75" t="s">
        <v>501</v>
      </c>
      <c r="I158" s="140" t="s">
        <v>591</v>
      </c>
      <c r="J158" s="42">
        <v>4</v>
      </c>
      <c r="K158" s="43">
        <v>0</v>
      </c>
      <c r="L158" s="43">
        <v>5</v>
      </c>
      <c r="M158" s="43">
        <v>0</v>
      </c>
      <c r="N158" s="43">
        <v>0</v>
      </c>
      <c r="O158" s="43">
        <v>0</v>
      </c>
      <c r="P158" s="44">
        <v>0</v>
      </c>
      <c r="Q158" s="42">
        <v>0</v>
      </c>
      <c r="R158" s="43">
        <v>11</v>
      </c>
      <c r="S158" s="44">
        <v>5</v>
      </c>
      <c r="T158" s="45">
        <f t="shared" si="12"/>
        <v>167.5</v>
      </c>
      <c r="U158" s="46">
        <v>0</v>
      </c>
      <c r="V158" s="46">
        <f t="shared" si="13"/>
        <v>0</v>
      </c>
      <c r="W158" s="46">
        <f t="shared" si="14"/>
        <v>22</v>
      </c>
      <c r="X158" s="121">
        <f t="shared" si="15"/>
        <v>7.5</v>
      </c>
      <c r="Y158" s="122">
        <f t="shared" si="16"/>
        <v>197</v>
      </c>
      <c r="Z158" s="138">
        <f t="shared" si="17"/>
        <v>197</v>
      </c>
    </row>
    <row r="159" spans="1:26" x14ac:dyDescent="0.25">
      <c r="A159" s="74" t="s">
        <v>531</v>
      </c>
      <c r="B159" s="74" t="s">
        <v>79</v>
      </c>
      <c r="C159" s="74" t="s">
        <v>565</v>
      </c>
      <c r="D159" s="74">
        <v>36126624</v>
      </c>
      <c r="E159" s="75" t="s">
        <v>566</v>
      </c>
      <c r="F159" s="74">
        <v>161594</v>
      </c>
      <c r="G159" s="139" t="s">
        <v>573</v>
      </c>
      <c r="H159" s="75" t="s">
        <v>501</v>
      </c>
      <c r="I159" s="140" t="s">
        <v>592</v>
      </c>
      <c r="J159" s="42">
        <v>2</v>
      </c>
      <c r="K159" s="43">
        <v>0</v>
      </c>
      <c r="L159" s="43">
        <v>2</v>
      </c>
      <c r="M159" s="43">
        <v>0</v>
      </c>
      <c r="N159" s="43">
        <v>0</v>
      </c>
      <c r="O159" s="43">
        <v>0</v>
      </c>
      <c r="P159" s="44">
        <v>0</v>
      </c>
      <c r="Q159" s="42">
        <v>0</v>
      </c>
      <c r="R159" s="43">
        <v>5</v>
      </c>
      <c r="S159" s="44">
        <v>6</v>
      </c>
      <c r="T159" s="45">
        <f t="shared" si="12"/>
        <v>67</v>
      </c>
      <c r="U159" s="46">
        <v>0</v>
      </c>
      <c r="V159" s="46">
        <f t="shared" si="13"/>
        <v>0</v>
      </c>
      <c r="W159" s="46">
        <f t="shared" si="14"/>
        <v>10</v>
      </c>
      <c r="X159" s="121">
        <f t="shared" si="15"/>
        <v>9</v>
      </c>
      <c r="Y159" s="122">
        <f t="shared" si="16"/>
        <v>86</v>
      </c>
      <c r="Z159" s="138">
        <f t="shared" si="17"/>
        <v>86</v>
      </c>
    </row>
    <row r="160" spans="1:26" x14ac:dyDescent="0.25">
      <c r="A160" s="74" t="s">
        <v>531</v>
      </c>
      <c r="B160" s="74" t="s">
        <v>79</v>
      </c>
      <c r="C160" s="74" t="s">
        <v>565</v>
      </c>
      <c r="D160" s="74">
        <v>36126624</v>
      </c>
      <c r="E160" s="75" t="s">
        <v>566</v>
      </c>
      <c r="F160" s="74">
        <v>607002</v>
      </c>
      <c r="G160" s="139" t="s">
        <v>117</v>
      </c>
      <c r="H160" s="75" t="s">
        <v>501</v>
      </c>
      <c r="I160" s="140" t="s">
        <v>593</v>
      </c>
      <c r="J160" s="42">
        <v>2</v>
      </c>
      <c r="K160" s="43">
        <v>0</v>
      </c>
      <c r="L160" s="43">
        <v>3</v>
      </c>
      <c r="M160" s="43">
        <v>0</v>
      </c>
      <c r="N160" s="43">
        <v>0</v>
      </c>
      <c r="O160" s="43">
        <v>0</v>
      </c>
      <c r="P160" s="44">
        <v>0</v>
      </c>
      <c r="Q160" s="42">
        <v>0</v>
      </c>
      <c r="R160" s="43">
        <v>6</v>
      </c>
      <c r="S160" s="44">
        <v>10</v>
      </c>
      <c r="T160" s="45">
        <f t="shared" si="12"/>
        <v>100.5</v>
      </c>
      <c r="U160" s="46">
        <v>70.67</v>
      </c>
      <c r="V160" s="46">
        <f t="shared" si="13"/>
        <v>0</v>
      </c>
      <c r="W160" s="46">
        <f t="shared" si="14"/>
        <v>12</v>
      </c>
      <c r="X160" s="121">
        <f t="shared" si="15"/>
        <v>15</v>
      </c>
      <c r="Y160" s="122">
        <f t="shared" si="16"/>
        <v>198.17000000000002</v>
      </c>
      <c r="Z160" s="138">
        <f t="shared" si="17"/>
        <v>198</v>
      </c>
    </row>
    <row r="161" spans="1:26" x14ac:dyDescent="0.25">
      <c r="A161" s="74" t="s">
        <v>531</v>
      </c>
      <c r="B161" s="74" t="s">
        <v>79</v>
      </c>
      <c r="C161" s="74" t="s">
        <v>565</v>
      </c>
      <c r="D161" s="74">
        <v>36126624</v>
      </c>
      <c r="E161" s="75" t="s">
        <v>566</v>
      </c>
      <c r="F161" s="74">
        <v>42024471</v>
      </c>
      <c r="G161" s="139" t="s">
        <v>575</v>
      </c>
      <c r="H161" s="75" t="s">
        <v>594</v>
      </c>
      <c r="I161" s="140" t="s">
        <v>595</v>
      </c>
      <c r="J161" s="42">
        <v>5</v>
      </c>
      <c r="K161" s="43">
        <v>0</v>
      </c>
      <c r="L161" s="43">
        <v>6</v>
      </c>
      <c r="M161" s="43">
        <v>0</v>
      </c>
      <c r="N161" s="43">
        <v>0</v>
      </c>
      <c r="O161" s="43">
        <v>0</v>
      </c>
      <c r="P161" s="44">
        <v>0</v>
      </c>
      <c r="Q161" s="42">
        <v>0</v>
      </c>
      <c r="R161" s="43">
        <v>27</v>
      </c>
      <c r="S161" s="44">
        <v>10</v>
      </c>
      <c r="T161" s="45">
        <f t="shared" si="12"/>
        <v>201</v>
      </c>
      <c r="U161" s="46">
        <v>64.47</v>
      </c>
      <c r="V161" s="46">
        <f t="shared" si="13"/>
        <v>0</v>
      </c>
      <c r="W161" s="46">
        <f t="shared" si="14"/>
        <v>54</v>
      </c>
      <c r="X161" s="121">
        <f t="shared" si="15"/>
        <v>15</v>
      </c>
      <c r="Y161" s="122">
        <f t="shared" si="16"/>
        <v>334.47</v>
      </c>
      <c r="Z161" s="138">
        <f t="shared" si="17"/>
        <v>334</v>
      </c>
    </row>
    <row r="162" spans="1:26" x14ac:dyDescent="0.25">
      <c r="A162" s="141" t="s">
        <v>531</v>
      </c>
      <c r="B162" s="141" t="s">
        <v>79</v>
      </c>
      <c r="C162" s="141" t="s">
        <v>565</v>
      </c>
      <c r="D162" s="141">
        <v>36126624</v>
      </c>
      <c r="E162" s="75" t="s">
        <v>566</v>
      </c>
      <c r="F162" s="141">
        <v>52375277</v>
      </c>
      <c r="G162" s="139" t="s">
        <v>575</v>
      </c>
      <c r="H162" s="75" t="s">
        <v>596</v>
      </c>
      <c r="I162" s="140" t="s">
        <v>597</v>
      </c>
      <c r="J162" s="42">
        <v>2</v>
      </c>
      <c r="K162" s="43">
        <v>0</v>
      </c>
      <c r="L162" s="43">
        <v>2</v>
      </c>
      <c r="M162" s="43">
        <v>0</v>
      </c>
      <c r="N162" s="43">
        <v>0</v>
      </c>
      <c r="O162" s="43">
        <v>0</v>
      </c>
      <c r="P162" s="44">
        <v>0</v>
      </c>
      <c r="Q162" s="42">
        <v>0</v>
      </c>
      <c r="R162" s="43">
        <v>7</v>
      </c>
      <c r="S162" s="44">
        <v>0</v>
      </c>
      <c r="T162" s="45">
        <f t="shared" si="12"/>
        <v>67</v>
      </c>
      <c r="U162" s="46">
        <v>14.6</v>
      </c>
      <c r="V162" s="46">
        <f t="shared" si="13"/>
        <v>0</v>
      </c>
      <c r="W162" s="46">
        <f t="shared" si="14"/>
        <v>14</v>
      </c>
      <c r="X162" s="121">
        <f t="shared" si="15"/>
        <v>0</v>
      </c>
      <c r="Y162" s="122">
        <f t="shared" si="16"/>
        <v>95.6</v>
      </c>
      <c r="Z162" s="138">
        <f t="shared" si="17"/>
        <v>96</v>
      </c>
    </row>
    <row r="163" spans="1:26" x14ac:dyDescent="0.25">
      <c r="A163" s="74" t="s">
        <v>531</v>
      </c>
      <c r="B163" s="74" t="s">
        <v>79</v>
      </c>
      <c r="C163" s="74" t="s">
        <v>565</v>
      </c>
      <c r="D163" s="74">
        <v>36126624</v>
      </c>
      <c r="E163" s="75" t="s">
        <v>566</v>
      </c>
      <c r="F163" s="74">
        <v>160750</v>
      </c>
      <c r="G163" s="139" t="s">
        <v>598</v>
      </c>
      <c r="H163" s="75" t="s">
        <v>549</v>
      </c>
      <c r="I163" s="140" t="s">
        <v>599</v>
      </c>
      <c r="J163" s="42">
        <v>6</v>
      </c>
      <c r="K163" s="43">
        <v>0</v>
      </c>
      <c r="L163" s="43">
        <v>6</v>
      </c>
      <c r="M163" s="43">
        <v>0</v>
      </c>
      <c r="N163" s="43">
        <v>0</v>
      </c>
      <c r="O163" s="43">
        <v>0</v>
      </c>
      <c r="P163" s="44">
        <v>0</v>
      </c>
      <c r="Q163" s="42">
        <v>0</v>
      </c>
      <c r="R163" s="43">
        <v>17</v>
      </c>
      <c r="S163" s="44">
        <v>8</v>
      </c>
      <c r="T163" s="45">
        <f t="shared" si="12"/>
        <v>201</v>
      </c>
      <c r="U163" s="46">
        <v>21.9</v>
      </c>
      <c r="V163" s="46">
        <f t="shared" si="13"/>
        <v>0</v>
      </c>
      <c r="W163" s="46">
        <f t="shared" si="14"/>
        <v>34</v>
      </c>
      <c r="X163" s="121">
        <f t="shared" si="15"/>
        <v>12</v>
      </c>
      <c r="Y163" s="122">
        <f t="shared" si="16"/>
        <v>268.89999999999998</v>
      </c>
      <c r="Z163" s="138">
        <f t="shared" si="17"/>
        <v>269</v>
      </c>
    </row>
    <row r="164" spans="1:26" x14ac:dyDescent="0.25">
      <c r="A164" s="74" t="s">
        <v>531</v>
      </c>
      <c r="B164" s="74" t="s">
        <v>79</v>
      </c>
      <c r="C164" s="74" t="s">
        <v>565</v>
      </c>
      <c r="D164" s="74">
        <v>36126624</v>
      </c>
      <c r="E164" s="75" t="s">
        <v>566</v>
      </c>
      <c r="F164" s="74">
        <v>162094</v>
      </c>
      <c r="G164" s="139" t="s">
        <v>100</v>
      </c>
      <c r="H164" s="75" t="s">
        <v>549</v>
      </c>
      <c r="I164" s="140" t="s">
        <v>600</v>
      </c>
      <c r="J164" s="42">
        <v>4</v>
      </c>
      <c r="K164" s="43">
        <v>0</v>
      </c>
      <c r="L164" s="43">
        <v>5</v>
      </c>
      <c r="M164" s="43">
        <v>0</v>
      </c>
      <c r="N164" s="43">
        <v>0</v>
      </c>
      <c r="O164" s="43">
        <v>0</v>
      </c>
      <c r="P164" s="44">
        <v>0</v>
      </c>
      <c r="Q164" s="42">
        <v>0</v>
      </c>
      <c r="R164" s="43">
        <v>6</v>
      </c>
      <c r="S164" s="44">
        <v>2</v>
      </c>
      <c r="T164" s="45">
        <f t="shared" si="12"/>
        <v>167.5</v>
      </c>
      <c r="U164" s="46">
        <v>32.4</v>
      </c>
      <c r="V164" s="46">
        <f t="shared" si="13"/>
        <v>0</v>
      </c>
      <c r="W164" s="46">
        <f t="shared" si="14"/>
        <v>12</v>
      </c>
      <c r="X164" s="121">
        <f t="shared" si="15"/>
        <v>3</v>
      </c>
      <c r="Y164" s="122">
        <f t="shared" si="16"/>
        <v>214.9</v>
      </c>
      <c r="Z164" s="138">
        <f t="shared" si="17"/>
        <v>215</v>
      </c>
    </row>
    <row r="165" spans="1:26" x14ac:dyDescent="0.25">
      <c r="A165" s="74" t="s">
        <v>531</v>
      </c>
      <c r="B165" s="74" t="s">
        <v>79</v>
      </c>
      <c r="C165" s="74" t="s">
        <v>565</v>
      </c>
      <c r="D165" s="74">
        <v>36126624</v>
      </c>
      <c r="E165" s="75" t="s">
        <v>566</v>
      </c>
      <c r="F165" s="74">
        <v>42026407</v>
      </c>
      <c r="G165" s="139" t="s">
        <v>575</v>
      </c>
      <c r="H165" s="75" t="s">
        <v>549</v>
      </c>
      <c r="I165" s="140" t="s">
        <v>601</v>
      </c>
      <c r="J165" s="42">
        <v>5</v>
      </c>
      <c r="K165" s="43">
        <v>0</v>
      </c>
      <c r="L165" s="43">
        <v>8</v>
      </c>
      <c r="M165" s="43">
        <v>0</v>
      </c>
      <c r="N165" s="43">
        <v>0</v>
      </c>
      <c r="O165" s="43">
        <v>0</v>
      </c>
      <c r="P165" s="44">
        <v>0</v>
      </c>
      <c r="Q165" s="42">
        <v>0</v>
      </c>
      <c r="R165" s="43">
        <v>14</v>
      </c>
      <c r="S165" s="44">
        <v>19</v>
      </c>
      <c r="T165" s="45">
        <f t="shared" si="12"/>
        <v>268</v>
      </c>
      <c r="U165" s="46">
        <v>29.2</v>
      </c>
      <c r="V165" s="46">
        <f t="shared" si="13"/>
        <v>0</v>
      </c>
      <c r="W165" s="46">
        <f t="shared" si="14"/>
        <v>28</v>
      </c>
      <c r="X165" s="121">
        <f t="shared" si="15"/>
        <v>28.5</v>
      </c>
      <c r="Y165" s="122">
        <f t="shared" si="16"/>
        <v>353.7</v>
      </c>
      <c r="Z165" s="138">
        <f t="shared" si="17"/>
        <v>354</v>
      </c>
    </row>
    <row r="166" spans="1:26" x14ac:dyDescent="0.25">
      <c r="A166" s="74" t="s">
        <v>531</v>
      </c>
      <c r="B166" s="74" t="s">
        <v>79</v>
      </c>
      <c r="C166" s="74" t="s">
        <v>565</v>
      </c>
      <c r="D166" s="74">
        <v>36126624</v>
      </c>
      <c r="E166" s="75" t="s">
        <v>566</v>
      </c>
      <c r="F166" s="74">
        <v>158577</v>
      </c>
      <c r="G166" s="139" t="s">
        <v>402</v>
      </c>
      <c r="H166" s="75" t="s">
        <v>549</v>
      </c>
      <c r="I166" s="140" t="s">
        <v>602</v>
      </c>
      <c r="J166" s="42">
        <v>6</v>
      </c>
      <c r="K166" s="43">
        <v>0</v>
      </c>
      <c r="L166" s="43">
        <v>8</v>
      </c>
      <c r="M166" s="43">
        <v>0</v>
      </c>
      <c r="N166" s="43">
        <v>0</v>
      </c>
      <c r="O166" s="43">
        <v>0</v>
      </c>
      <c r="P166" s="44">
        <v>0</v>
      </c>
      <c r="Q166" s="42">
        <v>0</v>
      </c>
      <c r="R166" s="43">
        <v>19</v>
      </c>
      <c r="S166" s="44">
        <v>24</v>
      </c>
      <c r="T166" s="45">
        <f t="shared" si="12"/>
        <v>268</v>
      </c>
      <c r="U166" s="46">
        <v>0</v>
      </c>
      <c r="V166" s="46">
        <f t="shared" si="13"/>
        <v>0</v>
      </c>
      <c r="W166" s="46">
        <f t="shared" si="14"/>
        <v>38</v>
      </c>
      <c r="X166" s="121">
        <f t="shared" si="15"/>
        <v>36</v>
      </c>
      <c r="Y166" s="122">
        <f t="shared" si="16"/>
        <v>342</v>
      </c>
      <c r="Z166" s="138">
        <f t="shared" si="17"/>
        <v>342</v>
      </c>
    </row>
    <row r="167" spans="1:26" x14ac:dyDescent="0.25">
      <c r="A167" s="141" t="s">
        <v>531</v>
      </c>
      <c r="B167" s="141" t="s">
        <v>79</v>
      </c>
      <c r="C167" s="141" t="s">
        <v>565</v>
      </c>
      <c r="D167" s="141">
        <v>36126624</v>
      </c>
      <c r="E167" s="75" t="s">
        <v>566</v>
      </c>
      <c r="F167" s="141">
        <v>52164284</v>
      </c>
      <c r="G167" s="139" t="s">
        <v>117</v>
      </c>
      <c r="H167" s="75" t="s">
        <v>549</v>
      </c>
      <c r="I167" s="140" t="s">
        <v>603</v>
      </c>
      <c r="J167" s="42">
        <v>1</v>
      </c>
      <c r="K167" s="43">
        <v>0</v>
      </c>
      <c r="L167" s="43">
        <v>2</v>
      </c>
      <c r="M167" s="43">
        <v>0</v>
      </c>
      <c r="N167" s="43">
        <v>0</v>
      </c>
      <c r="O167" s="43">
        <v>0</v>
      </c>
      <c r="P167" s="44">
        <v>0</v>
      </c>
      <c r="Q167" s="42">
        <v>0</v>
      </c>
      <c r="R167" s="43">
        <v>3</v>
      </c>
      <c r="S167" s="44">
        <v>0</v>
      </c>
      <c r="T167" s="45">
        <f t="shared" si="12"/>
        <v>67</v>
      </c>
      <c r="U167" s="46">
        <v>0</v>
      </c>
      <c r="V167" s="46">
        <f t="shared" si="13"/>
        <v>0</v>
      </c>
      <c r="W167" s="46">
        <f t="shared" si="14"/>
        <v>6</v>
      </c>
      <c r="X167" s="121">
        <f t="shared" si="15"/>
        <v>0</v>
      </c>
      <c r="Y167" s="122">
        <f t="shared" si="16"/>
        <v>73</v>
      </c>
      <c r="Z167" s="138">
        <f t="shared" si="17"/>
        <v>73</v>
      </c>
    </row>
    <row r="168" spans="1:26" x14ac:dyDescent="0.25">
      <c r="A168" s="74" t="s">
        <v>531</v>
      </c>
      <c r="B168" s="74" t="s">
        <v>79</v>
      </c>
      <c r="C168" s="74" t="s">
        <v>565</v>
      </c>
      <c r="D168" s="74">
        <v>36126624</v>
      </c>
      <c r="E168" s="75" t="s">
        <v>566</v>
      </c>
      <c r="F168" s="74">
        <v>158569</v>
      </c>
      <c r="G168" s="139" t="s">
        <v>402</v>
      </c>
      <c r="H168" s="75" t="s">
        <v>552</v>
      </c>
      <c r="I168" s="140" t="s">
        <v>606</v>
      </c>
      <c r="J168" s="42">
        <v>6</v>
      </c>
      <c r="K168" s="43">
        <v>0</v>
      </c>
      <c r="L168" s="43">
        <v>6</v>
      </c>
      <c r="M168" s="43">
        <v>0</v>
      </c>
      <c r="N168" s="43">
        <v>0</v>
      </c>
      <c r="O168" s="43">
        <v>0</v>
      </c>
      <c r="P168" s="44">
        <v>0</v>
      </c>
      <c r="Q168" s="42">
        <v>1</v>
      </c>
      <c r="R168" s="43">
        <v>5</v>
      </c>
      <c r="S168" s="44">
        <v>1</v>
      </c>
      <c r="T168" s="45">
        <f t="shared" si="12"/>
        <v>201</v>
      </c>
      <c r="U168" s="46">
        <v>37.549999999999997</v>
      </c>
      <c r="V168" s="46">
        <f t="shared" si="13"/>
        <v>1.5</v>
      </c>
      <c r="W168" s="46">
        <f t="shared" si="14"/>
        <v>10</v>
      </c>
      <c r="X168" s="121">
        <f t="shared" si="15"/>
        <v>1.5</v>
      </c>
      <c r="Y168" s="122">
        <f t="shared" si="16"/>
        <v>251.55</v>
      </c>
      <c r="Z168" s="138">
        <f t="shared" si="17"/>
        <v>252</v>
      </c>
    </row>
    <row r="169" spans="1:26" x14ac:dyDescent="0.25">
      <c r="A169" s="74" t="s">
        <v>531</v>
      </c>
      <c r="B169" s="74" t="s">
        <v>79</v>
      </c>
      <c r="C169" s="74" t="s">
        <v>565</v>
      </c>
      <c r="D169" s="74">
        <v>36126624</v>
      </c>
      <c r="E169" s="75" t="s">
        <v>566</v>
      </c>
      <c r="F169" s="74">
        <v>160458</v>
      </c>
      <c r="G169" s="139" t="s">
        <v>607</v>
      </c>
      <c r="H169" s="75" t="s">
        <v>556</v>
      </c>
      <c r="I169" s="140" t="s">
        <v>608</v>
      </c>
      <c r="J169" s="42">
        <v>1</v>
      </c>
      <c r="K169" s="43">
        <v>0</v>
      </c>
      <c r="L169" s="43">
        <v>1</v>
      </c>
      <c r="M169" s="43">
        <v>0</v>
      </c>
      <c r="N169" s="43">
        <v>0</v>
      </c>
      <c r="O169" s="43">
        <v>0</v>
      </c>
      <c r="P169" s="44">
        <v>0</v>
      </c>
      <c r="Q169" s="42">
        <v>0</v>
      </c>
      <c r="R169" s="43">
        <v>6</v>
      </c>
      <c r="S169" s="44">
        <v>0</v>
      </c>
      <c r="T169" s="45">
        <f t="shared" si="12"/>
        <v>33.5</v>
      </c>
      <c r="U169" s="46">
        <v>0</v>
      </c>
      <c r="V169" s="46">
        <f t="shared" si="13"/>
        <v>0</v>
      </c>
      <c r="W169" s="46">
        <f t="shared" si="14"/>
        <v>12</v>
      </c>
      <c r="X169" s="121">
        <f t="shared" si="15"/>
        <v>0</v>
      </c>
      <c r="Y169" s="122">
        <f t="shared" si="16"/>
        <v>45.5</v>
      </c>
      <c r="Z169" s="138">
        <f t="shared" si="17"/>
        <v>46</v>
      </c>
    </row>
    <row r="170" spans="1:26" x14ac:dyDescent="0.25">
      <c r="A170" s="74" t="s">
        <v>531</v>
      </c>
      <c r="B170" s="74" t="s">
        <v>79</v>
      </c>
      <c r="C170" s="74" t="s">
        <v>565</v>
      </c>
      <c r="D170" s="74">
        <v>36126624</v>
      </c>
      <c r="E170" s="75" t="s">
        <v>566</v>
      </c>
      <c r="F170" s="74">
        <v>17053668</v>
      </c>
      <c r="G170" s="139" t="s">
        <v>575</v>
      </c>
      <c r="H170" s="75" t="s">
        <v>556</v>
      </c>
      <c r="I170" s="140" t="s">
        <v>611</v>
      </c>
      <c r="J170" s="42">
        <v>5</v>
      </c>
      <c r="K170" s="43">
        <v>0</v>
      </c>
      <c r="L170" s="43">
        <v>8</v>
      </c>
      <c r="M170" s="43">
        <v>0</v>
      </c>
      <c r="N170" s="43">
        <v>0</v>
      </c>
      <c r="O170" s="43">
        <v>1</v>
      </c>
      <c r="P170" s="44">
        <v>0</v>
      </c>
      <c r="Q170" s="42">
        <v>3</v>
      </c>
      <c r="R170" s="43">
        <v>34</v>
      </c>
      <c r="S170" s="44">
        <v>0</v>
      </c>
      <c r="T170" s="45">
        <f t="shared" si="12"/>
        <v>268</v>
      </c>
      <c r="U170" s="46">
        <v>21.8</v>
      </c>
      <c r="V170" s="46">
        <f t="shared" si="13"/>
        <v>4.5</v>
      </c>
      <c r="W170" s="46">
        <f t="shared" si="14"/>
        <v>81.5</v>
      </c>
      <c r="X170" s="121">
        <f t="shared" si="15"/>
        <v>0</v>
      </c>
      <c r="Y170" s="122">
        <f t="shared" si="16"/>
        <v>375.8</v>
      </c>
      <c r="Z170" s="138">
        <f t="shared" si="17"/>
        <v>376</v>
      </c>
    </row>
    <row r="171" spans="1:26" x14ac:dyDescent="0.25">
      <c r="A171" s="74" t="s">
        <v>531</v>
      </c>
      <c r="B171" s="74" t="s">
        <v>79</v>
      </c>
      <c r="C171" s="74" t="s">
        <v>565</v>
      </c>
      <c r="D171" s="74">
        <v>36126624</v>
      </c>
      <c r="E171" s="75" t="s">
        <v>566</v>
      </c>
      <c r="F171" s="74">
        <v>351806</v>
      </c>
      <c r="G171" s="139" t="s">
        <v>402</v>
      </c>
      <c r="H171" s="75" t="s">
        <v>556</v>
      </c>
      <c r="I171" s="140" t="s">
        <v>612</v>
      </c>
      <c r="J171" s="42">
        <v>4</v>
      </c>
      <c r="K171" s="43">
        <v>0</v>
      </c>
      <c r="L171" s="43">
        <v>6</v>
      </c>
      <c r="M171" s="43">
        <v>0</v>
      </c>
      <c r="N171" s="43">
        <v>0</v>
      </c>
      <c r="O171" s="43">
        <v>0</v>
      </c>
      <c r="P171" s="44">
        <v>0</v>
      </c>
      <c r="Q171" s="42">
        <v>0</v>
      </c>
      <c r="R171" s="43">
        <v>7</v>
      </c>
      <c r="S171" s="44">
        <v>11</v>
      </c>
      <c r="T171" s="45">
        <f t="shared" si="12"/>
        <v>201</v>
      </c>
      <c r="U171" s="46">
        <v>38.299999999999997</v>
      </c>
      <c r="V171" s="46">
        <f t="shared" si="13"/>
        <v>0</v>
      </c>
      <c r="W171" s="46">
        <f t="shared" si="14"/>
        <v>14</v>
      </c>
      <c r="X171" s="121">
        <f t="shared" si="15"/>
        <v>16.5</v>
      </c>
      <c r="Y171" s="122">
        <f t="shared" si="16"/>
        <v>269.8</v>
      </c>
      <c r="Z171" s="138">
        <f t="shared" si="17"/>
        <v>270</v>
      </c>
    </row>
    <row r="172" spans="1:26" x14ac:dyDescent="0.25">
      <c r="A172" s="74" t="s">
        <v>531</v>
      </c>
      <c r="B172" s="74" t="s">
        <v>79</v>
      </c>
      <c r="C172" s="74" t="s">
        <v>565</v>
      </c>
      <c r="D172" s="74">
        <v>36126624</v>
      </c>
      <c r="E172" s="75" t="s">
        <v>566</v>
      </c>
      <c r="F172" s="74">
        <v>37922467</v>
      </c>
      <c r="G172" s="139" t="s">
        <v>613</v>
      </c>
      <c r="H172" s="75" t="s">
        <v>556</v>
      </c>
      <c r="I172" s="140" t="s">
        <v>614</v>
      </c>
      <c r="J172" s="42">
        <v>4</v>
      </c>
      <c r="K172" s="43">
        <v>0</v>
      </c>
      <c r="L172" s="43">
        <v>4</v>
      </c>
      <c r="M172" s="43">
        <v>0</v>
      </c>
      <c r="N172" s="43">
        <v>0</v>
      </c>
      <c r="O172" s="43">
        <v>0</v>
      </c>
      <c r="P172" s="44">
        <v>0</v>
      </c>
      <c r="Q172" s="42">
        <v>0</v>
      </c>
      <c r="R172" s="43">
        <v>6</v>
      </c>
      <c r="S172" s="44">
        <v>1</v>
      </c>
      <c r="T172" s="45">
        <f t="shared" si="12"/>
        <v>134</v>
      </c>
      <c r="U172" s="46">
        <v>0</v>
      </c>
      <c r="V172" s="46">
        <f t="shared" si="13"/>
        <v>0</v>
      </c>
      <c r="W172" s="46">
        <f t="shared" si="14"/>
        <v>12</v>
      </c>
      <c r="X172" s="121">
        <f t="shared" si="15"/>
        <v>1.5</v>
      </c>
      <c r="Y172" s="122">
        <f t="shared" si="16"/>
        <v>147.5</v>
      </c>
      <c r="Z172" s="138">
        <f t="shared" si="17"/>
        <v>148</v>
      </c>
    </row>
    <row r="173" spans="1:26" x14ac:dyDescent="0.25">
      <c r="A173" s="74" t="s">
        <v>531</v>
      </c>
      <c r="B173" s="74" t="s">
        <v>79</v>
      </c>
      <c r="C173" s="74" t="s">
        <v>565</v>
      </c>
      <c r="D173" s="74">
        <v>36126624</v>
      </c>
      <c r="E173" s="75" t="s">
        <v>566</v>
      </c>
      <c r="F173" s="74">
        <v>515159</v>
      </c>
      <c r="G173" s="139" t="s">
        <v>615</v>
      </c>
      <c r="H173" s="75" t="s">
        <v>556</v>
      </c>
      <c r="I173" s="140" t="s">
        <v>616</v>
      </c>
      <c r="J173" s="42">
        <v>2</v>
      </c>
      <c r="K173" s="43">
        <v>0</v>
      </c>
      <c r="L173" s="43">
        <v>2</v>
      </c>
      <c r="M173" s="43">
        <v>0</v>
      </c>
      <c r="N173" s="43">
        <v>0</v>
      </c>
      <c r="O173" s="43">
        <v>0</v>
      </c>
      <c r="P173" s="44">
        <v>0</v>
      </c>
      <c r="Q173" s="42">
        <v>0</v>
      </c>
      <c r="R173" s="43">
        <v>1</v>
      </c>
      <c r="S173" s="44">
        <v>1</v>
      </c>
      <c r="T173" s="45">
        <f t="shared" si="12"/>
        <v>67</v>
      </c>
      <c r="U173" s="46">
        <v>0</v>
      </c>
      <c r="V173" s="46">
        <f t="shared" si="13"/>
        <v>0</v>
      </c>
      <c r="W173" s="46">
        <f t="shared" si="14"/>
        <v>2</v>
      </c>
      <c r="X173" s="121">
        <f t="shared" si="15"/>
        <v>1.5</v>
      </c>
      <c r="Y173" s="122">
        <f t="shared" si="16"/>
        <v>70.5</v>
      </c>
      <c r="Z173" s="138">
        <f t="shared" si="17"/>
        <v>71</v>
      </c>
    </row>
    <row r="174" spans="1:26" ht="25.5" x14ac:dyDescent="0.25">
      <c r="A174" s="74" t="s">
        <v>531</v>
      </c>
      <c r="B174" s="74" t="s">
        <v>79</v>
      </c>
      <c r="C174" s="74" t="s">
        <v>565</v>
      </c>
      <c r="D174" s="74">
        <v>36126624</v>
      </c>
      <c r="E174" s="75" t="s">
        <v>566</v>
      </c>
      <c r="F174" s="74">
        <v>607363</v>
      </c>
      <c r="G174" s="139" t="s">
        <v>617</v>
      </c>
      <c r="H174" s="75" t="s">
        <v>556</v>
      </c>
      <c r="I174" s="140" t="s">
        <v>618</v>
      </c>
      <c r="J174" s="42">
        <v>5</v>
      </c>
      <c r="K174" s="43">
        <v>0</v>
      </c>
      <c r="L174" s="43">
        <v>5</v>
      </c>
      <c r="M174" s="43">
        <v>0</v>
      </c>
      <c r="N174" s="43">
        <v>0</v>
      </c>
      <c r="O174" s="43">
        <v>0</v>
      </c>
      <c r="P174" s="44">
        <v>0</v>
      </c>
      <c r="Q174" s="42">
        <v>0</v>
      </c>
      <c r="R174" s="43">
        <v>9</v>
      </c>
      <c r="S174" s="44">
        <v>6</v>
      </c>
      <c r="T174" s="45">
        <f t="shared" si="12"/>
        <v>167.5</v>
      </c>
      <c r="U174" s="46">
        <v>25.4</v>
      </c>
      <c r="V174" s="46">
        <f t="shared" si="13"/>
        <v>0</v>
      </c>
      <c r="W174" s="46">
        <f t="shared" si="14"/>
        <v>18</v>
      </c>
      <c r="X174" s="121">
        <f t="shared" si="15"/>
        <v>9</v>
      </c>
      <c r="Y174" s="122">
        <f t="shared" si="16"/>
        <v>219.9</v>
      </c>
      <c r="Z174" s="138">
        <f t="shared" si="17"/>
        <v>220</v>
      </c>
    </row>
    <row r="175" spans="1:26" x14ac:dyDescent="0.25">
      <c r="A175" s="74" t="s">
        <v>531</v>
      </c>
      <c r="B175" s="74" t="s">
        <v>79</v>
      </c>
      <c r="C175" s="74" t="s">
        <v>565</v>
      </c>
      <c r="D175" s="74">
        <v>36126624</v>
      </c>
      <c r="E175" s="75" t="s">
        <v>566</v>
      </c>
      <c r="F175" s="74">
        <v>161438</v>
      </c>
      <c r="G175" s="139" t="s">
        <v>119</v>
      </c>
      <c r="H175" s="75" t="s">
        <v>556</v>
      </c>
      <c r="I175" s="140" t="s">
        <v>619</v>
      </c>
      <c r="J175" s="42">
        <v>2</v>
      </c>
      <c r="K175" s="43">
        <v>0</v>
      </c>
      <c r="L175" s="43">
        <v>2</v>
      </c>
      <c r="M175" s="43">
        <v>0</v>
      </c>
      <c r="N175" s="43">
        <v>0</v>
      </c>
      <c r="O175" s="43">
        <v>0</v>
      </c>
      <c r="P175" s="44">
        <v>0</v>
      </c>
      <c r="Q175" s="42">
        <v>0</v>
      </c>
      <c r="R175" s="43">
        <v>0</v>
      </c>
      <c r="S175" s="44">
        <v>8</v>
      </c>
      <c r="T175" s="45">
        <f t="shared" si="12"/>
        <v>67</v>
      </c>
      <c r="U175" s="46">
        <v>7.3</v>
      </c>
      <c r="V175" s="46">
        <f t="shared" si="13"/>
        <v>0</v>
      </c>
      <c r="W175" s="46">
        <f t="shared" si="14"/>
        <v>0</v>
      </c>
      <c r="X175" s="121">
        <f t="shared" si="15"/>
        <v>12</v>
      </c>
      <c r="Y175" s="122">
        <f t="shared" si="16"/>
        <v>86.3</v>
      </c>
      <c r="Z175" s="138">
        <f t="shared" si="17"/>
        <v>86</v>
      </c>
    </row>
    <row r="176" spans="1:26" x14ac:dyDescent="0.25">
      <c r="A176" s="74" t="s">
        <v>531</v>
      </c>
      <c r="B176" s="74" t="s">
        <v>181</v>
      </c>
      <c r="C176" s="74" t="s">
        <v>620</v>
      </c>
      <c r="D176" s="74">
        <v>677574</v>
      </c>
      <c r="E176" s="75" t="s">
        <v>621</v>
      </c>
      <c r="F176" s="74">
        <v>17643066</v>
      </c>
      <c r="G176" s="139" t="s">
        <v>622</v>
      </c>
      <c r="H176" s="75" t="s">
        <v>542</v>
      </c>
      <c r="I176" s="140" t="s">
        <v>623</v>
      </c>
      <c r="J176" s="42">
        <v>0</v>
      </c>
      <c r="K176" s="43">
        <v>0</v>
      </c>
      <c r="L176" s="43">
        <v>2</v>
      </c>
      <c r="M176" s="43">
        <v>0</v>
      </c>
      <c r="N176" s="43">
        <v>0</v>
      </c>
      <c r="O176" s="43">
        <v>0</v>
      </c>
      <c r="P176" s="44">
        <v>0</v>
      </c>
      <c r="Q176" s="42">
        <v>0</v>
      </c>
      <c r="R176" s="43">
        <v>0</v>
      </c>
      <c r="S176" s="44">
        <v>11</v>
      </c>
      <c r="T176" s="45">
        <f t="shared" si="12"/>
        <v>67</v>
      </c>
      <c r="U176" s="46">
        <v>0</v>
      </c>
      <c r="V176" s="46">
        <f t="shared" si="13"/>
        <v>0</v>
      </c>
      <c r="W176" s="46">
        <f t="shared" si="14"/>
        <v>0</v>
      </c>
      <c r="X176" s="121">
        <f t="shared" si="15"/>
        <v>16.5</v>
      </c>
      <c r="Y176" s="122">
        <f t="shared" si="16"/>
        <v>83.5</v>
      </c>
      <c r="Z176" s="138">
        <f t="shared" si="17"/>
        <v>84</v>
      </c>
    </row>
    <row r="177" spans="1:26" x14ac:dyDescent="0.25">
      <c r="A177" s="142" t="s">
        <v>634</v>
      </c>
      <c r="B177" s="30" t="s">
        <v>43</v>
      </c>
      <c r="C177" s="143" t="s">
        <v>635</v>
      </c>
      <c r="D177" s="30">
        <v>54130590</v>
      </c>
      <c r="E177" s="31" t="s">
        <v>636</v>
      </c>
      <c r="F177" s="30">
        <v>160253</v>
      </c>
      <c r="G177" s="119" t="s">
        <v>49</v>
      </c>
      <c r="H177" s="31" t="s">
        <v>643</v>
      </c>
      <c r="I177" s="120" t="s">
        <v>644</v>
      </c>
      <c r="J177" s="144">
        <v>2</v>
      </c>
      <c r="K177" s="145">
        <v>0</v>
      </c>
      <c r="L177" s="145">
        <v>3</v>
      </c>
      <c r="M177" s="145">
        <v>0</v>
      </c>
      <c r="N177" s="145">
        <v>0</v>
      </c>
      <c r="O177" s="145">
        <v>0</v>
      </c>
      <c r="P177" s="146">
        <v>1</v>
      </c>
      <c r="Q177" s="144">
        <v>0</v>
      </c>
      <c r="R177" s="145">
        <v>5</v>
      </c>
      <c r="S177" s="146">
        <v>7</v>
      </c>
      <c r="T177" s="45">
        <f t="shared" si="12"/>
        <v>100.5</v>
      </c>
      <c r="U177" s="46">
        <v>0</v>
      </c>
      <c r="V177" s="46">
        <f t="shared" si="13"/>
        <v>0</v>
      </c>
      <c r="W177" s="46">
        <f t="shared" si="14"/>
        <v>10</v>
      </c>
      <c r="X177" s="121">
        <f t="shared" si="15"/>
        <v>37.5</v>
      </c>
      <c r="Y177" s="122">
        <f t="shared" si="16"/>
        <v>148</v>
      </c>
      <c r="Z177" s="138">
        <f t="shared" si="17"/>
        <v>148</v>
      </c>
    </row>
    <row r="178" spans="1:26" x14ac:dyDescent="0.25">
      <c r="A178" s="147" t="s">
        <v>634</v>
      </c>
      <c r="B178" s="148" t="s">
        <v>79</v>
      </c>
      <c r="C178" s="149" t="s">
        <v>652</v>
      </c>
      <c r="D178" s="148">
        <v>37861298</v>
      </c>
      <c r="E178" s="150" t="s">
        <v>653</v>
      </c>
      <c r="F178" s="148">
        <v>12432</v>
      </c>
      <c r="G178" s="151" t="s">
        <v>52</v>
      </c>
      <c r="H178" s="152" t="s">
        <v>713</v>
      </c>
      <c r="I178" s="153" t="s">
        <v>717</v>
      </c>
      <c r="J178" s="144">
        <v>5</v>
      </c>
      <c r="K178" s="145">
        <v>0</v>
      </c>
      <c r="L178" s="145">
        <v>9</v>
      </c>
      <c r="M178" s="145">
        <v>0</v>
      </c>
      <c r="N178" s="145">
        <v>0</v>
      </c>
      <c r="O178" s="145">
        <v>0</v>
      </c>
      <c r="P178" s="146">
        <v>0</v>
      </c>
      <c r="Q178" s="144">
        <v>0</v>
      </c>
      <c r="R178" s="145">
        <v>10</v>
      </c>
      <c r="S178" s="146">
        <v>14</v>
      </c>
      <c r="T178" s="45">
        <f t="shared" si="12"/>
        <v>301.5</v>
      </c>
      <c r="U178" s="154">
        <v>6.2</v>
      </c>
      <c r="V178" s="46">
        <f t="shared" si="13"/>
        <v>0</v>
      </c>
      <c r="W178" s="46">
        <f t="shared" si="14"/>
        <v>20</v>
      </c>
      <c r="X178" s="121">
        <f t="shared" si="15"/>
        <v>21</v>
      </c>
      <c r="Y178" s="122">
        <f t="shared" si="16"/>
        <v>348.7</v>
      </c>
      <c r="Z178" s="138">
        <f t="shared" si="17"/>
        <v>349</v>
      </c>
    </row>
    <row r="179" spans="1:26" ht="25.5" x14ac:dyDescent="0.25">
      <c r="A179" s="147" t="s">
        <v>634</v>
      </c>
      <c r="B179" s="148" t="s">
        <v>79</v>
      </c>
      <c r="C179" s="149" t="s">
        <v>652</v>
      </c>
      <c r="D179" s="148">
        <v>37861298</v>
      </c>
      <c r="E179" s="150" t="s">
        <v>653</v>
      </c>
      <c r="F179" s="148">
        <v>44717</v>
      </c>
      <c r="G179" s="151" t="s">
        <v>657</v>
      </c>
      <c r="H179" s="152" t="s">
        <v>655</v>
      </c>
      <c r="I179" s="153" t="s">
        <v>658</v>
      </c>
      <c r="J179" s="144">
        <v>2</v>
      </c>
      <c r="K179" s="145">
        <v>0</v>
      </c>
      <c r="L179" s="145">
        <v>2</v>
      </c>
      <c r="M179" s="145">
        <v>0</v>
      </c>
      <c r="N179" s="145">
        <v>0</v>
      </c>
      <c r="O179" s="145">
        <v>0</v>
      </c>
      <c r="P179" s="146">
        <v>0</v>
      </c>
      <c r="Q179" s="144">
        <v>0</v>
      </c>
      <c r="R179" s="145">
        <v>7</v>
      </c>
      <c r="S179" s="146">
        <v>0</v>
      </c>
      <c r="T179" s="45">
        <f t="shared" si="12"/>
        <v>67</v>
      </c>
      <c r="U179" s="154">
        <v>0</v>
      </c>
      <c r="V179" s="46">
        <f t="shared" si="13"/>
        <v>0</v>
      </c>
      <c r="W179" s="46">
        <f t="shared" si="14"/>
        <v>14</v>
      </c>
      <c r="X179" s="121">
        <f t="shared" si="15"/>
        <v>0</v>
      </c>
      <c r="Y179" s="122">
        <f t="shared" si="16"/>
        <v>81</v>
      </c>
      <c r="Z179" s="138">
        <f t="shared" si="17"/>
        <v>81</v>
      </c>
    </row>
    <row r="180" spans="1:26" ht="38.25" x14ac:dyDescent="0.25">
      <c r="A180" s="147" t="s">
        <v>634</v>
      </c>
      <c r="B180" s="148" t="s">
        <v>79</v>
      </c>
      <c r="C180" s="149" t="s">
        <v>652</v>
      </c>
      <c r="D180" s="148">
        <v>37861298</v>
      </c>
      <c r="E180" s="150" t="s">
        <v>653</v>
      </c>
      <c r="F180" s="148">
        <v>159042</v>
      </c>
      <c r="G180" s="151" t="s">
        <v>669</v>
      </c>
      <c r="H180" s="152" t="s">
        <v>670</v>
      </c>
      <c r="I180" s="153" t="s">
        <v>671</v>
      </c>
      <c r="J180" s="144">
        <v>1</v>
      </c>
      <c r="K180" s="145">
        <v>0</v>
      </c>
      <c r="L180" s="145">
        <v>1</v>
      </c>
      <c r="M180" s="145">
        <v>0</v>
      </c>
      <c r="N180" s="145">
        <v>0</v>
      </c>
      <c r="O180" s="145">
        <v>0</v>
      </c>
      <c r="P180" s="146">
        <v>0</v>
      </c>
      <c r="Q180" s="144">
        <v>0</v>
      </c>
      <c r="R180" s="145">
        <v>0</v>
      </c>
      <c r="S180" s="146">
        <v>1</v>
      </c>
      <c r="T180" s="45">
        <f t="shared" si="12"/>
        <v>33.5</v>
      </c>
      <c r="U180" s="154">
        <v>12.4</v>
      </c>
      <c r="V180" s="46">
        <f t="shared" si="13"/>
        <v>0</v>
      </c>
      <c r="W180" s="46">
        <f t="shared" si="14"/>
        <v>0</v>
      </c>
      <c r="X180" s="121">
        <f t="shared" si="15"/>
        <v>1.5</v>
      </c>
      <c r="Y180" s="122">
        <f t="shared" si="16"/>
        <v>47.4</v>
      </c>
      <c r="Z180" s="138">
        <f t="shared" si="17"/>
        <v>47</v>
      </c>
    </row>
    <row r="181" spans="1:26" x14ac:dyDescent="0.25">
      <c r="A181" s="147" t="s">
        <v>634</v>
      </c>
      <c r="B181" s="148" t="s">
        <v>79</v>
      </c>
      <c r="C181" s="149" t="s">
        <v>652</v>
      </c>
      <c r="D181" s="148">
        <v>37861298</v>
      </c>
      <c r="E181" s="150" t="s">
        <v>653</v>
      </c>
      <c r="F181" s="148">
        <v>159093</v>
      </c>
      <c r="G181" s="151" t="s">
        <v>754</v>
      </c>
      <c r="H181" s="152" t="s">
        <v>650</v>
      </c>
      <c r="I181" s="153" t="s">
        <v>755</v>
      </c>
      <c r="J181" s="144">
        <v>2</v>
      </c>
      <c r="K181" s="145">
        <v>0</v>
      </c>
      <c r="L181" s="145">
        <v>2</v>
      </c>
      <c r="M181" s="145">
        <v>0</v>
      </c>
      <c r="N181" s="145">
        <v>0</v>
      </c>
      <c r="O181" s="145">
        <v>0</v>
      </c>
      <c r="P181" s="146">
        <v>0</v>
      </c>
      <c r="Q181" s="144">
        <v>2</v>
      </c>
      <c r="R181" s="145">
        <v>1</v>
      </c>
      <c r="S181" s="146">
        <v>0</v>
      </c>
      <c r="T181" s="45">
        <f t="shared" si="12"/>
        <v>67</v>
      </c>
      <c r="U181" s="154">
        <v>0</v>
      </c>
      <c r="V181" s="46">
        <f t="shared" si="13"/>
        <v>3</v>
      </c>
      <c r="W181" s="46">
        <f t="shared" si="14"/>
        <v>2</v>
      </c>
      <c r="X181" s="121">
        <f t="shared" si="15"/>
        <v>0</v>
      </c>
      <c r="Y181" s="122">
        <f t="shared" si="16"/>
        <v>72</v>
      </c>
      <c r="Z181" s="138">
        <f t="shared" si="17"/>
        <v>72</v>
      </c>
    </row>
    <row r="182" spans="1:26" x14ac:dyDescent="0.25">
      <c r="A182" s="147" t="s">
        <v>634</v>
      </c>
      <c r="B182" s="148" t="s">
        <v>79</v>
      </c>
      <c r="C182" s="149" t="s">
        <v>652</v>
      </c>
      <c r="D182" s="148">
        <v>37861298</v>
      </c>
      <c r="E182" s="150" t="s">
        <v>653</v>
      </c>
      <c r="F182" s="148">
        <v>159841</v>
      </c>
      <c r="G182" s="151" t="s">
        <v>100</v>
      </c>
      <c r="H182" s="152" t="s">
        <v>648</v>
      </c>
      <c r="I182" s="153" t="s">
        <v>743</v>
      </c>
      <c r="J182" s="144">
        <v>4</v>
      </c>
      <c r="K182" s="145">
        <v>0</v>
      </c>
      <c r="L182" s="145">
        <v>6</v>
      </c>
      <c r="M182" s="145">
        <v>0</v>
      </c>
      <c r="N182" s="145">
        <v>0</v>
      </c>
      <c r="O182" s="145">
        <v>0</v>
      </c>
      <c r="P182" s="146">
        <v>1</v>
      </c>
      <c r="Q182" s="144">
        <v>0</v>
      </c>
      <c r="R182" s="145">
        <v>4</v>
      </c>
      <c r="S182" s="146">
        <v>3</v>
      </c>
      <c r="T182" s="45">
        <f t="shared" si="12"/>
        <v>201</v>
      </c>
      <c r="U182" s="154">
        <v>21.9</v>
      </c>
      <c r="V182" s="46">
        <f t="shared" si="13"/>
        <v>0</v>
      </c>
      <c r="W182" s="46">
        <f t="shared" si="14"/>
        <v>8</v>
      </c>
      <c r="X182" s="121">
        <f t="shared" si="15"/>
        <v>31.5</v>
      </c>
      <c r="Y182" s="122">
        <f t="shared" si="16"/>
        <v>262.39999999999998</v>
      </c>
      <c r="Z182" s="138">
        <f t="shared" si="17"/>
        <v>262</v>
      </c>
    </row>
    <row r="183" spans="1:26" x14ac:dyDescent="0.25">
      <c r="A183" s="147" t="s">
        <v>634</v>
      </c>
      <c r="B183" s="148" t="s">
        <v>79</v>
      </c>
      <c r="C183" s="149" t="s">
        <v>652</v>
      </c>
      <c r="D183" s="148">
        <v>37861298</v>
      </c>
      <c r="E183" s="150" t="s">
        <v>653</v>
      </c>
      <c r="F183" s="148">
        <v>160261</v>
      </c>
      <c r="G183" s="151" t="s">
        <v>49</v>
      </c>
      <c r="H183" s="152" t="s">
        <v>643</v>
      </c>
      <c r="I183" s="153" t="s">
        <v>694</v>
      </c>
      <c r="J183" s="144">
        <v>5</v>
      </c>
      <c r="K183" s="145">
        <v>0</v>
      </c>
      <c r="L183" s="145">
        <v>7</v>
      </c>
      <c r="M183" s="145">
        <v>0</v>
      </c>
      <c r="N183" s="145">
        <v>0</v>
      </c>
      <c r="O183" s="145">
        <v>0</v>
      </c>
      <c r="P183" s="146">
        <v>0</v>
      </c>
      <c r="Q183" s="144">
        <v>0</v>
      </c>
      <c r="R183" s="145">
        <v>1</v>
      </c>
      <c r="S183" s="146">
        <v>6</v>
      </c>
      <c r="T183" s="45">
        <f t="shared" si="12"/>
        <v>234.5</v>
      </c>
      <c r="U183" s="154">
        <v>0</v>
      </c>
      <c r="V183" s="46">
        <f t="shared" si="13"/>
        <v>0</v>
      </c>
      <c r="W183" s="46">
        <f t="shared" si="14"/>
        <v>2</v>
      </c>
      <c r="X183" s="121">
        <f t="shared" si="15"/>
        <v>9</v>
      </c>
      <c r="Y183" s="122">
        <f t="shared" si="16"/>
        <v>245.5</v>
      </c>
      <c r="Z183" s="138">
        <f t="shared" si="17"/>
        <v>246</v>
      </c>
    </row>
    <row r="184" spans="1:26" x14ac:dyDescent="0.25">
      <c r="A184" s="147" t="s">
        <v>634</v>
      </c>
      <c r="B184" s="148" t="s">
        <v>79</v>
      </c>
      <c r="C184" s="149" t="s">
        <v>652</v>
      </c>
      <c r="D184" s="148">
        <v>37861298</v>
      </c>
      <c r="E184" s="150" t="s">
        <v>653</v>
      </c>
      <c r="F184" s="148">
        <v>160288</v>
      </c>
      <c r="G184" s="151" t="s">
        <v>49</v>
      </c>
      <c r="H184" s="152" t="s">
        <v>713</v>
      </c>
      <c r="I184" s="153" t="s">
        <v>714</v>
      </c>
      <c r="J184" s="144">
        <v>1</v>
      </c>
      <c r="K184" s="145">
        <v>0</v>
      </c>
      <c r="L184" s="145">
        <v>1</v>
      </c>
      <c r="M184" s="145">
        <v>0</v>
      </c>
      <c r="N184" s="145">
        <v>0</v>
      </c>
      <c r="O184" s="145">
        <v>0</v>
      </c>
      <c r="P184" s="146">
        <v>0</v>
      </c>
      <c r="Q184" s="144">
        <v>0</v>
      </c>
      <c r="R184" s="145">
        <v>1</v>
      </c>
      <c r="S184" s="146">
        <v>0</v>
      </c>
      <c r="T184" s="45">
        <f t="shared" si="12"/>
        <v>33.5</v>
      </c>
      <c r="U184" s="154">
        <v>0</v>
      </c>
      <c r="V184" s="46">
        <f t="shared" si="13"/>
        <v>0</v>
      </c>
      <c r="W184" s="46">
        <f t="shared" si="14"/>
        <v>2</v>
      </c>
      <c r="X184" s="121">
        <f t="shared" si="15"/>
        <v>0</v>
      </c>
      <c r="Y184" s="122">
        <f t="shared" si="16"/>
        <v>35.5</v>
      </c>
      <c r="Z184" s="138">
        <f t="shared" si="17"/>
        <v>36</v>
      </c>
    </row>
    <row r="185" spans="1:26" x14ac:dyDescent="0.25">
      <c r="A185" s="147" t="s">
        <v>634</v>
      </c>
      <c r="B185" s="148" t="s">
        <v>79</v>
      </c>
      <c r="C185" s="149" t="s">
        <v>652</v>
      </c>
      <c r="D185" s="148">
        <v>37861298</v>
      </c>
      <c r="E185" s="150" t="s">
        <v>653</v>
      </c>
      <c r="F185" s="148">
        <v>160440</v>
      </c>
      <c r="G185" s="151" t="s">
        <v>49</v>
      </c>
      <c r="H185" s="152" t="s">
        <v>648</v>
      </c>
      <c r="I185" s="153" t="s">
        <v>742</v>
      </c>
      <c r="J185" s="144">
        <v>6</v>
      </c>
      <c r="K185" s="145">
        <v>0</v>
      </c>
      <c r="L185" s="145">
        <v>8</v>
      </c>
      <c r="M185" s="145">
        <v>0</v>
      </c>
      <c r="N185" s="145">
        <v>0</v>
      </c>
      <c r="O185" s="145">
        <v>1</v>
      </c>
      <c r="P185" s="146">
        <v>0</v>
      </c>
      <c r="Q185" s="144">
        <v>0</v>
      </c>
      <c r="R185" s="145">
        <v>7</v>
      </c>
      <c r="S185" s="146">
        <v>2</v>
      </c>
      <c r="T185" s="45">
        <f t="shared" si="12"/>
        <v>268</v>
      </c>
      <c r="U185" s="154">
        <v>0</v>
      </c>
      <c r="V185" s="46">
        <f t="shared" si="13"/>
        <v>0</v>
      </c>
      <c r="W185" s="46">
        <f t="shared" si="14"/>
        <v>27.5</v>
      </c>
      <c r="X185" s="121">
        <f t="shared" si="15"/>
        <v>3</v>
      </c>
      <c r="Y185" s="122">
        <f t="shared" si="16"/>
        <v>298.5</v>
      </c>
      <c r="Z185" s="138">
        <f t="shared" si="17"/>
        <v>299</v>
      </c>
    </row>
    <row r="186" spans="1:26" ht="25.5" x14ac:dyDescent="0.25">
      <c r="A186" s="147" t="s">
        <v>634</v>
      </c>
      <c r="B186" s="148" t="s">
        <v>79</v>
      </c>
      <c r="C186" s="149" t="s">
        <v>652</v>
      </c>
      <c r="D186" s="148">
        <v>37861298</v>
      </c>
      <c r="E186" s="150" t="s">
        <v>653</v>
      </c>
      <c r="F186" s="148">
        <v>160504</v>
      </c>
      <c r="G186" s="151" t="s">
        <v>691</v>
      </c>
      <c r="H186" s="152" t="s">
        <v>692</v>
      </c>
      <c r="I186" s="153" t="s">
        <v>1665</v>
      </c>
      <c r="J186" s="144">
        <v>1</v>
      </c>
      <c r="K186" s="145">
        <v>0</v>
      </c>
      <c r="L186" s="145">
        <v>1</v>
      </c>
      <c r="M186" s="145">
        <v>0</v>
      </c>
      <c r="N186" s="145">
        <v>0</v>
      </c>
      <c r="O186" s="145">
        <v>0</v>
      </c>
      <c r="P186" s="146">
        <v>0</v>
      </c>
      <c r="Q186" s="144">
        <v>0</v>
      </c>
      <c r="R186" s="145">
        <v>1</v>
      </c>
      <c r="S186" s="146">
        <v>2</v>
      </c>
      <c r="T186" s="45">
        <f t="shared" si="12"/>
        <v>33.5</v>
      </c>
      <c r="U186" s="154">
        <v>0</v>
      </c>
      <c r="V186" s="46">
        <f t="shared" si="13"/>
        <v>0</v>
      </c>
      <c r="W186" s="46">
        <f t="shared" si="14"/>
        <v>2</v>
      </c>
      <c r="X186" s="121">
        <f t="shared" si="15"/>
        <v>3</v>
      </c>
      <c r="Y186" s="122">
        <f t="shared" si="16"/>
        <v>38.5</v>
      </c>
      <c r="Z186" s="138">
        <f t="shared" si="17"/>
        <v>39</v>
      </c>
    </row>
    <row r="187" spans="1:26" ht="38.25" x14ac:dyDescent="0.25">
      <c r="A187" s="147" t="s">
        <v>634</v>
      </c>
      <c r="B187" s="148" t="s">
        <v>79</v>
      </c>
      <c r="C187" s="149" t="s">
        <v>652</v>
      </c>
      <c r="D187" s="148">
        <v>37861298</v>
      </c>
      <c r="E187" s="150" t="s">
        <v>653</v>
      </c>
      <c r="F187" s="148">
        <v>161357</v>
      </c>
      <c r="G187" s="151" t="s">
        <v>667</v>
      </c>
      <c r="H187" s="152" t="s">
        <v>457</v>
      </c>
      <c r="I187" s="153" t="s">
        <v>668</v>
      </c>
      <c r="J187" s="144">
        <v>4</v>
      </c>
      <c r="K187" s="145">
        <v>0</v>
      </c>
      <c r="L187" s="145">
        <v>4</v>
      </c>
      <c r="M187" s="145">
        <v>0</v>
      </c>
      <c r="N187" s="145">
        <v>0</v>
      </c>
      <c r="O187" s="145">
        <v>1</v>
      </c>
      <c r="P187" s="146">
        <v>0</v>
      </c>
      <c r="Q187" s="144">
        <v>0</v>
      </c>
      <c r="R187" s="145">
        <v>10</v>
      </c>
      <c r="S187" s="146">
        <v>0</v>
      </c>
      <c r="T187" s="45">
        <f t="shared" si="12"/>
        <v>134</v>
      </c>
      <c r="U187" s="154">
        <v>0</v>
      </c>
      <c r="V187" s="46">
        <f t="shared" si="13"/>
        <v>0</v>
      </c>
      <c r="W187" s="46">
        <f t="shared" si="14"/>
        <v>33.5</v>
      </c>
      <c r="X187" s="121">
        <f t="shared" si="15"/>
        <v>0</v>
      </c>
      <c r="Y187" s="122">
        <f t="shared" si="16"/>
        <v>167.5</v>
      </c>
      <c r="Z187" s="138">
        <f t="shared" si="17"/>
        <v>168</v>
      </c>
    </row>
    <row r="188" spans="1:26" x14ac:dyDescent="0.25">
      <c r="A188" s="147" t="s">
        <v>634</v>
      </c>
      <c r="B188" s="148" t="s">
        <v>79</v>
      </c>
      <c r="C188" s="149" t="s">
        <v>652</v>
      </c>
      <c r="D188" s="148">
        <v>37861298</v>
      </c>
      <c r="E188" s="150" t="s">
        <v>653</v>
      </c>
      <c r="F188" s="148">
        <v>161365</v>
      </c>
      <c r="G188" s="151" t="s">
        <v>52</v>
      </c>
      <c r="H188" s="152" t="s">
        <v>643</v>
      </c>
      <c r="I188" s="153" t="s">
        <v>696</v>
      </c>
      <c r="J188" s="144">
        <v>4</v>
      </c>
      <c r="K188" s="145">
        <v>1</v>
      </c>
      <c r="L188" s="145">
        <v>4</v>
      </c>
      <c r="M188" s="145">
        <v>1</v>
      </c>
      <c r="N188" s="145">
        <v>0</v>
      </c>
      <c r="O188" s="145">
        <v>0</v>
      </c>
      <c r="P188" s="146">
        <v>0</v>
      </c>
      <c r="Q188" s="144">
        <v>0</v>
      </c>
      <c r="R188" s="145">
        <v>14</v>
      </c>
      <c r="S188" s="146">
        <v>12</v>
      </c>
      <c r="T188" s="45">
        <f t="shared" si="12"/>
        <v>134</v>
      </c>
      <c r="U188" s="154">
        <v>0</v>
      </c>
      <c r="V188" s="46">
        <f t="shared" si="13"/>
        <v>0</v>
      </c>
      <c r="W188" s="46">
        <f t="shared" si="14"/>
        <v>28</v>
      </c>
      <c r="X188" s="121">
        <f t="shared" si="15"/>
        <v>18</v>
      </c>
      <c r="Y188" s="122">
        <f t="shared" si="16"/>
        <v>180</v>
      </c>
      <c r="Z188" s="138">
        <f t="shared" si="17"/>
        <v>180</v>
      </c>
    </row>
    <row r="189" spans="1:26" x14ac:dyDescent="0.25">
      <c r="A189" s="147" t="s">
        <v>634</v>
      </c>
      <c r="B189" s="148" t="s">
        <v>79</v>
      </c>
      <c r="C189" s="149" t="s">
        <v>652</v>
      </c>
      <c r="D189" s="148">
        <v>37861298</v>
      </c>
      <c r="E189" s="150" t="s">
        <v>653</v>
      </c>
      <c r="F189" s="148">
        <v>161373</v>
      </c>
      <c r="G189" s="151" t="s">
        <v>706</v>
      </c>
      <c r="H189" s="152" t="s">
        <v>643</v>
      </c>
      <c r="I189" s="153" t="s">
        <v>707</v>
      </c>
      <c r="J189" s="144">
        <v>5</v>
      </c>
      <c r="K189" s="145">
        <v>0</v>
      </c>
      <c r="L189" s="145">
        <v>6</v>
      </c>
      <c r="M189" s="145">
        <v>0</v>
      </c>
      <c r="N189" s="145">
        <v>0</v>
      </c>
      <c r="O189" s="145">
        <v>1</v>
      </c>
      <c r="P189" s="146">
        <v>0</v>
      </c>
      <c r="Q189" s="144">
        <v>0</v>
      </c>
      <c r="R189" s="145">
        <v>13</v>
      </c>
      <c r="S189" s="146">
        <v>14</v>
      </c>
      <c r="T189" s="45">
        <f t="shared" si="12"/>
        <v>201</v>
      </c>
      <c r="U189" s="154">
        <v>0</v>
      </c>
      <c r="V189" s="46">
        <f t="shared" si="13"/>
        <v>0</v>
      </c>
      <c r="W189" s="46">
        <f t="shared" si="14"/>
        <v>39.5</v>
      </c>
      <c r="X189" s="121">
        <f t="shared" si="15"/>
        <v>21</v>
      </c>
      <c r="Y189" s="122">
        <f t="shared" si="16"/>
        <v>261.5</v>
      </c>
      <c r="Z189" s="138">
        <f t="shared" si="17"/>
        <v>262</v>
      </c>
    </row>
    <row r="190" spans="1:26" x14ac:dyDescent="0.25">
      <c r="A190" s="147" t="s">
        <v>634</v>
      </c>
      <c r="B190" s="148" t="s">
        <v>79</v>
      </c>
      <c r="C190" s="149" t="s">
        <v>652</v>
      </c>
      <c r="D190" s="148">
        <v>37861298</v>
      </c>
      <c r="E190" s="150" t="s">
        <v>653</v>
      </c>
      <c r="F190" s="148">
        <v>161934</v>
      </c>
      <c r="G190" s="151" t="s">
        <v>100</v>
      </c>
      <c r="H190" s="152" t="s">
        <v>637</v>
      </c>
      <c r="I190" s="153" t="s">
        <v>674</v>
      </c>
      <c r="J190" s="144">
        <v>3</v>
      </c>
      <c r="K190" s="145">
        <v>0</v>
      </c>
      <c r="L190" s="145">
        <v>4</v>
      </c>
      <c r="M190" s="145">
        <v>0</v>
      </c>
      <c r="N190" s="145">
        <v>0</v>
      </c>
      <c r="O190" s="145">
        <v>0</v>
      </c>
      <c r="P190" s="146">
        <v>0</v>
      </c>
      <c r="Q190" s="144">
        <v>0</v>
      </c>
      <c r="R190" s="145">
        <v>6</v>
      </c>
      <c r="S190" s="146">
        <v>12</v>
      </c>
      <c r="T190" s="45">
        <f t="shared" si="12"/>
        <v>134</v>
      </c>
      <c r="U190" s="154">
        <v>0</v>
      </c>
      <c r="V190" s="46">
        <f t="shared" si="13"/>
        <v>0</v>
      </c>
      <c r="W190" s="46">
        <f t="shared" si="14"/>
        <v>12</v>
      </c>
      <c r="X190" s="121">
        <f t="shared" si="15"/>
        <v>18</v>
      </c>
      <c r="Y190" s="122">
        <f t="shared" si="16"/>
        <v>164</v>
      </c>
      <c r="Z190" s="138">
        <f t="shared" si="17"/>
        <v>164</v>
      </c>
    </row>
    <row r="191" spans="1:26" x14ac:dyDescent="0.25">
      <c r="A191" s="147" t="s">
        <v>634</v>
      </c>
      <c r="B191" s="148" t="s">
        <v>79</v>
      </c>
      <c r="C191" s="149" t="s">
        <v>652</v>
      </c>
      <c r="D191" s="148">
        <v>37861298</v>
      </c>
      <c r="E191" s="150" t="s">
        <v>653</v>
      </c>
      <c r="F191" s="148">
        <v>161942</v>
      </c>
      <c r="G191" s="151" t="s">
        <v>100</v>
      </c>
      <c r="H191" s="152" t="s">
        <v>643</v>
      </c>
      <c r="I191" s="153" t="s">
        <v>695</v>
      </c>
      <c r="J191" s="144">
        <v>1</v>
      </c>
      <c r="K191" s="145">
        <v>0</v>
      </c>
      <c r="L191" s="145">
        <v>2</v>
      </c>
      <c r="M191" s="145">
        <v>0</v>
      </c>
      <c r="N191" s="145">
        <v>0</v>
      </c>
      <c r="O191" s="145">
        <v>1</v>
      </c>
      <c r="P191" s="146">
        <v>1</v>
      </c>
      <c r="Q191" s="144">
        <v>0</v>
      </c>
      <c r="R191" s="145">
        <v>1</v>
      </c>
      <c r="S191" s="146">
        <v>1</v>
      </c>
      <c r="T191" s="45">
        <f t="shared" si="12"/>
        <v>67</v>
      </c>
      <c r="U191" s="154">
        <v>14.6</v>
      </c>
      <c r="V191" s="46">
        <f t="shared" si="13"/>
        <v>0</v>
      </c>
      <c r="W191" s="46">
        <f t="shared" si="14"/>
        <v>15.5</v>
      </c>
      <c r="X191" s="121">
        <f t="shared" si="15"/>
        <v>28.5</v>
      </c>
      <c r="Y191" s="122">
        <f t="shared" si="16"/>
        <v>125.6</v>
      </c>
      <c r="Z191" s="138">
        <f t="shared" si="17"/>
        <v>126</v>
      </c>
    </row>
    <row r="192" spans="1:26" ht="25.5" x14ac:dyDescent="0.25">
      <c r="A192" s="147" t="s">
        <v>634</v>
      </c>
      <c r="B192" s="148" t="s">
        <v>79</v>
      </c>
      <c r="C192" s="149" t="s">
        <v>652</v>
      </c>
      <c r="D192" s="148">
        <v>37861298</v>
      </c>
      <c r="E192" s="150" t="s">
        <v>653</v>
      </c>
      <c r="F192" s="148">
        <v>162353</v>
      </c>
      <c r="G192" s="151" t="s">
        <v>446</v>
      </c>
      <c r="H192" s="152" t="s">
        <v>637</v>
      </c>
      <c r="I192" s="153" t="s">
        <v>676</v>
      </c>
      <c r="J192" s="144">
        <v>4</v>
      </c>
      <c r="K192" s="145">
        <v>0</v>
      </c>
      <c r="L192" s="145">
        <v>6</v>
      </c>
      <c r="M192" s="145">
        <v>0</v>
      </c>
      <c r="N192" s="145">
        <v>0</v>
      </c>
      <c r="O192" s="145">
        <v>0</v>
      </c>
      <c r="P192" s="146">
        <v>0</v>
      </c>
      <c r="Q192" s="144">
        <v>1</v>
      </c>
      <c r="R192" s="145">
        <v>7</v>
      </c>
      <c r="S192" s="146">
        <v>4</v>
      </c>
      <c r="T192" s="45">
        <f t="shared" si="12"/>
        <v>201</v>
      </c>
      <c r="U192" s="154">
        <v>0</v>
      </c>
      <c r="V192" s="46">
        <f t="shared" si="13"/>
        <v>1.5</v>
      </c>
      <c r="W192" s="46">
        <f t="shared" si="14"/>
        <v>14</v>
      </c>
      <c r="X192" s="121">
        <f t="shared" si="15"/>
        <v>6</v>
      </c>
      <c r="Y192" s="122">
        <f t="shared" si="16"/>
        <v>222.5</v>
      </c>
      <c r="Z192" s="138">
        <f t="shared" si="17"/>
        <v>223</v>
      </c>
    </row>
    <row r="193" spans="1:26" x14ac:dyDescent="0.25">
      <c r="A193" s="147" t="s">
        <v>634</v>
      </c>
      <c r="B193" s="148" t="s">
        <v>79</v>
      </c>
      <c r="C193" s="149" t="s">
        <v>652</v>
      </c>
      <c r="D193" s="148">
        <v>37861298</v>
      </c>
      <c r="E193" s="150" t="s">
        <v>653</v>
      </c>
      <c r="F193" s="148">
        <v>162370</v>
      </c>
      <c r="G193" s="151" t="s">
        <v>704</v>
      </c>
      <c r="H193" s="152" t="s">
        <v>643</v>
      </c>
      <c r="I193" s="153" t="s">
        <v>705</v>
      </c>
      <c r="J193" s="144">
        <v>1</v>
      </c>
      <c r="K193" s="145">
        <v>0</v>
      </c>
      <c r="L193" s="145">
        <v>1</v>
      </c>
      <c r="M193" s="145">
        <v>0</v>
      </c>
      <c r="N193" s="145">
        <v>0</v>
      </c>
      <c r="O193" s="145">
        <v>0</v>
      </c>
      <c r="P193" s="146">
        <v>0</v>
      </c>
      <c r="Q193" s="144">
        <v>0</v>
      </c>
      <c r="R193" s="145">
        <v>1</v>
      </c>
      <c r="S193" s="146">
        <v>0</v>
      </c>
      <c r="T193" s="45">
        <f t="shared" si="12"/>
        <v>33.5</v>
      </c>
      <c r="U193" s="154">
        <v>13.7</v>
      </c>
      <c r="V193" s="46">
        <f t="shared" si="13"/>
        <v>0</v>
      </c>
      <c r="W193" s="46">
        <f t="shared" si="14"/>
        <v>2</v>
      </c>
      <c r="X193" s="121">
        <f t="shared" si="15"/>
        <v>0</v>
      </c>
      <c r="Y193" s="122">
        <f t="shared" si="16"/>
        <v>49.2</v>
      </c>
      <c r="Z193" s="138">
        <f t="shared" si="17"/>
        <v>49</v>
      </c>
    </row>
    <row r="194" spans="1:26" x14ac:dyDescent="0.25">
      <c r="A194" s="147" t="s">
        <v>634</v>
      </c>
      <c r="B194" s="148" t="s">
        <v>79</v>
      </c>
      <c r="C194" s="149" t="s">
        <v>652</v>
      </c>
      <c r="D194" s="148">
        <v>37861298</v>
      </c>
      <c r="E194" s="150" t="s">
        <v>653</v>
      </c>
      <c r="F194" s="148">
        <v>162795</v>
      </c>
      <c r="G194" s="151" t="s">
        <v>141</v>
      </c>
      <c r="H194" s="152" t="s">
        <v>637</v>
      </c>
      <c r="I194" s="153" t="s">
        <v>675</v>
      </c>
      <c r="J194" s="144">
        <v>1</v>
      </c>
      <c r="K194" s="145">
        <v>0</v>
      </c>
      <c r="L194" s="145">
        <v>1</v>
      </c>
      <c r="M194" s="145">
        <v>0</v>
      </c>
      <c r="N194" s="145">
        <v>0</v>
      </c>
      <c r="O194" s="145">
        <v>0</v>
      </c>
      <c r="P194" s="146">
        <v>0</v>
      </c>
      <c r="Q194" s="144">
        <v>0</v>
      </c>
      <c r="R194" s="145">
        <v>2</v>
      </c>
      <c r="S194" s="146">
        <v>0</v>
      </c>
      <c r="T194" s="45">
        <f t="shared" si="12"/>
        <v>33.5</v>
      </c>
      <c r="U194" s="154">
        <v>0</v>
      </c>
      <c r="V194" s="46">
        <f t="shared" si="13"/>
        <v>0</v>
      </c>
      <c r="W194" s="46">
        <f t="shared" si="14"/>
        <v>4</v>
      </c>
      <c r="X194" s="121">
        <f t="shared" si="15"/>
        <v>0</v>
      </c>
      <c r="Y194" s="122">
        <f t="shared" si="16"/>
        <v>37.5</v>
      </c>
      <c r="Z194" s="138">
        <f t="shared" si="17"/>
        <v>38</v>
      </c>
    </row>
    <row r="195" spans="1:26" x14ac:dyDescent="0.25">
      <c r="A195" s="147" t="s">
        <v>634</v>
      </c>
      <c r="B195" s="148" t="s">
        <v>79</v>
      </c>
      <c r="C195" s="149" t="s">
        <v>652</v>
      </c>
      <c r="D195" s="148">
        <v>37861298</v>
      </c>
      <c r="E195" s="150" t="s">
        <v>653</v>
      </c>
      <c r="F195" s="148">
        <v>351989</v>
      </c>
      <c r="G195" s="151" t="s">
        <v>679</v>
      </c>
      <c r="H195" s="152" t="s">
        <v>648</v>
      </c>
      <c r="I195" s="153" t="s">
        <v>749</v>
      </c>
      <c r="J195" s="144">
        <v>2</v>
      </c>
      <c r="K195" s="145">
        <v>0</v>
      </c>
      <c r="L195" s="145">
        <v>3</v>
      </c>
      <c r="M195" s="145">
        <v>0</v>
      </c>
      <c r="N195" s="145">
        <v>0</v>
      </c>
      <c r="O195" s="145">
        <v>0</v>
      </c>
      <c r="P195" s="146">
        <v>0</v>
      </c>
      <c r="Q195" s="144">
        <v>0</v>
      </c>
      <c r="R195" s="145">
        <v>1</v>
      </c>
      <c r="S195" s="146">
        <v>4</v>
      </c>
      <c r="T195" s="45">
        <f t="shared" si="12"/>
        <v>100.5</v>
      </c>
      <c r="U195" s="154">
        <v>0</v>
      </c>
      <c r="V195" s="46">
        <f t="shared" si="13"/>
        <v>0</v>
      </c>
      <c r="W195" s="46">
        <f t="shared" si="14"/>
        <v>2</v>
      </c>
      <c r="X195" s="121">
        <f t="shared" si="15"/>
        <v>6</v>
      </c>
      <c r="Y195" s="122">
        <f t="shared" si="16"/>
        <v>108.5</v>
      </c>
      <c r="Z195" s="138">
        <f t="shared" si="17"/>
        <v>109</v>
      </c>
    </row>
    <row r="196" spans="1:26" x14ac:dyDescent="0.25">
      <c r="A196" s="147" t="s">
        <v>634</v>
      </c>
      <c r="B196" s="148" t="s">
        <v>79</v>
      </c>
      <c r="C196" s="149" t="s">
        <v>652</v>
      </c>
      <c r="D196" s="148">
        <v>37861298</v>
      </c>
      <c r="E196" s="150" t="s">
        <v>653</v>
      </c>
      <c r="F196" s="148">
        <v>352098</v>
      </c>
      <c r="G196" s="151" t="s">
        <v>677</v>
      </c>
      <c r="H196" s="152" t="s">
        <v>637</v>
      </c>
      <c r="I196" s="153" t="s">
        <v>678</v>
      </c>
      <c r="J196" s="144">
        <v>7</v>
      </c>
      <c r="K196" s="145">
        <v>0</v>
      </c>
      <c r="L196" s="145">
        <v>8</v>
      </c>
      <c r="M196" s="145">
        <v>0</v>
      </c>
      <c r="N196" s="145">
        <v>0</v>
      </c>
      <c r="O196" s="145">
        <v>0</v>
      </c>
      <c r="P196" s="146">
        <v>0</v>
      </c>
      <c r="Q196" s="144">
        <v>0</v>
      </c>
      <c r="R196" s="145">
        <v>10</v>
      </c>
      <c r="S196" s="146">
        <v>6</v>
      </c>
      <c r="T196" s="45">
        <f t="shared" ref="T196:T259" si="18">$T$1*L196</f>
        <v>268</v>
      </c>
      <c r="U196" s="154">
        <v>12.3</v>
      </c>
      <c r="V196" s="46">
        <f t="shared" ref="V196:V259" si="19">$U$1*N196+$V$1*Q196</f>
        <v>0</v>
      </c>
      <c r="W196" s="46">
        <f t="shared" ref="W196:W259" si="20">$U$1*O196+$W$1*R196</f>
        <v>20</v>
      </c>
      <c r="X196" s="121">
        <f t="shared" ref="X196:X259" si="21">$X$1*P196+$V$1*S196</f>
        <v>9</v>
      </c>
      <c r="Y196" s="122">
        <f t="shared" ref="Y196:Y259" si="22">T196+U196+V196+W196+X196</f>
        <v>309.3</v>
      </c>
      <c r="Z196" s="138">
        <f t="shared" ref="Z196:Z259" si="23">ROUND(Y196,0)</f>
        <v>309</v>
      </c>
    </row>
    <row r="197" spans="1:26" ht="25.5" x14ac:dyDescent="0.25">
      <c r="A197" s="147" t="s">
        <v>634</v>
      </c>
      <c r="B197" s="148" t="s">
        <v>79</v>
      </c>
      <c r="C197" s="149" t="s">
        <v>652</v>
      </c>
      <c r="D197" s="148">
        <v>37861298</v>
      </c>
      <c r="E197" s="150" t="s">
        <v>653</v>
      </c>
      <c r="F197" s="148">
        <v>352233</v>
      </c>
      <c r="G197" s="151" t="s">
        <v>663</v>
      </c>
      <c r="H197" s="152" t="s">
        <v>457</v>
      </c>
      <c r="I197" s="153" t="s">
        <v>664</v>
      </c>
      <c r="J197" s="144">
        <v>1</v>
      </c>
      <c r="K197" s="145">
        <v>0</v>
      </c>
      <c r="L197" s="145">
        <v>3</v>
      </c>
      <c r="M197" s="145">
        <v>0</v>
      </c>
      <c r="N197" s="145">
        <v>0</v>
      </c>
      <c r="O197" s="145">
        <v>0</v>
      </c>
      <c r="P197" s="146">
        <v>0</v>
      </c>
      <c r="Q197" s="144">
        <v>0</v>
      </c>
      <c r="R197" s="145">
        <v>1</v>
      </c>
      <c r="S197" s="146">
        <v>0</v>
      </c>
      <c r="T197" s="45">
        <f t="shared" si="18"/>
        <v>100.5</v>
      </c>
      <c r="U197" s="154">
        <v>0</v>
      </c>
      <c r="V197" s="46">
        <f t="shared" si="19"/>
        <v>0</v>
      </c>
      <c r="W197" s="46">
        <f t="shared" si="20"/>
        <v>2</v>
      </c>
      <c r="X197" s="121">
        <f t="shared" si="21"/>
        <v>0</v>
      </c>
      <c r="Y197" s="122">
        <f t="shared" si="22"/>
        <v>102.5</v>
      </c>
      <c r="Z197" s="138">
        <f t="shared" si="23"/>
        <v>103</v>
      </c>
    </row>
    <row r="198" spans="1:26" ht="25.5" x14ac:dyDescent="0.25">
      <c r="A198" s="147" t="s">
        <v>634</v>
      </c>
      <c r="B198" s="148" t="s">
        <v>79</v>
      </c>
      <c r="C198" s="149" t="s">
        <v>652</v>
      </c>
      <c r="D198" s="148">
        <v>37861298</v>
      </c>
      <c r="E198" s="150" t="s">
        <v>653</v>
      </c>
      <c r="F198" s="148">
        <v>399965</v>
      </c>
      <c r="G198" s="151" t="s">
        <v>659</v>
      </c>
      <c r="H198" s="152" t="s">
        <v>457</v>
      </c>
      <c r="I198" s="153" t="s">
        <v>660</v>
      </c>
      <c r="J198" s="144">
        <v>6</v>
      </c>
      <c r="K198" s="145">
        <v>0</v>
      </c>
      <c r="L198" s="145">
        <v>7</v>
      </c>
      <c r="M198" s="145">
        <v>0</v>
      </c>
      <c r="N198" s="145">
        <v>0</v>
      </c>
      <c r="O198" s="145">
        <v>0</v>
      </c>
      <c r="P198" s="146">
        <v>0</v>
      </c>
      <c r="Q198" s="144">
        <v>0</v>
      </c>
      <c r="R198" s="145">
        <v>15</v>
      </c>
      <c r="S198" s="146">
        <v>6</v>
      </c>
      <c r="T198" s="45">
        <f t="shared" si="18"/>
        <v>234.5</v>
      </c>
      <c r="U198" s="154">
        <v>18</v>
      </c>
      <c r="V198" s="46">
        <f t="shared" si="19"/>
        <v>0</v>
      </c>
      <c r="W198" s="46">
        <f t="shared" si="20"/>
        <v>30</v>
      </c>
      <c r="X198" s="121">
        <f t="shared" si="21"/>
        <v>9</v>
      </c>
      <c r="Y198" s="122">
        <f t="shared" si="22"/>
        <v>291.5</v>
      </c>
      <c r="Z198" s="138">
        <f t="shared" si="23"/>
        <v>292</v>
      </c>
    </row>
    <row r="199" spans="1:26" ht="25.5" x14ac:dyDescent="0.25">
      <c r="A199" s="147" t="s">
        <v>634</v>
      </c>
      <c r="B199" s="148" t="s">
        <v>79</v>
      </c>
      <c r="C199" s="149" t="s">
        <v>652</v>
      </c>
      <c r="D199" s="148">
        <v>37861298</v>
      </c>
      <c r="E199" s="150" t="s">
        <v>653</v>
      </c>
      <c r="F199" s="148">
        <v>420191</v>
      </c>
      <c r="G199" s="151" t="s">
        <v>681</v>
      </c>
      <c r="H199" s="152" t="s">
        <v>637</v>
      </c>
      <c r="I199" s="153" t="s">
        <v>682</v>
      </c>
      <c r="J199" s="144">
        <v>3</v>
      </c>
      <c r="K199" s="145">
        <v>0</v>
      </c>
      <c r="L199" s="145">
        <v>3</v>
      </c>
      <c r="M199" s="145">
        <v>0</v>
      </c>
      <c r="N199" s="145">
        <v>0</v>
      </c>
      <c r="O199" s="145">
        <v>0</v>
      </c>
      <c r="P199" s="146">
        <v>0</v>
      </c>
      <c r="Q199" s="144">
        <v>0</v>
      </c>
      <c r="R199" s="145">
        <v>5</v>
      </c>
      <c r="S199" s="146">
        <v>1</v>
      </c>
      <c r="T199" s="45">
        <f t="shared" si="18"/>
        <v>100.5</v>
      </c>
      <c r="U199" s="154">
        <v>10.3</v>
      </c>
      <c r="V199" s="46">
        <f t="shared" si="19"/>
        <v>0</v>
      </c>
      <c r="W199" s="46">
        <f t="shared" si="20"/>
        <v>10</v>
      </c>
      <c r="X199" s="121">
        <f t="shared" si="21"/>
        <v>1.5</v>
      </c>
      <c r="Y199" s="122">
        <f t="shared" si="22"/>
        <v>122.3</v>
      </c>
      <c r="Z199" s="138">
        <f t="shared" si="23"/>
        <v>122</v>
      </c>
    </row>
    <row r="200" spans="1:26" x14ac:dyDescent="0.25">
      <c r="A200" s="147" t="s">
        <v>634</v>
      </c>
      <c r="B200" s="148" t="s">
        <v>79</v>
      </c>
      <c r="C200" s="149" t="s">
        <v>652</v>
      </c>
      <c r="D200" s="148">
        <v>37861298</v>
      </c>
      <c r="E200" s="150" t="s">
        <v>653</v>
      </c>
      <c r="F200" s="148">
        <v>596868</v>
      </c>
      <c r="G200" s="151" t="s">
        <v>679</v>
      </c>
      <c r="H200" s="152" t="s">
        <v>643</v>
      </c>
      <c r="I200" s="153" t="s">
        <v>703</v>
      </c>
      <c r="J200" s="144">
        <v>6</v>
      </c>
      <c r="K200" s="145">
        <v>0</v>
      </c>
      <c r="L200" s="145">
        <v>10</v>
      </c>
      <c r="M200" s="145">
        <v>0</v>
      </c>
      <c r="N200" s="145">
        <v>0</v>
      </c>
      <c r="O200" s="145">
        <v>0</v>
      </c>
      <c r="P200" s="146">
        <v>0</v>
      </c>
      <c r="Q200" s="144">
        <v>0</v>
      </c>
      <c r="R200" s="145">
        <v>12</v>
      </c>
      <c r="S200" s="146">
        <v>1</v>
      </c>
      <c r="T200" s="45">
        <f t="shared" si="18"/>
        <v>335</v>
      </c>
      <c r="U200" s="154">
        <v>68.7</v>
      </c>
      <c r="V200" s="46">
        <f t="shared" si="19"/>
        <v>0</v>
      </c>
      <c r="W200" s="46">
        <f t="shared" si="20"/>
        <v>24</v>
      </c>
      <c r="X200" s="121">
        <f t="shared" si="21"/>
        <v>1.5</v>
      </c>
      <c r="Y200" s="122">
        <f t="shared" si="22"/>
        <v>429.2</v>
      </c>
      <c r="Z200" s="138">
        <f t="shared" si="23"/>
        <v>429</v>
      </c>
    </row>
    <row r="201" spans="1:26" ht="25.5" x14ac:dyDescent="0.25">
      <c r="A201" s="147" t="s">
        <v>634</v>
      </c>
      <c r="B201" s="148" t="s">
        <v>79</v>
      </c>
      <c r="C201" s="149" t="s">
        <v>652</v>
      </c>
      <c r="D201" s="148">
        <v>37861298</v>
      </c>
      <c r="E201" s="150" t="s">
        <v>653</v>
      </c>
      <c r="F201" s="148">
        <v>596876</v>
      </c>
      <c r="G201" s="151" t="s">
        <v>697</v>
      </c>
      <c r="H201" s="152" t="s">
        <v>643</v>
      </c>
      <c r="I201" s="153" t="s">
        <v>698</v>
      </c>
      <c r="J201" s="144">
        <v>3</v>
      </c>
      <c r="K201" s="145">
        <v>0</v>
      </c>
      <c r="L201" s="145">
        <v>3</v>
      </c>
      <c r="M201" s="145">
        <v>0</v>
      </c>
      <c r="N201" s="145">
        <v>0</v>
      </c>
      <c r="O201" s="145">
        <v>0</v>
      </c>
      <c r="P201" s="146">
        <v>0</v>
      </c>
      <c r="Q201" s="144">
        <v>0</v>
      </c>
      <c r="R201" s="145">
        <v>1</v>
      </c>
      <c r="S201" s="146">
        <v>1</v>
      </c>
      <c r="T201" s="45">
        <f t="shared" si="18"/>
        <v>100.5</v>
      </c>
      <c r="U201" s="154">
        <v>0</v>
      </c>
      <c r="V201" s="46">
        <f t="shared" si="19"/>
        <v>0</v>
      </c>
      <c r="W201" s="46">
        <f t="shared" si="20"/>
        <v>2</v>
      </c>
      <c r="X201" s="121">
        <f t="shared" si="21"/>
        <v>1.5</v>
      </c>
      <c r="Y201" s="122">
        <f t="shared" si="22"/>
        <v>104</v>
      </c>
      <c r="Z201" s="138">
        <f t="shared" si="23"/>
        <v>104</v>
      </c>
    </row>
    <row r="202" spans="1:26" x14ac:dyDescent="0.25">
      <c r="A202" s="147" t="s">
        <v>634</v>
      </c>
      <c r="B202" s="148" t="s">
        <v>79</v>
      </c>
      <c r="C202" s="149" t="s">
        <v>652</v>
      </c>
      <c r="D202" s="148">
        <v>37861298</v>
      </c>
      <c r="E202" s="150" t="s">
        <v>653</v>
      </c>
      <c r="F202" s="148">
        <v>607321</v>
      </c>
      <c r="G202" s="151" t="s">
        <v>117</v>
      </c>
      <c r="H202" s="152" t="s">
        <v>643</v>
      </c>
      <c r="I202" s="153" t="s">
        <v>709</v>
      </c>
      <c r="J202" s="144">
        <v>2</v>
      </c>
      <c r="K202" s="145">
        <v>0</v>
      </c>
      <c r="L202" s="145">
        <v>4</v>
      </c>
      <c r="M202" s="145">
        <v>0</v>
      </c>
      <c r="N202" s="145">
        <v>0</v>
      </c>
      <c r="O202" s="145">
        <v>0</v>
      </c>
      <c r="P202" s="146">
        <v>0</v>
      </c>
      <c r="Q202" s="144">
        <v>0</v>
      </c>
      <c r="R202" s="145">
        <v>9</v>
      </c>
      <c r="S202" s="146">
        <v>0</v>
      </c>
      <c r="T202" s="45">
        <f t="shared" si="18"/>
        <v>134</v>
      </c>
      <c r="U202" s="154">
        <v>58</v>
      </c>
      <c r="V202" s="46">
        <f t="shared" si="19"/>
        <v>0</v>
      </c>
      <c r="W202" s="46">
        <f t="shared" si="20"/>
        <v>18</v>
      </c>
      <c r="X202" s="121">
        <f t="shared" si="21"/>
        <v>0</v>
      </c>
      <c r="Y202" s="122">
        <f t="shared" si="22"/>
        <v>210</v>
      </c>
      <c r="Z202" s="138">
        <f t="shared" si="23"/>
        <v>210</v>
      </c>
    </row>
    <row r="203" spans="1:26" ht="25.5" x14ac:dyDescent="0.25">
      <c r="A203" s="147" t="s">
        <v>634</v>
      </c>
      <c r="B203" s="148" t="s">
        <v>79</v>
      </c>
      <c r="C203" s="149" t="s">
        <v>652</v>
      </c>
      <c r="D203" s="148">
        <v>37861298</v>
      </c>
      <c r="E203" s="150" t="s">
        <v>653</v>
      </c>
      <c r="F203" s="148">
        <v>607339</v>
      </c>
      <c r="G203" s="151" t="s">
        <v>723</v>
      </c>
      <c r="H203" s="152" t="s">
        <v>713</v>
      </c>
      <c r="I203" s="153" t="s">
        <v>724</v>
      </c>
      <c r="J203" s="144">
        <v>2</v>
      </c>
      <c r="K203" s="145">
        <v>0</v>
      </c>
      <c r="L203" s="145">
        <v>2</v>
      </c>
      <c r="M203" s="145">
        <v>0</v>
      </c>
      <c r="N203" s="145">
        <v>0</v>
      </c>
      <c r="O203" s="145">
        <v>0</v>
      </c>
      <c r="P203" s="146">
        <v>0</v>
      </c>
      <c r="Q203" s="144">
        <v>0</v>
      </c>
      <c r="R203" s="145">
        <v>3</v>
      </c>
      <c r="S203" s="146">
        <v>0</v>
      </c>
      <c r="T203" s="45">
        <f t="shared" si="18"/>
        <v>67</v>
      </c>
      <c r="U203" s="154">
        <v>18.3</v>
      </c>
      <c r="V203" s="46">
        <f t="shared" si="19"/>
        <v>0</v>
      </c>
      <c r="W203" s="46">
        <f t="shared" si="20"/>
        <v>6</v>
      </c>
      <c r="X203" s="121">
        <f t="shared" si="21"/>
        <v>0</v>
      </c>
      <c r="Y203" s="122">
        <f t="shared" si="22"/>
        <v>91.3</v>
      </c>
      <c r="Z203" s="138">
        <f t="shared" si="23"/>
        <v>91</v>
      </c>
    </row>
    <row r="204" spans="1:26" x14ac:dyDescent="0.25">
      <c r="A204" s="147" t="s">
        <v>634</v>
      </c>
      <c r="B204" s="148" t="s">
        <v>79</v>
      </c>
      <c r="C204" s="149" t="s">
        <v>652</v>
      </c>
      <c r="D204" s="148">
        <v>37861298</v>
      </c>
      <c r="E204" s="150" t="s">
        <v>653</v>
      </c>
      <c r="F204" s="148">
        <v>654230</v>
      </c>
      <c r="G204" s="151" t="s">
        <v>718</v>
      </c>
      <c r="H204" s="152" t="s">
        <v>713</v>
      </c>
      <c r="I204" s="153" t="s">
        <v>719</v>
      </c>
      <c r="J204" s="144">
        <v>4</v>
      </c>
      <c r="K204" s="145">
        <v>0</v>
      </c>
      <c r="L204" s="145">
        <v>5</v>
      </c>
      <c r="M204" s="145">
        <v>0</v>
      </c>
      <c r="N204" s="145">
        <v>0</v>
      </c>
      <c r="O204" s="145">
        <v>0</v>
      </c>
      <c r="P204" s="146">
        <v>0</v>
      </c>
      <c r="Q204" s="144">
        <v>0</v>
      </c>
      <c r="R204" s="145">
        <v>10</v>
      </c>
      <c r="S204" s="146">
        <v>9</v>
      </c>
      <c r="T204" s="45">
        <f t="shared" si="18"/>
        <v>167.5</v>
      </c>
      <c r="U204" s="154">
        <v>23.7</v>
      </c>
      <c r="V204" s="46">
        <f t="shared" si="19"/>
        <v>0</v>
      </c>
      <c r="W204" s="46">
        <f t="shared" si="20"/>
        <v>20</v>
      </c>
      <c r="X204" s="121">
        <f t="shared" si="21"/>
        <v>13.5</v>
      </c>
      <c r="Y204" s="122">
        <f t="shared" si="22"/>
        <v>224.7</v>
      </c>
      <c r="Z204" s="138">
        <f t="shared" si="23"/>
        <v>225</v>
      </c>
    </row>
    <row r="205" spans="1:26" ht="25.5" x14ac:dyDescent="0.25">
      <c r="A205" s="147" t="s">
        <v>634</v>
      </c>
      <c r="B205" s="148" t="s">
        <v>79</v>
      </c>
      <c r="C205" s="149" t="s">
        <v>652</v>
      </c>
      <c r="D205" s="148">
        <v>37861298</v>
      </c>
      <c r="E205" s="150" t="s">
        <v>653</v>
      </c>
      <c r="F205" s="148">
        <v>891592</v>
      </c>
      <c r="G205" s="151" t="s">
        <v>665</v>
      </c>
      <c r="H205" s="152" t="s">
        <v>457</v>
      </c>
      <c r="I205" s="153" t="s">
        <v>666</v>
      </c>
      <c r="J205" s="144">
        <v>1</v>
      </c>
      <c r="K205" s="145">
        <v>0</v>
      </c>
      <c r="L205" s="145">
        <v>1</v>
      </c>
      <c r="M205" s="145">
        <v>0</v>
      </c>
      <c r="N205" s="145">
        <v>0</v>
      </c>
      <c r="O205" s="145">
        <v>0</v>
      </c>
      <c r="P205" s="146">
        <v>0</v>
      </c>
      <c r="Q205" s="144">
        <v>0</v>
      </c>
      <c r="R205" s="145">
        <v>1</v>
      </c>
      <c r="S205" s="146">
        <v>0</v>
      </c>
      <c r="T205" s="45">
        <f t="shared" si="18"/>
        <v>33.5</v>
      </c>
      <c r="U205" s="154">
        <v>0</v>
      </c>
      <c r="V205" s="46">
        <f t="shared" si="19"/>
        <v>0</v>
      </c>
      <c r="W205" s="46">
        <f t="shared" si="20"/>
        <v>2</v>
      </c>
      <c r="X205" s="121">
        <f t="shared" si="21"/>
        <v>0</v>
      </c>
      <c r="Y205" s="122">
        <f t="shared" si="22"/>
        <v>35.5</v>
      </c>
      <c r="Z205" s="138">
        <f t="shared" si="23"/>
        <v>36</v>
      </c>
    </row>
    <row r="206" spans="1:26" ht="25.5" x14ac:dyDescent="0.25">
      <c r="A206" s="147" t="s">
        <v>634</v>
      </c>
      <c r="B206" s="148" t="s">
        <v>79</v>
      </c>
      <c r="C206" s="149" t="s">
        <v>652</v>
      </c>
      <c r="D206" s="148">
        <v>37861298</v>
      </c>
      <c r="E206" s="150" t="s">
        <v>653</v>
      </c>
      <c r="F206" s="148">
        <v>891606</v>
      </c>
      <c r="G206" s="151" t="s">
        <v>132</v>
      </c>
      <c r="H206" s="152" t="s">
        <v>713</v>
      </c>
      <c r="I206" s="153" t="s">
        <v>720</v>
      </c>
      <c r="J206" s="144">
        <v>3</v>
      </c>
      <c r="K206" s="145">
        <v>0</v>
      </c>
      <c r="L206" s="145">
        <v>3</v>
      </c>
      <c r="M206" s="145">
        <v>0</v>
      </c>
      <c r="N206" s="145">
        <v>0</v>
      </c>
      <c r="O206" s="145">
        <v>0</v>
      </c>
      <c r="P206" s="146">
        <v>0</v>
      </c>
      <c r="Q206" s="144">
        <v>0</v>
      </c>
      <c r="R206" s="145">
        <v>2</v>
      </c>
      <c r="S206" s="146">
        <v>5</v>
      </c>
      <c r="T206" s="45">
        <f t="shared" si="18"/>
        <v>100.5</v>
      </c>
      <c r="U206" s="154">
        <v>0</v>
      </c>
      <c r="V206" s="46">
        <f t="shared" si="19"/>
        <v>0</v>
      </c>
      <c r="W206" s="46">
        <f t="shared" si="20"/>
        <v>4</v>
      </c>
      <c r="X206" s="121">
        <f t="shared" si="21"/>
        <v>7.5</v>
      </c>
      <c r="Y206" s="122">
        <f t="shared" si="22"/>
        <v>112</v>
      </c>
      <c r="Z206" s="138">
        <f t="shared" si="23"/>
        <v>112</v>
      </c>
    </row>
    <row r="207" spans="1:26" x14ac:dyDescent="0.25">
      <c r="A207" s="147" t="s">
        <v>634</v>
      </c>
      <c r="B207" s="148" t="s">
        <v>79</v>
      </c>
      <c r="C207" s="149" t="s">
        <v>652</v>
      </c>
      <c r="D207" s="148">
        <v>37861298</v>
      </c>
      <c r="E207" s="150" t="s">
        <v>653</v>
      </c>
      <c r="F207" s="148">
        <v>891860</v>
      </c>
      <c r="G207" s="151" t="s">
        <v>745</v>
      </c>
      <c r="H207" s="152" t="s">
        <v>648</v>
      </c>
      <c r="I207" s="153" t="s">
        <v>746</v>
      </c>
      <c r="J207" s="144">
        <v>2</v>
      </c>
      <c r="K207" s="145">
        <v>0</v>
      </c>
      <c r="L207" s="145">
        <v>3</v>
      </c>
      <c r="M207" s="145">
        <v>0</v>
      </c>
      <c r="N207" s="145">
        <v>0</v>
      </c>
      <c r="O207" s="145">
        <v>1</v>
      </c>
      <c r="P207" s="146">
        <v>0</v>
      </c>
      <c r="Q207" s="144">
        <v>0</v>
      </c>
      <c r="R207" s="145">
        <v>6</v>
      </c>
      <c r="S207" s="146">
        <v>0</v>
      </c>
      <c r="T207" s="45">
        <f t="shared" si="18"/>
        <v>100.5</v>
      </c>
      <c r="U207" s="154">
        <v>14.6</v>
      </c>
      <c r="V207" s="46">
        <f t="shared" si="19"/>
        <v>0</v>
      </c>
      <c r="W207" s="46">
        <f t="shared" si="20"/>
        <v>25.5</v>
      </c>
      <c r="X207" s="121">
        <f t="shared" si="21"/>
        <v>0</v>
      </c>
      <c r="Y207" s="122">
        <f t="shared" si="22"/>
        <v>140.6</v>
      </c>
      <c r="Z207" s="138">
        <f t="shared" si="23"/>
        <v>141</v>
      </c>
    </row>
    <row r="208" spans="1:26" x14ac:dyDescent="0.25">
      <c r="A208" s="147" t="s">
        <v>634</v>
      </c>
      <c r="B208" s="148" t="s">
        <v>79</v>
      </c>
      <c r="C208" s="149" t="s">
        <v>652</v>
      </c>
      <c r="D208" s="148">
        <v>37861298</v>
      </c>
      <c r="E208" s="150" t="s">
        <v>653</v>
      </c>
      <c r="F208" s="148">
        <v>893293</v>
      </c>
      <c r="G208" s="151" t="s">
        <v>701</v>
      </c>
      <c r="H208" s="152" t="s">
        <v>643</v>
      </c>
      <c r="I208" s="153" t="s">
        <v>702</v>
      </c>
      <c r="J208" s="144">
        <v>2</v>
      </c>
      <c r="K208" s="145">
        <v>4</v>
      </c>
      <c r="L208" s="145">
        <v>4</v>
      </c>
      <c r="M208" s="145">
        <v>12</v>
      </c>
      <c r="N208" s="145">
        <v>1</v>
      </c>
      <c r="O208" s="145">
        <v>0</v>
      </c>
      <c r="P208" s="146">
        <v>0</v>
      </c>
      <c r="Q208" s="144">
        <v>8</v>
      </c>
      <c r="R208" s="145">
        <v>2</v>
      </c>
      <c r="S208" s="146">
        <v>0</v>
      </c>
      <c r="T208" s="45">
        <f t="shared" si="18"/>
        <v>134</v>
      </c>
      <c r="U208" s="154">
        <v>0</v>
      </c>
      <c r="V208" s="46">
        <f t="shared" si="19"/>
        <v>25.5</v>
      </c>
      <c r="W208" s="46">
        <f t="shared" si="20"/>
        <v>4</v>
      </c>
      <c r="X208" s="121">
        <f t="shared" si="21"/>
        <v>0</v>
      </c>
      <c r="Y208" s="122">
        <f t="shared" si="22"/>
        <v>163.5</v>
      </c>
      <c r="Z208" s="138">
        <f t="shared" si="23"/>
        <v>164</v>
      </c>
    </row>
    <row r="209" spans="1:26" x14ac:dyDescent="0.25">
      <c r="A209" s="147" t="s">
        <v>634</v>
      </c>
      <c r="B209" s="148" t="s">
        <v>79</v>
      </c>
      <c r="C209" s="149" t="s">
        <v>652</v>
      </c>
      <c r="D209" s="148">
        <v>37861298</v>
      </c>
      <c r="E209" s="150" t="s">
        <v>653</v>
      </c>
      <c r="F209" s="148">
        <v>893315</v>
      </c>
      <c r="G209" s="151" t="s">
        <v>679</v>
      </c>
      <c r="H209" s="152" t="s">
        <v>637</v>
      </c>
      <c r="I209" s="153" t="s">
        <v>680</v>
      </c>
      <c r="J209" s="144">
        <v>1</v>
      </c>
      <c r="K209" s="145">
        <v>0</v>
      </c>
      <c r="L209" s="145">
        <v>1</v>
      </c>
      <c r="M209" s="145">
        <v>0</v>
      </c>
      <c r="N209" s="145">
        <v>0</v>
      </c>
      <c r="O209" s="145">
        <v>0</v>
      </c>
      <c r="P209" s="146">
        <v>0</v>
      </c>
      <c r="Q209" s="144">
        <v>0</v>
      </c>
      <c r="R209" s="145">
        <v>0</v>
      </c>
      <c r="S209" s="146">
        <v>5</v>
      </c>
      <c r="T209" s="45">
        <f t="shared" si="18"/>
        <v>33.5</v>
      </c>
      <c r="U209" s="154">
        <v>0</v>
      </c>
      <c r="V209" s="46">
        <f t="shared" si="19"/>
        <v>0</v>
      </c>
      <c r="W209" s="46">
        <f t="shared" si="20"/>
        <v>0</v>
      </c>
      <c r="X209" s="121">
        <f t="shared" si="21"/>
        <v>7.5</v>
      </c>
      <c r="Y209" s="122">
        <f t="shared" si="22"/>
        <v>41</v>
      </c>
      <c r="Z209" s="138">
        <f t="shared" si="23"/>
        <v>41</v>
      </c>
    </row>
    <row r="210" spans="1:26" ht="25.5" x14ac:dyDescent="0.25">
      <c r="A210" s="147" t="s">
        <v>634</v>
      </c>
      <c r="B210" s="148" t="s">
        <v>79</v>
      </c>
      <c r="C210" s="149" t="s">
        <v>652</v>
      </c>
      <c r="D210" s="148">
        <v>37861298</v>
      </c>
      <c r="E210" s="150" t="s">
        <v>653</v>
      </c>
      <c r="F210" s="148">
        <v>893421</v>
      </c>
      <c r="G210" s="151" t="s">
        <v>721</v>
      </c>
      <c r="H210" s="152" t="s">
        <v>713</v>
      </c>
      <c r="I210" s="153" t="s">
        <v>722</v>
      </c>
      <c r="J210" s="144">
        <v>3</v>
      </c>
      <c r="K210" s="145">
        <v>0</v>
      </c>
      <c r="L210" s="145">
        <v>3</v>
      </c>
      <c r="M210" s="145">
        <v>0</v>
      </c>
      <c r="N210" s="145">
        <v>0</v>
      </c>
      <c r="O210" s="145">
        <v>0</v>
      </c>
      <c r="P210" s="146">
        <v>0</v>
      </c>
      <c r="Q210" s="144">
        <v>0</v>
      </c>
      <c r="R210" s="145">
        <v>8</v>
      </c>
      <c r="S210" s="146">
        <v>0</v>
      </c>
      <c r="T210" s="45">
        <f t="shared" si="18"/>
        <v>100.5</v>
      </c>
      <c r="U210" s="154">
        <v>0</v>
      </c>
      <c r="V210" s="46">
        <f t="shared" si="19"/>
        <v>0</v>
      </c>
      <c r="W210" s="46">
        <f t="shared" si="20"/>
        <v>16</v>
      </c>
      <c r="X210" s="121">
        <f t="shared" si="21"/>
        <v>0</v>
      </c>
      <c r="Y210" s="122">
        <f t="shared" si="22"/>
        <v>116.5</v>
      </c>
      <c r="Z210" s="138">
        <f t="shared" si="23"/>
        <v>117</v>
      </c>
    </row>
    <row r="211" spans="1:26" x14ac:dyDescent="0.25">
      <c r="A211" s="147" t="s">
        <v>634</v>
      </c>
      <c r="B211" s="148" t="s">
        <v>79</v>
      </c>
      <c r="C211" s="149" t="s">
        <v>652</v>
      </c>
      <c r="D211" s="148">
        <v>37861298</v>
      </c>
      <c r="E211" s="150" t="s">
        <v>653</v>
      </c>
      <c r="F211" s="148">
        <v>893480</v>
      </c>
      <c r="G211" s="151" t="s">
        <v>402</v>
      </c>
      <c r="H211" s="152" t="s">
        <v>648</v>
      </c>
      <c r="I211" s="153" t="s">
        <v>747</v>
      </c>
      <c r="J211" s="144">
        <v>3</v>
      </c>
      <c r="K211" s="145">
        <v>0</v>
      </c>
      <c r="L211" s="145">
        <v>3</v>
      </c>
      <c r="M211" s="145">
        <v>0</v>
      </c>
      <c r="N211" s="145">
        <v>0</v>
      </c>
      <c r="O211" s="145">
        <v>0</v>
      </c>
      <c r="P211" s="146">
        <v>0</v>
      </c>
      <c r="Q211" s="144">
        <v>0</v>
      </c>
      <c r="R211" s="145">
        <v>2</v>
      </c>
      <c r="S211" s="146">
        <v>1</v>
      </c>
      <c r="T211" s="45">
        <f t="shared" si="18"/>
        <v>100.5</v>
      </c>
      <c r="U211" s="154">
        <v>18.55</v>
      </c>
      <c r="V211" s="46">
        <f t="shared" si="19"/>
        <v>0</v>
      </c>
      <c r="W211" s="46">
        <f t="shared" si="20"/>
        <v>4</v>
      </c>
      <c r="X211" s="121">
        <f t="shared" si="21"/>
        <v>1.5</v>
      </c>
      <c r="Y211" s="122">
        <f t="shared" si="22"/>
        <v>124.55</v>
      </c>
      <c r="Z211" s="138">
        <f t="shared" si="23"/>
        <v>125</v>
      </c>
    </row>
    <row r="212" spans="1:26" x14ac:dyDescent="0.25">
      <c r="A212" s="147" t="s">
        <v>634</v>
      </c>
      <c r="B212" s="148" t="s">
        <v>79</v>
      </c>
      <c r="C212" s="149" t="s">
        <v>652</v>
      </c>
      <c r="D212" s="148">
        <v>37861298</v>
      </c>
      <c r="E212" s="150" t="s">
        <v>653</v>
      </c>
      <c r="F212" s="148">
        <v>893498</v>
      </c>
      <c r="G212" s="151" t="s">
        <v>402</v>
      </c>
      <c r="H212" s="152" t="s">
        <v>650</v>
      </c>
      <c r="I212" s="153" t="s">
        <v>753</v>
      </c>
      <c r="J212" s="144">
        <v>2</v>
      </c>
      <c r="K212" s="145">
        <v>0</v>
      </c>
      <c r="L212" s="145">
        <v>2</v>
      </c>
      <c r="M212" s="145">
        <v>0</v>
      </c>
      <c r="N212" s="145">
        <v>0</v>
      </c>
      <c r="O212" s="145">
        <v>0</v>
      </c>
      <c r="P212" s="146">
        <v>0</v>
      </c>
      <c r="Q212" s="144">
        <v>0</v>
      </c>
      <c r="R212" s="145">
        <v>2</v>
      </c>
      <c r="S212" s="146">
        <v>3</v>
      </c>
      <c r="T212" s="45">
        <f t="shared" si="18"/>
        <v>67</v>
      </c>
      <c r="U212" s="154">
        <v>3.06</v>
      </c>
      <c r="V212" s="46">
        <f t="shared" si="19"/>
        <v>0</v>
      </c>
      <c r="W212" s="46">
        <f t="shared" si="20"/>
        <v>4</v>
      </c>
      <c r="X212" s="121">
        <f t="shared" si="21"/>
        <v>4.5</v>
      </c>
      <c r="Y212" s="122">
        <f t="shared" si="22"/>
        <v>78.56</v>
      </c>
      <c r="Z212" s="138">
        <f t="shared" si="23"/>
        <v>79</v>
      </c>
    </row>
    <row r="213" spans="1:26" ht="25.5" x14ac:dyDescent="0.25">
      <c r="A213" s="147" t="s">
        <v>634</v>
      </c>
      <c r="B213" s="148" t="s">
        <v>79</v>
      </c>
      <c r="C213" s="149" t="s">
        <v>652</v>
      </c>
      <c r="D213" s="148">
        <v>37861298</v>
      </c>
      <c r="E213" s="150" t="s">
        <v>653</v>
      </c>
      <c r="F213" s="148">
        <v>17050073</v>
      </c>
      <c r="G213" s="151" t="s">
        <v>681</v>
      </c>
      <c r="H213" s="152" t="s">
        <v>643</v>
      </c>
      <c r="I213" s="153" t="s">
        <v>708</v>
      </c>
      <c r="J213" s="144">
        <v>1</v>
      </c>
      <c r="K213" s="145">
        <v>0</v>
      </c>
      <c r="L213" s="145">
        <v>1</v>
      </c>
      <c r="M213" s="145">
        <v>0</v>
      </c>
      <c r="N213" s="145">
        <v>0</v>
      </c>
      <c r="O213" s="145">
        <v>0</v>
      </c>
      <c r="P213" s="146">
        <v>0</v>
      </c>
      <c r="Q213" s="144">
        <v>0</v>
      </c>
      <c r="R213" s="145">
        <v>2</v>
      </c>
      <c r="S213" s="146">
        <v>0</v>
      </c>
      <c r="T213" s="45">
        <f t="shared" si="18"/>
        <v>33.5</v>
      </c>
      <c r="U213" s="154">
        <v>0</v>
      </c>
      <c r="V213" s="46">
        <f t="shared" si="19"/>
        <v>0</v>
      </c>
      <c r="W213" s="46">
        <f t="shared" si="20"/>
        <v>4</v>
      </c>
      <c r="X213" s="121">
        <f t="shared" si="21"/>
        <v>0</v>
      </c>
      <c r="Y213" s="122">
        <f t="shared" si="22"/>
        <v>37.5</v>
      </c>
      <c r="Z213" s="138">
        <f t="shared" si="23"/>
        <v>38</v>
      </c>
    </row>
    <row r="214" spans="1:26" x14ac:dyDescent="0.25">
      <c r="A214" s="147" t="s">
        <v>634</v>
      </c>
      <c r="B214" s="148" t="s">
        <v>79</v>
      </c>
      <c r="C214" s="149" t="s">
        <v>652</v>
      </c>
      <c r="D214" s="148">
        <v>37861298</v>
      </c>
      <c r="E214" s="150" t="s">
        <v>653</v>
      </c>
      <c r="F214" s="148">
        <v>17050138</v>
      </c>
      <c r="G214" s="151" t="s">
        <v>49</v>
      </c>
      <c r="H214" s="152" t="s">
        <v>730</v>
      </c>
      <c r="I214" s="153" t="s">
        <v>731</v>
      </c>
      <c r="J214" s="144">
        <v>2</v>
      </c>
      <c r="K214" s="145">
        <v>0</v>
      </c>
      <c r="L214" s="145">
        <v>2</v>
      </c>
      <c r="M214" s="145">
        <v>0</v>
      </c>
      <c r="N214" s="145">
        <v>0</v>
      </c>
      <c r="O214" s="145">
        <v>0</v>
      </c>
      <c r="P214" s="146">
        <v>0</v>
      </c>
      <c r="Q214" s="144">
        <v>0</v>
      </c>
      <c r="R214" s="145">
        <v>6</v>
      </c>
      <c r="S214" s="146">
        <v>0</v>
      </c>
      <c r="T214" s="45">
        <f t="shared" si="18"/>
        <v>67</v>
      </c>
      <c r="U214" s="154">
        <v>0</v>
      </c>
      <c r="V214" s="46">
        <f t="shared" si="19"/>
        <v>0</v>
      </c>
      <c r="W214" s="46">
        <f t="shared" si="20"/>
        <v>12</v>
      </c>
      <c r="X214" s="121">
        <f t="shared" si="21"/>
        <v>0</v>
      </c>
      <c r="Y214" s="122">
        <f t="shared" si="22"/>
        <v>79</v>
      </c>
      <c r="Z214" s="138">
        <f t="shared" si="23"/>
        <v>79</v>
      </c>
    </row>
    <row r="215" spans="1:26" x14ac:dyDescent="0.25">
      <c r="A215" s="147" t="s">
        <v>634</v>
      </c>
      <c r="B215" s="148" t="s">
        <v>79</v>
      </c>
      <c r="C215" s="149" t="s">
        <v>652</v>
      </c>
      <c r="D215" s="148">
        <v>37861298</v>
      </c>
      <c r="E215" s="150" t="s">
        <v>653</v>
      </c>
      <c r="F215" s="148">
        <v>17050308</v>
      </c>
      <c r="G215" s="151" t="s">
        <v>154</v>
      </c>
      <c r="H215" s="152" t="s">
        <v>689</v>
      </c>
      <c r="I215" s="153" t="s">
        <v>690</v>
      </c>
      <c r="J215" s="144">
        <v>4</v>
      </c>
      <c r="K215" s="145">
        <v>0</v>
      </c>
      <c r="L215" s="145">
        <v>5</v>
      </c>
      <c r="M215" s="145">
        <v>0</v>
      </c>
      <c r="N215" s="145">
        <v>0</v>
      </c>
      <c r="O215" s="145">
        <v>0</v>
      </c>
      <c r="P215" s="146">
        <v>0</v>
      </c>
      <c r="Q215" s="144">
        <v>5</v>
      </c>
      <c r="R215" s="145">
        <v>11</v>
      </c>
      <c r="S215" s="146">
        <v>0</v>
      </c>
      <c r="T215" s="45">
        <f t="shared" si="18"/>
        <v>167.5</v>
      </c>
      <c r="U215" s="154">
        <v>23.8</v>
      </c>
      <c r="V215" s="46">
        <f t="shared" si="19"/>
        <v>7.5</v>
      </c>
      <c r="W215" s="46">
        <f t="shared" si="20"/>
        <v>22</v>
      </c>
      <c r="X215" s="121">
        <f t="shared" si="21"/>
        <v>0</v>
      </c>
      <c r="Y215" s="122">
        <f t="shared" si="22"/>
        <v>220.8</v>
      </c>
      <c r="Z215" s="138">
        <f t="shared" si="23"/>
        <v>221</v>
      </c>
    </row>
    <row r="216" spans="1:26" x14ac:dyDescent="0.25">
      <c r="A216" s="147" t="s">
        <v>634</v>
      </c>
      <c r="B216" s="148" t="s">
        <v>79</v>
      </c>
      <c r="C216" s="149" t="s">
        <v>652</v>
      </c>
      <c r="D216" s="148">
        <v>37861298</v>
      </c>
      <c r="E216" s="150" t="s">
        <v>653</v>
      </c>
      <c r="F216" s="148">
        <v>17050316</v>
      </c>
      <c r="G216" s="151" t="s">
        <v>154</v>
      </c>
      <c r="H216" s="152" t="s">
        <v>730</v>
      </c>
      <c r="I216" s="153" t="s">
        <v>735</v>
      </c>
      <c r="J216" s="144">
        <v>1</v>
      </c>
      <c r="K216" s="145">
        <v>0</v>
      </c>
      <c r="L216" s="145">
        <v>2</v>
      </c>
      <c r="M216" s="145">
        <v>0</v>
      </c>
      <c r="N216" s="145">
        <v>0</v>
      </c>
      <c r="O216" s="145">
        <v>0</v>
      </c>
      <c r="P216" s="146">
        <v>0</v>
      </c>
      <c r="Q216" s="144">
        <v>0</v>
      </c>
      <c r="R216" s="145">
        <v>1</v>
      </c>
      <c r="S216" s="146">
        <v>4</v>
      </c>
      <c r="T216" s="45">
        <f t="shared" si="18"/>
        <v>67</v>
      </c>
      <c r="U216" s="154">
        <v>14.6</v>
      </c>
      <c r="V216" s="46">
        <f t="shared" si="19"/>
        <v>0</v>
      </c>
      <c r="W216" s="46">
        <f t="shared" si="20"/>
        <v>2</v>
      </c>
      <c r="X216" s="121">
        <f t="shared" si="21"/>
        <v>6</v>
      </c>
      <c r="Y216" s="122">
        <f t="shared" si="22"/>
        <v>89.6</v>
      </c>
      <c r="Z216" s="138">
        <f t="shared" si="23"/>
        <v>90</v>
      </c>
    </row>
    <row r="217" spans="1:26" x14ac:dyDescent="0.25">
      <c r="A217" s="147" t="s">
        <v>634</v>
      </c>
      <c r="B217" s="148" t="s">
        <v>79</v>
      </c>
      <c r="C217" s="149" t="s">
        <v>652</v>
      </c>
      <c r="D217" s="148">
        <v>37861298</v>
      </c>
      <c r="E217" s="150" t="s">
        <v>653</v>
      </c>
      <c r="F217" s="148">
        <v>17053889</v>
      </c>
      <c r="G217" s="151" t="s">
        <v>683</v>
      </c>
      <c r="H217" s="152" t="s">
        <v>637</v>
      </c>
      <c r="I217" s="153" t="s">
        <v>684</v>
      </c>
      <c r="J217" s="144">
        <v>1</v>
      </c>
      <c r="K217" s="145">
        <v>0</v>
      </c>
      <c r="L217" s="145">
        <v>1</v>
      </c>
      <c r="M217" s="145">
        <v>0</v>
      </c>
      <c r="N217" s="145">
        <v>0</v>
      </c>
      <c r="O217" s="145">
        <v>0</v>
      </c>
      <c r="P217" s="146">
        <v>0</v>
      </c>
      <c r="Q217" s="144">
        <v>0</v>
      </c>
      <c r="R217" s="145">
        <v>0</v>
      </c>
      <c r="S217" s="146">
        <v>1</v>
      </c>
      <c r="T217" s="45">
        <f t="shared" si="18"/>
        <v>33.5</v>
      </c>
      <c r="U217" s="154">
        <v>12.2</v>
      </c>
      <c r="V217" s="46">
        <f t="shared" si="19"/>
        <v>0</v>
      </c>
      <c r="W217" s="46">
        <f t="shared" si="20"/>
        <v>0</v>
      </c>
      <c r="X217" s="121">
        <f t="shared" si="21"/>
        <v>1.5</v>
      </c>
      <c r="Y217" s="122">
        <f t="shared" si="22"/>
        <v>47.2</v>
      </c>
      <c r="Z217" s="138">
        <f t="shared" si="23"/>
        <v>47</v>
      </c>
    </row>
    <row r="218" spans="1:26" x14ac:dyDescent="0.25">
      <c r="A218" s="147" t="s">
        <v>634</v>
      </c>
      <c r="B218" s="148" t="s">
        <v>79</v>
      </c>
      <c r="C218" s="149" t="s">
        <v>652</v>
      </c>
      <c r="D218" s="148">
        <v>37861298</v>
      </c>
      <c r="E218" s="150" t="s">
        <v>653</v>
      </c>
      <c r="F218" s="148">
        <v>17054222</v>
      </c>
      <c r="G218" s="151" t="s">
        <v>699</v>
      </c>
      <c r="H218" s="152" t="s">
        <v>643</v>
      </c>
      <c r="I218" s="153" t="s">
        <v>700</v>
      </c>
      <c r="J218" s="144">
        <v>2</v>
      </c>
      <c r="K218" s="145">
        <v>0</v>
      </c>
      <c r="L218" s="145">
        <v>2</v>
      </c>
      <c r="M218" s="145">
        <v>0</v>
      </c>
      <c r="N218" s="145">
        <v>0</v>
      </c>
      <c r="O218" s="145">
        <v>0</v>
      </c>
      <c r="P218" s="146">
        <v>0</v>
      </c>
      <c r="Q218" s="144">
        <v>0</v>
      </c>
      <c r="R218" s="145">
        <v>3</v>
      </c>
      <c r="S218" s="146">
        <v>0</v>
      </c>
      <c r="T218" s="45">
        <f t="shared" si="18"/>
        <v>67</v>
      </c>
      <c r="U218" s="154">
        <v>0</v>
      </c>
      <c r="V218" s="46">
        <f t="shared" si="19"/>
        <v>0</v>
      </c>
      <c r="W218" s="46">
        <f t="shared" si="20"/>
        <v>6</v>
      </c>
      <c r="X218" s="121">
        <f t="shared" si="21"/>
        <v>0</v>
      </c>
      <c r="Y218" s="122">
        <f t="shared" si="22"/>
        <v>73</v>
      </c>
      <c r="Z218" s="138">
        <f t="shared" si="23"/>
        <v>73</v>
      </c>
    </row>
    <row r="219" spans="1:26" x14ac:dyDescent="0.25">
      <c r="A219" s="147" t="s">
        <v>634</v>
      </c>
      <c r="B219" s="148" t="s">
        <v>79</v>
      </c>
      <c r="C219" s="149" t="s">
        <v>652</v>
      </c>
      <c r="D219" s="148">
        <v>37861298</v>
      </c>
      <c r="E219" s="150" t="s">
        <v>653</v>
      </c>
      <c r="F219" s="148">
        <v>31873715</v>
      </c>
      <c r="G219" s="151" t="s">
        <v>52</v>
      </c>
      <c r="H219" s="152" t="s">
        <v>737</v>
      </c>
      <c r="I219" s="153" t="s">
        <v>739</v>
      </c>
      <c r="J219" s="144">
        <v>4</v>
      </c>
      <c r="K219" s="145">
        <v>0</v>
      </c>
      <c r="L219" s="145">
        <v>6</v>
      </c>
      <c r="M219" s="145">
        <v>0</v>
      </c>
      <c r="N219" s="145">
        <v>0</v>
      </c>
      <c r="O219" s="145">
        <v>0</v>
      </c>
      <c r="P219" s="146">
        <v>0</v>
      </c>
      <c r="Q219" s="144">
        <v>0</v>
      </c>
      <c r="R219" s="145">
        <v>6</v>
      </c>
      <c r="S219" s="146">
        <v>0</v>
      </c>
      <c r="T219" s="45">
        <f t="shared" si="18"/>
        <v>201</v>
      </c>
      <c r="U219" s="154">
        <v>36.6</v>
      </c>
      <c r="V219" s="46">
        <f t="shared" si="19"/>
        <v>0</v>
      </c>
      <c r="W219" s="46">
        <f t="shared" si="20"/>
        <v>12</v>
      </c>
      <c r="X219" s="121">
        <f t="shared" si="21"/>
        <v>0</v>
      </c>
      <c r="Y219" s="122">
        <f t="shared" si="22"/>
        <v>249.6</v>
      </c>
      <c r="Z219" s="138">
        <f t="shared" si="23"/>
        <v>250</v>
      </c>
    </row>
    <row r="220" spans="1:26" ht="25.5" x14ac:dyDescent="0.25">
      <c r="A220" s="147" t="s">
        <v>634</v>
      </c>
      <c r="B220" s="148" t="s">
        <v>79</v>
      </c>
      <c r="C220" s="149" t="s">
        <v>652</v>
      </c>
      <c r="D220" s="148">
        <v>37861298</v>
      </c>
      <c r="E220" s="150" t="s">
        <v>653</v>
      </c>
      <c r="F220" s="148">
        <v>37965352</v>
      </c>
      <c r="G220" s="151" t="s">
        <v>715</v>
      </c>
      <c r="H220" s="152" t="s">
        <v>713</v>
      </c>
      <c r="I220" s="153" t="s">
        <v>716</v>
      </c>
      <c r="J220" s="144">
        <v>1</v>
      </c>
      <c r="K220" s="145">
        <v>0</v>
      </c>
      <c r="L220" s="145">
        <v>1</v>
      </c>
      <c r="M220" s="145">
        <v>0</v>
      </c>
      <c r="N220" s="145">
        <v>0</v>
      </c>
      <c r="O220" s="145">
        <v>0</v>
      </c>
      <c r="P220" s="146">
        <v>0</v>
      </c>
      <c r="Q220" s="144">
        <v>0</v>
      </c>
      <c r="R220" s="145">
        <v>0</v>
      </c>
      <c r="S220" s="146">
        <v>4</v>
      </c>
      <c r="T220" s="45">
        <f t="shared" si="18"/>
        <v>33.5</v>
      </c>
      <c r="U220" s="154">
        <v>10.4</v>
      </c>
      <c r="V220" s="46">
        <f t="shared" si="19"/>
        <v>0</v>
      </c>
      <c r="W220" s="46">
        <f t="shared" si="20"/>
        <v>0</v>
      </c>
      <c r="X220" s="121">
        <f t="shared" si="21"/>
        <v>6</v>
      </c>
      <c r="Y220" s="122">
        <f t="shared" si="22"/>
        <v>49.9</v>
      </c>
      <c r="Z220" s="138">
        <f t="shared" si="23"/>
        <v>50</v>
      </c>
    </row>
    <row r="221" spans="1:26" x14ac:dyDescent="0.25">
      <c r="A221" s="147" t="s">
        <v>634</v>
      </c>
      <c r="B221" s="148" t="s">
        <v>79</v>
      </c>
      <c r="C221" s="149" t="s">
        <v>652</v>
      </c>
      <c r="D221" s="148">
        <v>37861298</v>
      </c>
      <c r="E221" s="150" t="s">
        <v>653</v>
      </c>
      <c r="F221" s="148">
        <v>42114977</v>
      </c>
      <c r="G221" s="151" t="s">
        <v>733</v>
      </c>
      <c r="H221" s="152" t="s">
        <v>730</v>
      </c>
      <c r="I221" s="153" t="s">
        <v>734</v>
      </c>
      <c r="J221" s="144">
        <v>2</v>
      </c>
      <c r="K221" s="145">
        <v>0</v>
      </c>
      <c r="L221" s="145">
        <v>2</v>
      </c>
      <c r="M221" s="145">
        <v>0</v>
      </c>
      <c r="N221" s="145">
        <v>1</v>
      </c>
      <c r="O221" s="145">
        <v>0</v>
      </c>
      <c r="P221" s="146">
        <v>0</v>
      </c>
      <c r="Q221" s="144">
        <v>4</v>
      </c>
      <c r="R221" s="145">
        <v>0</v>
      </c>
      <c r="S221" s="146">
        <v>0</v>
      </c>
      <c r="T221" s="45">
        <f t="shared" si="18"/>
        <v>67</v>
      </c>
      <c r="U221" s="154">
        <v>0</v>
      </c>
      <c r="V221" s="46">
        <f t="shared" si="19"/>
        <v>19.5</v>
      </c>
      <c r="W221" s="46">
        <f t="shared" si="20"/>
        <v>0</v>
      </c>
      <c r="X221" s="121">
        <f t="shared" si="21"/>
        <v>0</v>
      </c>
      <c r="Y221" s="122">
        <f t="shared" si="22"/>
        <v>86.5</v>
      </c>
      <c r="Z221" s="138">
        <f t="shared" si="23"/>
        <v>87</v>
      </c>
    </row>
    <row r="222" spans="1:26" x14ac:dyDescent="0.25">
      <c r="A222" s="142" t="s">
        <v>634</v>
      </c>
      <c r="B222" s="30" t="s">
        <v>181</v>
      </c>
      <c r="C222" s="143" t="s">
        <v>766</v>
      </c>
      <c r="D222" s="30">
        <v>586315</v>
      </c>
      <c r="E222" s="31" t="s">
        <v>767</v>
      </c>
      <c r="F222" s="30">
        <v>31824986</v>
      </c>
      <c r="G222" s="119" t="s">
        <v>768</v>
      </c>
      <c r="H222" s="31" t="s">
        <v>643</v>
      </c>
      <c r="I222" s="120" t="s">
        <v>769</v>
      </c>
      <c r="J222" s="144">
        <v>2</v>
      </c>
      <c r="K222" s="145">
        <v>0</v>
      </c>
      <c r="L222" s="145">
        <v>2</v>
      </c>
      <c r="M222" s="145">
        <v>0</v>
      </c>
      <c r="N222" s="145">
        <v>0</v>
      </c>
      <c r="O222" s="145">
        <v>0</v>
      </c>
      <c r="P222" s="146">
        <v>0</v>
      </c>
      <c r="Q222" s="144">
        <v>0</v>
      </c>
      <c r="R222" s="145">
        <v>2</v>
      </c>
      <c r="S222" s="146">
        <v>0</v>
      </c>
      <c r="T222" s="45">
        <f t="shared" si="18"/>
        <v>67</v>
      </c>
      <c r="U222" s="46">
        <v>0</v>
      </c>
      <c r="V222" s="46">
        <f t="shared" si="19"/>
        <v>0</v>
      </c>
      <c r="W222" s="46">
        <f t="shared" si="20"/>
        <v>4</v>
      </c>
      <c r="X222" s="121">
        <f t="shared" si="21"/>
        <v>0</v>
      </c>
      <c r="Y222" s="122">
        <f t="shared" si="22"/>
        <v>71</v>
      </c>
      <c r="Z222" s="138">
        <f t="shared" si="23"/>
        <v>71</v>
      </c>
    </row>
    <row r="223" spans="1:26" ht="25.5" x14ac:dyDescent="0.25">
      <c r="A223" s="142" t="s">
        <v>634</v>
      </c>
      <c r="B223" s="30" t="s">
        <v>181</v>
      </c>
      <c r="C223" s="143" t="s">
        <v>762</v>
      </c>
      <c r="D223" s="30">
        <v>35593008</v>
      </c>
      <c r="E223" s="31" t="s">
        <v>763</v>
      </c>
      <c r="F223" s="30">
        <v>42014891</v>
      </c>
      <c r="G223" s="119" t="s">
        <v>783</v>
      </c>
      <c r="H223" s="31" t="s">
        <v>556</v>
      </c>
      <c r="I223" s="120" t="s">
        <v>784</v>
      </c>
      <c r="J223" s="144">
        <v>3</v>
      </c>
      <c r="K223" s="145">
        <v>0</v>
      </c>
      <c r="L223" s="145">
        <v>4</v>
      </c>
      <c r="M223" s="145">
        <v>0</v>
      </c>
      <c r="N223" s="145">
        <v>0</v>
      </c>
      <c r="O223" s="145">
        <v>0</v>
      </c>
      <c r="P223" s="146">
        <v>0</v>
      </c>
      <c r="Q223" s="144">
        <v>0</v>
      </c>
      <c r="R223" s="145">
        <v>9</v>
      </c>
      <c r="S223" s="146">
        <v>0</v>
      </c>
      <c r="T223" s="45">
        <f t="shared" si="18"/>
        <v>134</v>
      </c>
      <c r="U223" s="46">
        <v>0</v>
      </c>
      <c r="V223" s="46">
        <f t="shared" si="19"/>
        <v>0</v>
      </c>
      <c r="W223" s="46">
        <f t="shared" si="20"/>
        <v>18</v>
      </c>
      <c r="X223" s="121">
        <f t="shared" si="21"/>
        <v>0</v>
      </c>
      <c r="Y223" s="122">
        <f t="shared" si="22"/>
        <v>152</v>
      </c>
      <c r="Z223" s="138">
        <f t="shared" si="23"/>
        <v>152</v>
      </c>
    </row>
    <row r="224" spans="1:26" x14ac:dyDescent="0.25">
      <c r="A224" s="155" t="s">
        <v>634</v>
      </c>
      <c r="B224" s="127" t="s">
        <v>226</v>
      </c>
      <c r="C224" s="156" t="s">
        <v>794</v>
      </c>
      <c r="D224" s="127">
        <v>90000176</v>
      </c>
      <c r="E224" s="31" t="s">
        <v>795</v>
      </c>
      <c r="F224" s="127">
        <v>55620892</v>
      </c>
      <c r="G224" s="119" t="s">
        <v>814</v>
      </c>
      <c r="H224" s="31" t="s">
        <v>797</v>
      </c>
      <c r="I224" s="120" t="s">
        <v>798</v>
      </c>
      <c r="J224" s="144">
        <v>2</v>
      </c>
      <c r="K224" s="145">
        <v>0</v>
      </c>
      <c r="L224" s="145">
        <v>2</v>
      </c>
      <c r="M224" s="145">
        <v>0</v>
      </c>
      <c r="N224" s="145">
        <v>0</v>
      </c>
      <c r="O224" s="145">
        <v>0</v>
      </c>
      <c r="P224" s="146">
        <v>0</v>
      </c>
      <c r="Q224" s="144">
        <v>0</v>
      </c>
      <c r="R224" s="145">
        <v>1</v>
      </c>
      <c r="S224" s="146">
        <v>1</v>
      </c>
      <c r="T224" s="157">
        <f t="shared" si="18"/>
        <v>67</v>
      </c>
      <c r="U224" s="154">
        <v>20.6</v>
      </c>
      <c r="V224" s="46">
        <f t="shared" si="19"/>
        <v>0</v>
      </c>
      <c r="W224" s="46">
        <f t="shared" si="20"/>
        <v>2</v>
      </c>
      <c r="X224" s="121">
        <f t="shared" si="21"/>
        <v>1.5</v>
      </c>
      <c r="Y224" s="122">
        <f t="shared" si="22"/>
        <v>91.1</v>
      </c>
      <c r="Z224" s="138">
        <f t="shared" si="23"/>
        <v>91</v>
      </c>
    </row>
    <row r="225" spans="1:26" x14ac:dyDescent="0.25">
      <c r="A225" s="142" t="s">
        <v>634</v>
      </c>
      <c r="B225" s="30" t="s">
        <v>226</v>
      </c>
      <c r="C225" s="143" t="s">
        <v>800</v>
      </c>
      <c r="D225" s="30">
        <v>34104691</v>
      </c>
      <c r="E225" s="31" t="s">
        <v>801</v>
      </c>
      <c r="F225" s="30">
        <v>37854950</v>
      </c>
      <c r="G225" s="119" t="s">
        <v>802</v>
      </c>
      <c r="H225" s="31" t="s">
        <v>643</v>
      </c>
      <c r="I225" s="120" t="s">
        <v>803</v>
      </c>
      <c r="J225" s="144">
        <v>1</v>
      </c>
      <c r="K225" s="145">
        <v>0</v>
      </c>
      <c r="L225" s="145">
        <v>1</v>
      </c>
      <c r="M225" s="145">
        <v>0</v>
      </c>
      <c r="N225" s="145">
        <v>0</v>
      </c>
      <c r="O225" s="145">
        <v>0</v>
      </c>
      <c r="P225" s="146">
        <v>0</v>
      </c>
      <c r="Q225" s="144">
        <v>0</v>
      </c>
      <c r="R225" s="145">
        <v>1</v>
      </c>
      <c r="S225" s="146">
        <v>0</v>
      </c>
      <c r="T225" s="45">
        <f t="shared" si="18"/>
        <v>33.5</v>
      </c>
      <c r="U225" s="46">
        <v>0</v>
      </c>
      <c r="V225" s="46">
        <f t="shared" si="19"/>
        <v>0</v>
      </c>
      <c r="W225" s="46">
        <f t="shared" si="20"/>
        <v>2</v>
      </c>
      <c r="X225" s="121">
        <f t="shared" si="21"/>
        <v>0</v>
      </c>
      <c r="Y225" s="122">
        <f t="shared" si="22"/>
        <v>35.5</v>
      </c>
      <c r="Z225" s="138">
        <f t="shared" si="23"/>
        <v>36</v>
      </c>
    </row>
    <row r="226" spans="1:26" x14ac:dyDescent="0.25">
      <c r="A226" s="142" t="s">
        <v>634</v>
      </c>
      <c r="B226" s="30" t="s">
        <v>226</v>
      </c>
      <c r="C226" s="143" t="s">
        <v>819</v>
      </c>
      <c r="D226" s="30">
        <v>45691908</v>
      </c>
      <c r="E226" s="31" t="s">
        <v>820</v>
      </c>
      <c r="F226" s="30">
        <v>42120420</v>
      </c>
      <c r="G226" s="119" t="s">
        <v>821</v>
      </c>
      <c r="H226" s="31" t="s">
        <v>648</v>
      </c>
      <c r="I226" s="120" t="s">
        <v>818</v>
      </c>
      <c r="J226" s="144">
        <v>3</v>
      </c>
      <c r="K226" s="145">
        <v>0</v>
      </c>
      <c r="L226" s="145">
        <v>5</v>
      </c>
      <c r="M226" s="145">
        <v>0</v>
      </c>
      <c r="N226" s="145">
        <v>0</v>
      </c>
      <c r="O226" s="145">
        <v>0</v>
      </c>
      <c r="P226" s="146">
        <v>0</v>
      </c>
      <c r="Q226" s="144">
        <v>0</v>
      </c>
      <c r="R226" s="145">
        <v>6</v>
      </c>
      <c r="S226" s="146">
        <v>0</v>
      </c>
      <c r="T226" s="45">
        <f t="shared" si="18"/>
        <v>167.5</v>
      </c>
      <c r="U226" s="46">
        <v>0</v>
      </c>
      <c r="V226" s="46">
        <f t="shared" si="19"/>
        <v>0</v>
      </c>
      <c r="W226" s="46">
        <f t="shared" si="20"/>
        <v>12</v>
      </c>
      <c r="X226" s="121">
        <f t="shared" si="21"/>
        <v>0</v>
      </c>
      <c r="Y226" s="122">
        <f t="shared" si="22"/>
        <v>179.5</v>
      </c>
      <c r="Z226" s="138">
        <f t="shared" si="23"/>
        <v>180</v>
      </c>
    </row>
    <row r="227" spans="1:26" x14ac:dyDescent="0.25">
      <c r="A227" s="127" t="s">
        <v>822</v>
      </c>
      <c r="B227" s="127" t="s">
        <v>43</v>
      </c>
      <c r="C227" s="127" t="s">
        <v>823</v>
      </c>
      <c r="D227" s="30">
        <v>54132975</v>
      </c>
      <c r="E227" s="119" t="s">
        <v>824</v>
      </c>
      <c r="F227" s="127">
        <v>160563</v>
      </c>
      <c r="G227" s="119" t="s">
        <v>827</v>
      </c>
      <c r="H227" s="119" t="s">
        <v>828</v>
      </c>
      <c r="I227" s="158" t="s">
        <v>829</v>
      </c>
      <c r="J227" s="42">
        <v>1</v>
      </c>
      <c r="K227" s="43">
        <v>0</v>
      </c>
      <c r="L227" s="43">
        <v>1</v>
      </c>
      <c r="M227" s="43">
        <v>0</v>
      </c>
      <c r="N227" s="43">
        <v>0</v>
      </c>
      <c r="O227" s="43">
        <v>0</v>
      </c>
      <c r="P227" s="44">
        <v>0</v>
      </c>
      <c r="Q227" s="42">
        <v>0</v>
      </c>
      <c r="R227" s="43">
        <v>1</v>
      </c>
      <c r="S227" s="44">
        <v>0</v>
      </c>
      <c r="T227" s="45">
        <f t="shared" si="18"/>
        <v>33.5</v>
      </c>
      <c r="U227" s="46">
        <v>10.5</v>
      </c>
      <c r="V227" s="46">
        <f t="shared" si="19"/>
        <v>0</v>
      </c>
      <c r="W227" s="46">
        <f t="shared" si="20"/>
        <v>2</v>
      </c>
      <c r="X227" s="121">
        <f t="shared" si="21"/>
        <v>0</v>
      </c>
      <c r="Y227" s="122">
        <f t="shared" si="22"/>
        <v>46</v>
      </c>
      <c r="Z227" s="138">
        <f t="shared" si="23"/>
        <v>46</v>
      </c>
    </row>
    <row r="228" spans="1:26" x14ac:dyDescent="0.25">
      <c r="A228" s="30" t="s">
        <v>822</v>
      </c>
      <c r="B228" s="30" t="s">
        <v>43</v>
      </c>
      <c r="C228" s="30" t="s">
        <v>823</v>
      </c>
      <c r="D228" s="30">
        <v>54132975</v>
      </c>
      <c r="E228" s="119" t="s">
        <v>824</v>
      </c>
      <c r="F228" s="30">
        <v>627844</v>
      </c>
      <c r="G228" s="119" t="s">
        <v>839</v>
      </c>
      <c r="H228" s="119" t="s">
        <v>840</v>
      </c>
      <c r="I228" s="158" t="s">
        <v>841</v>
      </c>
      <c r="J228" s="42">
        <v>1</v>
      </c>
      <c r="K228" s="43">
        <v>0</v>
      </c>
      <c r="L228" s="43">
        <v>2</v>
      </c>
      <c r="M228" s="43">
        <v>0</v>
      </c>
      <c r="N228" s="43">
        <v>0</v>
      </c>
      <c r="O228" s="43">
        <v>0</v>
      </c>
      <c r="P228" s="44">
        <v>0</v>
      </c>
      <c r="Q228" s="42">
        <v>0</v>
      </c>
      <c r="R228" s="43">
        <v>1</v>
      </c>
      <c r="S228" s="44">
        <v>2</v>
      </c>
      <c r="T228" s="45">
        <f t="shared" si="18"/>
        <v>67</v>
      </c>
      <c r="U228" s="46">
        <v>0</v>
      </c>
      <c r="V228" s="46">
        <f t="shared" si="19"/>
        <v>0</v>
      </c>
      <c r="W228" s="46">
        <f t="shared" si="20"/>
        <v>2</v>
      </c>
      <c r="X228" s="121">
        <f t="shared" si="21"/>
        <v>3</v>
      </c>
      <c r="Y228" s="122">
        <f t="shared" si="22"/>
        <v>72</v>
      </c>
      <c r="Z228" s="138">
        <f t="shared" si="23"/>
        <v>72</v>
      </c>
    </row>
    <row r="229" spans="1:26" x14ac:dyDescent="0.25">
      <c r="A229" s="30" t="s">
        <v>822</v>
      </c>
      <c r="B229" s="30" t="s">
        <v>43</v>
      </c>
      <c r="C229" s="30" t="s">
        <v>823</v>
      </c>
      <c r="D229" s="30">
        <v>54132975</v>
      </c>
      <c r="E229" s="119" t="s">
        <v>824</v>
      </c>
      <c r="F229" s="30">
        <v>36148563</v>
      </c>
      <c r="G229" s="119" t="s">
        <v>847</v>
      </c>
      <c r="H229" s="119" t="s">
        <v>224</v>
      </c>
      <c r="I229" s="158" t="s">
        <v>848</v>
      </c>
      <c r="J229" s="42">
        <v>4</v>
      </c>
      <c r="K229" s="43">
        <v>0</v>
      </c>
      <c r="L229" s="43">
        <v>5</v>
      </c>
      <c r="M229" s="43">
        <v>0</v>
      </c>
      <c r="N229" s="43">
        <v>0</v>
      </c>
      <c r="O229" s="43">
        <v>0</v>
      </c>
      <c r="P229" s="44">
        <v>0</v>
      </c>
      <c r="Q229" s="42">
        <v>0</v>
      </c>
      <c r="R229" s="43">
        <v>5</v>
      </c>
      <c r="S229" s="44">
        <v>2</v>
      </c>
      <c r="T229" s="45">
        <f t="shared" si="18"/>
        <v>167.5</v>
      </c>
      <c r="U229" s="46">
        <v>0</v>
      </c>
      <c r="V229" s="46">
        <f t="shared" si="19"/>
        <v>0</v>
      </c>
      <c r="W229" s="46">
        <f t="shared" si="20"/>
        <v>10</v>
      </c>
      <c r="X229" s="121">
        <f t="shared" si="21"/>
        <v>3</v>
      </c>
      <c r="Y229" s="122">
        <f t="shared" si="22"/>
        <v>180.5</v>
      </c>
      <c r="Z229" s="138">
        <f t="shared" si="23"/>
        <v>181</v>
      </c>
    </row>
    <row r="230" spans="1:26" x14ac:dyDescent="0.25">
      <c r="A230" s="127" t="s">
        <v>822</v>
      </c>
      <c r="B230" s="127" t="s">
        <v>79</v>
      </c>
      <c r="C230" s="127" t="s">
        <v>850</v>
      </c>
      <c r="D230" s="127">
        <v>37808427</v>
      </c>
      <c r="E230" s="119" t="s">
        <v>851</v>
      </c>
      <c r="F230" s="127">
        <v>160555</v>
      </c>
      <c r="G230" s="119" t="s">
        <v>49</v>
      </c>
      <c r="H230" s="119" t="s">
        <v>825</v>
      </c>
      <c r="I230" s="158" t="s">
        <v>852</v>
      </c>
      <c r="J230" s="42">
        <v>2</v>
      </c>
      <c r="K230" s="43">
        <v>0</v>
      </c>
      <c r="L230" s="43">
        <v>2</v>
      </c>
      <c r="M230" s="43">
        <v>0</v>
      </c>
      <c r="N230" s="43">
        <v>0</v>
      </c>
      <c r="O230" s="43">
        <v>0</v>
      </c>
      <c r="P230" s="44">
        <v>0</v>
      </c>
      <c r="Q230" s="42">
        <v>9</v>
      </c>
      <c r="R230" s="43">
        <v>7</v>
      </c>
      <c r="S230" s="44">
        <v>0</v>
      </c>
      <c r="T230" s="45">
        <f t="shared" si="18"/>
        <v>67</v>
      </c>
      <c r="U230" s="46">
        <v>0</v>
      </c>
      <c r="V230" s="46">
        <f t="shared" si="19"/>
        <v>13.5</v>
      </c>
      <c r="W230" s="46">
        <f t="shared" si="20"/>
        <v>14</v>
      </c>
      <c r="X230" s="121">
        <f t="shared" si="21"/>
        <v>0</v>
      </c>
      <c r="Y230" s="122">
        <f t="shared" si="22"/>
        <v>94.5</v>
      </c>
      <c r="Z230" s="138">
        <f t="shared" si="23"/>
        <v>95</v>
      </c>
    </row>
    <row r="231" spans="1:26" x14ac:dyDescent="0.25">
      <c r="A231" s="30" t="s">
        <v>822</v>
      </c>
      <c r="B231" s="30" t="s">
        <v>79</v>
      </c>
      <c r="C231" s="30" t="s">
        <v>850</v>
      </c>
      <c r="D231" s="30">
        <v>37808427</v>
      </c>
      <c r="E231" s="119" t="s">
        <v>851</v>
      </c>
      <c r="F231" s="30">
        <v>162043</v>
      </c>
      <c r="G231" s="119" t="s">
        <v>853</v>
      </c>
      <c r="H231" s="119" t="s">
        <v>828</v>
      </c>
      <c r="I231" s="158" t="s">
        <v>854</v>
      </c>
      <c r="J231" s="42">
        <v>2</v>
      </c>
      <c r="K231" s="43">
        <v>0</v>
      </c>
      <c r="L231" s="43">
        <v>2</v>
      </c>
      <c r="M231" s="43">
        <v>0</v>
      </c>
      <c r="N231" s="43">
        <v>0</v>
      </c>
      <c r="O231" s="43">
        <v>0</v>
      </c>
      <c r="P231" s="44">
        <v>0</v>
      </c>
      <c r="Q231" s="42">
        <v>0</v>
      </c>
      <c r="R231" s="43">
        <v>4</v>
      </c>
      <c r="S231" s="44">
        <v>0</v>
      </c>
      <c r="T231" s="45">
        <f t="shared" si="18"/>
        <v>67</v>
      </c>
      <c r="U231" s="46">
        <v>0</v>
      </c>
      <c r="V231" s="46">
        <f t="shared" si="19"/>
        <v>0</v>
      </c>
      <c r="W231" s="46">
        <f t="shared" si="20"/>
        <v>8</v>
      </c>
      <c r="X231" s="121">
        <f t="shared" si="21"/>
        <v>0</v>
      </c>
      <c r="Y231" s="122">
        <f t="shared" si="22"/>
        <v>75</v>
      </c>
      <c r="Z231" s="138">
        <f t="shared" si="23"/>
        <v>75</v>
      </c>
    </row>
    <row r="232" spans="1:26" x14ac:dyDescent="0.25">
      <c r="A232" s="30" t="s">
        <v>822</v>
      </c>
      <c r="B232" s="30" t="s">
        <v>79</v>
      </c>
      <c r="C232" s="30" t="s">
        <v>850</v>
      </c>
      <c r="D232" s="30">
        <v>37808427</v>
      </c>
      <c r="E232" s="119" t="s">
        <v>851</v>
      </c>
      <c r="F232" s="30">
        <v>695041</v>
      </c>
      <c r="G232" s="119" t="s">
        <v>402</v>
      </c>
      <c r="H232" s="119" t="s">
        <v>828</v>
      </c>
      <c r="I232" s="158" t="s">
        <v>855</v>
      </c>
      <c r="J232" s="42">
        <v>6</v>
      </c>
      <c r="K232" s="43">
        <v>0</v>
      </c>
      <c r="L232" s="43">
        <v>16</v>
      </c>
      <c r="M232" s="43">
        <v>0</v>
      </c>
      <c r="N232" s="43">
        <v>0</v>
      </c>
      <c r="O232" s="43">
        <v>5</v>
      </c>
      <c r="P232" s="44">
        <v>0</v>
      </c>
      <c r="Q232" s="42">
        <v>0</v>
      </c>
      <c r="R232" s="43">
        <v>101</v>
      </c>
      <c r="S232" s="44">
        <v>3</v>
      </c>
      <c r="T232" s="45">
        <f t="shared" si="18"/>
        <v>536</v>
      </c>
      <c r="U232" s="46">
        <v>113.07</v>
      </c>
      <c r="V232" s="46">
        <f t="shared" si="19"/>
        <v>0</v>
      </c>
      <c r="W232" s="46">
        <f t="shared" si="20"/>
        <v>269.5</v>
      </c>
      <c r="X232" s="121">
        <f t="shared" si="21"/>
        <v>4.5</v>
      </c>
      <c r="Y232" s="122">
        <f t="shared" si="22"/>
        <v>923.06999999999994</v>
      </c>
      <c r="Z232" s="138">
        <f t="shared" si="23"/>
        <v>923</v>
      </c>
    </row>
    <row r="233" spans="1:26" x14ac:dyDescent="0.25">
      <c r="A233" s="30" t="s">
        <v>822</v>
      </c>
      <c r="B233" s="30" t="s">
        <v>79</v>
      </c>
      <c r="C233" s="30" t="s">
        <v>850</v>
      </c>
      <c r="D233" s="30">
        <v>37808427</v>
      </c>
      <c r="E233" s="119" t="s">
        <v>851</v>
      </c>
      <c r="F233" s="30">
        <v>891452</v>
      </c>
      <c r="G233" s="119" t="s">
        <v>154</v>
      </c>
      <c r="H233" s="119" t="s">
        <v>828</v>
      </c>
      <c r="I233" s="158" t="s">
        <v>856</v>
      </c>
      <c r="J233" s="42">
        <v>2</v>
      </c>
      <c r="K233" s="43">
        <v>0</v>
      </c>
      <c r="L233" s="43">
        <v>2</v>
      </c>
      <c r="M233" s="43">
        <v>0</v>
      </c>
      <c r="N233" s="43">
        <v>0</v>
      </c>
      <c r="O233" s="43">
        <v>0</v>
      </c>
      <c r="P233" s="44">
        <v>0</v>
      </c>
      <c r="Q233" s="42">
        <v>0</v>
      </c>
      <c r="R233" s="43">
        <v>0</v>
      </c>
      <c r="S233" s="44">
        <v>3</v>
      </c>
      <c r="T233" s="45">
        <f t="shared" si="18"/>
        <v>67</v>
      </c>
      <c r="U233" s="46">
        <v>7.3</v>
      </c>
      <c r="V233" s="46">
        <f t="shared" si="19"/>
        <v>0</v>
      </c>
      <c r="W233" s="46">
        <f t="shared" si="20"/>
        <v>0</v>
      </c>
      <c r="X233" s="121">
        <f t="shared" si="21"/>
        <v>4.5</v>
      </c>
      <c r="Y233" s="122">
        <f t="shared" si="22"/>
        <v>78.8</v>
      </c>
      <c r="Z233" s="138">
        <f t="shared" si="23"/>
        <v>79</v>
      </c>
    </row>
    <row r="234" spans="1:26" x14ac:dyDescent="0.25">
      <c r="A234" s="30" t="s">
        <v>822</v>
      </c>
      <c r="B234" s="30" t="s">
        <v>79</v>
      </c>
      <c r="C234" s="30" t="s">
        <v>850</v>
      </c>
      <c r="D234" s="30">
        <v>37808427</v>
      </c>
      <c r="E234" s="119" t="s">
        <v>851</v>
      </c>
      <c r="F234" s="30">
        <v>891835</v>
      </c>
      <c r="G234" s="119" t="s">
        <v>857</v>
      </c>
      <c r="H234" s="119" t="s">
        <v>858</v>
      </c>
      <c r="I234" s="158" t="s">
        <v>859</v>
      </c>
      <c r="J234" s="42">
        <v>7</v>
      </c>
      <c r="K234" s="43">
        <v>2</v>
      </c>
      <c r="L234" s="43">
        <v>8</v>
      </c>
      <c r="M234" s="43">
        <v>6</v>
      </c>
      <c r="N234" s="43">
        <v>2</v>
      </c>
      <c r="O234" s="43">
        <v>1</v>
      </c>
      <c r="P234" s="44">
        <v>0</v>
      </c>
      <c r="Q234" s="42">
        <v>21</v>
      </c>
      <c r="R234" s="43">
        <v>23</v>
      </c>
      <c r="S234" s="44">
        <v>8</v>
      </c>
      <c r="T234" s="45">
        <f t="shared" si="18"/>
        <v>268</v>
      </c>
      <c r="U234" s="46">
        <v>71.5</v>
      </c>
      <c r="V234" s="46">
        <f t="shared" si="19"/>
        <v>58.5</v>
      </c>
      <c r="W234" s="46">
        <f t="shared" si="20"/>
        <v>59.5</v>
      </c>
      <c r="X234" s="121">
        <f t="shared" si="21"/>
        <v>12</v>
      </c>
      <c r="Y234" s="122">
        <f t="shared" si="22"/>
        <v>469.5</v>
      </c>
      <c r="Z234" s="138">
        <f t="shared" si="23"/>
        <v>470</v>
      </c>
    </row>
    <row r="235" spans="1:26" x14ac:dyDescent="0.25">
      <c r="A235" s="30" t="s">
        <v>822</v>
      </c>
      <c r="B235" s="30" t="s">
        <v>79</v>
      </c>
      <c r="C235" s="30" t="s">
        <v>850</v>
      </c>
      <c r="D235" s="30">
        <v>37808427</v>
      </c>
      <c r="E235" s="119" t="s">
        <v>851</v>
      </c>
      <c r="F235" s="30">
        <v>160571</v>
      </c>
      <c r="G235" s="119" t="s">
        <v>862</v>
      </c>
      <c r="H235" s="119" t="s">
        <v>863</v>
      </c>
      <c r="I235" s="158" t="s">
        <v>864</v>
      </c>
      <c r="J235" s="42">
        <v>1</v>
      </c>
      <c r="K235" s="43">
        <v>0</v>
      </c>
      <c r="L235" s="43">
        <v>1</v>
      </c>
      <c r="M235" s="43">
        <v>0</v>
      </c>
      <c r="N235" s="43">
        <v>0</v>
      </c>
      <c r="O235" s="43">
        <v>0</v>
      </c>
      <c r="P235" s="44">
        <v>0</v>
      </c>
      <c r="Q235" s="42">
        <v>0</v>
      </c>
      <c r="R235" s="43">
        <v>1</v>
      </c>
      <c r="S235" s="44">
        <v>0</v>
      </c>
      <c r="T235" s="45">
        <f t="shared" si="18"/>
        <v>33.5</v>
      </c>
      <c r="U235" s="46">
        <v>25</v>
      </c>
      <c r="V235" s="46">
        <f t="shared" si="19"/>
        <v>0</v>
      </c>
      <c r="W235" s="46">
        <f t="shared" si="20"/>
        <v>2</v>
      </c>
      <c r="X235" s="121">
        <f t="shared" si="21"/>
        <v>0</v>
      </c>
      <c r="Y235" s="122">
        <f t="shared" si="22"/>
        <v>60.5</v>
      </c>
      <c r="Z235" s="138">
        <f t="shared" si="23"/>
        <v>61</v>
      </c>
    </row>
    <row r="236" spans="1:26" x14ac:dyDescent="0.25">
      <c r="A236" s="30" t="s">
        <v>822</v>
      </c>
      <c r="B236" s="30" t="s">
        <v>79</v>
      </c>
      <c r="C236" s="30" t="s">
        <v>850</v>
      </c>
      <c r="D236" s="30">
        <v>37808427</v>
      </c>
      <c r="E236" s="119" t="s">
        <v>851</v>
      </c>
      <c r="F236" s="30">
        <v>162051</v>
      </c>
      <c r="G236" s="119" t="s">
        <v>100</v>
      </c>
      <c r="H236" s="119" t="s">
        <v>863</v>
      </c>
      <c r="I236" s="158" t="s">
        <v>865</v>
      </c>
      <c r="J236" s="42">
        <v>4</v>
      </c>
      <c r="K236" s="43">
        <v>0</v>
      </c>
      <c r="L236" s="43">
        <v>4</v>
      </c>
      <c r="M236" s="43">
        <v>0</v>
      </c>
      <c r="N236" s="43">
        <v>0</v>
      </c>
      <c r="O236" s="43">
        <v>0</v>
      </c>
      <c r="P236" s="44">
        <v>0</v>
      </c>
      <c r="Q236" s="42">
        <v>0</v>
      </c>
      <c r="R236" s="43">
        <v>5</v>
      </c>
      <c r="S236" s="44">
        <v>11</v>
      </c>
      <c r="T236" s="45">
        <f t="shared" si="18"/>
        <v>134</v>
      </c>
      <c r="U236" s="46">
        <v>0</v>
      </c>
      <c r="V236" s="46">
        <f t="shared" si="19"/>
        <v>0</v>
      </c>
      <c r="W236" s="46">
        <f t="shared" si="20"/>
        <v>10</v>
      </c>
      <c r="X236" s="121">
        <f t="shared" si="21"/>
        <v>16.5</v>
      </c>
      <c r="Y236" s="122">
        <f t="shared" si="22"/>
        <v>160.5</v>
      </c>
      <c r="Z236" s="138">
        <f t="shared" si="23"/>
        <v>161</v>
      </c>
    </row>
    <row r="237" spans="1:26" x14ac:dyDescent="0.25">
      <c r="A237" s="30" t="s">
        <v>822</v>
      </c>
      <c r="B237" s="30" t="s">
        <v>79</v>
      </c>
      <c r="C237" s="30" t="s">
        <v>850</v>
      </c>
      <c r="D237" s="30">
        <v>37808427</v>
      </c>
      <c r="E237" s="119" t="s">
        <v>851</v>
      </c>
      <c r="F237" s="30">
        <v>158518</v>
      </c>
      <c r="G237" s="119" t="s">
        <v>402</v>
      </c>
      <c r="H237" s="119" t="s">
        <v>863</v>
      </c>
      <c r="I237" s="158" t="s">
        <v>866</v>
      </c>
      <c r="J237" s="42">
        <v>5</v>
      </c>
      <c r="K237" s="43">
        <v>0</v>
      </c>
      <c r="L237" s="43">
        <v>8</v>
      </c>
      <c r="M237" s="43">
        <v>0</v>
      </c>
      <c r="N237" s="43">
        <v>0</v>
      </c>
      <c r="O237" s="43">
        <v>1</v>
      </c>
      <c r="P237" s="44">
        <v>0</v>
      </c>
      <c r="Q237" s="42">
        <v>0</v>
      </c>
      <c r="R237" s="43">
        <v>6</v>
      </c>
      <c r="S237" s="44">
        <v>11</v>
      </c>
      <c r="T237" s="45">
        <f t="shared" si="18"/>
        <v>268</v>
      </c>
      <c r="U237" s="46">
        <v>7.3</v>
      </c>
      <c r="V237" s="46">
        <f t="shared" si="19"/>
        <v>0</v>
      </c>
      <c r="W237" s="46">
        <f t="shared" si="20"/>
        <v>25.5</v>
      </c>
      <c r="X237" s="121">
        <f t="shared" si="21"/>
        <v>16.5</v>
      </c>
      <c r="Y237" s="122">
        <f t="shared" si="22"/>
        <v>317.3</v>
      </c>
      <c r="Z237" s="138">
        <f t="shared" si="23"/>
        <v>317</v>
      </c>
    </row>
    <row r="238" spans="1:26" x14ac:dyDescent="0.25">
      <c r="A238" s="30" t="s">
        <v>822</v>
      </c>
      <c r="B238" s="30" t="s">
        <v>79</v>
      </c>
      <c r="C238" s="30" t="s">
        <v>850</v>
      </c>
      <c r="D238" s="30">
        <v>37808427</v>
      </c>
      <c r="E238" s="119" t="s">
        <v>851</v>
      </c>
      <c r="F238" s="30">
        <v>891479</v>
      </c>
      <c r="G238" s="119" t="s">
        <v>754</v>
      </c>
      <c r="H238" s="119" t="s">
        <v>863</v>
      </c>
      <c r="I238" s="158" t="s">
        <v>867</v>
      </c>
      <c r="J238" s="42">
        <v>7</v>
      </c>
      <c r="K238" s="43">
        <v>0</v>
      </c>
      <c r="L238" s="43">
        <v>12</v>
      </c>
      <c r="M238" s="43">
        <v>0</v>
      </c>
      <c r="N238" s="43">
        <v>0</v>
      </c>
      <c r="O238" s="43">
        <v>3</v>
      </c>
      <c r="P238" s="44">
        <v>0</v>
      </c>
      <c r="Q238" s="42">
        <v>0</v>
      </c>
      <c r="R238" s="43">
        <v>26</v>
      </c>
      <c r="S238" s="44">
        <v>1</v>
      </c>
      <c r="T238" s="45">
        <f t="shared" si="18"/>
        <v>402</v>
      </c>
      <c r="U238" s="46">
        <v>95.4</v>
      </c>
      <c r="V238" s="46">
        <f t="shared" si="19"/>
        <v>0</v>
      </c>
      <c r="W238" s="46">
        <f t="shared" si="20"/>
        <v>92.5</v>
      </c>
      <c r="X238" s="121">
        <f t="shared" si="21"/>
        <v>1.5</v>
      </c>
      <c r="Y238" s="122">
        <f t="shared" si="22"/>
        <v>591.4</v>
      </c>
      <c r="Z238" s="138">
        <f t="shared" si="23"/>
        <v>591</v>
      </c>
    </row>
    <row r="239" spans="1:26" x14ac:dyDescent="0.25">
      <c r="A239" s="30" t="s">
        <v>822</v>
      </c>
      <c r="B239" s="30" t="s">
        <v>79</v>
      </c>
      <c r="C239" s="30" t="s">
        <v>850</v>
      </c>
      <c r="D239" s="30">
        <v>37808427</v>
      </c>
      <c r="E239" s="119" t="s">
        <v>851</v>
      </c>
      <c r="F239" s="30">
        <v>607045</v>
      </c>
      <c r="G239" s="119" t="s">
        <v>117</v>
      </c>
      <c r="H239" s="119" t="s">
        <v>863</v>
      </c>
      <c r="I239" s="158" t="s">
        <v>868</v>
      </c>
      <c r="J239" s="42">
        <v>2</v>
      </c>
      <c r="K239" s="43">
        <v>0</v>
      </c>
      <c r="L239" s="43">
        <v>2</v>
      </c>
      <c r="M239" s="43">
        <v>0</v>
      </c>
      <c r="N239" s="43">
        <v>0</v>
      </c>
      <c r="O239" s="43">
        <v>0</v>
      </c>
      <c r="P239" s="44">
        <v>0</v>
      </c>
      <c r="Q239" s="42">
        <v>0</v>
      </c>
      <c r="R239" s="43">
        <v>2</v>
      </c>
      <c r="S239" s="44">
        <v>1</v>
      </c>
      <c r="T239" s="45">
        <f t="shared" si="18"/>
        <v>67</v>
      </c>
      <c r="U239" s="46">
        <v>24.5</v>
      </c>
      <c r="V239" s="46">
        <f t="shared" si="19"/>
        <v>0</v>
      </c>
      <c r="W239" s="46">
        <f t="shared" si="20"/>
        <v>4</v>
      </c>
      <c r="X239" s="121">
        <f t="shared" si="21"/>
        <v>1.5</v>
      </c>
      <c r="Y239" s="122">
        <f t="shared" si="22"/>
        <v>97</v>
      </c>
      <c r="Z239" s="138">
        <f t="shared" si="23"/>
        <v>97</v>
      </c>
    </row>
    <row r="240" spans="1:26" x14ac:dyDescent="0.25">
      <c r="A240" s="30" t="s">
        <v>822</v>
      </c>
      <c r="B240" s="30" t="s">
        <v>79</v>
      </c>
      <c r="C240" s="30" t="s">
        <v>850</v>
      </c>
      <c r="D240" s="30">
        <v>37808427</v>
      </c>
      <c r="E240" s="119" t="s">
        <v>851</v>
      </c>
      <c r="F240" s="30">
        <v>17053722</v>
      </c>
      <c r="G240" s="119" t="s">
        <v>435</v>
      </c>
      <c r="H240" s="119" t="s">
        <v>831</v>
      </c>
      <c r="I240" s="158" t="s">
        <v>870</v>
      </c>
      <c r="J240" s="42">
        <v>4</v>
      </c>
      <c r="K240" s="43">
        <v>0</v>
      </c>
      <c r="L240" s="43">
        <v>6</v>
      </c>
      <c r="M240" s="43">
        <v>0</v>
      </c>
      <c r="N240" s="43">
        <v>0</v>
      </c>
      <c r="O240" s="43">
        <v>1</v>
      </c>
      <c r="P240" s="44">
        <v>0</v>
      </c>
      <c r="Q240" s="42">
        <v>0</v>
      </c>
      <c r="R240" s="43">
        <v>21</v>
      </c>
      <c r="S240" s="44">
        <v>0</v>
      </c>
      <c r="T240" s="45">
        <f t="shared" si="18"/>
        <v>201</v>
      </c>
      <c r="U240" s="46">
        <v>22.2</v>
      </c>
      <c r="V240" s="46">
        <f t="shared" si="19"/>
        <v>0</v>
      </c>
      <c r="W240" s="46">
        <f t="shared" si="20"/>
        <v>55.5</v>
      </c>
      <c r="X240" s="121">
        <f t="shared" si="21"/>
        <v>0</v>
      </c>
      <c r="Y240" s="122">
        <f t="shared" si="22"/>
        <v>278.7</v>
      </c>
      <c r="Z240" s="138">
        <f t="shared" si="23"/>
        <v>279</v>
      </c>
    </row>
    <row r="241" spans="1:26" ht="25.5" x14ac:dyDescent="0.25">
      <c r="A241" s="30" t="s">
        <v>822</v>
      </c>
      <c r="B241" s="30" t="s">
        <v>79</v>
      </c>
      <c r="C241" s="30" t="s">
        <v>850</v>
      </c>
      <c r="D241" s="30">
        <v>37808427</v>
      </c>
      <c r="E241" s="119" t="s">
        <v>851</v>
      </c>
      <c r="F241" s="30">
        <v>51906201</v>
      </c>
      <c r="G241" s="119" t="s">
        <v>871</v>
      </c>
      <c r="H241" s="119" t="s">
        <v>831</v>
      </c>
      <c r="I241" s="158" t="s">
        <v>872</v>
      </c>
      <c r="J241" s="42">
        <v>3</v>
      </c>
      <c r="K241" s="43">
        <v>0</v>
      </c>
      <c r="L241" s="43">
        <v>3</v>
      </c>
      <c r="M241" s="43">
        <v>0</v>
      </c>
      <c r="N241" s="43">
        <v>0</v>
      </c>
      <c r="O241" s="43">
        <v>0</v>
      </c>
      <c r="P241" s="44">
        <v>0</v>
      </c>
      <c r="Q241" s="42">
        <v>0</v>
      </c>
      <c r="R241" s="43">
        <v>7</v>
      </c>
      <c r="S241" s="44">
        <v>0</v>
      </c>
      <c r="T241" s="45">
        <f t="shared" si="18"/>
        <v>100.5</v>
      </c>
      <c r="U241" s="46">
        <v>11.3</v>
      </c>
      <c r="V241" s="46">
        <f t="shared" si="19"/>
        <v>0</v>
      </c>
      <c r="W241" s="46">
        <f t="shared" si="20"/>
        <v>14</v>
      </c>
      <c r="X241" s="121">
        <f t="shared" si="21"/>
        <v>0</v>
      </c>
      <c r="Y241" s="122">
        <f t="shared" si="22"/>
        <v>125.8</v>
      </c>
      <c r="Z241" s="138">
        <f t="shared" si="23"/>
        <v>126</v>
      </c>
    </row>
    <row r="242" spans="1:26" x14ac:dyDescent="0.25">
      <c r="A242" s="30" t="s">
        <v>822</v>
      </c>
      <c r="B242" s="30" t="s">
        <v>79</v>
      </c>
      <c r="C242" s="30" t="s">
        <v>850</v>
      </c>
      <c r="D242" s="30">
        <v>37808427</v>
      </c>
      <c r="E242" s="119" t="s">
        <v>851</v>
      </c>
      <c r="F242" s="30">
        <v>893170</v>
      </c>
      <c r="G242" s="119" t="s">
        <v>138</v>
      </c>
      <c r="H242" s="119" t="s">
        <v>873</v>
      </c>
      <c r="I242" s="158" t="s">
        <v>875</v>
      </c>
      <c r="J242" s="42">
        <v>4</v>
      </c>
      <c r="K242" s="43">
        <v>0</v>
      </c>
      <c r="L242" s="43">
        <v>8</v>
      </c>
      <c r="M242" s="43">
        <v>0</v>
      </c>
      <c r="N242" s="43">
        <v>0</v>
      </c>
      <c r="O242" s="43">
        <v>1</v>
      </c>
      <c r="P242" s="44">
        <v>0</v>
      </c>
      <c r="Q242" s="42">
        <v>0</v>
      </c>
      <c r="R242" s="43">
        <v>62</v>
      </c>
      <c r="S242" s="44">
        <v>0</v>
      </c>
      <c r="T242" s="45">
        <f t="shared" si="18"/>
        <v>268</v>
      </c>
      <c r="U242" s="46">
        <v>133.4</v>
      </c>
      <c r="V242" s="46">
        <f t="shared" si="19"/>
        <v>0</v>
      </c>
      <c r="W242" s="46">
        <f t="shared" si="20"/>
        <v>137.5</v>
      </c>
      <c r="X242" s="121">
        <f t="shared" si="21"/>
        <v>0</v>
      </c>
      <c r="Y242" s="122">
        <f t="shared" si="22"/>
        <v>538.9</v>
      </c>
      <c r="Z242" s="138">
        <f t="shared" si="23"/>
        <v>539</v>
      </c>
    </row>
    <row r="243" spans="1:26" ht="25.5" x14ac:dyDescent="0.25">
      <c r="A243" s="30" t="s">
        <v>822</v>
      </c>
      <c r="B243" s="30" t="s">
        <v>79</v>
      </c>
      <c r="C243" s="30" t="s">
        <v>850</v>
      </c>
      <c r="D243" s="30">
        <v>37808427</v>
      </c>
      <c r="E243" s="119" t="s">
        <v>851</v>
      </c>
      <c r="F243" s="30">
        <v>162701</v>
      </c>
      <c r="G243" s="119" t="s">
        <v>876</v>
      </c>
      <c r="H243" s="119" t="s">
        <v>873</v>
      </c>
      <c r="I243" s="158" t="s">
        <v>877</v>
      </c>
      <c r="J243" s="42">
        <v>2</v>
      </c>
      <c r="K243" s="43">
        <v>0</v>
      </c>
      <c r="L243" s="43">
        <v>2</v>
      </c>
      <c r="M243" s="43">
        <v>0</v>
      </c>
      <c r="N243" s="43">
        <v>0</v>
      </c>
      <c r="O243" s="43">
        <v>0</v>
      </c>
      <c r="P243" s="44">
        <v>0</v>
      </c>
      <c r="Q243" s="42">
        <v>0</v>
      </c>
      <c r="R243" s="43">
        <v>6</v>
      </c>
      <c r="S243" s="44">
        <v>0</v>
      </c>
      <c r="T243" s="45">
        <f t="shared" si="18"/>
        <v>67</v>
      </c>
      <c r="U243" s="46">
        <v>0</v>
      </c>
      <c r="V243" s="46">
        <f t="shared" si="19"/>
        <v>0</v>
      </c>
      <c r="W243" s="46">
        <f t="shared" si="20"/>
        <v>12</v>
      </c>
      <c r="X243" s="121">
        <f t="shared" si="21"/>
        <v>0</v>
      </c>
      <c r="Y243" s="122">
        <f t="shared" si="22"/>
        <v>79</v>
      </c>
      <c r="Z243" s="138">
        <f t="shared" si="23"/>
        <v>79</v>
      </c>
    </row>
    <row r="244" spans="1:26" x14ac:dyDescent="0.25">
      <c r="A244" s="30" t="s">
        <v>822</v>
      </c>
      <c r="B244" s="30" t="s">
        <v>79</v>
      </c>
      <c r="C244" s="30" t="s">
        <v>850</v>
      </c>
      <c r="D244" s="30">
        <v>37808427</v>
      </c>
      <c r="E244" s="119" t="s">
        <v>851</v>
      </c>
      <c r="F244" s="30">
        <v>160679</v>
      </c>
      <c r="G244" s="119" t="s">
        <v>878</v>
      </c>
      <c r="H244" s="119" t="s">
        <v>833</v>
      </c>
      <c r="I244" s="158" t="s">
        <v>879</v>
      </c>
      <c r="J244" s="42">
        <v>4</v>
      </c>
      <c r="K244" s="43">
        <v>0</v>
      </c>
      <c r="L244" s="43">
        <v>5</v>
      </c>
      <c r="M244" s="43">
        <v>0</v>
      </c>
      <c r="N244" s="43">
        <v>0</v>
      </c>
      <c r="O244" s="43">
        <v>0</v>
      </c>
      <c r="P244" s="44">
        <v>0</v>
      </c>
      <c r="Q244" s="42">
        <v>0</v>
      </c>
      <c r="R244" s="43">
        <v>6</v>
      </c>
      <c r="S244" s="44">
        <v>3</v>
      </c>
      <c r="T244" s="45">
        <f t="shared" si="18"/>
        <v>167.5</v>
      </c>
      <c r="U244" s="46">
        <v>12.3</v>
      </c>
      <c r="V244" s="46">
        <f t="shared" si="19"/>
        <v>0</v>
      </c>
      <c r="W244" s="46">
        <f t="shared" si="20"/>
        <v>12</v>
      </c>
      <c r="X244" s="121">
        <f t="shared" si="21"/>
        <v>4.5</v>
      </c>
      <c r="Y244" s="122">
        <f t="shared" si="22"/>
        <v>196.3</v>
      </c>
      <c r="Z244" s="138">
        <f t="shared" si="23"/>
        <v>196</v>
      </c>
    </row>
    <row r="245" spans="1:26" x14ac:dyDescent="0.25">
      <c r="A245" s="30" t="s">
        <v>822</v>
      </c>
      <c r="B245" s="30" t="s">
        <v>79</v>
      </c>
      <c r="C245" s="30" t="s">
        <v>850</v>
      </c>
      <c r="D245" s="30">
        <v>37808427</v>
      </c>
      <c r="E245" s="119" t="s">
        <v>851</v>
      </c>
      <c r="F245" s="30">
        <v>893528</v>
      </c>
      <c r="G245" s="119" t="s">
        <v>121</v>
      </c>
      <c r="H245" s="119" t="s">
        <v>833</v>
      </c>
      <c r="I245" s="158" t="s">
        <v>880</v>
      </c>
      <c r="J245" s="42">
        <v>4</v>
      </c>
      <c r="K245" s="43">
        <v>0</v>
      </c>
      <c r="L245" s="43">
        <v>4</v>
      </c>
      <c r="M245" s="43">
        <v>0</v>
      </c>
      <c r="N245" s="43">
        <v>0</v>
      </c>
      <c r="O245" s="43">
        <v>0</v>
      </c>
      <c r="P245" s="44">
        <v>0</v>
      </c>
      <c r="Q245" s="42">
        <v>0</v>
      </c>
      <c r="R245" s="43">
        <v>6</v>
      </c>
      <c r="S245" s="44">
        <v>4</v>
      </c>
      <c r="T245" s="45">
        <f t="shared" si="18"/>
        <v>134</v>
      </c>
      <c r="U245" s="46">
        <v>14.6</v>
      </c>
      <c r="V245" s="46">
        <f t="shared" si="19"/>
        <v>0</v>
      </c>
      <c r="W245" s="46">
        <f t="shared" si="20"/>
        <v>12</v>
      </c>
      <c r="X245" s="121">
        <f t="shared" si="21"/>
        <v>6</v>
      </c>
      <c r="Y245" s="122">
        <f t="shared" si="22"/>
        <v>166.6</v>
      </c>
      <c r="Z245" s="138">
        <f t="shared" si="23"/>
        <v>167</v>
      </c>
    </row>
    <row r="246" spans="1:26" x14ac:dyDescent="0.25">
      <c r="A246" s="30" t="s">
        <v>822</v>
      </c>
      <c r="B246" s="30" t="s">
        <v>79</v>
      </c>
      <c r="C246" s="30" t="s">
        <v>850</v>
      </c>
      <c r="D246" s="30">
        <v>37808427</v>
      </c>
      <c r="E246" s="119" t="s">
        <v>851</v>
      </c>
      <c r="F246" s="30">
        <v>31926754</v>
      </c>
      <c r="G246" s="119" t="s">
        <v>100</v>
      </c>
      <c r="H246" s="119" t="s">
        <v>833</v>
      </c>
      <c r="I246" s="158" t="s">
        <v>881</v>
      </c>
      <c r="J246" s="42">
        <v>4</v>
      </c>
      <c r="K246" s="43">
        <v>0</v>
      </c>
      <c r="L246" s="43">
        <v>7</v>
      </c>
      <c r="M246" s="43">
        <v>0</v>
      </c>
      <c r="N246" s="43">
        <v>0</v>
      </c>
      <c r="O246" s="43">
        <v>0</v>
      </c>
      <c r="P246" s="44">
        <v>0</v>
      </c>
      <c r="Q246" s="42">
        <v>0</v>
      </c>
      <c r="R246" s="43">
        <v>27</v>
      </c>
      <c r="S246" s="44">
        <v>15</v>
      </c>
      <c r="T246" s="45">
        <f t="shared" si="18"/>
        <v>234.5</v>
      </c>
      <c r="U246" s="46">
        <v>24.8</v>
      </c>
      <c r="V246" s="46">
        <f t="shared" si="19"/>
        <v>0</v>
      </c>
      <c r="W246" s="46">
        <f t="shared" si="20"/>
        <v>54</v>
      </c>
      <c r="X246" s="121">
        <f t="shared" si="21"/>
        <v>22.5</v>
      </c>
      <c r="Y246" s="122">
        <f t="shared" si="22"/>
        <v>335.8</v>
      </c>
      <c r="Z246" s="138">
        <f t="shared" si="23"/>
        <v>336</v>
      </c>
    </row>
    <row r="247" spans="1:26" x14ac:dyDescent="0.25">
      <c r="A247" s="30" t="s">
        <v>822</v>
      </c>
      <c r="B247" s="30" t="s">
        <v>79</v>
      </c>
      <c r="C247" s="30" t="s">
        <v>850</v>
      </c>
      <c r="D247" s="30">
        <v>37808427</v>
      </c>
      <c r="E247" s="119" t="s">
        <v>851</v>
      </c>
      <c r="F247" s="30">
        <v>491942</v>
      </c>
      <c r="G247" s="119" t="s">
        <v>754</v>
      </c>
      <c r="H247" s="119" t="s">
        <v>833</v>
      </c>
      <c r="I247" s="158" t="s">
        <v>882</v>
      </c>
      <c r="J247" s="42">
        <v>2</v>
      </c>
      <c r="K247" s="43">
        <v>0</v>
      </c>
      <c r="L247" s="43">
        <v>3</v>
      </c>
      <c r="M247" s="43">
        <v>0</v>
      </c>
      <c r="N247" s="43">
        <v>0</v>
      </c>
      <c r="O247" s="43">
        <v>1</v>
      </c>
      <c r="P247" s="44">
        <v>0</v>
      </c>
      <c r="Q247" s="42">
        <v>0</v>
      </c>
      <c r="R247" s="43">
        <v>15</v>
      </c>
      <c r="S247" s="44">
        <v>0</v>
      </c>
      <c r="T247" s="45">
        <f t="shared" si="18"/>
        <v>100.5</v>
      </c>
      <c r="U247" s="46">
        <v>21.9</v>
      </c>
      <c r="V247" s="46">
        <f t="shared" si="19"/>
        <v>0</v>
      </c>
      <c r="W247" s="46">
        <f t="shared" si="20"/>
        <v>43.5</v>
      </c>
      <c r="X247" s="121">
        <f t="shared" si="21"/>
        <v>0</v>
      </c>
      <c r="Y247" s="122">
        <f t="shared" si="22"/>
        <v>165.9</v>
      </c>
      <c r="Z247" s="138">
        <f t="shared" si="23"/>
        <v>166</v>
      </c>
    </row>
    <row r="248" spans="1:26" x14ac:dyDescent="0.25">
      <c r="A248" s="30" t="s">
        <v>822</v>
      </c>
      <c r="B248" s="30" t="s">
        <v>79</v>
      </c>
      <c r="C248" s="30" t="s">
        <v>850</v>
      </c>
      <c r="D248" s="30">
        <v>37808427</v>
      </c>
      <c r="E248" s="119" t="s">
        <v>851</v>
      </c>
      <c r="F248" s="30">
        <v>695092</v>
      </c>
      <c r="G248" s="119" t="s">
        <v>701</v>
      </c>
      <c r="H248" s="119" t="s">
        <v>833</v>
      </c>
      <c r="I248" s="158" t="s">
        <v>883</v>
      </c>
      <c r="J248" s="42">
        <v>3</v>
      </c>
      <c r="K248" s="43">
        <v>0</v>
      </c>
      <c r="L248" s="43">
        <v>10</v>
      </c>
      <c r="M248" s="43">
        <v>0</v>
      </c>
      <c r="N248" s="43">
        <v>0</v>
      </c>
      <c r="O248" s="43">
        <v>3</v>
      </c>
      <c r="P248" s="44">
        <v>0</v>
      </c>
      <c r="Q248" s="42">
        <v>0</v>
      </c>
      <c r="R248" s="43">
        <v>43</v>
      </c>
      <c r="S248" s="44">
        <v>0</v>
      </c>
      <c r="T248" s="45">
        <f t="shared" si="18"/>
        <v>335</v>
      </c>
      <c r="U248" s="46">
        <v>87.8</v>
      </c>
      <c r="V248" s="46">
        <f t="shared" si="19"/>
        <v>0</v>
      </c>
      <c r="W248" s="46">
        <f t="shared" si="20"/>
        <v>126.5</v>
      </c>
      <c r="X248" s="121">
        <f t="shared" si="21"/>
        <v>0</v>
      </c>
      <c r="Y248" s="122">
        <f t="shared" si="22"/>
        <v>549.29999999999995</v>
      </c>
      <c r="Z248" s="138">
        <f t="shared" si="23"/>
        <v>549</v>
      </c>
    </row>
    <row r="249" spans="1:26" x14ac:dyDescent="0.25">
      <c r="A249" s="30" t="s">
        <v>822</v>
      </c>
      <c r="B249" s="30" t="s">
        <v>79</v>
      </c>
      <c r="C249" s="30" t="s">
        <v>850</v>
      </c>
      <c r="D249" s="30">
        <v>37808427</v>
      </c>
      <c r="E249" s="119" t="s">
        <v>851</v>
      </c>
      <c r="F249" s="30">
        <v>607037</v>
      </c>
      <c r="G249" s="119" t="s">
        <v>117</v>
      </c>
      <c r="H249" s="119" t="s">
        <v>833</v>
      </c>
      <c r="I249" s="158" t="s">
        <v>884</v>
      </c>
      <c r="J249" s="42">
        <v>2</v>
      </c>
      <c r="K249" s="43">
        <v>0</v>
      </c>
      <c r="L249" s="43">
        <v>2</v>
      </c>
      <c r="M249" s="43">
        <v>0</v>
      </c>
      <c r="N249" s="43">
        <v>0</v>
      </c>
      <c r="O249" s="43">
        <v>0</v>
      </c>
      <c r="P249" s="44">
        <v>0</v>
      </c>
      <c r="Q249" s="42">
        <v>0</v>
      </c>
      <c r="R249" s="43">
        <v>8</v>
      </c>
      <c r="S249" s="44">
        <v>0</v>
      </c>
      <c r="T249" s="45">
        <f t="shared" si="18"/>
        <v>67</v>
      </c>
      <c r="U249" s="46">
        <v>0</v>
      </c>
      <c r="V249" s="46">
        <f t="shared" si="19"/>
        <v>0</v>
      </c>
      <c r="W249" s="46">
        <f t="shared" si="20"/>
        <v>16</v>
      </c>
      <c r="X249" s="121">
        <f t="shared" si="21"/>
        <v>0</v>
      </c>
      <c r="Y249" s="122">
        <f t="shared" si="22"/>
        <v>83</v>
      </c>
      <c r="Z249" s="138">
        <f t="shared" si="23"/>
        <v>83</v>
      </c>
    </row>
    <row r="250" spans="1:26" x14ac:dyDescent="0.25">
      <c r="A250" s="30" t="s">
        <v>822</v>
      </c>
      <c r="B250" s="30" t="s">
        <v>79</v>
      </c>
      <c r="C250" s="30" t="s">
        <v>850</v>
      </c>
      <c r="D250" s="30">
        <v>37808427</v>
      </c>
      <c r="E250" s="119" t="s">
        <v>851</v>
      </c>
      <c r="F250" s="30">
        <v>626261</v>
      </c>
      <c r="G250" s="119" t="s">
        <v>885</v>
      </c>
      <c r="H250" s="119" t="s">
        <v>836</v>
      </c>
      <c r="I250" s="158" t="s">
        <v>886</v>
      </c>
      <c r="J250" s="42">
        <v>5</v>
      </c>
      <c r="K250" s="43">
        <v>0</v>
      </c>
      <c r="L250" s="43">
        <v>11</v>
      </c>
      <c r="M250" s="43">
        <v>0</v>
      </c>
      <c r="N250" s="43">
        <v>0</v>
      </c>
      <c r="O250" s="43">
        <v>3</v>
      </c>
      <c r="P250" s="44">
        <v>0</v>
      </c>
      <c r="Q250" s="42">
        <v>0</v>
      </c>
      <c r="R250" s="43">
        <v>131</v>
      </c>
      <c r="S250" s="44">
        <v>89</v>
      </c>
      <c r="T250" s="45">
        <f t="shared" si="18"/>
        <v>368.5</v>
      </c>
      <c r="U250" s="46">
        <v>0</v>
      </c>
      <c r="V250" s="46">
        <f t="shared" si="19"/>
        <v>0</v>
      </c>
      <c r="W250" s="46">
        <f t="shared" si="20"/>
        <v>302.5</v>
      </c>
      <c r="X250" s="121">
        <f t="shared" si="21"/>
        <v>133.5</v>
      </c>
      <c r="Y250" s="122">
        <f t="shared" si="22"/>
        <v>804.5</v>
      </c>
      <c r="Z250" s="138">
        <f t="shared" si="23"/>
        <v>805</v>
      </c>
    </row>
    <row r="251" spans="1:26" x14ac:dyDescent="0.25">
      <c r="A251" s="30" t="s">
        <v>822</v>
      </c>
      <c r="B251" s="30" t="s">
        <v>79</v>
      </c>
      <c r="C251" s="30" t="s">
        <v>850</v>
      </c>
      <c r="D251" s="30">
        <v>37808427</v>
      </c>
      <c r="E251" s="119" t="s">
        <v>851</v>
      </c>
      <c r="F251" s="30">
        <v>160695</v>
      </c>
      <c r="G251" s="119" t="s">
        <v>887</v>
      </c>
      <c r="H251" s="119" t="s">
        <v>836</v>
      </c>
      <c r="I251" s="158" t="s">
        <v>888</v>
      </c>
      <c r="J251" s="42">
        <v>4</v>
      </c>
      <c r="K251" s="43">
        <v>0</v>
      </c>
      <c r="L251" s="43">
        <v>6</v>
      </c>
      <c r="M251" s="43">
        <v>0</v>
      </c>
      <c r="N251" s="43">
        <v>0</v>
      </c>
      <c r="O251" s="43">
        <v>0</v>
      </c>
      <c r="P251" s="44">
        <v>0</v>
      </c>
      <c r="Q251" s="42">
        <v>0</v>
      </c>
      <c r="R251" s="43">
        <v>2</v>
      </c>
      <c r="S251" s="44">
        <v>1</v>
      </c>
      <c r="T251" s="45">
        <f t="shared" si="18"/>
        <v>201</v>
      </c>
      <c r="U251" s="46">
        <v>0</v>
      </c>
      <c r="V251" s="46">
        <f t="shared" si="19"/>
        <v>0</v>
      </c>
      <c r="W251" s="46">
        <f t="shared" si="20"/>
        <v>4</v>
      </c>
      <c r="X251" s="121">
        <f t="shared" si="21"/>
        <v>1.5</v>
      </c>
      <c r="Y251" s="122">
        <f t="shared" si="22"/>
        <v>206.5</v>
      </c>
      <c r="Z251" s="138">
        <f t="shared" si="23"/>
        <v>207</v>
      </c>
    </row>
    <row r="252" spans="1:26" x14ac:dyDescent="0.25">
      <c r="A252" s="30" t="s">
        <v>822</v>
      </c>
      <c r="B252" s="30" t="s">
        <v>79</v>
      </c>
      <c r="C252" s="30" t="s">
        <v>850</v>
      </c>
      <c r="D252" s="30">
        <v>37808427</v>
      </c>
      <c r="E252" s="119" t="s">
        <v>851</v>
      </c>
      <c r="F252" s="30">
        <v>162078</v>
      </c>
      <c r="G252" s="119" t="s">
        <v>100</v>
      </c>
      <c r="H252" s="119" t="s">
        <v>836</v>
      </c>
      <c r="I252" s="158" t="s">
        <v>889</v>
      </c>
      <c r="J252" s="42">
        <v>4</v>
      </c>
      <c r="K252" s="43">
        <v>0</v>
      </c>
      <c r="L252" s="43">
        <v>5</v>
      </c>
      <c r="M252" s="43">
        <v>0</v>
      </c>
      <c r="N252" s="43">
        <v>0</v>
      </c>
      <c r="O252" s="43">
        <v>0</v>
      </c>
      <c r="P252" s="44">
        <v>0</v>
      </c>
      <c r="Q252" s="42">
        <v>0</v>
      </c>
      <c r="R252" s="43">
        <v>8</v>
      </c>
      <c r="S252" s="44">
        <v>1</v>
      </c>
      <c r="T252" s="45">
        <f t="shared" si="18"/>
        <v>167.5</v>
      </c>
      <c r="U252" s="46">
        <v>18.75</v>
      </c>
      <c r="V252" s="46">
        <f t="shared" si="19"/>
        <v>0</v>
      </c>
      <c r="W252" s="46">
        <f t="shared" si="20"/>
        <v>16</v>
      </c>
      <c r="X252" s="121">
        <f t="shared" si="21"/>
        <v>1.5</v>
      </c>
      <c r="Y252" s="122">
        <f t="shared" si="22"/>
        <v>203.75</v>
      </c>
      <c r="Z252" s="138">
        <f t="shared" si="23"/>
        <v>204</v>
      </c>
    </row>
    <row r="253" spans="1:26" ht="25.5" x14ac:dyDescent="0.25">
      <c r="A253" s="30" t="s">
        <v>822</v>
      </c>
      <c r="B253" s="30" t="s">
        <v>79</v>
      </c>
      <c r="C253" s="30" t="s">
        <v>850</v>
      </c>
      <c r="D253" s="30">
        <v>37808427</v>
      </c>
      <c r="E253" s="119" t="s">
        <v>851</v>
      </c>
      <c r="F253" s="30">
        <v>17050499</v>
      </c>
      <c r="G253" s="119" t="s">
        <v>52</v>
      </c>
      <c r="H253" s="119" t="s">
        <v>836</v>
      </c>
      <c r="I253" s="158" t="s">
        <v>890</v>
      </c>
      <c r="J253" s="42">
        <v>9</v>
      </c>
      <c r="K253" s="43">
        <v>0</v>
      </c>
      <c r="L253" s="43">
        <v>18</v>
      </c>
      <c r="M253" s="43">
        <v>0</v>
      </c>
      <c r="N253" s="43">
        <v>0</v>
      </c>
      <c r="O253" s="43">
        <v>5</v>
      </c>
      <c r="P253" s="44">
        <v>0</v>
      </c>
      <c r="Q253" s="42">
        <v>0</v>
      </c>
      <c r="R253" s="43">
        <v>53</v>
      </c>
      <c r="S253" s="44">
        <v>61</v>
      </c>
      <c r="T253" s="45">
        <f t="shared" si="18"/>
        <v>603</v>
      </c>
      <c r="U253" s="46">
        <v>34.18</v>
      </c>
      <c r="V253" s="46">
        <f t="shared" si="19"/>
        <v>0</v>
      </c>
      <c r="W253" s="46">
        <f t="shared" si="20"/>
        <v>173.5</v>
      </c>
      <c r="X253" s="121">
        <f t="shared" si="21"/>
        <v>91.5</v>
      </c>
      <c r="Y253" s="122">
        <f t="shared" si="22"/>
        <v>902.18</v>
      </c>
      <c r="Z253" s="138">
        <f t="shared" si="23"/>
        <v>902</v>
      </c>
    </row>
    <row r="254" spans="1:26" x14ac:dyDescent="0.25">
      <c r="A254" s="30" t="s">
        <v>822</v>
      </c>
      <c r="B254" s="30" t="s">
        <v>79</v>
      </c>
      <c r="C254" s="30" t="s">
        <v>850</v>
      </c>
      <c r="D254" s="30">
        <v>37808427</v>
      </c>
      <c r="E254" s="119" t="s">
        <v>851</v>
      </c>
      <c r="F254" s="30">
        <v>17055211</v>
      </c>
      <c r="G254" s="119" t="s">
        <v>104</v>
      </c>
      <c r="H254" s="119" t="s">
        <v>836</v>
      </c>
      <c r="I254" s="158" t="s">
        <v>891</v>
      </c>
      <c r="J254" s="42">
        <v>3</v>
      </c>
      <c r="K254" s="43">
        <v>0</v>
      </c>
      <c r="L254" s="43">
        <v>4</v>
      </c>
      <c r="M254" s="43">
        <v>0</v>
      </c>
      <c r="N254" s="43">
        <v>0</v>
      </c>
      <c r="O254" s="43">
        <v>0</v>
      </c>
      <c r="P254" s="44">
        <v>0</v>
      </c>
      <c r="Q254" s="42">
        <v>0</v>
      </c>
      <c r="R254" s="43">
        <v>8</v>
      </c>
      <c r="S254" s="44">
        <v>0</v>
      </c>
      <c r="T254" s="45">
        <f t="shared" si="18"/>
        <v>134</v>
      </c>
      <c r="U254" s="46">
        <v>26.44</v>
      </c>
      <c r="V254" s="46">
        <f t="shared" si="19"/>
        <v>0</v>
      </c>
      <c r="W254" s="46">
        <f t="shared" si="20"/>
        <v>16</v>
      </c>
      <c r="X254" s="121">
        <f t="shared" si="21"/>
        <v>0</v>
      </c>
      <c r="Y254" s="122">
        <f t="shared" si="22"/>
        <v>176.44</v>
      </c>
      <c r="Z254" s="138">
        <f t="shared" si="23"/>
        <v>176</v>
      </c>
    </row>
    <row r="255" spans="1:26" x14ac:dyDescent="0.25">
      <c r="A255" s="30" t="s">
        <v>822</v>
      </c>
      <c r="B255" s="30" t="s">
        <v>79</v>
      </c>
      <c r="C255" s="30" t="s">
        <v>850</v>
      </c>
      <c r="D255" s="30">
        <v>37808427</v>
      </c>
      <c r="E255" s="119" t="s">
        <v>851</v>
      </c>
      <c r="F255" s="30">
        <v>158551</v>
      </c>
      <c r="G255" s="119" t="s">
        <v>402</v>
      </c>
      <c r="H255" s="119" t="s">
        <v>836</v>
      </c>
      <c r="I255" s="158" t="s">
        <v>837</v>
      </c>
      <c r="J255" s="42">
        <v>12</v>
      </c>
      <c r="K255" s="43">
        <v>0</v>
      </c>
      <c r="L255" s="43">
        <v>23</v>
      </c>
      <c r="M255" s="43">
        <v>0</v>
      </c>
      <c r="N255" s="43">
        <v>0</v>
      </c>
      <c r="O255" s="43">
        <v>8</v>
      </c>
      <c r="P255" s="44">
        <v>1</v>
      </c>
      <c r="Q255" s="42">
        <v>0</v>
      </c>
      <c r="R255" s="43">
        <v>93</v>
      </c>
      <c r="S255" s="44">
        <v>18</v>
      </c>
      <c r="T255" s="45">
        <f t="shared" si="18"/>
        <v>770.5</v>
      </c>
      <c r="U255" s="46">
        <v>221.36</v>
      </c>
      <c r="V255" s="46">
        <f t="shared" si="19"/>
        <v>0</v>
      </c>
      <c r="W255" s="46">
        <f t="shared" si="20"/>
        <v>294</v>
      </c>
      <c r="X255" s="121">
        <f t="shared" si="21"/>
        <v>54</v>
      </c>
      <c r="Y255" s="122">
        <f t="shared" si="22"/>
        <v>1339.8600000000001</v>
      </c>
      <c r="Z255" s="138">
        <f t="shared" si="23"/>
        <v>1340</v>
      </c>
    </row>
    <row r="256" spans="1:26" x14ac:dyDescent="0.25">
      <c r="A256" s="30" t="s">
        <v>822</v>
      </c>
      <c r="B256" s="30" t="s">
        <v>79</v>
      </c>
      <c r="C256" s="30" t="s">
        <v>850</v>
      </c>
      <c r="D256" s="30">
        <v>37808427</v>
      </c>
      <c r="E256" s="119" t="s">
        <v>851</v>
      </c>
      <c r="F256" s="30">
        <v>161578</v>
      </c>
      <c r="G256" s="119" t="s">
        <v>451</v>
      </c>
      <c r="H256" s="119" t="s">
        <v>836</v>
      </c>
      <c r="I256" s="158" t="s">
        <v>892</v>
      </c>
      <c r="J256" s="42">
        <v>5</v>
      </c>
      <c r="K256" s="43">
        <v>0</v>
      </c>
      <c r="L256" s="43">
        <v>5</v>
      </c>
      <c r="M256" s="43">
        <v>0</v>
      </c>
      <c r="N256" s="43">
        <v>0</v>
      </c>
      <c r="O256" s="43">
        <v>0</v>
      </c>
      <c r="P256" s="44">
        <v>0</v>
      </c>
      <c r="Q256" s="42">
        <v>0</v>
      </c>
      <c r="R256" s="43">
        <v>29</v>
      </c>
      <c r="S256" s="44">
        <v>0</v>
      </c>
      <c r="T256" s="45">
        <f t="shared" si="18"/>
        <v>167.5</v>
      </c>
      <c r="U256" s="46">
        <v>37.03</v>
      </c>
      <c r="V256" s="46">
        <f t="shared" si="19"/>
        <v>0</v>
      </c>
      <c r="W256" s="46">
        <f t="shared" si="20"/>
        <v>58</v>
      </c>
      <c r="X256" s="121">
        <f t="shared" si="21"/>
        <v>0</v>
      </c>
      <c r="Y256" s="122">
        <f t="shared" si="22"/>
        <v>262.52999999999997</v>
      </c>
      <c r="Z256" s="138">
        <f t="shared" si="23"/>
        <v>263</v>
      </c>
    </row>
    <row r="257" spans="1:26" x14ac:dyDescent="0.25">
      <c r="A257" s="30" t="s">
        <v>822</v>
      </c>
      <c r="B257" s="30" t="s">
        <v>79</v>
      </c>
      <c r="C257" s="30" t="s">
        <v>850</v>
      </c>
      <c r="D257" s="30">
        <v>37808427</v>
      </c>
      <c r="E257" s="119" t="s">
        <v>851</v>
      </c>
      <c r="F257" s="30">
        <v>160717</v>
      </c>
      <c r="G257" s="119" t="s">
        <v>171</v>
      </c>
      <c r="H257" s="119" t="s">
        <v>842</v>
      </c>
      <c r="I257" s="158" t="s">
        <v>893</v>
      </c>
      <c r="J257" s="42">
        <v>1</v>
      </c>
      <c r="K257" s="43">
        <v>0</v>
      </c>
      <c r="L257" s="43">
        <v>1</v>
      </c>
      <c r="M257" s="43">
        <v>0</v>
      </c>
      <c r="N257" s="43">
        <v>0</v>
      </c>
      <c r="O257" s="43">
        <v>0</v>
      </c>
      <c r="P257" s="44">
        <v>0</v>
      </c>
      <c r="Q257" s="42">
        <v>0</v>
      </c>
      <c r="R257" s="43">
        <v>1</v>
      </c>
      <c r="S257" s="44">
        <v>1</v>
      </c>
      <c r="T257" s="45">
        <f t="shared" si="18"/>
        <v>33.5</v>
      </c>
      <c r="U257" s="46">
        <v>0</v>
      </c>
      <c r="V257" s="46">
        <f t="shared" si="19"/>
        <v>0</v>
      </c>
      <c r="W257" s="46">
        <f t="shared" si="20"/>
        <v>2</v>
      </c>
      <c r="X257" s="121">
        <f t="shared" si="21"/>
        <v>1.5</v>
      </c>
      <c r="Y257" s="122">
        <f t="shared" si="22"/>
        <v>37</v>
      </c>
      <c r="Z257" s="138">
        <f t="shared" si="23"/>
        <v>37</v>
      </c>
    </row>
    <row r="258" spans="1:26" x14ac:dyDescent="0.25">
      <c r="A258" s="30" t="s">
        <v>822</v>
      </c>
      <c r="B258" s="30" t="s">
        <v>79</v>
      </c>
      <c r="C258" s="30" t="s">
        <v>850</v>
      </c>
      <c r="D258" s="30">
        <v>37808427</v>
      </c>
      <c r="E258" s="119" t="s">
        <v>851</v>
      </c>
      <c r="F258" s="30">
        <v>17053846</v>
      </c>
      <c r="G258" s="119" t="s">
        <v>166</v>
      </c>
      <c r="H258" s="119" t="s">
        <v>842</v>
      </c>
      <c r="I258" s="158" t="s">
        <v>894</v>
      </c>
      <c r="J258" s="42">
        <v>2</v>
      </c>
      <c r="K258" s="43">
        <v>0</v>
      </c>
      <c r="L258" s="43">
        <v>5</v>
      </c>
      <c r="M258" s="43">
        <v>0</v>
      </c>
      <c r="N258" s="43">
        <v>0</v>
      </c>
      <c r="O258" s="43">
        <v>0</v>
      </c>
      <c r="P258" s="44">
        <v>0</v>
      </c>
      <c r="Q258" s="42">
        <v>0</v>
      </c>
      <c r="R258" s="43">
        <v>2</v>
      </c>
      <c r="S258" s="44">
        <v>4</v>
      </c>
      <c r="T258" s="45">
        <f t="shared" si="18"/>
        <v>167.5</v>
      </c>
      <c r="U258" s="46">
        <v>0</v>
      </c>
      <c r="V258" s="46">
        <f t="shared" si="19"/>
        <v>0</v>
      </c>
      <c r="W258" s="46">
        <f t="shared" si="20"/>
        <v>4</v>
      </c>
      <c r="X258" s="121">
        <f t="shared" si="21"/>
        <v>6</v>
      </c>
      <c r="Y258" s="122">
        <f t="shared" si="22"/>
        <v>177.5</v>
      </c>
      <c r="Z258" s="138">
        <f t="shared" si="23"/>
        <v>178</v>
      </c>
    </row>
    <row r="259" spans="1:26" x14ac:dyDescent="0.25">
      <c r="A259" s="30" t="s">
        <v>822</v>
      </c>
      <c r="B259" s="30" t="s">
        <v>79</v>
      </c>
      <c r="C259" s="30" t="s">
        <v>850</v>
      </c>
      <c r="D259" s="30">
        <v>37808427</v>
      </c>
      <c r="E259" s="119" t="s">
        <v>851</v>
      </c>
      <c r="F259" s="30">
        <v>17050502</v>
      </c>
      <c r="G259" s="119" t="s">
        <v>154</v>
      </c>
      <c r="H259" s="119" t="s">
        <v>842</v>
      </c>
      <c r="I259" s="158" t="s">
        <v>895</v>
      </c>
      <c r="J259" s="42">
        <v>5</v>
      </c>
      <c r="K259" s="43">
        <v>0</v>
      </c>
      <c r="L259" s="43">
        <v>11</v>
      </c>
      <c r="M259" s="43">
        <v>0</v>
      </c>
      <c r="N259" s="43">
        <v>0</v>
      </c>
      <c r="O259" s="43">
        <v>7</v>
      </c>
      <c r="P259" s="44">
        <v>0</v>
      </c>
      <c r="Q259" s="42">
        <v>0</v>
      </c>
      <c r="R259" s="43">
        <v>38</v>
      </c>
      <c r="S259" s="44">
        <v>1</v>
      </c>
      <c r="T259" s="45">
        <f t="shared" si="18"/>
        <v>368.5</v>
      </c>
      <c r="U259" s="46">
        <v>149</v>
      </c>
      <c r="V259" s="46">
        <f t="shared" si="19"/>
        <v>0</v>
      </c>
      <c r="W259" s="46">
        <f t="shared" si="20"/>
        <v>170.5</v>
      </c>
      <c r="X259" s="121">
        <f t="shared" si="21"/>
        <v>1.5</v>
      </c>
      <c r="Y259" s="122">
        <f t="shared" si="22"/>
        <v>689.5</v>
      </c>
      <c r="Z259" s="138">
        <f t="shared" si="23"/>
        <v>690</v>
      </c>
    </row>
    <row r="260" spans="1:26" x14ac:dyDescent="0.25">
      <c r="A260" s="30" t="s">
        <v>822</v>
      </c>
      <c r="B260" s="30" t="s">
        <v>79</v>
      </c>
      <c r="C260" s="30" t="s">
        <v>850</v>
      </c>
      <c r="D260" s="30">
        <v>37808427</v>
      </c>
      <c r="E260" s="119" t="s">
        <v>851</v>
      </c>
      <c r="F260" s="30">
        <v>160792</v>
      </c>
      <c r="G260" s="119" t="s">
        <v>49</v>
      </c>
      <c r="H260" s="119" t="s">
        <v>462</v>
      </c>
      <c r="I260" s="158" t="s">
        <v>896</v>
      </c>
      <c r="J260" s="42">
        <v>1</v>
      </c>
      <c r="K260" s="43">
        <v>0</v>
      </c>
      <c r="L260" s="43">
        <v>1</v>
      </c>
      <c r="M260" s="43">
        <v>0</v>
      </c>
      <c r="N260" s="43">
        <v>0</v>
      </c>
      <c r="O260" s="43">
        <v>0</v>
      </c>
      <c r="P260" s="44">
        <v>0</v>
      </c>
      <c r="Q260" s="42">
        <v>0</v>
      </c>
      <c r="R260" s="43">
        <v>0</v>
      </c>
      <c r="S260" s="44">
        <v>6</v>
      </c>
      <c r="T260" s="45">
        <f t="shared" ref="T260:T323" si="24">$T$1*L260</f>
        <v>33.5</v>
      </c>
      <c r="U260" s="46">
        <v>0</v>
      </c>
      <c r="V260" s="46">
        <f t="shared" ref="V260:V323" si="25">$U$1*N260+$V$1*Q260</f>
        <v>0</v>
      </c>
      <c r="W260" s="46">
        <f t="shared" ref="W260:W323" si="26">$U$1*O260+$W$1*R260</f>
        <v>0</v>
      </c>
      <c r="X260" s="121">
        <f t="shared" ref="X260:X323" si="27">$X$1*P260+$V$1*S260</f>
        <v>9</v>
      </c>
      <c r="Y260" s="122">
        <f t="shared" ref="Y260:Y323" si="28">T260+U260+V260+W260+X260</f>
        <v>42.5</v>
      </c>
      <c r="Z260" s="138">
        <f t="shared" ref="Z260:Z323" si="29">ROUND(Y260,0)</f>
        <v>43</v>
      </c>
    </row>
    <row r="261" spans="1:26" x14ac:dyDescent="0.25">
      <c r="A261" s="30" t="s">
        <v>822</v>
      </c>
      <c r="B261" s="30" t="s">
        <v>79</v>
      </c>
      <c r="C261" s="30" t="s">
        <v>850</v>
      </c>
      <c r="D261" s="30">
        <v>37808427</v>
      </c>
      <c r="E261" s="119" t="s">
        <v>851</v>
      </c>
      <c r="F261" s="30">
        <v>30232953</v>
      </c>
      <c r="G261" s="119" t="s">
        <v>100</v>
      </c>
      <c r="H261" s="119" t="s">
        <v>462</v>
      </c>
      <c r="I261" s="158" t="s">
        <v>897</v>
      </c>
      <c r="J261" s="42">
        <v>2</v>
      </c>
      <c r="K261" s="43">
        <v>0</v>
      </c>
      <c r="L261" s="43">
        <v>4</v>
      </c>
      <c r="M261" s="43">
        <v>0</v>
      </c>
      <c r="N261" s="43">
        <v>0</v>
      </c>
      <c r="O261" s="43">
        <v>0</v>
      </c>
      <c r="P261" s="44">
        <v>0</v>
      </c>
      <c r="Q261" s="42">
        <v>0</v>
      </c>
      <c r="R261" s="43">
        <v>0</v>
      </c>
      <c r="S261" s="44">
        <v>10</v>
      </c>
      <c r="T261" s="45">
        <f t="shared" si="24"/>
        <v>134</v>
      </c>
      <c r="U261" s="46">
        <v>0</v>
      </c>
      <c r="V261" s="46">
        <f t="shared" si="25"/>
        <v>0</v>
      </c>
      <c r="W261" s="46">
        <f t="shared" si="26"/>
        <v>0</v>
      </c>
      <c r="X261" s="121">
        <f t="shared" si="27"/>
        <v>15</v>
      </c>
      <c r="Y261" s="122">
        <f t="shared" si="28"/>
        <v>149</v>
      </c>
      <c r="Z261" s="138">
        <f t="shared" si="29"/>
        <v>149</v>
      </c>
    </row>
    <row r="262" spans="1:26" x14ac:dyDescent="0.25">
      <c r="A262" s="30" t="s">
        <v>822</v>
      </c>
      <c r="B262" s="30" t="s">
        <v>79</v>
      </c>
      <c r="C262" s="30" t="s">
        <v>850</v>
      </c>
      <c r="D262" s="30">
        <v>37808427</v>
      </c>
      <c r="E262" s="119" t="s">
        <v>851</v>
      </c>
      <c r="F262" s="30">
        <v>894826</v>
      </c>
      <c r="G262" s="119" t="s">
        <v>52</v>
      </c>
      <c r="H262" s="119" t="s">
        <v>462</v>
      </c>
      <c r="I262" s="158" t="s">
        <v>898</v>
      </c>
      <c r="J262" s="42">
        <v>8</v>
      </c>
      <c r="K262" s="43">
        <v>0</v>
      </c>
      <c r="L262" s="43">
        <v>20</v>
      </c>
      <c r="M262" s="43">
        <v>0</v>
      </c>
      <c r="N262" s="43">
        <v>0</v>
      </c>
      <c r="O262" s="43">
        <v>7</v>
      </c>
      <c r="P262" s="44">
        <v>0</v>
      </c>
      <c r="Q262" s="42">
        <v>0</v>
      </c>
      <c r="R262" s="43">
        <v>73</v>
      </c>
      <c r="S262" s="44">
        <v>4</v>
      </c>
      <c r="T262" s="45">
        <f t="shared" si="24"/>
        <v>670</v>
      </c>
      <c r="U262" s="46">
        <v>159.25</v>
      </c>
      <c r="V262" s="46">
        <f t="shared" si="25"/>
        <v>0</v>
      </c>
      <c r="W262" s="46">
        <f t="shared" si="26"/>
        <v>240.5</v>
      </c>
      <c r="X262" s="121">
        <f t="shared" si="27"/>
        <v>6</v>
      </c>
      <c r="Y262" s="122">
        <f t="shared" si="28"/>
        <v>1075.75</v>
      </c>
      <c r="Z262" s="138">
        <f t="shared" si="29"/>
        <v>1076</v>
      </c>
    </row>
    <row r="263" spans="1:26" x14ac:dyDescent="0.25">
      <c r="A263" s="30" t="s">
        <v>822</v>
      </c>
      <c r="B263" s="30" t="s">
        <v>79</v>
      </c>
      <c r="C263" s="30" t="s">
        <v>850</v>
      </c>
      <c r="D263" s="30">
        <v>37808427</v>
      </c>
      <c r="E263" s="119" t="s">
        <v>851</v>
      </c>
      <c r="F263" s="30">
        <v>891894</v>
      </c>
      <c r="G263" s="119" t="s">
        <v>754</v>
      </c>
      <c r="H263" s="119" t="s">
        <v>462</v>
      </c>
      <c r="I263" s="158" t="s">
        <v>899</v>
      </c>
      <c r="J263" s="42">
        <v>7</v>
      </c>
      <c r="K263" s="43">
        <v>0</v>
      </c>
      <c r="L263" s="43">
        <v>14</v>
      </c>
      <c r="M263" s="43">
        <v>0</v>
      </c>
      <c r="N263" s="43">
        <v>0</v>
      </c>
      <c r="O263" s="43">
        <v>4</v>
      </c>
      <c r="P263" s="44">
        <v>0</v>
      </c>
      <c r="Q263" s="42">
        <v>0</v>
      </c>
      <c r="R263" s="43">
        <v>52</v>
      </c>
      <c r="S263" s="44">
        <v>0</v>
      </c>
      <c r="T263" s="45">
        <f t="shared" si="24"/>
        <v>469</v>
      </c>
      <c r="U263" s="46">
        <v>119.6</v>
      </c>
      <c r="V263" s="46">
        <f t="shared" si="25"/>
        <v>0</v>
      </c>
      <c r="W263" s="46">
        <f t="shared" si="26"/>
        <v>158</v>
      </c>
      <c r="X263" s="121">
        <f t="shared" si="27"/>
        <v>0</v>
      </c>
      <c r="Y263" s="122">
        <f t="shared" si="28"/>
        <v>746.6</v>
      </c>
      <c r="Z263" s="138">
        <f t="shared" si="29"/>
        <v>747</v>
      </c>
    </row>
    <row r="264" spans="1:26" x14ac:dyDescent="0.25">
      <c r="A264" s="30" t="s">
        <v>822</v>
      </c>
      <c r="B264" s="30" t="s">
        <v>79</v>
      </c>
      <c r="C264" s="30" t="s">
        <v>850</v>
      </c>
      <c r="D264" s="30">
        <v>37808427</v>
      </c>
      <c r="E264" s="119" t="s">
        <v>851</v>
      </c>
      <c r="F264" s="30">
        <v>161551</v>
      </c>
      <c r="G264" s="119" t="s">
        <v>119</v>
      </c>
      <c r="H264" s="119" t="s">
        <v>462</v>
      </c>
      <c r="I264" s="158" t="s">
        <v>900</v>
      </c>
      <c r="J264" s="42">
        <v>2</v>
      </c>
      <c r="K264" s="43">
        <v>0</v>
      </c>
      <c r="L264" s="43">
        <v>2</v>
      </c>
      <c r="M264" s="43">
        <v>0</v>
      </c>
      <c r="N264" s="43">
        <v>0</v>
      </c>
      <c r="O264" s="43">
        <v>0</v>
      </c>
      <c r="P264" s="44">
        <v>0</v>
      </c>
      <c r="Q264" s="42">
        <v>0</v>
      </c>
      <c r="R264" s="43">
        <v>6</v>
      </c>
      <c r="S264" s="44">
        <v>0</v>
      </c>
      <c r="T264" s="45">
        <f t="shared" si="24"/>
        <v>67</v>
      </c>
      <c r="U264" s="46">
        <v>0</v>
      </c>
      <c r="V264" s="46">
        <f t="shared" si="25"/>
        <v>0</v>
      </c>
      <c r="W264" s="46">
        <f t="shared" si="26"/>
        <v>12</v>
      </c>
      <c r="X264" s="121">
        <f t="shared" si="27"/>
        <v>0</v>
      </c>
      <c r="Y264" s="122">
        <f t="shared" si="28"/>
        <v>79</v>
      </c>
      <c r="Z264" s="138">
        <f t="shared" si="29"/>
        <v>79</v>
      </c>
    </row>
    <row r="265" spans="1:26" x14ac:dyDescent="0.25">
      <c r="A265" s="30" t="s">
        <v>822</v>
      </c>
      <c r="B265" s="30" t="s">
        <v>79</v>
      </c>
      <c r="C265" s="30" t="s">
        <v>850</v>
      </c>
      <c r="D265" s="30">
        <v>37808427</v>
      </c>
      <c r="E265" s="119" t="s">
        <v>851</v>
      </c>
      <c r="F265" s="30">
        <v>162817</v>
      </c>
      <c r="G265" s="119" t="s">
        <v>141</v>
      </c>
      <c r="H265" s="119" t="s">
        <v>901</v>
      </c>
      <c r="I265" s="158" t="s">
        <v>902</v>
      </c>
      <c r="J265" s="42">
        <v>2</v>
      </c>
      <c r="K265" s="43">
        <v>0</v>
      </c>
      <c r="L265" s="43">
        <v>2</v>
      </c>
      <c r="M265" s="43">
        <v>0</v>
      </c>
      <c r="N265" s="43">
        <v>0</v>
      </c>
      <c r="O265" s="43">
        <v>0</v>
      </c>
      <c r="P265" s="44">
        <v>0</v>
      </c>
      <c r="Q265" s="42">
        <v>0</v>
      </c>
      <c r="R265" s="43">
        <v>2</v>
      </c>
      <c r="S265" s="44">
        <v>0</v>
      </c>
      <c r="T265" s="45">
        <f t="shared" si="24"/>
        <v>67</v>
      </c>
      <c r="U265" s="46">
        <v>0</v>
      </c>
      <c r="V265" s="46">
        <f t="shared" si="25"/>
        <v>0</v>
      </c>
      <c r="W265" s="46">
        <f t="shared" si="26"/>
        <v>4</v>
      </c>
      <c r="X265" s="121">
        <f t="shared" si="27"/>
        <v>0</v>
      </c>
      <c r="Y265" s="122">
        <f t="shared" si="28"/>
        <v>71</v>
      </c>
      <c r="Z265" s="138">
        <f t="shared" si="29"/>
        <v>71</v>
      </c>
    </row>
    <row r="266" spans="1:26" x14ac:dyDescent="0.25">
      <c r="A266" s="30" t="s">
        <v>822</v>
      </c>
      <c r="B266" s="30" t="s">
        <v>79</v>
      </c>
      <c r="C266" s="30" t="s">
        <v>850</v>
      </c>
      <c r="D266" s="30">
        <v>37808427</v>
      </c>
      <c r="E266" s="119" t="s">
        <v>851</v>
      </c>
      <c r="F266" s="30">
        <v>17050448</v>
      </c>
      <c r="G266" s="119" t="s">
        <v>52</v>
      </c>
      <c r="H266" s="119" t="s">
        <v>903</v>
      </c>
      <c r="I266" s="158" t="s">
        <v>904</v>
      </c>
      <c r="J266" s="42">
        <v>7</v>
      </c>
      <c r="K266" s="43">
        <v>0</v>
      </c>
      <c r="L266" s="43">
        <v>10</v>
      </c>
      <c r="M266" s="43">
        <v>0</v>
      </c>
      <c r="N266" s="43">
        <v>0</v>
      </c>
      <c r="O266" s="43">
        <v>3</v>
      </c>
      <c r="P266" s="44">
        <v>0</v>
      </c>
      <c r="Q266" s="42">
        <v>0</v>
      </c>
      <c r="R266" s="43">
        <v>51</v>
      </c>
      <c r="S266" s="44">
        <v>2</v>
      </c>
      <c r="T266" s="45">
        <f t="shared" si="24"/>
        <v>335</v>
      </c>
      <c r="U266" s="46">
        <v>33.9</v>
      </c>
      <c r="V266" s="46">
        <f t="shared" si="25"/>
        <v>0</v>
      </c>
      <c r="W266" s="46">
        <f t="shared" si="26"/>
        <v>142.5</v>
      </c>
      <c r="X266" s="121">
        <f t="shared" si="27"/>
        <v>3</v>
      </c>
      <c r="Y266" s="122">
        <f t="shared" si="28"/>
        <v>514.4</v>
      </c>
      <c r="Z266" s="138">
        <f t="shared" si="29"/>
        <v>514</v>
      </c>
    </row>
    <row r="267" spans="1:26" x14ac:dyDescent="0.25">
      <c r="A267" s="30" t="s">
        <v>822</v>
      </c>
      <c r="B267" s="30" t="s">
        <v>79</v>
      </c>
      <c r="C267" s="30" t="s">
        <v>850</v>
      </c>
      <c r="D267" s="30">
        <v>37808427</v>
      </c>
      <c r="E267" s="119" t="s">
        <v>851</v>
      </c>
      <c r="F267" s="30">
        <v>517801</v>
      </c>
      <c r="G267" s="119" t="s">
        <v>907</v>
      </c>
      <c r="H267" s="119" t="s">
        <v>905</v>
      </c>
      <c r="I267" s="158" t="s">
        <v>908</v>
      </c>
      <c r="J267" s="42">
        <v>5</v>
      </c>
      <c r="K267" s="43">
        <v>1</v>
      </c>
      <c r="L267" s="43">
        <v>5</v>
      </c>
      <c r="M267" s="43">
        <v>2</v>
      </c>
      <c r="N267" s="43">
        <v>0</v>
      </c>
      <c r="O267" s="43">
        <v>0</v>
      </c>
      <c r="P267" s="44">
        <v>0</v>
      </c>
      <c r="Q267" s="42">
        <v>1</v>
      </c>
      <c r="R267" s="43">
        <v>12</v>
      </c>
      <c r="S267" s="44">
        <v>2</v>
      </c>
      <c r="T267" s="45">
        <f t="shared" si="24"/>
        <v>167.5</v>
      </c>
      <c r="U267" s="46">
        <v>13.75</v>
      </c>
      <c r="V267" s="46">
        <f t="shared" si="25"/>
        <v>1.5</v>
      </c>
      <c r="W267" s="46">
        <f t="shared" si="26"/>
        <v>24</v>
      </c>
      <c r="X267" s="121">
        <f t="shared" si="27"/>
        <v>3</v>
      </c>
      <c r="Y267" s="122">
        <f t="shared" si="28"/>
        <v>209.75</v>
      </c>
      <c r="Z267" s="138">
        <f t="shared" si="29"/>
        <v>210</v>
      </c>
    </row>
    <row r="268" spans="1:26" x14ac:dyDescent="0.25">
      <c r="A268" s="30" t="s">
        <v>822</v>
      </c>
      <c r="B268" s="30" t="s">
        <v>79</v>
      </c>
      <c r="C268" s="30" t="s">
        <v>850</v>
      </c>
      <c r="D268" s="30">
        <v>37808427</v>
      </c>
      <c r="E268" s="119" t="s">
        <v>851</v>
      </c>
      <c r="F268" s="30">
        <v>160903</v>
      </c>
      <c r="G268" s="119" t="s">
        <v>49</v>
      </c>
      <c r="H268" s="119" t="s">
        <v>224</v>
      </c>
      <c r="I268" s="158" t="s">
        <v>914</v>
      </c>
      <c r="J268" s="42">
        <v>1</v>
      </c>
      <c r="K268" s="43">
        <v>0</v>
      </c>
      <c r="L268" s="43">
        <v>1</v>
      </c>
      <c r="M268" s="43">
        <v>0</v>
      </c>
      <c r="N268" s="43">
        <v>0</v>
      </c>
      <c r="O268" s="43">
        <v>1</v>
      </c>
      <c r="P268" s="44">
        <v>0</v>
      </c>
      <c r="Q268" s="42">
        <v>0</v>
      </c>
      <c r="R268" s="43">
        <v>8</v>
      </c>
      <c r="S268" s="44">
        <v>0</v>
      </c>
      <c r="T268" s="45">
        <f t="shared" si="24"/>
        <v>33.5</v>
      </c>
      <c r="U268" s="46">
        <v>0</v>
      </c>
      <c r="V268" s="46">
        <f t="shared" si="25"/>
        <v>0</v>
      </c>
      <c r="W268" s="46">
        <f t="shared" si="26"/>
        <v>29.5</v>
      </c>
      <c r="X268" s="121">
        <f t="shared" si="27"/>
        <v>0</v>
      </c>
      <c r="Y268" s="122">
        <f t="shared" si="28"/>
        <v>63</v>
      </c>
      <c r="Z268" s="138">
        <f t="shared" si="29"/>
        <v>63</v>
      </c>
    </row>
    <row r="269" spans="1:26" x14ac:dyDescent="0.25">
      <c r="A269" s="30" t="s">
        <v>822</v>
      </c>
      <c r="B269" s="30" t="s">
        <v>79</v>
      </c>
      <c r="C269" s="30" t="s">
        <v>850</v>
      </c>
      <c r="D269" s="30">
        <v>37808427</v>
      </c>
      <c r="E269" s="119" t="s">
        <v>851</v>
      </c>
      <c r="F269" s="30">
        <v>31914551</v>
      </c>
      <c r="G269" s="119" t="s">
        <v>49</v>
      </c>
      <c r="H269" s="119" t="s">
        <v>224</v>
      </c>
      <c r="I269" s="158" t="s">
        <v>915</v>
      </c>
      <c r="J269" s="42">
        <v>4</v>
      </c>
      <c r="K269" s="43">
        <v>0</v>
      </c>
      <c r="L269" s="43">
        <v>5</v>
      </c>
      <c r="M269" s="43">
        <v>0</v>
      </c>
      <c r="N269" s="43">
        <v>0</v>
      </c>
      <c r="O269" s="43">
        <v>1</v>
      </c>
      <c r="P269" s="44">
        <v>1</v>
      </c>
      <c r="Q269" s="42">
        <v>0</v>
      </c>
      <c r="R269" s="43">
        <v>21</v>
      </c>
      <c r="S269" s="44">
        <v>19</v>
      </c>
      <c r="T269" s="45">
        <f t="shared" si="24"/>
        <v>167.5</v>
      </c>
      <c r="U269" s="46">
        <v>3.7</v>
      </c>
      <c r="V269" s="46">
        <f t="shared" si="25"/>
        <v>0</v>
      </c>
      <c r="W269" s="46">
        <f t="shared" si="26"/>
        <v>55.5</v>
      </c>
      <c r="X269" s="121">
        <f t="shared" si="27"/>
        <v>55.5</v>
      </c>
      <c r="Y269" s="122">
        <f t="shared" si="28"/>
        <v>282.2</v>
      </c>
      <c r="Z269" s="138">
        <f t="shared" si="29"/>
        <v>282</v>
      </c>
    </row>
    <row r="270" spans="1:26" x14ac:dyDescent="0.25">
      <c r="A270" s="30" t="s">
        <v>822</v>
      </c>
      <c r="B270" s="30" t="s">
        <v>79</v>
      </c>
      <c r="C270" s="30" t="s">
        <v>850</v>
      </c>
      <c r="D270" s="30">
        <v>37808427</v>
      </c>
      <c r="E270" s="119" t="s">
        <v>851</v>
      </c>
      <c r="F270" s="30">
        <v>158623</v>
      </c>
      <c r="G270" s="119" t="s">
        <v>121</v>
      </c>
      <c r="H270" s="119" t="s">
        <v>224</v>
      </c>
      <c r="I270" s="158" t="s">
        <v>916</v>
      </c>
      <c r="J270" s="42">
        <v>2</v>
      </c>
      <c r="K270" s="43">
        <v>0</v>
      </c>
      <c r="L270" s="43">
        <v>2</v>
      </c>
      <c r="M270" s="43">
        <v>0</v>
      </c>
      <c r="N270" s="43">
        <v>0</v>
      </c>
      <c r="O270" s="43">
        <v>0</v>
      </c>
      <c r="P270" s="44">
        <v>0</v>
      </c>
      <c r="Q270" s="42">
        <v>0</v>
      </c>
      <c r="R270" s="43">
        <v>11</v>
      </c>
      <c r="S270" s="44">
        <v>0</v>
      </c>
      <c r="T270" s="45">
        <f t="shared" si="24"/>
        <v>67</v>
      </c>
      <c r="U270" s="46">
        <v>0</v>
      </c>
      <c r="V270" s="46">
        <f t="shared" si="25"/>
        <v>0</v>
      </c>
      <c r="W270" s="46">
        <f t="shared" si="26"/>
        <v>22</v>
      </c>
      <c r="X270" s="121">
        <f t="shared" si="27"/>
        <v>0</v>
      </c>
      <c r="Y270" s="122">
        <f t="shared" si="28"/>
        <v>89</v>
      </c>
      <c r="Z270" s="138">
        <f t="shared" si="29"/>
        <v>89</v>
      </c>
    </row>
    <row r="271" spans="1:26" x14ac:dyDescent="0.25">
      <c r="A271" s="127" t="s">
        <v>822</v>
      </c>
      <c r="B271" s="127" t="s">
        <v>79</v>
      </c>
      <c r="C271" s="127" t="s">
        <v>850</v>
      </c>
      <c r="D271" s="127">
        <v>37808427</v>
      </c>
      <c r="E271" s="119" t="s">
        <v>851</v>
      </c>
      <c r="F271" s="127">
        <v>162752</v>
      </c>
      <c r="G271" s="119" t="s">
        <v>86</v>
      </c>
      <c r="H271" s="119" t="s">
        <v>224</v>
      </c>
      <c r="I271" s="158" t="s">
        <v>917</v>
      </c>
      <c r="J271" s="42">
        <v>2</v>
      </c>
      <c r="K271" s="43">
        <v>0</v>
      </c>
      <c r="L271" s="43">
        <v>2</v>
      </c>
      <c r="M271" s="43">
        <v>0</v>
      </c>
      <c r="N271" s="43">
        <v>0</v>
      </c>
      <c r="O271" s="43">
        <v>0</v>
      </c>
      <c r="P271" s="44">
        <v>0</v>
      </c>
      <c r="Q271" s="42">
        <v>0</v>
      </c>
      <c r="R271" s="43">
        <v>15</v>
      </c>
      <c r="S271" s="44">
        <v>0</v>
      </c>
      <c r="T271" s="45">
        <f t="shared" si="24"/>
        <v>67</v>
      </c>
      <c r="U271" s="46">
        <v>0</v>
      </c>
      <c r="V271" s="46">
        <f t="shared" si="25"/>
        <v>0</v>
      </c>
      <c r="W271" s="46">
        <f t="shared" si="26"/>
        <v>30</v>
      </c>
      <c r="X271" s="121">
        <f t="shared" si="27"/>
        <v>0</v>
      </c>
      <c r="Y271" s="122">
        <f t="shared" si="28"/>
        <v>97</v>
      </c>
      <c r="Z271" s="138">
        <f t="shared" si="29"/>
        <v>97</v>
      </c>
    </row>
    <row r="272" spans="1:26" x14ac:dyDescent="0.25">
      <c r="A272" s="127" t="s">
        <v>822</v>
      </c>
      <c r="B272" s="127" t="s">
        <v>79</v>
      </c>
      <c r="C272" s="127" t="s">
        <v>850</v>
      </c>
      <c r="D272" s="127">
        <v>37808427</v>
      </c>
      <c r="E272" s="119" t="s">
        <v>851</v>
      </c>
      <c r="F272" s="127">
        <v>162124</v>
      </c>
      <c r="G272" s="119" t="s">
        <v>100</v>
      </c>
      <c r="H272" s="119" t="s">
        <v>224</v>
      </c>
      <c r="I272" s="158" t="s">
        <v>918</v>
      </c>
      <c r="J272" s="42">
        <v>4</v>
      </c>
      <c r="K272" s="43">
        <v>0</v>
      </c>
      <c r="L272" s="43">
        <v>6</v>
      </c>
      <c r="M272" s="43">
        <v>0</v>
      </c>
      <c r="N272" s="43">
        <v>0</v>
      </c>
      <c r="O272" s="43">
        <v>1</v>
      </c>
      <c r="P272" s="44">
        <v>0</v>
      </c>
      <c r="Q272" s="42">
        <v>1</v>
      </c>
      <c r="R272" s="43">
        <v>37</v>
      </c>
      <c r="S272" s="44">
        <v>0</v>
      </c>
      <c r="T272" s="45">
        <f t="shared" si="24"/>
        <v>201</v>
      </c>
      <c r="U272" s="46">
        <v>0</v>
      </c>
      <c r="V272" s="46">
        <f t="shared" si="25"/>
        <v>1.5</v>
      </c>
      <c r="W272" s="46">
        <f t="shared" si="26"/>
        <v>87.5</v>
      </c>
      <c r="X272" s="121">
        <f t="shared" si="27"/>
        <v>0</v>
      </c>
      <c r="Y272" s="122">
        <f t="shared" si="28"/>
        <v>290</v>
      </c>
      <c r="Z272" s="138">
        <f t="shared" si="29"/>
        <v>290</v>
      </c>
    </row>
    <row r="273" spans="1:26" x14ac:dyDescent="0.25">
      <c r="A273" s="159" t="s">
        <v>822</v>
      </c>
      <c r="B273" s="159" t="s">
        <v>79</v>
      </c>
      <c r="C273" s="159" t="s">
        <v>850</v>
      </c>
      <c r="D273" s="159">
        <v>37808427</v>
      </c>
      <c r="E273" s="160" t="s">
        <v>851</v>
      </c>
      <c r="F273" s="159">
        <v>55494099</v>
      </c>
      <c r="G273" s="160" t="s">
        <v>1666</v>
      </c>
      <c r="H273" s="160" t="s">
        <v>224</v>
      </c>
      <c r="I273" s="161" t="s">
        <v>1667</v>
      </c>
      <c r="J273" s="162">
        <v>2</v>
      </c>
      <c r="K273" s="163">
        <v>0</v>
      </c>
      <c r="L273" s="163">
        <v>2</v>
      </c>
      <c r="M273" s="163">
        <v>0</v>
      </c>
      <c r="N273" s="163">
        <v>0</v>
      </c>
      <c r="O273" s="163">
        <v>0</v>
      </c>
      <c r="P273" s="164">
        <v>0</v>
      </c>
      <c r="Q273" s="162">
        <v>0</v>
      </c>
      <c r="R273" s="163">
        <v>2</v>
      </c>
      <c r="S273" s="164">
        <v>0</v>
      </c>
      <c r="T273" s="165">
        <f t="shared" si="24"/>
        <v>67</v>
      </c>
      <c r="U273" s="166">
        <v>0</v>
      </c>
      <c r="V273" s="166">
        <f t="shared" si="25"/>
        <v>0</v>
      </c>
      <c r="W273" s="166">
        <f t="shared" si="26"/>
        <v>4</v>
      </c>
      <c r="X273" s="167">
        <f t="shared" si="27"/>
        <v>0</v>
      </c>
      <c r="Y273" s="168">
        <f t="shared" si="28"/>
        <v>71</v>
      </c>
      <c r="Z273" s="169">
        <f t="shared" si="29"/>
        <v>71</v>
      </c>
    </row>
    <row r="274" spans="1:26" x14ac:dyDescent="0.25">
      <c r="A274" s="30" t="s">
        <v>822</v>
      </c>
      <c r="B274" s="30" t="s">
        <v>79</v>
      </c>
      <c r="C274" s="30" t="s">
        <v>850</v>
      </c>
      <c r="D274" s="30">
        <v>37808427</v>
      </c>
      <c r="E274" s="119" t="s">
        <v>851</v>
      </c>
      <c r="F274" s="30">
        <v>158615</v>
      </c>
      <c r="G274" s="119" t="s">
        <v>52</v>
      </c>
      <c r="H274" s="119" t="s">
        <v>224</v>
      </c>
      <c r="I274" s="158" t="s">
        <v>920</v>
      </c>
      <c r="J274" s="42">
        <v>2</v>
      </c>
      <c r="K274" s="43">
        <v>0</v>
      </c>
      <c r="L274" s="43">
        <v>3</v>
      </c>
      <c r="M274" s="43">
        <v>0</v>
      </c>
      <c r="N274" s="43">
        <v>0</v>
      </c>
      <c r="O274" s="43">
        <v>0</v>
      </c>
      <c r="P274" s="44">
        <v>0</v>
      </c>
      <c r="Q274" s="42">
        <v>0</v>
      </c>
      <c r="R274" s="43">
        <v>25</v>
      </c>
      <c r="S274" s="44">
        <v>16</v>
      </c>
      <c r="T274" s="45">
        <f t="shared" si="24"/>
        <v>100.5</v>
      </c>
      <c r="U274" s="46">
        <v>29</v>
      </c>
      <c r="V274" s="46">
        <f t="shared" si="25"/>
        <v>0</v>
      </c>
      <c r="W274" s="46">
        <f t="shared" si="26"/>
        <v>50</v>
      </c>
      <c r="X274" s="121">
        <f t="shared" si="27"/>
        <v>24</v>
      </c>
      <c r="Y274" s="122">
        <f t="shared" si="28"/>
        <v>203.5</v>
      </c>
      <c r="Z274" s="138">
        <f t="shared" si="29"/>
        <v>204</v>
      </c>
    </row>
    <row r="275" spans="1:26" x14ac:dyDescent="0.25">
      <c r="A275" s="30" t="s">
        <v>822</v>
      </c>
      <c r="B275" s="30" t="s">
        <v>79</v>
      </c>
      <c r="C275" s="30" t="s">
        <v>850</v>
      </c>
      <c r="D275" s="30">
        <v>37808427</v>
      </c>
      <c r="E275" s="119" t="s">
        <v>851</v>
      </c>
      <c r="F275" s="30">
        <v>651117</v>
      </c>
      <c r="G275" s="119" t="s">
        <v>104</v>
      </c>
      <c r="H275" s="119" t="s">
        <v>224</v>
      </c>
      <c r="I275" s="158" t="s">
        <v>921</v>
      </c>
      <c r="J275" s="42">
        <v>7</v>
      </c>
      <c r="K275" s="43">
        <v>0</v>
      </c>
      <c r="L275" s="43">
        <v>8</v>
      </c>
      <c r="M275" s="43">
        <v>0</v>
      </c>
      <c r="N275" s="43">
        <v>0</v>
      </c>
      <c r="O275" s="43">
        <v>0</v>
      </c>
      <c r="P275" s="44">
        <v>0</v>
      </c>
      <c r="Q275" s="42">
        <v>0</v>
      </c>
      <c r="R275" s="43">
        <v>31</v>
      </c>
      <c r="S275" s="44">
        <v>16</v>
      </c>
      <c r="T275" s="45">
        <f t="shared" si="24"/>
        <v>268</v>
      </c>
      <c r="U275" s="46">
        <v>43.8</v>
      </c>
      <c r="V275" s="46">
        <f t="shared" si="25"/>
        <v>0</v>
      </c>
      <c r="W275" s="46">
        <f t="shared" si="26"/>
        <v>62</v>
      </c>
      <c r="X275" s="121">
        <f t="shared" si="27"/>
        <v>24</v>
      </c>
      <c r="Y275" s="122">
        <f t="shared" si="28"/>
        <v>397.8</v>
      </c>
      <c r="Z275" s="138">
        <f t="shared" si="29"/>
        <v>398</v>
      </c>
    </row>
    <row r="276" spans="1:26" x14ac:dyDescent="0.25">
      <c r="A276" s="30" t="s">
        <v>822</v>
      </c>
      <c r="B276" s="30" t="s">
        <v>79</v>
      </c>
      <c r="C276" s="30" t="s">
        <v>850</v>
      </c>
      <c r="D276" s="30">
        <v>37808427</v>
      </c>
      <c r="E276" s="119" t="s">
        <v>851</v>
      </c>
      <c r="F276" s="30">
        <v>17055377</v>
      </c>
      <c r="G276" s="119" t="s">
        <v>138</v>
      </c>
      <c r="H276" s="119" t="s">
        <v>224</v>
      </c>
      <c r="I276" s="158" t="s">
        <v>922</v>
      </c>
      <c r="J276" s="42">
        <v>1</v>
      </c>
      <c r="K276" s="43">
        <v>0</v>
      </c>
      <c r="L276" s="43">
        <v>1</v>
      </c>
      <c r="M276" s="43">
        <v>0</v>
      </c>
      <c r="N276" s="43">
        <v>0</v>
      </c>
      <c r="O276" s="43">
        <v>0</v>
      </c>
      <c r="P276" s="44">
        <v>0</v>
      </c>
      <c r="Q276" s="42">
        <v>0</v>
      </c>
      <c r="R276" s="43">
        <v>3</v>
      </c>
      <c r="S276" s="44">
        <v>0</v>
      </c>
      <c r="T276" s="45">
        <f t="shared" si="24"/>
        <v>33.5</v>
      </c>
      <c r="U276" s="46">
        <v>7.3</v>
      </c>
      <c r="V276" s="46">
        <f t="shared" si="25"/>
        <v>0</v>
      </c>
      <c r="W276" s="46">
        <f t="shared" si="26"/>
        <v>6</v>
      </c>
      <c r="X276" s="121">
        <f t="shared" si="27"/>
        <v>0</v>
      </c>
      <c r="Y276" s="122">
        <f t="shared" si="28"/>
        <v>46.8</v>
      </c>
      <c r="Z276" s="138">
        <f t="shared" si="29"/>
        <v>47</v>
      </c>
    </row>
    <row r="277" spans="1:26" ht="25.5" x14ac:dyDescent="0.25">
      <c r="A277" s="30" t="s">
        <v>822</v>
      </c>
      <c r="B277" s="30" t="s">
        <v>79</v>
      </c>
      <c r="C277" s="30" t="s">
        <v>850</v>
      </c>
      <c r="D277" s="30">
        <v>37808427</v>
      </c>
      <c r="E277" s="119" t="s">
        <v>851</v>
      </c>
      <c r="F277" s="30">
        <v>162558</v>
      </c>
      <c r="G277" s="119" t="s">
        <v>446</v>
      </c>
      <c r="H277" s="119" t="s">
        <v>224</v>
      </c>
      <c r="I277" s="158" t="s">
        <v>924</v>
      </c>
      <c r="J277" s="42">
        <v>8</v>
      </c>
      <c r="K277" s="43">
        <v>0</v>
      </c>
      <c r="L277" s="43">
        <v>9</v>
      </c>
      <c r="M277" s="43">
        <v>0</v>
      </c>
      <c r="N277" s="43">
        <v>0</v>
      </c>
      <c r="O277" s="43">
        <v>0</v>
      </c>
      <c r="P277" s="44">
        <v>0</v>
      </c>
      <c r="Q277" s="42">
        <v>0</v>
      </c>
      <c r="R277" s="43">
        <v>23</v>
      </c>
      <c r="S277" s="44">
        <v>26</v>
      </c>
      <c r="T277" s="45">
        <f t="shared" si="24"/>
        <v>301.5</v>
      </c>
      <c r="U277" s="46">
        <v>29.2</v>
      </c>
      <c r="V277" s="46">
        <f t="shared" si="25"/>
        <v>0</v>
      </c>
      <c r="W277" s="46">
        <f t="shared" si="26"/>
        <v>46</v>
      </c>
      <c r="X277" s="121">
        <f t="shared" si="27"/>
        <v>39</v>
      </c>
      <c r="Y277" s="122">
        <f t="shared" si="28"/>
        <v>415.7</v>
      </c>
      <c r="Z277" s="138">
        <f t="shared" si="29"/>
        <v>416</v>
      </c>
    </row>
    <row r="278" spans="1:26" x14ac:dyDescent="0.25">
      <c r="A278" s="30" t="s">
        <v>822</v>
      </c>
      <c r="B278" s="30" t="s">
        <v>79</v>
      </c>
      <c r="C278" s="30" t="s">
        <v>850</v>
      </c>
      <c r="D278" s="30">
        <v>37808427</v>
      </c>
      <c r="E278" s="119" t="s">
        <v>851</v>
      </c>
      <c r="F278" s="30">
        <v>893226</v>
      </c>
      <c r="G278" s="119" t="s">
        <v>701</v>
      </c>
      <c r="H278" s="119" t="s">
        <v>224</v>
      </c>
      <c r="I278" s="158" t="s">
        <v>925</v>
      </c>
      <c r="J278" s="42">
        <v>3</v>
      </c>
      <c r="K278" s="43">
        <v>0</v>
      </c>
      <c r="L278" s="43">
        <v>4</v>
      </c>
      <c r="M278" s="43">
        <v>0</v>
      </c>
      <c r="N278" s="43">
        <v>0</v>
      </c>
      <c r="O278" s="43">
        <v>0</v>
      </c>
      <c r="P278" s="44">
        <v>0</v>
      </c>
      <c r="Q278" s="42">
        <v>0</v>
      </c>
      <c r="R278" s="43">
        <v>4</v>
      </c>
      <c r="S278" s="44">
        <v>11</v>
      </c>
      <c r="T278" s="45">
        <f t="shared" si="24"/>
        <v>134</v>
      </c>
      <c r="U278" s="46">
        <v>21.9</v>
      </c>
      <c r="V278" s="46">
        <f t="shared" si="25"/>
        <v>0</v>
      </c>
      <c r="W278" s="46">
        <f t="shared" si="26"/>
        <v>8</v>
      </c>
      <c r="X278" s="121">
        <f t="shared" si="27"/>
        <v>16.5</v>
      </c>
      <c r="Y278" s="122">
        <f t="shared" si="28"/>
        <v>180.4</v>
      </c>
      <c r="Z278" s="138">
        <f t="shared" si="29"/>
        <v>180</v>
      </c>
    </row>
    <row r="279" spans="1:26" x14ac:dyDescent="0.25">
      <c r="A279" s="127" t="s">
        <v>822</v>
      </c>
      <c r="B279" s="127" t="s">
        <v>79</v>
      </c>
      <c r="C279" s="127" t="s">
        <v>850</v>
      </c>
      <c r="D279" s="127">
        <v>37808427</v>
      </c>
      <c r="E279" s="119" t="s">
        <v>851</v>
      </c>
      <c r="F279" s="127">
        <v>161691</v>
      </c>
      <c r="G279" s="119" t="s">
        <v>706</v>
      </c>
      <c r="H279" s="119" t="s">
        <v>224</v>
      </c>
      <c r="I279" s="158" t="s">
        <v>926</v>
      </c>
      <c r="J279" s="42">
        <v>5</v>
      </c>
      <c r="K279" s="43">
        <v>0</v>
      </c>
      <c r="L279" s="43">
        <v>6</v>
      </c>
      <c r="M279" s="43">
        <v>0</v>
      </c>
      <c r="N279" s="43">
        <v>0</v>
      </c>
      <c r="O279" s="43">
        <v>0</v>
      </c>
      <c r="P279" s="44">
        <v>0</v>
      </c>
      <c r="Q279" s="42">
        <v>0</v>
      </c>
      <c r="R279" s="43">
        <v>3</v>
      </c>
      <c r="S279" s="44">
        <v>4</v>
      </c>
      <c r="T279" s="45">
        <f t="shared" si="24"/>
        <v>201</v>
      </c>
      <c r="U279" s="46">
        <v>0</v>
      </c>
      <c r="V279" s="46">
        <f t="shared" si="25"/>
        <v>0</v>
      </c>
      <c r="W279" s="46">
        <f t="shared" si="26"/>
        <v>6</v>
      </c>
      <c r="X279" s="121">
        <f t="shared" si="27"/>
        <v>6</v>
      </c>
      <c r="Y279" s="122">
        <f t="shared" si="28"/>
        <v>213</v>
      </c>
      <c r="Z279" s="138">
        <f t="shared" si="29"/>
        <v>213</v>
      </c>
    </row>
    <row r="280" spans="1:26" x14ac:dyDescent="0.25">
      <c r="A280" s="159" t="s">
        <v>822</v>
      </c>
      <c r="B280" s="30" t="s">
        <v>79</v>
      </c>
      <c r="C280" s="30" t="s">
        <v>850</v>
      </c>
      <c r="D280" s="30">
        <v>37808427</v>
      </c>
      <c r="E280" s="119" t="s">
        <v>851</v>
      </c>
      <c r="F280" s="30">
        <v>607061</v>
      </c>
      <c r="G280" s="119" t="s">
        <v>117</v>
      </c>
      <c r="H280" s="119" t="s">
        <v>224</v>
      </c>
      <c r="I280" s="158" t="s">
        <v>927</v>
      </c>
      <c r="J280" s="42">
        <v>2</v>
      </c>
      <c r="K280" s="43">
        <v>0</v>
      </c>
      <c r="L280" s="43">
        <v>2</v>
      </c>
      <c r="M280" s="43">
        <v>0</v>
      </c>
      <c r="N280" s="43">
        <v>0</v>
      </c>
      <c r="O280" s="43">
        <v>0</v>
      </c>
      <c r="P280" s="44">
        <v>0</v>
      </c>
      <c r="Q280" s="42">
        <v>0</v>
      </c>
      <c r="R280" s="43">
        <v>7</v>
      </c>
      <c r="S280" s="44">
        <v>0</v>
      </c>
      <c r="T280" s="45">
        <f t="shared" si="24"/>
        <v>67</v>
      </c>
      <c r="U280" s="46">
        <v>8.6999999999999993</v>
      </c>
      <c r="V280" s="46">
        <f t="shared" si="25"/>
        <v>0</v>
      </c>
      <c r="W280" s="46">
        <f t="shared" si="26"/>
        <v>14</v>
      </c>
      <c r="X280" s="121">
        <f t="shared" si="27"/>
        <v>0</v>
      </c>
      <c r="Y280" s="122">
        <f t="shared" si="28"/>
        <v>89.7</v>
      </c>
      <c r="Z280" s="138">
        <f t="shared" si="29"/>
        <v>90</v>
      </c>
    </row>
    <row r="281" spans="1:26" x14ac:dyDescent="0.25">
      <c r="A281" s="170" t="s">
        <v>822</v>
      </c>
      <c r="B281" s="51" t="s">
        <v>79</v>
      </c>
      <c r="C281" s="51" t="s">
        <v>850</v>
      </c>
      <c r="D281" s="51">
        <v>37808427</v>
      </c>
      <c r="E281" s="171" t="s">
        <v>851</v>
      </c>
      <c r="F281" s="51">
        <v>160555</v>
      </c>
      <c r="G281" s="171" t="s">
        <v>49</v>
      </c>
      <c r="H281" s="171" t="s">
        <v>825</v>
      </c>
      <c r="I281" s="172" t="s">
        <v>852</v>
      </c>
      <c r="J281" s="42">
        <v>9</v>
      </c>
      <c r="K281" s="43">
        <v>0</v>
      </c>
      <c r="L281" s="43">
        <v>17</v>
      </c>
      <c r="M281" s="43">
        <v>0</v>
      </c>
      <c r="N281" s="43">
        <v>2</v>
      </c>
      <c r="O281" s="43">
        <v>8</v>
      </c>
      <c r="P281" s="52">
        <v>0</v>
      </c>
      <c r="Q281" s="42">
        <v>34</v>
      </c>
      <c r="R281" s="43">
        <v>105</v>
      </c>
      <c r="S281" s="44">
        <v>0</v>
      </c>
      <c r="T281" s="45">
        <f t="shared" si="24"/>
        <v>569.5</v>
      </c>
      <c r="U281" s="46">
        <v>58.04</v>
      </c>
      <c r="V281" s="47">
        <f t="shared" si="25"/>
        <v>78</v>
      </c>
      <c r="W281" s="47">
        <f t="shared" si="26"/>
        <v>318</v>
      </c>
      <c r="X281" s="48">
        <f t="shared" si="27"/>
        <v>0</v>
      </c>
      <c r="Y281" s="49">
        <f t="shared" si="28"/>
        <v>1023.54</v>
      </c>
      <c r="Z281" s="50">
        <f t="shared" si="29"/>
        <v>1024</v>
      </c>
    </row>
    <row r="282" spans="1:26" x14ac:dyDescent="0.25">
      <c r="A282" s="173" t="s">
        <v>822</v>
      </c>
      <c r="B282" s="29" t="s">
        <v>79</v>
      </c>
      <c r="C282" s="29" t="s">
        <v>850</v>
      </c>
      <c r="D282" s="29">
        <v>37808427</v>
      </c>
      <c r="E282" s="171" t="s">
        <v>851</v>
      </c>
      <c r="F282" s="29">
        <v>162043</v>
      </c>
      <c r="G282" s="171" t="s">
        <v>853</v>
      </c>
      <c r="H282" s="171" t="s">
        <v>828</v>
      </c>
      <c r="I282" s="172" t="s">
        <v>854</v>
      </c>
      <c r="J282" s="42">
        <v>11</v>
      </c>
      <c r="K282" s="43">
        <v>0</v>
      </c>
      <c r="L282" s="43">
        <v>51</v>
      </c>
      <c r="M282" s="43">
        <v>0</v>
      </c>
      <c r="N282" s="43">
        <v>0</v>
      </c>
      <c r="O282" s="43">
        <v>14</v>
      </c>
      <c r="P282" s="52">
        <v>3</v>
      </c>
      <c r="Q282" s="42">
        <v>0</v>
      </c>
      <c r="R282" s="43">
        <v>437</v>
      </c>
      <c r="S282" s="44">
        <v>202</v>
      </c>
      <c r="T282" s="45">
        <f t="shared" si="24"/>
        <v>1708.5</v>
      </c>
      <c r="U282" s="46">
        <v>187.6</v>
      </c>
      <c r="V282" s="47">
        <f t="shared" si="25"/>
        <v>0</v>
      </c>
      <c r="W282" s="47">
        <f t="shared" si="26"/>
        <v>1063</v>
      </c>
      <c r="X282" s="48">
        <f t="shared" si="27"/>
        <v>384</v>
      </c>
      <c r="Y282" s="49">
        <f t="shared" si="28"/>
        <v>3343.1</v>
      </c>
      <c r="Z282" s="50">
        <f t="shared" si="29"/>
        <v>3343</v>
      </c>
    </row>
    <row r="283" spans="1:26" x14ac:dyDescent="0.25">
      <c r="A283" s="173" t="s">
        <v>822</v>
      </c>
      <c r="B283" s="29" t="s">
        <v>79</v>
      </c>
      <c r="C283" s="29" t="s">
        <v>850</v>
      </c>
      <c r="D283" s="29">
        <v>37808427</v>
      </c>
      <c r="E283" s="171" t="s">
        <v>851</v>
      </c>
      <c r="F283" s="29">
        <v>695041</v>
      </c>
      <c r="G283" s="171" t="s">
        <v>402</v>
      </c>
      <c r="H283" s="171" t="s">
        <v>828</v>
      </c>
      <c r="I283" s="172" t="s">
        <v>855</v>
      </c>
      <c r="J283" s="42">
        <v>10</v>
      </c>
      <c r="K283" s="43">
        <v>0</v>
      </c>
      <c r="L283" s="43">
        <v>47</v>
      </c>
      <c r="M283" s="43">
        <v>0</v>
      </c>
      <c r="N283" s="43">
        <v>1</v>
      </c>
      <c r="O283" s="43">
        <v>14</v>
      </c>
      <c r="P283" s="52">
        <v>2</v>
      </c>
      <c r="Q283" s="42">
        <v>5</v>
      </c>
      <c r="R283" s="43">
        <v>384</v>
      </c>
      <c r="S283" s="44">
        <v>181</v>
      </c>
      <c r="T283" s="45">
        <f t="shared" si="24"/>
        <v>1574.5</v>
      </c>
      <c r="U283" s="46">
        <v>351.6</v>
      </c>
      <c r="V283" s="47">
        <f t="shared" si="25"/>
        <v>21</v>
      </c>
      <c r="W283" s="47">
        <f t="shared" si="26"/>
        <v>957</v>
      </c>
      <c r="X283" s="48">
        <f t="shared" si="27"/>
        <v>325.5</v>
      </c>
      <c r="Y283" s="49">
        <f t="shared" si="28"/>
        <v>3229.6</v>
      </c>
      <c r="Z283" s="50">
        <f t="shared" si="29"/>
        <v>3230</v>
      </c>
    </row>
    <row r="284" spans="1:26" x14ac:dyDescent="0.25">
      <c r="A284" s="173" t="s">
        <v>822</v>
      </c>
      <c r="B284" s="29" t="s">
        <v>79</v>
      </c>
      <c r="C284" s="29" t="s">
        <v>850</v>
      </c>
      <c r="D284" s="29">
        <v>37808427</v>
      </c>
      <c r="E284" s="171" t="s">
        <v>851</v>
      </c>
      <c r="F284" s="29">
        <v>891452</v>
      </c>
      <c r="G284" s="171" t="s">
        <v>154</v>
      </c>
      <c r="H284" s="171" t="s">
        <v>828</v>
      </c>
      <c r="I284" s="172" t="s">
        <v>856</v>
      </c>
      <c r="J284" s="42">
        <v>17</v>
      </c>
      <c r="K284" s="43">
        <v>0</v>
      </c>
      <c r="L284" s="43">
        <v>59</v>
      </c>
      <c r="M284" s="43">
        <v>0</v>
      </c>
      <c r="N284" s="43">
        <v>1</v>
      </c>
      <c r="O284" s="43">
        <v>24</v>
      </c>
      <c r="P284" s="52">
        <v>2</v>
      </c>
      <c r="Q284" s="42">
        <v>5</v>
      </c>
      <c r="R284" s="43">
        <v>368</v>
      </c>
      <c r="S284" s="44">
        <v>159</v>
      </c>
      <c r="T284" s="45">
        <f t="shared" si="24"/>
        <v>1976.5</v>
      </c>
      <c r="U284" s="46">
        <v>443.25</v>
      </c>
      <c r="V284" s="47">
        <f t="shared" si="25"/>
        <v>21</v>
      </c>
      <c r="W284" s="47">
        <f t="shared" si="26"/>
        <v>1060</v>
      </c>
      <c r="X284" s="48">
        <f t="shared" si="27"/>
        <v>292.5</v>
      </c>
      <c r="Y284" s="49">
        <f t="shared" si="28"/>
        <v>3793.25</v>
      </c>
      <c r="Z284" s="50">
        <f t="shared" si="29"/>
        <v>3793</v>
      </c>
    </row>
    <row r="285" spans="1:26" x14ac:dyDescent="0.25">
      <c r="A285" s="173" t="s">
        <v>822</v>
      </c>
      <c r="B285" s="29" t="s">
        <v>79</v>
      </c>
      <c r="C285" s="29" t="s">
        <v>850</v>
      </c>
      <c r="D285" s="29">
        <v>37808427</v>
      </c>
      <c r="E285" s="171" t="s">
        <v>851</v>
      </c>
      <c r="F285" s="29">
        <v>891835</v>
      </c>
      <c r="G285" s="171" t="s">
        <v>857</v>
      </c>
      <c r="H285" s="171" t="s">
        <v>858</v>
      </c>
      <c r="I285" s="172" t="s">
        <v>859</v>
      </c>
      <c r="J285" s="42">
        <v>12</v>
      </c>
      <c r="K285" s="43">
        <v>3</v>
      </c>
      <c r="L285" s="43">
        <v>43</v>
      </c>
      <c r="M285" s="43">
        <v>11</v>
      </c>
      <c r="N285" s="43">
        <v>8</v>
      </c>
      <c r="O285" s="43">
        <v>22</v>
      </c>
      <c r="P285" s="52">
        <v>2</v>
      </c>
      <c r="Q285" s="42">
        <v>78</v>
      </c>
      <c r="R285" s="43">
        <v>331</v>
      </c>
      <c r="S285" s="44">
        <v>136</v>
      </c>
      <c r="T285" s="45">
        <f t="shared" si="24"/>
        <v>1440.5</v>
      </c>
      <c r="U285" s="46">
        <v>477.3</v>
      </c>
      <c r="V285" s="47">
        <f t="shared" si="25"/>
        <v>225</v>
      </c>
      <c r="W285" s="47">
        <f t="shared" si="26"/>
        <v>959</v>
      </c>
      <c r="X285" s="48">
        <f t="shared" si="27"/>
        <v>258</v>
      </c>
      <c r="Y285" s="49">
        <f t="shared" si="28"/>
        <v>3359.8</v>
      </c>
      <c r="Z285" s="50">
        <f t="shared" si="29"/>
        <v>3360</v>
      </c>
    </row>
    <row r="286" spans="1:26" x14ac:dyDescent="0.25">
      <c r="A286" s="173" t="s">
        <v>822</v>
      </c>
      <c r="B286" s="29" t="s">
        <v>79</v>
      </c>
      <c r="C286" s="29" t="s">
        <v>850</v>
      </c>
      <c r="D286" s="29">
        <v>37808427</v>
      </c>
      <c r="E286" s="171" t="s">
        <v>851</v>
      </c>
      <c r="F286" s="29">
        <v>160849</v>
      </c>
      <c r="G286" s="171" t="s">
        <v>49</v>
      </c>
      <c r="H286" s="171" t="s">
        <v>860</v>
      </c>
      <c r="I286" s="172" t="s">
        <v>861</v>
      </c>
      <c r="J286" s="42">
        <v>5</v>
      </c>
      <c r="K286" s="43">
        <v>0</v>
      </c>
      <c r="L286" s="43">
        <v>17</v>
      </c>
      <c r="M286" s="43">
        <v>0</v>
      </c>
      <c r="N286" s="43">
        <v>0</v>
      </c>
      <c r="O286" s="43">
        <v>5</v>
      </c>
      <c r="P286" s="52">
        <v>0</v>
      </c>
      <c r="Q286" s="42">
        <v>0</v>
      </c>
      <c r="R286" s="43">
        <v>194</v>
      </c>
      <c r="S286" s="44">
        <v>0</v>
      </c>
      <c r="T286" s="45">
        <f t="shared" si="24"/>
        <v>569.5</v>
      </c>
      <c r="U286" s="46">
        <v>131.6</v>
      </c>
      <c r="V286" s="47">
        <f t="shared" si="25"/>
        <v>0</v>
      </c>
      <c r="W286" s="47">
        <f t="shared" si="26"/>
        <v>455.5</v>
      </c>
      <c r="X286" s="48">
        <f t="shared" si="27"/>
        <v>0</v>
      </c>
      <c r="Y286" s="49">
        <f t="shared" si="28"/>
        <v>1156.5999999999999</v>
      </c>
      <c r="Z286" s="50">
        <f t="shared" si="29"/>
        <v>1157</v>
      </c>
    </row>
    <row r="287" spans="1:26" x14ac:dyDescent="0.25">
      <c r="A287" s="173" t="s">
        <v>822</v>
      </c>
      <c r="B287" s="29" t="s">
        <v>79</v>
      </c>
      <c r="C287" s="29" t="s">
        <v>850</v>
      </c>
      <c r="D287" s="29">
        <v>37808427</v>
      </c>
      <c r="E287" s="171" t="s">
        <v>851</v>
      </c>
      <c r="F287" s="29">
        <v>160571</v>
      </c>
      <c r="G287" s="171" t="s">
        <v>862</v>
      </c>
      <c r="H287" s="171" t="s">
        <v>863</v>
      </c>
      <c r="I287" s="172" t="s">
        <v>864</v>
      </c>
      <c r="J287" s="42">
        <v>19</v>
      </c>
      <c r="K287" s="43">
        <v>0</v>
      </c>
      <c r="L287" s="43">
        <v>47</v>
      </c>
      <c r="M287" s="43">
        <v>0</v>
      </c>
      <c r="N287" s="43">
        <v>0</v>
      </c>
      <c r="O287" s="43">
        <v>22</v>
      </c>
      <c r="P287" s="52">
        <v>2</v>
      </c>
      <c r="Q287" s="42">
        <v>0</v>
      </c>
      <c r="R287" s="43">
        <v>496</v>
      </c>
      <c r="S287" s="44">
        <v>180</v>
      </c>
      <c r="T287" s="45">
        <f t="shared" si="24"/>
        <v>1574.5</v>
      </c>
      <c r="U287" s="46">
        <v>1011.93</v>
      </c>
      <c r="V287" s="47">
        <v>0</v>
      </c>
      <c r="W287" s="47">
        <f t="shared" si="26"/>
        <v>1289</v>
      </c>
      <c r="X287" s="48">
        <f t="shared" si="27"/>
        <v>324</v>
      </c>
      <c r="Y287" s="49">
        <f t="shared" si="28"/>
        <v>4199.43</v>
      </c>
      <c r="Z287" s="50">
        <f t="shared" si="29"/>
        <v>4199</v>
      </c>
    </row>
    <row r="288" spans="1:26" x14ac:dyDescent="0.25">
      <c r="A288" s="173" t="s">
        <v>822</v>
      </c>
      <c r="B288" s="29" t="s">
        <v>79</v>
      </c>
      <c r="C288" s="29" t="s">
        <v>850</v>
      </c>
      <c r="D288" s="29">
        <v>37808427</v>
      </c>
      <c r="E288" s="171" t="s">
        <v>851</v>
      </c>
      <c r="F288" s="29">
        <v>162051</v>
      </c>
      <c r="G288" s="171" t="s">
        <v>100</v>
      </c>
      <c r="H288" s="171" t="s">
        <v>863</v>
      </c>
      <c r="I288" s="172" t="s">
        <v>865</v>
      </c>
      <c r="J288" s="42">
        <v>7</v>
      </c>
      <c r="K288" s="43">
        <v>0</v>
      </c>
      <c r="L288" s="43">
        <v>32</v>
      </c>
      <c r="M288" s="43">
        <v>0</v>
      </c>
      <c r="N288" s="43">
        <v>1</v>
      </c>
      <c r="O288" s="43">
        <v>6</v>
      </c>
      <c r="P288" s="52">
        <v>2</v>
      </c>
      <c r="Q288" s="42">
        <v>6</v>
      </c>
      <c r="R288" s="43">
        <v>133</v>
      </c>
      <c r="S288" s="44">
        <v>100</v>
      </c>
      <c r="T288" s="45">
        <f t="shared" si="24"/>
        <v>1072</v>
      </c>
      <c r="U288" s="46">
        <v>0</v>
      </c>
      <c r="V288" s="47">
        <f t="shared" si="25"/>
        <v>22.5</v>
      </c>
      <c r="W288" s="47">
        <f t="shared" si="26"/>
        <v>347</v>
      </c>
      <c r="X288" s="48">
        <f t="shared" si="27"/>
        <v>204</v>
      </c>
      <c r="Y288" s="49">
        <f t="shared" si="28"/>
        <v>1645.5</v>
      </c>
      <c r="Z288" s="50">
        <f t="shared" si="29"/>
        <v>1646</v>
      </c>
    </row>
    <row r="289" spans="1:26" x14ac:dyDescent="0.25">
      <c r="A289" s="173" t="s">
        <v>822</v>
      </c>
      <c r="B289" s="29" t="s">
        <v>79</v>
      </c>
      <c r="C289" s="29" t="s">
        <v>850</v>
      </c>
      <c r="D289" s="29">
        <v>37808427</v>
      </c>
      <c r="E289" s="171" t="s">
        <v>851</v>
      </c>
      <c r="F289" s="29">
        <v>158518</v>
      </c>
      <c r="G289" s="171" t="s">
        <v>402</v>
      </c>
      <c r="H289" s="171" t="s">
        <v>863</v>
      </c>
      <c r="I289" s="172" t="s">
        <v>866</v>
      </c>
      <c r="J289" s="42">
        <v>11</v>
      </c>
      <c r="K289" s="43">
        <v>0</v>
      </c>
      <c r="L289" s="43">
        <v>53</v>
      </c>
      <c r="M289" s="43">
        <v>0</v>
      </c>
      <c r="N289" s="43">
        <v>0</v>
      </c>
      <c r="O289" s="43">
        <v>19</v>
      </c>
      <c r="P289" s="52">
        <v>1</v>
      </c>
      <c r="Q289" s="42">
        <v>0</v>
      </c>
      <c r="R289" s="43">
        <v>420</v>
      </c>
      <c r="S289" s="44">
        <v>74</v>
      </c>
      <c r="T289" s="45">
        <f t="shared" si="24"/>
        <v>1775.5</v>
      </c>
      <c r="U289" s="46">
        <v>123.6</v>
      </c>
      <c r="V289" s="47">
        <f t="shared" si="25"/>
        <v>0</v>
      </c>
      <c r="W289" s="47">
        <f t="shared" si="26"/>
        <v>1096.5</v>
      </c>
      <c r="X289" s="48">
        <f t="shared" si="27"/>
        <v>138</v>
      </c>
      <c r="Y289" s="49">
        <f t="shared" si="28"/>
        <v>3133.6</v>
      </c>
      <c r="Z289" s="50">
        <f t="shared" si="29"/>
        <v>3134</v>
      </c>
    </row>
    <row r="290" spans="1:26" x14ac:dyDescent="0.25">
      <c r="A290" s="173" t="s">
        <v>822</v>
      </c>
      <c r="B290" s="29" t="s">
        <v>79</v>
      </c>
      <c r="C290" s="29" t="s">
        <v>850</v>
      </c>
      <c r="D290" s="29">
        <v>37808427</v>
      </c>
      <c r="E290" s="171" t="s">
        <v>851</v>
      </c>
      <c r="F290" s="29">
        <v>891479</v>
      </c>
      <c r="G290" s="171" t="s">
        <v>754</v>
      </c>
      <c r="H290" s="171" t="s">
        <v>863</v>
      </c>
      <c r="I290" s="172" t="s">
        <v>867</v>
      </c>
      <c r="J290" s="42">
        <v>6</v>
      </c>
      <c r="K290" s="43">
        <v>0</v>
      </c>
      <c r="L290" s="43">
        <v>30</v>
      </c>
      <c r="M290" s="43">
        <v>0</v>
      </c>
      <c r="N290" s="43">
        <v>0</v>
      </c>
      <c r="O290" s="43">
        <v>9</v>
      </c>
      <c r="P290" s="52">
        <v>1</v>
      </c>
      <c r="Q290" s="42">
        <v>0</v>
      </c>
      <c r="R290" s="43">
        <v>216</v>
      </c>
      <c r="S290" s="44">
        <v>61</v>
      </c>
      <c r="T290" s="45">
        <f t="shared" si="24"/>
        <v>1005</v>
      </c>
      <c r="U290" s="46">
        <v>103.34</v>
      </c>
      <c r="V290" s="47">
        <f t="shared" si="25"/>
        <v>0</v>
      </c>
      <c r="W290" s="47">
        <f t="shared" si="26"/>
        <v>553.5</v>
      </c>
      <c r="X290" s="48">
        <f t="shared" si="27"/>
        <v>118.5</v>
      </c>
      <c r="Y290" s="49">
        <f t="shared" si="28"/>
        <v>1780.34</v>
      </c>
      <c r="Z290" s="50">
        <f t="shared" si="29"/>
        <v>1780</v>
      </c>
    </row>
    <row r="291" spans="1:26" x14ac:dyDescent="0.25">
      <c r="A291" s="173" t="s">
        <v>822</v>
      </c>
      <c r="B291" s="29" t="s">
        <v>79</v>
      </c>
      <c r="C291" s="29" t="s">
        <v>850</v>
      </c>
      <c r="D291" s="29">
        <v>37808427</v>
      </c>
      <c r="E291" s="171" t="s">
        <v>851</v>
      </c>
      <c r="F291" s="29">
        <v>607045</v>
      </c>
      <c r="G291" s="171" t="s">
        <v>117</v>
      </c>
      <c r="H291" s="171" t="s">
        <v>863</v>
      </c>
      <c r="I291" s="172" t="s">
        <v>868</v>
      </c>
      <c r="J291" s="42">
        <v>9</v>
      </c>
      <c r="K291" s="43">
        <v>0</v>
      </c>
      <c r="L291" s="43">
        <v>44</v>
      </c>
      <c r="M291" s="43">
        <v>0</v>
      </c>
      <c r="N291" s="43">
        <v>2</v>
      </c>
      <c r="O291" s="43">
        <v>9</v>
      </c>
      <c r="P291" s="52">
        <v>1</v>
      </c>
      <c r="Q291" s="42">
        <v>20</v>
      </c>
      <c r="R291" s="43">
        <v>253</v>
      </c>
      <c r="S291" s="44">
        <v>18</v>
      </c>
      <c r="T291" s="45">
        <f t="shared" si="24"/>
        <v>1474</v>
      </c>
      <c r="U291" s="46">
        <v>1115.28</v>
      </c>
      <c r="V291" s="47">
        <f t="shared" si="25"/>
        <v>57</v>
      </c>
      <c r="W291" s="47">
        <f t="shared" si="26"/>
        <v>627.5</v>
      </c>
      <c r="X291" s="48">
        <f t="shared" si="27"/>
        <v>54</v>
      </c>
      <c r="Y291" s="49">
        <f t="shared" si="28"/>
        <v>3327.7799999999997</v>
      </c>
      <c r="Z291" s="50">
        <f t="shared" si="29"/>
        <v>3328</v>
      </c>
    </row>
    <row r="292" spans="1:26" x14ac:dyDescent="0.25">
      <c r="A292" s="173" t="s">
        <v>822</v>
      </c>
      <c r="B292" s="29" t="s">
        <v>79</v>
      </c>
      <c r="C292" s="29" t="s">
        <v>850</v>
      </c>
      <c r="D292" s="29">
        <v>37808427</v>
      </c>
      <c r="E292" s="171" t="s">
        <v>851</v>
      </c>
      <c r="F292" s="29">
        <v>160652</v>
      </c>
      <c r="G292" s="171" t="s">
        <v>49</v>
      </c>
      <c r="H292" s="171" t="s">
        <v>831</v>
      </c>
      <c r="I292" s="172" t="s">
        <v>869</v>
      </c>
      <c r="J292" s="42">
        <v>5</v>
      </c>
      <c r="K292" s="43">
        <v>0</v>
      </c>
      <c r="L292" s="43">
        <v>18</v>
      </c>
      <c r="M292" s="43">
        <v>0</v>
      </c>
      <c r="N292" s="43">
        <v>0</v>
      </c>
      <c r="O292" s="43">
        <v>6</v>
      </c>
      <c r="P292" s="52">
        <v>0</v>
      </c>
      <c r="Q292" s="42">
        <v>0</v>
      </c>
      <c r="R292" s="43">
        <v>169</v>
      </c>
      <c r="S292" s="44">
        <v>0</v>
      </c>
      <c r="T292" s="45">
        <f t="shared" si="24"/>
        <v>603</v>
      </c>
      <c r="U292" s="46">
        <v>153.1</v>
      </c>
      <c r="V292" s="47">
        <f t="shared" si="25"/>
        <v>0</v>
      </c>
      <c r="W292" s="47">
        <f t="shared" si="26"/>
        <v>419</v>
      </c>
      <c r="X292" s="48">
        <f t="shared" si="27"/>
        <v>0</v>
      </c>
      <c r="Y292" s="49">
        <f t="shared" si="28"/>
        <v>1175.0999999999999</v>
      </c>
      <c r="Z292" s="50">
        <f t="shared" si="29"/>
        <v>1175</v>
      </c>
    </row>
    <row r="293" spans="1:26" x14ac:dyDescent="0.25">
      <c r="A293" s="173" t="s">
        <v>822</v>
      </c>
      <c r="B293" s="29" t="s">
        <v>79</v>
      </c>
      <c r="C293" s="29" t="s">
        <v>850</v>
      </c>
      <c r="D293" s="29">
        <v>37808427</v>
      </c>
      <c r="E293" s="171" t="s">
        <v>851</v>
      </c>
      <c r="F293" s="29">
        <v>17053722</v>
      </c>
      <c r="G293" s="171" t="s">
        <v>435</v>
      </c>
      <c r="H293" s="171" t="s">
        <v>831</v>
      </c>
      <c r="I293" s="172" t="s">
        <v>870</v>
      </c>
      <c r="J293" s="42">
        <v>16</v>
      </c>
      <c r="K293" s="43">
        <v>2</v>
      </c>
      <c r="L293" s="43">
        <v>66</v>
      </c>
      <c r="M293" s="43">
        <v>6</v>
      </c>
      <c r="N293" s="43">
        <v>1</v>
      </c>
      <c r="O293" s="43">
        <v>26</v>
      </c>
      <c r="P293" s="52">
        <v>1</v>
      </c>
      <c r="Q293" s="42">
        <v>28</v>
      </c>
      <c r="R293" s="43">
        <v>657</v>
      </c>
      <c r="S293" s="44">
        <v>8</v>
      </c>
      <c r="T293" s="45">
        <f t="shared" si="24"/>
        <v>2211</v>
      </c>
      <c r="U293" s="46">
        <v>600.4</v>
      </c>
      <c r="V293" s="47">
        <f t="shared" si="25"/>
        <v>55.5</v>
      </c>
      <c r="W293" s="47">
        <f t="shared" si="26"/>
        <v>1665</v>
      </c>
      <c r="X293" s="48">
        <f t="shared" si="27"/>
        <v>39</v>
      </c>
      <c r="Y293" s="49">
        <f t="shared" si="28"/>
        <v>4570.8999999999996</v>
      </c>
      <c r="Z293" s="50">
        <f t="shared" si="29"/>
        <v>4571</v>
      </c>
    </row>
    <row r="294" spans="1:26" x14ac:dyDescent="0.25">
      <c r="A294" s="173" t="s">
        <v>822</v>
      </c>
      <c r="B294" s="29" t="s">
        <v>79</v>
      </c>
      <c r="C294" s="29" t="s">
        <v>850</v>
      </c>
      <c r="D294" s="29">
        <v>37808427</v>
      </c>
      <c r="E294" s="171" t="s">
        <v>851</v>
      </c>
      <c r="F294" s="29">
        <v>51906201</v>
      </c>
      <c r="G294" s="171" t="s">
        <v>871</v>
      </c>
      <c r="H294" s="171" t="s">
        <v>831</v>
      </c>
      <c r="I294" s="172" t="s">
        <v>872</v>
      </c>
      <c r="J294" s="42">
        <v>13</v>
      </c>
      <c r="K294" s="43">
        <v>0</v>
      </c>
      <c r="L294" s="43">
        <v>50</v>
      </c>
      <c r="M294" s="43">
        <v>0</v>
      </c>
      <c r="N294" s="43">
        <v>2</v>
      </c>
      <c r="O294" s="43">
        <v>16</v>
      </c>
      <c r="P294" s="52">
        <v>1</v>
      </c>
      <c r="Q294" s="42">
        <v>50</v>
      </c>
      <c r="R294" s="43">
        <v>374</v>
      </c>
      <c r="S294" s="44">
        <v>68</v>
      </c>
      <c r="T294" s="45">
        <f t="shared" si="24"/>
        <v>1675</v>
      </c>
      <c r="U294" s="46">
        <v>0</v>
      </c>
      <c r="V294" s="47">
        <f t="shared" si="25"/>
        <v>102</v>
      </c>
      <c r="W294" s="47">
        <f t="shared" si="26"/>
        <v>964</v>
      </c>
      <c r="X294" s="48">
        <f t="shared" si="27"/>
        <v>129</v>
      </c>
      <c r="Y294" s="49">
        <f t="shared" si="28"/>
        <v>2870</v>
      </c>
      <c r="Z294" s="50">
        <f t="shared" si="29"/>
        <v>2870</v>
      </c>
    </row>
    <row r="295" spans="1:26" x14ac:dyDescent="0.25">
      <c r="A295" s="173" t="s">
        <v>822</v>
      </c>
      <c r="B295" s="29" t="s">
        <v>79</v>
      </c>
      <c r="C295" s="29" t="s">
        <v>850</v>
      </c>
      <c r="D295" s="29">
        <v>37808427</v>
      </c>
      <c r="E295" s="171" t="s">
        <v>851</v>
      </c>
      <c r="F295" s="29">
        <v>160661</v>
      </c>
      <c r="G295" s="171" t="s">
        <v>49</v>
      </c>
      <c r="H295" s="171" t="s">
        <v>873</v>
      </c>
      <c r="I295" s="172" t="s">
        <v>874</v>
      </c>
      <c r="J295" s="42">
        <v>8</v>
      </c>
      <c r="K295" s="43">
        <v>0</v>
      </c>
      <c r="L295" s="43">
        <v>30</v>
      </c>
      <c r="M295" s="43">
        <v>0</v>
      </c>
      <c r="N295" s="43">
        <v>0</v>
      </c>
      <c r="O295" s="43">
        <v>9</v>
      </c>
      <c r="P295" s="52">
        <v>1</v>
      </c>
      <c r="Q295" s="42">
        <v>0</v>
      </c>
      <c r="R295" s="43">
        <v>241</v>
      </c>
      <c r="S295" s="44">
        <v>82</v>
      </c>
      <c r="T295" s="45">
        <f t="shared" si="24"/>
        <v>1005</v>
      </c>
      <c r="U295" s="46">
        <v>284.64999999999998</v>
      </c>
      <c r="V295" s="47">
        <f t="shared" si="25"/>
        <v>0</v>
      </c>
      <c r="W295" s="47">
        <f t="shared" si="26"/>
        <v>603.5</v>
      </c>
      <c r="X295" s="48">
        <f t="shared" si="27"/>
        <v>150</v>
      </c>
      <c r="Y295" s="49">
        <f t="shared" si="28"/>
        <v>2043.15</v>
      </c>
      <c r="Z295" s="50">
        <f t="shared" si="29"/>
        <v>2043</v>
      </c>
    </row>
    <row r="296" spans="1:26" x14ac:dyDescent="0.25">
      <c r="A296" s="173" t="s">
        <v>822</v>
      </c>
      <c r="B296" s="29" t="s">
        <v>79</v>
      </c>
      <c r="C296" s="29" t="s">
        <v>850</v>
      </c>
      <c r="D296" s="29">
        <v>37808427</v>
      </c>
      <c r="E296" s="171" t="s">
        <v>851</v>
      </c>
      <c r="F296" s="29">
        <v>893170</v>
      </c>
      <c r="G296" s="171" t="s">
        <v>138</v>
      </c>
      <c r="H296" s="171" t="s">
        <v>873</v>
      </c>
      <c r="I296" s="172" t="s">
        <v>875</v>
      </c>
      <c r="J296" s="42">
        <v>10</v>
      </c>
      <c r="K296" s="43">
        <v>0</v>
      </c>
      <c r="L296" s="43">
        <v>38</v>
      </c>
      <c r="M296" s="43">
        <v>0</v>
      </c>
      <c r="N296" s="43">
        <v>1</v>
      </c>
      <c r="O296" s="43">
        <v>16</v>
      </c>
      <c r="P296" s="52">
        <v>1</v>
      </c>
      <c r="Q296" s="42">
        <v>4</v>
      </c>
      <c r="R296" s="43">
        <v>372</v>
      </c>
      <c r="S296" s="44">
        <v>4</v>
      </c>
      <c r="T296" s="45">
        <f t="shared" si="24"/>
        <v>1273</v>
      </c>
      <c r="U296" s="46">
        <v>535.95000000000005</v>
      </c>
      <c r="V296" s="47">
        <f t="shared" si="25"/>
        <v>19.5</v>
      </c>
      <c r="W296" s="47">
        <f t="shared" si="26"/>
        <v>960</v>
      </c>
      <c r="X296" s="48">
        <f t="shared" si="27"/>
        <v>33</v>
      </c>
      <c r="Y296" s="49">
        <f t="shared" si="28"/>
        <v>2821.45</v>
      </c>
      <c r="Z296" s="50">
        <f t="shared" si="29"/>
        <v>2821</v>
      </c>
    </row>
    <row r="297" spans="1:26" ht="25.5" x14ac:dyDescent="0.25">
      <c r="A297" s="174" t="s">
        <v>822</v>
      </c>
      <c r="B297" s="30" t="s">
        <v>79</v>
      </c>
      <c r="C297" s="30" t="s">
        <v>850</v>
      </c>
      <c r="D297" s="30">
        <v>37808427</v>
      </c>
      <c r="E297" s="31" t="s">
        <v>851</v>
      </c>
      <c r="F297" s="30">
        <v>162701</v>
      </c>
      <c r="G297" s="119" t="s">
        <v>876</v>
      </c>
      <c r="H297" s="31" t="s">
        <v>873</v>
      </c>
      <c r="I297" s="175" t="s">
        <v>877</v>
      </c>
      <c r="J297" s="42">
        <v>4</v>
      </c>
      <c r="K297" s="43">
        <v>2</v>
      </c>
      <c r="L297" s="43">
        <v>25</v>
      </c>
      <c r="M297" s="43">
        <v>16</v>
      </c>
      <c r="N297" s="43">
        <v>4</v>
      </c>
      <c r="O297" s="43">
        <v>11</v>
      </c>
      <c r="P297" s="52">
        <v>0</v>
      </c>
      <c r="Q297" s="42">
        <v>153</v>
      </c>
      <c r="R297" s="43">
        <v>221</v>
      </c>
      <c r="S297" s="44">
        <v>0</v>
      </c>
      <c r="T297" s="45">
        <f t="shared" si="24"/>
        <v>837.5</v>
      </c>
      <c r="U297" s="46">
        <v>248.25</v>
      </c>
      <c r="V297" s="47">
        <f t="shared" si="25"/>
        <v>283.5</v>
      </c>
      <c r="W297" s="47">
        <f t="shared" si="26"/>
        <v>590.5</v>
      </c>
      <c r="X297" s="48">
        <f t="shared" si="27"/>
        <v>0</v>
      </c>
      <c r="Y297" s="49">
        <f t="shared" si="28"/>
        <v>1959.75</v>
      </c>
      <c r="Z297" s="50">
        <f t="shared" si="29"/>
        <v>1960</v>
      </c>
    </row>
    <row r="298" spans="1:26" x14ac:dyDescent="0.25">
      <c r="A298" s="173" t="s">
        <v>822</v>
      </c>
      <c r="B298" s="29" t="s">
        <v>79</v>
      </c>
      <c r="C298" s="29" t="s">
        <v>850</v>
      </c>
      <c r="D298" s="29">
        <v>37808427</v>
      </c>
      <c r="E298" s="171" t="s">
        <v>851</v>
      </c>
      <c r="F298" s="29">
        <v>160679</v>
      </c>
      <c r="G298" s="171" t="s">
        <v>878</v>
      </c>
      <c r="H298" s="171" t="s">
        <v>833</v>
      </c>
      <c r="I298" s="172" t="s">
        <v>879</v>
      </c>
      <c r="J298" s="42">
        <v>10</v>
      </c>
      <c r="K298" s="43">
        <v>0</v>
      </c>
      <c r="L298" s="43">
        <v>23</v>
      </c>
      <c r="M298" s="43">
        <v>0</v>
      </c>
      <c r="N298" s="43">
        <v>2</v>
      </c>
      <c r="O298" s="43">
        <v>14</v>
      </c>
      <c r="P298" s="52">
        <v>1</v>
      </c>
      <c r="Q298" s="42">
        <v>6</v>
      </c>
      <c r="R298" s="43">
        <v>124</v>
      </c>
      <c r="S298" s="44">
        <v>15</v>
      </c>
      <c r="T298" s="45">
        <f t="shared" si="24"/>
        <v>770.5</v>
      </c>
      <c r="U298" s="46">
        <v>114.4</v>
      </c>
      <c r="V298" s="47">
        <f t="shared" si="25"/>
        <v>36</v>
      </c>
      <c r="W298" s="47">
        <f t="shared" si="26"/>
        <v>437</v>
      </c>
      <c r="X298" s="48">
        <f t="shared" si="27"/>
        <v>49.5</v>
      </c>
      <c r="Y298" s="49">
        <f t="shared" si="28"/>
        <v>1407.4</v>
      </c>
      <c r="Z298" s="50">
        <f t="shared" si="29"/>
        <v>1407</v>
      </c>
    </row>
    <row r="299" spans="1:26" x14ac:dyDescent="0.25">
      <c r="A299" s="173" t="s">
        <v>822</v>
      </c>
      <c r="B299" s="29" t="s">
        <v>79</v>
      </c>
      <c r="C299" s="29" t="s">
        <v>850</v>
      </c>
      <c r="D299" s="29">
        <v>37808427</v>
      </c>
      <c r="E299" s="171" t="s">
        <v>851</v>
      </c>
      <c r="F299" s="29">
        <v>893528</v>
      </c>
      <c r="G299" s="171" t="s">
        <v>121</v>
      </c>
      <c r="H299" s="171" t="s">
        <v>833</v>
      </c>
      <c r="I299" s="172" t="s">
        <v>880</v>
      </c>
      <c r="J299" s="42">
        <v>8</v>
      </c>
      <c r="K299" s="43">
        <v>0</v>
      </c>
      <c r="L299" s="43">
        <v>27</v>
      </c>
      <c r="M299" s="43">
        <v>0</v>
      </c>
      <c r="N299" s="43">
        <v>0</v>
      </c>
      <c r="O299" s="43">
        <v>13</v>
      </c>
      <c r="P299" s="52">
        <v>1</v>
      </c>
      <c r="Q299" s="42">
        <v>0</v>
      </c>
      <c r="R299" s="43">
        <v>157</v>
      </c>
      <c r="S299" s="44">
        <v>36</v>
      </c>
      <c r="T299" s="45">
        <f t="shared" si="24"/>
        <v>904.5</v>
      </c>
      <c r="U299" s="46">
        <v>33.9</v>
      </c>
      <c r="V299" s="47">
        <f t="shared" si="25"/>
        <v>0</v>
      </c>
      <c r="W299" s="47">
        <f t="shared" si="26"/>
        <v>489.5</v>
      </c>
      <c r="X299" s="48">
        <f t="shared" si="27"/>
        <v>81</v>
      </c>
      <c r="Y299" s="49">
        <f t="shared" si="28"/>
        <v>1508.9</v>
      </c>
      <c r="Z299" s="50">
        <f t="shared" si="29"/>
        <v>1509</v>
      </c>
    </row>
    <row r="300" spans="1:26" x14ac:dyDescent="0.25">
      <c r="A300" s="173" t="s">
        <v>822</v>
      </c>
      <c r="B300" s="29" t="s">
        <v>79</v>
      </c>
      <c r="C300" s="29" t="s">
        <v>850</v>
      </c>
      <c r="D300" s="29">
        <v>37808427</v>
      </c>
      <c r="E300" s="171" t="s">
        <v>851</v>
      </c>
      <c r="F300" s="29">
        <v>31926754</v>
      </c>
      <c r="G300" s="171" t="s">
        <v>100</v>
      </c>
      <c r="H300" s="171" t="s">
        <v>833</v>
      </c>
      <c r="I300" s="172" t="s">
        <v>881</v>
      </c>
      <c r="J300" s="42">
        <v>5</v>
      </c>
      <c r="K300" s="43">
        <v>0</v>
      </c>
      <c r="L300" s="43">
        <v>35</v>
      </c>
      <c r="M300" s="43">
        <v>0</v>
      </c>
      <c r="N300" s="43">
        <v>0</v>
      </c>
      <c r="O300" s="43">
        <v>13</v>
      </c>
      <c r="P300" s="52">
        <v>1</v>
      </c>
      <c r="Q300" s="42">
        <v>0</v>
      </c>
      <c r="R300" s="43">
        <v>310</v>
      </c>
      <c r="S300" s="44">
        <v>73</v>
      </c>
      <c r="T300" s="45">
        <f t="shared" si="24"/>
        <v>1172.5</v>
      </c>
      <c r="U300" s="46">
        <v>90.6</v>
      </c>
      <c r="V300" s="47">
        <f t="shared" si="25"/>
        <v>0</v>
      </c>
      <c r="W300" s="47">
        <f t="shared" si="26"/>
        <v>795.5</v>
      </c>
      <c r="X300" s="48">
        <f t="shared" si="27"/>
        <v>136.5</v>
      </c>
      <c r="Y300" s="49">
        <f t="shared" si="28"/>
        <v>2195.1</v>
      </c>
      <c r="Z300" s="50">
        <f t="shared" si="29"/>
        <v>2195</v>
      </c>
    </row>
    <row r="301" spans="1:26" x14ac:dyDescent="0.25">
      <c r="A301" s="173" t="s">
        <v>822</v>
      </c>
      <c r="B301" s="29" t="s">
        <v>79</v>
      </c>
      <c r="C301" s="29" t="s">
        <v>850</v>
      </c>
      <c r="D301" s="29">
        <v>37808427</v>
      </c>
      <c r="E301" s="171" t="s">
        <v>851</v>
      </c>
      <c r="F301" s="29">
        <v>491942</v>
      </c>
      <c r="G301" s="171" t="s">
        <v>754</v>
      </c>
      <c r="H301" s="171" t="s">
        <v>833</v>
      </c>
      <c r="I301" s="172" t="s">
        <v>882</v>
      </c>
      <c r="J301" s="42">
        <v>6</v>
      </c>
      <c r="K301" s="43">
        <v>0</v>
      </c>
      <c r="L301" s="43">
        <v>29</v>
      </c>
      <c r="M301" s="43">
        <v>0</v>
      </c>
      <c r="N301" s="43">
        <v>0</v>
      </c>
      <c r="O301" s="43">
        <v>8</v>
      </c>
      <c r="P301" s="52">
        <v>1</v>
      </c>
      <c r="Q301" s="42">
        <v>0</v>
      </c>
      <c r="R301" s="43">
        <v>138</v>
      </c>
      <c r="S301" s="44">
        <v>47</v>
      </c>
      <c r="T301" s="45">
        <f t="shared" si="24"/>
        <v>971.5</v>
      </c>
      <c r="U301" s="46">
        <v>24.44</v>
      </c>
      <c r="V301" s="47">
        <f t="shared" si="25"/>
        <v>0</v>
      </c>
      <c r="W301" s="47">
        <f t="shared" si="26"/>
        <v>384</v>
      </c>
      <c r="X301" s="48">
        <f t="shared" si="27"/>
        <v>97.5</v>
      </c>
      <c r="Y301" s="49">
        <f t="shared" si="28"/>
        <v>1477.44</v>
      </c>
      <c r="Z301" s="50">
        <f t="shared" si="29"/>
        <v>1477</v>
      </c>
    </row>
    <row r="302" spans="1:26" x14ac:dyDescent="0.25">
      <c r="A302" s="173" t="s">
        <v>822</v>
      </c>
      <c r="B302" s="29" t="s">
        <v>79</v>
      </c>
      <c r="C302" s="29" t="s">
        <v>850</v>
      </c>
      <c r="D302" s="29">
        <v>37808427</v>
      </c>
      <c r="E302" s="171" t="s">
        <v>851</v>
      </c>
      <c r="F302" s="29">
        <v>695092</v>
      </c>
      <c r="G302" s="171" t="s">
        <v>701</v>
      </c>
      <c r="H302" s="171" t="s">
        <v>833</v>
      </c>
      <c r="I302" s="172" t="s">
        <v>883</v>
      </c>
      <c r="J302" s="42">
        <v>6</v>
      </c>
      <c r="K302" s="43">
        <v>0</v>
      </c>
      <c r="L302" s="43">
        <v>35</v>
      </c>
      <c r="M302" s="43">
        <v>0</v>
      </c>
      <c r="N302" s="43">
        <v>0</v>
      </c>
      <c r="O302" s="43">
        <v>11</v>
      </c>
      <c r="P302" s="52">
        <v>1</v>
      </c>
      <c r="Q302" s="42">
        <v>0</v>
      </c>
      <c r="R302" s="43">
        <v>165</v>
      </c>
      <c r="S302" s="44">
        <v>17</v>
      </c>
      <c r="T302" s="45">
        <f t="shared" si="24"/>
        <v>1172.5</v>
      </c>
      <c r="U302" s="46">
        <v>216.14</v>
      </c>
      <c r="V302" s="47">
        <f t="shared" si="25"/>
        <v>0</v>
      </c>
      <c r="W302" s="47">
        <f t="shared" si="26"/>
        <v>478.5</v>
      </c>
      <c r="X302" s="48">
        <f t="shared" si="27"/>
        <v>52.5</v>
      </c>
      <c r="Y302" s="49">
        <f t="shared" si="28"/>
        <v>1919.6399999999999</v>
      </c>
      <c r="Z302" s="50">
        <f t="shared" si="29"/>
        <v>1920</v>
      </c>
    </row>
    <row r="303" spans="1:26" x14ac:dyDescent="0.25">
      <c r="A303" s="173" t="s">
        <v>822</v>
      </c>
      <c r="B303" s="29" t="s">
        <v>79</v>
      </c>
      <c r="C303" s="29" t="s">
        <v>850</v>
      </c>
      <c r="D303" s="29">
        <v>37808427</v>
      </c>
      <c r="E303" s="171" t="s">
        <v>851</v>
      </c>
      <c r="F303" s="29">
        <v>607037</v>
      </c>
      <c r="G303" s="171" t="s">
        <v>117</v>
      </c>
      <c r="H303" s="171" t="s">
        <v>833</v>
      </c>
      <c r="I303" s="172" t="s">
        <v>884</v>
      </c>
      <c r="J303" s="42">
        <v>8</v>
      </c>
      <c r="K303" s="43">
        <v>0</v>
      </c>
      <c r="L303" s="43">
        <v>39</v>
      </c>
      <c r="M303" s="43">
        <v>0</v>
      </c>
      <c r="N303" s="43">
        <v>0</v>
      </c>
      <c r="O303" s="43">
        <v>12</v>
      </c>
      <c r="P303" s="52">
        <v>0</v>
      </c>
      <c r="Q303" s="42">
        <v>0</v>
      </c>
      <c r="R303" s="43">
        <v>341</v>
      </c>
      <c r="S303" s="44">
        <v>0</v>
      </c>
      <c r="T303" s="45">
        <f t="shared" si="24"/>
        <v>1306.5</v>
      </c>
      <c r="U303" s="46">
        <v>985.4</v>
      </c>
      <c r="V303" s="47">
        <f t="shared" si="25"/>
        <v>0</v>
      </c>
      <c r="W303" s="47">
        <f t="shared" si="26"/>
        <v>844</v>
      </c>
      <c r="X303" s="48">
        <f t="shared" si="27"/>
        <v>0</v>
      </c>
      <c r="Y303" s="49">
        <f t="shared" si="28"/>
        <v>3135.9</v>
      </c>
      <c r="Z303" s="50">
        <f t="shared" si="29"/>
        <v>3136</v>
      </c>
    </row>
    <row r="304" spans="1:26" x14ac:dyDescent="0.25">
      <c r="A304" s="173" t="s">
        <v>822</v>
      </c>
      <c r="B304" s="29" t="s">
        <v>79</v>
      </c>
      <c r="C304" s="29" t="s">
        <v>850</v>
      </c>
      <c r="D304" s="29">
        <v>37808427</v>
      </c>
      <c r="E304" s="171" t="s">
        <v>851</v>
      </c>
      <c r="F304" s="29">
        <v>626261</v>
      </c>
      <c r="G304" s="171" t="s">
        <v>885</v>
      </c>
      <c r="H304" s="171" t="s">
        <v>836</v>
      </c>
      <c r="I304" s="172" t="s">
        <v>886</v>
      </c>
      <c r="J304" s="42">
        <v>12</v>
      </c>
      <c r="K304" s="43">
        <v>0</v>
      </c>
      <c r="L304" s="43">
        <v>30</v>
      </c>
      <c r="M304" s="43">
        <v>0</v>
      </c>
      <c r="N304" s="43">
        <v>0</v>
      </c>
      <c r="O304" s="43">
        <v>11</v>
      </c>
      <c r="P304" s="52">
        <v>1</v>
      </c>
      <c r="Q304" s="42">
        <v>0</v>
      </c>
      <c r="R304" s="43">
        <v>165</v>
      </c>
      <c r="S304" s="44">
        <v>84</v>
      </c>
      <c r="T304" s="45">
        <f t="shared" si="24"/>
        <v>1005</v>
      </c>
      <c r="U304" s="46">
        <v>0</v>
      </c>
      <c r="V304" s="47">
        <f t="shared" si="25"/>
        <v>0</v>
      </c>
      <c r="W304" s="47">
        <f t="shared" si="26"/>
        <v>478.5</v>
      </c>
      <c r="X304" s="48">
        <f t="shared" si="27"/>
        <v>153</v>
      </c>
      <c r="Y304" s="49">
        <f t="shared" si="28"/>
        <v>1636.5</v>
      </c>
      <c r="Z304" s="50">
        <f t="shared" si="29"/>
        <v>1637</v>
      </c>
    </row>
    <row r="305" spans="1:26" x14ac:dyDescent="0.25">
      <c r="A305" s="173" t="s">
        <v>822</v>
      </c>
      <c r="B305" s="29" t="s">
        <v>79</v>
      </c>
      <c r="C305" s="29" t="s">
        <v>850</v>
      </c>
      <c r="D305" s="29">
        <v>37808427</v>
      </c>
      <c r="E305" s="171" t="s">
        <v>851</v>
      </c>
      <c r="F305" s="29">
        <v>160695</v>
      </c>
      <c r="G305" s="171" t="s">
        <v>887</v>
      </c>
      <c r="H305" s="171" t="s">
        <v>836</v>
      </c>
      <c r="I305" s="172" t="s">
        <v>888</v>
      </c>
      <c r="J305" s="42">
        <v>11</v>
      </c>
      <c r="K305" s="43">
        <v>0</v>
      </c>
      <c r="L305" s="43">
        <v>25</v>
      </c>
      <c r="M305" s="43">
        <v>0</v>
      </c>
      <c r="N305" s="43">
        <v>0</v>
      </c>
      <c r="O305" s="43">
        <v>15</v>
      </c>
      <c r="P305" s="52">
        <v>1</v>
      </c>
      <c r="Q305" s="42">
        <v>0</v>
      </c>
      <c r="R305" s="43">
        <v>246</v>
      </c>
      <c r="S305" s="44">
        <v>60</v>
      </c>
      <c r="T305" s="45">
        <f t="shared" si="24"/>
        <v>837.5</v>
      </c>
      <c r="U305" s="46">
        <v>19.68</v>
      </c>
      <c r="V305" s="47">
        <f t="shared" si="25"/>
        <v>0</v>
      </c>
      <c r="W305" s="47">
        <f t="shared" si="26"/>
        <v>694.5</v>
      </c>
      <c r="X305" s="48">
        <f t="shared" si="27"/>
        <v>117</v>
      </c>
      <c r="Y305" s="49">
        <f t="shared" si="28"/>
        <v>1668.6799999999998</v>
      </c>
      <c r="Z305" s="50">
        <f t="shared" si="29"/>
        <v>1669</v>
      </c>
    </row>
    <row r="306" spans="1:26" x14ac:dyDescent="0.25">
      <c r="A306" s="173" t="s">
        <v>822</v>
      </c>
      <c r="B306" s="29" t="s">
        <v>79</v>
      </c>
      <c r="C306" s="29" t="s">
        <v>850</v>
      </c>
      <c r="D306" s="29">
        <v>37808427</v>
      </c>
      <c r="E306" s="171" t="s">
        <v>851</v>
      </c>
      <c r="F306" s="29">
        <v>162078</v>
      </c>
      <c r="G306" s="171" t="s">
        <v>100</v>
      </c>
      <c r="H306" s="171" t="s">
        <v>836</v>
      </c>
      <c r="I306" s="172" t="s">
        <v>889</v>
      </c>
      <c r="J306" s="42">
        <v>5</v>
      </c>
      <c r="K306" s="43">
        <v>0</v>
      </c>
      <c r="L306" s="43">
        <v>28</v>
      </c>
      <c r="M306" s="43">
        <v>0</v>
      </c>
      <c r="N306" s="43">
        <v>0</v>
      </c>
      <c r="O306" s="43">
        <v>5</v>
      </c>
      <c r="P306" s="52">
        <v>1</v>
      </c>
      <c r="Q306" s="42">
        <v>0</v>
      </c>
      <c r="R306" s="43">
        <v>196</v>
      </c>
      <c r="S306" s="44">
        <v>102</v>
      </c>
      <c r="T306" s="45">
        <f t="shared" si="24"/>
        <v>938</v>
      </c>
      <c r="U306" s="46">
        <v>266.14999999999998</v>
      </c>
      <c r="V306" s="47">
        <f t="shared" si="25"/>
        <v>0</v>
      </c>
      <c r="W306" s="47">
        <f t="shared" si="26"/>
        <v>459.5</v>
      </c>
      <c r="X306" s="48">
        <f t="shared" si="27"/>
        <v>180</v>
      </c>
      <c r="Y306" s="49">
        <f t="shared" si="28"/>
        <v>1843.65</v>
      </c>
      <c r="Z306" s="50">
        <f t="shared" si="29"/>
        <v>1844</v>
      </c>
    </row>
    <row r="307" spans="1:26" x14ac:dyDescent="0.25">
      <c r="A307" s="173" t="s">
        <v>822</v>
      </c>
      <c r="B307" s="29" t="s">
        <v>79</v>
      </c>
      <c r="C307" s="29" t="s">
        <v>850</v>
      </c>
      <c r="D307" s="29">
        <v>37808427</v>
      </c>
      <c r="E307" s="171" t="s">
        <v>851</v>
      </c>
      <c r="F307" s="29">
        <v>17050499</v>
      </c>
      <c r="G307" s="171" t="s">
        <v>52</v>
      </c>
      <c r="H307" s="171" t="s">
        <v>836</v>
      </c>
      <c r="I307" s="172" t="s">
        <v>890</v>
      </c>
      <c r="J307" s="42">
        <v>7</v>
      </c>
      <c r="K307" s="43">
        <v>0</v>
      </c>
      <c r="L307" s="43">
        <v>53</v>
      </c>
      <c r="M307" s="43">
        <v>0</v>
      </c>
      <c r="N307" s="43">
        <v>0</v>
      </c>
      <c r="O307" s="43">
        <v>11</v>
      </c>
      <c r="P307" s="52">
        <v>3</v>
      </c>
      <c r="Q307" s="42">
        <v>0</v>
      </c>
      <c r="R307" s="43">
        <v>188</v>
      </c>
      <c r="S307" s="44">
        <v>491</v>
      </c>
      <c r="T307" s="45">
        <f t="shared" si="24"/>
        <v>1775.5</v>
      </c>
      <c r="U307" s="46">
        <v>73.540000000000006</v>
      </c>
      <c r="V307" s="47">
        <f t="shared" si="25"/>
        <v>0</v>
      </c>
      <c r="W307" s="47">
        <f t="shared" si="26"/>
        <v>524.5</v>
      </c>
      <c r="X307" s="48">
        <f t="shared" si="27"/>
        <v>817.5</v>
      </c>
      <c r="Y307" s="49">
        <f t="shared" si="28"/>
        <v>3191.04</v>
      </c>
      <c r="Z307" s="50">
        <f t="shared" si="29"/>
        <v>3191</v>
      </c>
    </row>
    <row r="308" spans="1:26" x14ac:dyDescent="0.25">
      <c r="A308" s="173" t="s">
        <v>822</v>
      </c>
      <c r="B308" s="29" t="s">
        <v>79</v>
      </c>
      <c r="C308" s="29" t="s">
        <v>850</v>
      </c>
      <c r="D308" s="29">
        <v>37808427</v>
      </c>
      <c r="E308" s="171" t="s">
        <v>851</v>
      </c>
      <c r="F308" s="29">
        <v>17055211</v>
      </c>
      <c r="G308" s="171" t="s">
        <v>104</v>
      </c>
      <c r="H308" s="171" t="s">
        <v>836</v>
      </c>
      <c r="I308" s="172" t="s">
        <v>891</v>
      </c>
      <c r="J308" s="42">
        <v>9</v>
      </c>
      <c r="K308" s="43">
        <v>0</v>
      </c>
      <c r="L308" s="43">
        <v>43</v>
      </c>
      <c r="M308" s="43">
        <v>0</v>
      </c>
      <c r="N308" s="43">
        <v>0</v>
      </c>
      <c r="O308" s="43">
        <v>15</v>
      </c>
      <c r="P308" s="52">
        <v>1</v>
      </c>
      <c r="Q308" s="42">
        <v>0</v>
      </c>
      <c r="R308" s="43">
        <v>368</v>
      </c>
      <c r="S308" s="44">
        <v>26</v>
      </c>
      <c r="T308" s="45">
        <f t="shared" si="24"/>
        <v>1440.5</v>
      </c>
      <c r="U308" s="46">
        <v>184.72</v>
      </c>
      <c r="V308" s="47">
        <f t="shared" si="25"/>
        <v>0</v>
      </c>
      <c r="W308" s="47">
        <f t="shared" si="26"/>
        <v>938.5</v>
      </c>
      <c r="X308" s="48">
        <f t="shared" si="27"/>
        <v>66</v>
      </c>
      <c r="Y308" s="49">
        <f t="shared" si="28"/>
        <v>2629.7200000000003</v>
      </c>
      <c r="Z308" s="50">
        <f t="shared" si="29"/>
        <v>2630</v>
      </c>
    </row>
    <row r="309" spans="1:26" x14ac:dyDescent="0.25">
      <c r="A309" s="173" t="s">
        <v>822</v>
      </c>
      <c r="B309" s="29" t="s">
        <v>79</v>
      </c>
      <c r="C309" s="29" t="s">
        <v>850</v>
      </c>
      <c r="D309" s="29">
        <v>37808427</v>
      </c>
      <c r="E309" s="171" t="s">
        <v>851</v>
      </c>
      <c r="F309" s="29">
        <v>158551</v>
      </c>
      <c r="G309" s="171" t="s">
        <v>402</v>
      </c>
      <c r="H309" s="171" t="s">
        <v>836</v>
      </c>
      <c r="I309" s="172" t="s">
        <v>837</v>
      </c>
      <c r="J309" s="42">
        <v>15</v>
      </c>
      <c r="K309" s="43">
        <v>8</v>
      </c>
      <c r="L309" s="43">
        <v>55</v>
      </c>
      <c r="M309" s="43">
        <v>25</v>
      </c>
      <c r="N309" s="43">
        <v>19</v>
      </c>
      <c r="O309" s="43">
        <v>25</v>
      </c>
      <c r="P309" s="52">
        <v>1</v>
      </c>
      <c r="Q309" s="42">
        <v>140</v>
      </c>
      <c r="R309" s="43">
        <v>813</v>
      </c>
      <c r="S309" s="44">
        <v>0</v>
      </c>
      <c r="T309" s="45">
        <f t="shared" si="24"/>
        <v>1842.5</v>
      </c>
      <c r="U309" s="46">
        <v>800.26</v>
      </c>
      <c r="V309" s="47">
        <f t="shared" si="25"/>
        <v>466.5</v>
      </c>
      <c r="W309" s="47">
        <f t="shared" si="26"/>
        <v>1963.5</v>
      </c>
      <c r="X309" s="48">
        <f t="shared" si="27"/>
        <v>27</v>
      </c>
      <c r="Y309" s="49">
        <f t="shared" si="28"/>
        <v>5099.76</v>
      </c>
      <c r="Z309" s="50">
        <f t="shared" si="29"/>
        <v>5100</v>
      </c>
    </row>
    <row r="310" spans="1:26" x14ac:dyDescent="0.25">
      <c r="A310" s="173" t="s">
        <v>822</v>
      </c>
      <c r="B310" s="29" t="s">
        <v>79</v>
      </c>
      <c r="C310" s="29" t="s">
        <v>850</v>
      </c>
      <c r="D310" s="29">
        <v>37808427</v>
      </c>
      <c r="E310" s="171" t="s">
        <v>851</v>
      </c>
      <c r="F310" s="29">
        <v>161578</v>
      </c>
      <c r="G310" s="171" t="s">
        <v>451</v>
      </c>
      <c r="H310" s="171" t="s">
        <v>836</v>
      </c>
      <c r="I310" s="172" t="s">
        <v>892</v>
      </c>
      <c r="J310" s="42">
        <v>10</v>
      </c>
      <c r="K310" s="43">
        <v>0</v>
      </c>
      <c r="L310" s="43">
        <v>48</v>
      </c>
      <c r="M310" s="43">
        <v>0</v>
      </c>
      <c r="N310" s="43">
        <v>0</v>
      </c>
      <c r="O310" s="43">
        <v>17</v>
      </c>
      <c r="P310" s="52">
        <v>1</v>
      </c>
      <c r="Q310" s="42">
        <v>0</v>
      </c>
      <c r="R310" s="43">
        <v>469</v>
      </c>
      <c r="S310" s="44">
        <v>77</v>
      </c>
      <c r="T310" s="45">
        <f t="shared" si="24"/>
        <v>1608</v>
      </c>
      <c r="U310" s="46">
        <v>94.22</v>
      </c>
      <c r="V310" s="47">
        <f t="shared" si="25"/>
        <v>0</v>
      </c>
      <c r="W310" s="47">
        <f t="shared" si="26"/>
        <v>1167.5</v>
      </c>
      <c r="X310" s="48">
        <f t="shared" si="27"/>
        <v>142.5</v>
      </c>
      <c r="Y310" s="49">
        <f t="shared" si="28"/>
        <v>3012.2200000000003</v>
      </c>
      <c r="Z310" s="50">
        <f t="shared" si="29"/>
        <v>3012</v>
      </c>
    </row>
    <row r="311" spans="1:26" x14ac:dyDescent="0.25">
      <c r="A311" s="173" t="s">
        <v>822</v>
      </c>
      <c r="B311" s="29" t="s">
        <v>79</v>
      </c>
      <c r="C311" s="29" t="s">
        <v>850</v>
      </c>
      <c r="D311" s="29">
        <v>37808427</v>
      </c>
      <c r="E311" s="171" t="s">
        <v>851</v>
      </c>
      <c r="F311" s="29">
        <v>160717</v>
      </c>
      <c r="G311" s="171" t="s">
        <v>171</v>
      </c>
      <c r="H311" s="171" t="s">
        <v>842</v>
      </c>
      <c r="I311" s="172" t="s">
        <v>893</v>
      </c>
      <c r="J311" s="42">
        <v>19</v>
      </c>
      <c r="K311" s="43">
        <v>0</v>
      </c>
      <c r="L311" s="43">
        <v>50</v>
      </c>
      <c r="M311" s="43">
        <v>0</v>
      </c>
      <c r="N311" s="43">
        <v>0</v>
      </c>
      <c r="O311" s="43">
        <v>21</v>
      </c>
      <c r="P311" s="52">
        <v>1</v>
      </c>
      <c r="Q311" s="42">
        <v>0</v>
      </c>
      <c r="R311" s="43">
        <v>489</v>
      </c>
      <c r="S311" s="44">
        <v>117</v>
      </c>
      <c r="T311" s="45">
        <f t="shared" si="24"/>
        <v>1675</v>
      </c>
      <c r="U311" s="46">
        <v>4.9800000000000004</v>
      </c>
      <c r="V311" s="47">
        <f t="shared" si="25"/>
        <v>0</v>
      </c>
      <c r="W311" s="47">
        <f t="shared" si="26"/>
        <v>1261.5</v>
      </c>
      <c r="X311" s="48">
        <f t="shared" si="27"/>
        <v>202.5</v>
      </c>
      <c r="Y311" s="49">
        <f t="shared" si="28"/>
        <v>3143.98</v>
      </c>
      <c r="Z311" s="50">
        <f t="shared" si="29"/>
        <v>3144</v>
      </c>
    </row>
    <row r="312" spans="1:26" x14ac:dyDescent="0.25">
      <c r="A312" s="173" t="s">
        <v>822</v>
      </c>
      <c r="B312" s="29" t="s">
        <v>79</v>
      </c>
      <c r="C312" s="29" t="s">
        <v>850</v>
      </c>
      <c r="D312" s="29">
        <v>37808427</v>
      </c>
      <c r="E312" s="171" t="s">
        <v>851</v>
      </c>
      <c r="F312" s="29">
        <v>17053846</v>
      </c>
      <c r="G312" s="171" t="s">
        <v>166</v>
      </c>
      <c r="H312" s="171" t="s">
        <v>842</v>
      </c>
      <c r="I312" s="172" t="s">
        <v>894</v>
      </c>
      <c r="J312" s="42">
        <v>6</v>
      </c>
      <c r="K312" s="43">
        <v>0</v>
      </c>
      <c r="L312" s="43">
        <v>31</v>
      </c>
      <c r="M312" s="43">
        <v>0</v>
      </c>
      <c r="N312" s="43">
        <v>0</v>
      </c>
      <c r="O312" s="43">
        <v>6</v>
      </c>
      <c r="P312" s="52">
        <v>1</v>
      </c>
      <c r="Q312" s="42">
        <v>0</v>
      </c>
      <c r="R312" s="43">
        <v>183</v>
      </c>
      <c r="S312" s="44">
        <v>74</v>
      </c>
      <c r="T312" s="45">
        <f t="shared" si="24"/>
        <v>1038.5</v>
      </c>
      <c r="U312" s="46">
        <v>0</v>
      </c>
      <c r="V312" s="47">
        <f t="shared" si="25"/>
        <v>0</v>
      </c>
      <c r="W312" s="47">
        <f t="shared" si="26"/>
        <v>447</v>
      </c>
      <c r="X312" s="48">
        <f t="shared" si="27"/>
        <v>138</v>
      </c>
      <c r="Y312" s="49">
        <f t="shared" si="28"/>
        <v>1623.5</v>
      </c>
      <c r="Z312" s="50">
        <f t="shared" si="29"/>
        <v>1624</v>
      </c>
    </row>
    <row r="313" spans="1:26" x14ac:dyDescent="0.25">
      <c r="A313" s="173" t="s">
        <v>822</v>
      </c>
      <c r="B313" s="29" t="s">
        <v>79</v>
      </c>
      <c r="C313" s="29" t="s">
        <v>850</v>
      </c>
      <c r="D313" s="29">
        <v>37808427</v>
      </c>
      <c r="E313" s="171" t="s">
        <v>851</v>
      </c>
      <c r="F313" s="29">
        <v>17050502</v>
      </c>
      <c r="G313" s="171" t="s">
        <v>154</v>
      </c>
      <c r="H313" s="171" t="s">
        <v>842</v>
      </c>
      <c r="I313" s="172" t="s">
        <v>895</v>
      </c>
      <c r="J313" s="42">
        <v>6</v>
      </c>
      <c r="K313" s="43">
        <v>0</v>
      </c>
      <c r="L313" s="43">
        <v>25</v>
      </c>
      <c r="M313" s="43">
        <v>0</v>
      </c>
      <c r="N313" s="43">
        <v>0</v>
      </c>
      <c r="O313" s="43">
        <v>10</v>
      </c>
      <c r="P313" s="52">
        <v>1</v>
      </c>
      <c r="Q313" s="42">
        <v>0</v>
      </c>
      <c r="R313" s="43">
        <v>156</v>
      </c>
      <c r="S313" s="44">
        <v>35</v>
      </c>
      <c r="T313" s="45">
        <f t="shared" si="24"/>
        <v>837.5</v>
      </c>
      <c r="U313" s="46">
        <v>243.2</v>
      </c>
      <c r="V313" s="47">
        <f t="shared" si="25"/>
        <v>0</v>
      </c>
      <c r="W313" s="47">
        <f t="shared" si="26"/>
        <v>447</v>
      </c>
      <c r="X313" s="48">
        <f t="shared" si="27"/>
        <v>79.5</v>
      </c>
      <c r="Y313" s="49">
        <f t="shared" si="28"/>
        <v>1607.2</v>
      </c>
      <c r="Z313" s="50">
        <f t="shared" si="29"/>
        <v>1607</v>
      </c>
    </row>
    <row r="314" spans="1:26" x14ac:dyDescent="0.25">
      <c r="A314" s="173" t="s">
        <v>822</v>
      </c>
      <c r="B314" s="29" t="s">
        <v>79</v>
      </c>
      <c r="C314" s="29" t="s">
        <v>850</v>
      </c>
      <c r="D314" s="29">
        <v>37808427</v>
      </c>
      <c r="E314" s="171" t="s">
        <v>851</v>
      </c>
      <c r="F314" s="29">
        <v>160792</v>
      </c>
      <c r="G314" s="171" t="s">
        <v>49</v>
      </c>
      <c r="H314" s="171" t="s">
        <v>462</v>
      </c>
      <c r="I314" s="172" t="s">
        <v>896</v>
      </c>
      <c r="J314" s="42">
        <v>11</v>
      </c>
      <c r="K314" s="43">
        <v>0</v>
      </c>
      <c r="L314" s="43">
        <v>27</v>
      </c>
      <c r="M314" s="43">
        <v>0</v>
      </c>
      <c r="N314" s="43">
        <v>0</v>
      </c>
      <c r="O314" s="43">
        <v>10</v>
      </c>
      <c r="P314" s="52">
        <v>1</v>
      </c>
      <c r="Q314" s="42">
        <v>0</v>
      </c>
      <c r="R314" s="43">
        <v>172</v>
      </c>
      <c r="S314" s="44">
        <v>44</v>
      </c>
      <c r="T314" s="45">
        <f t="shared" si="24"/>
        <v>904.5</v>
      </c>
      <c r="U314" s="46">
        <v>0</v>
      </c>
      <c r="V314" s="47">
        <f t="shared" si="25"/>
        <v>0</v>
      </c>
      <c r="W314" s="47">
        <f t="shared" si="26"/>
        <v>479</v>
      </c>
      <c r="X314" s="48">
        <f t="shared" si="27"/>
        <v>93</v>
      </c>
      <c r="Y314" s="49">
        <f t="shared" si="28"/>
        <v>1476.5</v>
      </c>
      <c r="Z314" s="50">
        <f t="shared" si="29"/>
        <v>1477</v>
      </c>
    </row>
    <row r="315" spans="1:26" x14ac:dyDescent="0.25">
      <c r="A315" s="173" t="s">
        <v>822</v>
      </c>
      <c r="B315" s="29" t="s">
        <v>79</v>
      </c>
      <c r="C315" s="29" t="s">
        <v>850</v>
      </c>
      <c r="D315" s="29">
        <v>37808427</v>
      </c>
      <c r="E315" s="171" t="s">
        <v>851</v>
      </c>
      <c r="F315" s="29">
        <v>30232953</v>
      </c>
      <c r="G315" s="171" t="s">
        <v>100</v>
      </c>
      <c r="H315" s="171" t="s">
        <v>462</v>
      </c>
      <c r="I315" s="172" t="s">
        <v>897</v>
      </c>
      <c r="J315" s="42">
        <v>5</v>
      </c>
      <c r="K315" s="43">
        <v>0</v>
      </c>
      <c r="L315" s="43">
        <v>24</v>
      </c>
      <c r="M315" s="43">
        <v>0</v>
      </c>
      <c r="N315" s="43">
        <v>0</v>
      </c>
      <c r="O315" s="43">
        <v>5</v>
      </c>
      <c r="P315" s="52">
        <v>2</v>
      </c>
      <c r="Q315" s="42">
        <v>0</v>
      </c>
      <c r="R315" s="43">
        <v>75</v>
      </c>
      <c r="S315" s="44">
        <v>177</v>
      </c>
      <c r="T315" s="45">
        <f t="shared" si="24"/>
        <v>804</v>
      </c>
      <c r="U315" s="46">
        <v>0</v>
      </c>
      <c r="V315" s="47">
        <f t="shared" si="25"/>
        <v>0</v>
      </c>
      <c r="W315" s="47">
        <f t="shared" si="26"/>
        <v>217.5</v>
      </c>
      <c r="X315" s="48">
        <f t="shared" si="27"/>
        <v>319.5</v>
      </c>
      <c r="Y315" s="49">
        <f t="shared" si="28"/>
        <v>1341</v>
      </c>
      <c r="Z315" s="50">
        <f t="shared" si="29"/>
        <v>1341</v>
      </c>
    </row>
    <row r="316" spans="1:26" x14ac:dyDescent="0.25">
      <c r="A316" s="173" t="s">
        <v>822</v>
      </c>
      <c r="B316" s="29" t="s">
        <v>79</v>
      </c>
      <c r="C316" s="29" t="s">
        <v>850</v>
      </c>
      <c r="D316" s="29">
        <v>37808427</v>
      </c>
      <c r="E316" s="171" t="s">
        <v>851</v>
      </c>
      <c r="F316" s="29">
        <v>894826</v>
      </c>
      <c r="G316" s="171" t="s">
        <v>52</v>
      </c>
      <c r="H316" s="171" t="s">
        <v>462</v>
      </c>
      <c r="I316" s="172" t="s">
        <v>898</v>
      </c>
      <c r="J316" s="42">
        <v>10</v>
      </c>
      <c r="K316" s="43">
        <v>0</v>
      </c>
      <c r="L316" s="43">
        <v>49.5</v>
      </c>
      <c r="M316" s="43">
        <v>0</v>
      </c>
      <c r="N316" s="43">
        <v>0</v>
      </c>
      <c r="O316" s="43">
        <v>13</v>
      </c>
      <c r="P316" s="52">
        <v>2</v>
      </c>
      <c r="Q316" s="42">
        <v>0</v>
      </c>
      <c r="R316" s="43">
        <v>305</v>
      </c>
      <c r="S316" s="44">
        <v>115</v>
      </c>
      <c r="T316" s="45">
        <f t="shared" si="24"/>
        <v>1658.25</v>
      </c>
      <c r="U316" s="46">
        <v>83.5</v>
      </c>
      <c r="V316" s="47">
        <f t="shared" si="25"/>
        <v>0</v>
      </c>
      <c r="W316" s="47">
        <f t="shared" si="26"/>
        <v>785.5</v>
      </c>
      <c r="X316" s="48">
        <f t="shared" si="27"/>
        <v>226.5</v>
      </c>
      <c r="Y316" s="49">
        <f t="shared" si="28"/>
        <v>2753.75</v>
      </c>
      <c r="Z316" s="50">
        <f t="shared" si="29"/>
        <v>2754</v>
      </c>
    </row>
    <row r="317" spans="1:26" x14ac:dyDescent="0.25">
      <c r="A317" s="173" t="s">
        <v>822</v>
      </c>
      <c r="B317" s="29" t="s">
        <v>79</v>
      </c>
      <c r="C317" s="29" t="s">
        <v>850</v>
      </c>
      <c r="D317" s="29">
        <v>37808427</v>
      </c>
      <c r="E317" s="171" t="s">
        <v>851</v>
      </c>
      <c r="F317" s="29">
        <v>891894</v>
      </c>
      <c r="G317" s="171" t="s">
        <v>754</v>
      </c>
      <c r="H317" s="171" t="s">
        <v>462</v>
      </c>
      <c r="I317" s="172" t="s">
        <v>899</v>
      </c>
      <c r="J317" s="42">
        <v>8</v>
      </c>
      <c r="K317" s="43">
        <v>0</v>
      </c>
      <c r="L317" s="43">
        <v>32</v>
      </c>
      <c r="M317" s="43">
        <v>0</v>
      </c>
      <c r="N317" s="43">
        <v>2</v>
      </c>
      <c r="O317" s="43">
        <v>10</v>
      </c>
      <c r="P317" s="52">
        <v>1</v>
      </c>
      <c r="Q317" s="42">
        <v>25</v>
      </c>
      <c r="R317" s="43">
        <v>167</v>
      </c>
      <c r="S317" s="44">
        <v>57</v>
      </c>
      <c r="T317" s="45">
        <f t="shared" si="24"/>
        <v>1072</v>
      </c>
      <c r="U317" s="46">
        <v>114.13</v>
      </c>
      <c r="V317" s="47">
        <f t="shared" si="25"/>
        <v>64.5</v>
      </c>
      <c r="W317" s="47">
        <f t="shared" si="26"/>
        <v>469</v>
      </c>
      <c r="X317" s="48">
        <f t="shared" si="27"/>
        <v>112.5</v>
      </c>
      <c r="Y317" s="49">
        <f t="shared" si="28"/>
        <v>1832.13</v>
      </c>
      <c r="Z317" s="50">
        <f t="shared" si="29"/>
        <v>1832</v>
      </c>
    </row>
    <row r="318" spans="1:26" x14ac:dyDescent="0.25">
      <c r="A318" s="173" t="s">
        <v>822</v>
      </c>
      <c r="B318" s="29" t="s">
        <v>79</v>
      </c>
      <c r="C318" s="29" t="s">
        <v>850</v>
      </c>
      <c r="D318" s="29">
        <v>37808427</v>
      </c>
      <c r="E318" s="171" t="s">
        <v>851</v>
      </c>
      <c r="F318" s="29">
        <v>161551</v>
      </c>
      <c r="G318" s="171" t="s">
        <v>119</v>
      </c>
      <c r="H318" s="171" t="s">
        <v>462</v>
      </c>
      <c r="I318" s="172" t="s">
        <v>900</v>
      </c>
      <c r="J318" s="42">
        <v>17</v>
      </c>
      <c r="K318" s="43">
        <v>0</v>
      </c>
      <c r="L318" s="43">
        <v>55</v>
      </c>
      <c r="M318" s="43">
        <v>0</v>
      </c>
      <c r="N318" s="43">
        <v>0</v>
      </c>
      <c r="O318" s="43">
        <v>32</v>
      </c>
      <c r="P318" s="52">
        <v>1</v>
      </c>
      <c r="Q318" s="42">
        <v>0</v>
      </c>
      <c r="R318" s="43">
        <v>373</v>
      </c>
      <c r="S318" s="44">
        <v>122</v>
      </c>
      <c r="T318" s="45">
        <f t="shared" si="24"/>
        <v>1842.5</v>
      </c>
      <c r="U318" s="46">
        <v>1383.01</v>
      </c>
      <c r="V318" s="47">
        <f t="shared" si="25"/>
        <v>0</v>
      </c>
      <c r="W318" s="47">
        <f t="shared" si="26"/>
        <v>1178</v>
      </c>
      <c r="X318" s="48">
        <f t="shared" si="27"/>
        <v>210</v>
      </c>
      <c r="Y318" s="49">
        <f t="shared" si="28"/>
        <v>4613.51</v>
      </c>
      <c r="Z318" s="50">
        <f t="shared" si="29"/>
        <v>4614</v>
      </c>
    </row>
    <row r="319" spans="1:26" x14ac:dyDescent="0.25">
      <c r="A319" s="173" t="s">
        <v>822</v>
      </c>
      <c r="B319" s="29" t="s">
        <v>79</v>
      </c>
      <c r="C319" s="29" t="s">
        <v>850</v>
      </c>
      <c r="D319" s="29">
        <v>37808427</v>
      </c>
      <c r="E319" s="171" t="s">
        <v>851</v>
      </c>
      <c r="F319" s="29">
        <v>162817</v>
      </c>
      <c r="G319" s="171" t="s">
        <v>141</v>
      </c>
      <c r="H319" s="171" t="s">
        <v>901</v>
      </c>
      <c r="I319" s="172" t="s">
        <v>902</v>
      </c>
      <c r="J319" s="42">
        <v>13</v>
      </c>
      <c r="K319" s="43">
        <v>0</v>
      </c>
      <c r="L319" s="43">
        <v>30</v>
      </c>
      <c r="M319" s="43">
        <v>0</v>
      </c>
      <c r="N319" s="43">
        <v>2</v>
      </c>
      <c r="O319" s="43">
        <v>13</v>
      </c>
      <c r="P319" s="52">
        <v>0</v>
      </c>
      <c r="Q319" s="42">
        <v>20</v>
      </c>
      <c r="R319" s="43">
        <v>267</v>
      </c>
      <c r="S319" s="44">
        <v>0</v>
      </c>
      <c r="T319" s="45">
        <f t="shared" si="24"/>
        <v>1005</v>
      </c>
      <c r="U319" s="46">
        <v>225.83</v>
      </c>
      <c r="V319" s="47">
        <f t="shared" si="25"/>
        <v>57</v>
      </c>
      <c r="W319" s="47">
        <f t="shared" si="26"/>
        <v>709.5</v>
      </c>
      <c r="X319" s="48">
        <f t="shared" si="27"/>
        <v>0</v>
      </c>
      <c r="Y319" s="49">
        <f t="shared" si="28"/>
        <v>1997.33</v>
      </c>
      <c r="Z319" s="50">
        <f t="shared" si="29"/>
        <v>1997</v>
      </c>
    </row>
    <row r="320" spans="1:26" x14ac:dyDescent="0.25">
      <c r="A320" s="173" t="s">
        <v>822</v>
      </c>
      <c r="B320" s="29" t="s">
        <v>79</v>
      </c>
      <c r="C320" s="29" t="s">
        <v>850</v>
      </c>
      <c r="D320" s="29">
        <v>37808427</v>
      </c>
      <c r="E320" s="171" t="s">
        <v>851</v>
      </c>
      <c r="F320" s="29">
        <v>17050448</v>
      </c>
      <c r="G320" s="171" t="s">
        <v>52</v>
      </c>
      <c r="H320" s="171" t="s">
        <v>903</v>
      </c>
      <c r="I320" s="172" t="s">
        <v>904</v>
      </c>
      <c r="J320" s="42">
        <v>12</v>
      </c>
      <c r="K320" s="43">
        <v>0</v>
      </c>
      <c r="L320" s="43">
        <v>49</v>
      </c>
      <c r="M320" s="43">
        <v>0</v>
      </c>
      <c r="N320" s="43">
        <v>0</v>
      </c>
      <c r="O320" s="43">
        <v>17</v>
      </c>
      <c r="P320" s="52">
        <v>2</v>
      </c>
      <c r="Q320" s="42">
        <v>0</v>
      </c>
      <c r="R320" s="43">
        <v>430</v>
      </c>
      <c r="S320" s="44">
        <v>91</v>
      </c>
      <c r="T320" s="45">
        <f t="shared" si="24"/>
        <v>1641.5</v>
      </c>
      <c r="U320" s="46">
        <v>221.5</v>
      </c>
      <c r="V320" s="47">
        <f t="shared" si="25"/>
        <v>0</v>
      </c>
      <c r="W320" s="47">
        <f t="shared" si="26"/>
        <v>1089.5</v>
      </c>
      <c r="X320" s="48">
        <f t="shared" si="27"/>
        <v>190.5</v>
      </c>
      <c r="Y320" s="49">
        <f t="shared" si="28"/>
        <v>3143</v>
      </c>
      <c r="Z320" s="50">
        <f t="shared" si="29"/>
        <v>3143</v>
      </c>
    </row>
    <row r="321" spans="1:26" x14ac:dyDescent="0.25">
      <c r="A321" s="170" t="s">
        <v>822</v>
      </c>
      <c r="B321" s="51" t="s">
        <v>79</v>
      </c>
      <c r="C321" s="51" t="s">
        <v>850</v>
      </c>
      <c r="D321" s="51">
        <v>37808427</v>
      </c>
      <c r="E321" s="171" t="s">
        <v>851</v>
      </c>
      <c r="F321" s="51">
        <v>626848</v>
      </c>
      <c r="G321" s="171" t="s">
        <v>49</v>
      </c>
      <c r="H321" s="171" t="s">
        <v>905</v>
      </c>
      <c r="I321" s="172" t="s">
        <v>906</v>
      </c>
      <c r="J321" s="42">
        <v>6</v>
      </c>
      <c r="K321" s="43">
        <v>0</v>
      </c>
      <c r="L321" s="43">
        <v>13</v>
      </c>
      <c r="M321" s="43">
        <v>0</v>
      </c>
      <c r="N321" s="43">
        <v>1</v>
      </c>
      <c r="O321" s="43">
        <v>6</v>
      </c>
      <c r="P321" s="52">
        <v>0</v>
      </c>
      <c r="Q321" s="42">
        <v>1</v>
      </c>
      <c r="R321" s="43">
        <v>139</v>
      </c>
      <c r="S321" s="44">
        <v>0</v>
      </c>
      <c r="T321" s="45">
        <f t="shared" si="24"/>
        <v>435.5</v>
      </c>
      <c r="U321" s="46">
        <v>0</v>
      </c>
      <c r="V321" s="47">
        <f t="shared" si="25"/>
        <v>15</v>
      </c>
      <c r="W321" s="47">
        <f t="shared" si="26"/>
        <v>359</v>
      </c>
      <c r="X321" s="48">
        <f t="shared" si="27"/>
        <v>0</v>
      </c>
      <c r="Y321" s="49">
        <f t="shared" si="28"/>
        <v>809.5</v>
      </c>
      <c r="Z321" s="50">
        <f t="shared" si="29"/>
        <v>810</v>
      </c>
    </row>
    <row r="322" spans="1:26" x14ac:dyDescent="0.25">
      <c r="A322" s="173" t="s">
        <v>822</v>
      </c>
      <c r="B322" s="29" t="s">
        <v>79</v>
      </c>
      <c r="C322" s="29" t="s">
        <v>850</v>
      </c>
      <c r="D322" s="29">
        <v>37808427</v>
      </c>
      <c r="E322" s="171" t="s">
        <v>851</v>
      </c>
      <c r="F322" s="29">
        <v>517801</v>
      </c>
      <c r="G322" s="171" t="s">
        <v>907</v>
      </c>
      <c r="H322" s="171" t="s">
        <v>905</v>
      </c>
      <c r="I322" s="172" t="s">
        <v>908</v>
      </c>
      <c r="J322" s="42">
        <v>6</v>
      </c>
      <c r="K322" s="43">
        <v>6</v>
      </c>
      <c r="L322" s="43">
        <v>26</v>
      </c>
      <c r="M322" s="43">
        <v>14</v>
      </c>
      <c r="N322" s="43">
        <v>12</v>
      </c>
      <c r="O322" s="43">
        <v>8</v>
      </c>
      <c r="P322" s="52">
        <v>1</v>
      </c>
      <c r="Q322" s="42">
        <v>116</v>
      </c>
      <c r="R322" s="43">
        <v>200</v>
      </c>
      <c r="S322" s="44">
        <v>106</v>
      </c>
      <c r="T322" s="45">
        <f t="shared" si="24"/>
        <v>871</v>
      </c>
      <c r="U322" s="46">
        <v>228.9</v>
      </c>
      <c r="V322" s="47">
        <f t="shared" si="25"/>
        <v>336</v>
      </c>
      <c r="W322" s="47">
        <f t="shared" si="26"/>
        <v>508</v>
      </c>
      <c r="X322" s="48">
        <f t="shared" si="27"/>
        <v>186</v>
      </c>
      <c r="Y322" s="49">
        <f t="shared" si="28"/>
        <v>2129.9</v>
      </c>
      <c r="Z322" s="50">
        <f t="shared" si="29"/>
        <v>2130</v>
      </c>
    </row>
    <row r="323" spans="1:26" ht="26.25" x14ac:dyDescent="0.25">
      <c r="A323" s="174" t="s">
        <v>822</v>
      </c>
      <c r="B323" s="30" t="s">
        <v>79</v>
      </c>
      <c r="C323" s="30" t="s">
        <v>850</v>
      </c>
      <c r="D323" s="30">
        <v>37808427</v>
      </c>
      <c r="E323" s="31" t="s">
        <v>851</v>
      </c>
      <c r="F323" s="30">
        <v>53948998</v>
      </c>
      <c r="G323" s="176" t="s">
        <v>909</v>
      </c>
      <c r="H323" s="171" t="s">
        <v>905</v>
      </c>
      <c r="I323" s="172" t="s">
        <v>910</v>
      </c>
      <c r="J323" s="42">
        <v>9</v>
      </c>
      <c r="K323" s="43">
        <v>2</v>
      </c>
      <c r="L323" s="43">
        <v>27</v>
      </c>
      <c r="M323" s="43">
        <v>9</v>
      </c>
      <c r="N323" s="43">
        <v>5</v>
      </c>
      <c r="O323" s="43">
        <v>12</v>
      </c>
      <c r="P323" s="52">
        <v>0</v>
      </c>
      <c r="Q323" s="42">
        <v>127</v>
      </c>
      <c r="R323" s="43">
        <v>266</v>
      </c>
      <c r="S323" s="44">
        <v>0</v>
      </c>
      <c r="T323" s="45">
        <f t="shared" si="24"/>
        <v>904.5</v>
      </c>
      <c r="U323" s="46">
        <v>81.099999999999994</v>
      </c>
      <c r="V323" s="47">
        <f t="shared" si="25"/>
        <v>258</v>
      </c>
      <c r="W323" s="47">
        <f t="shared" si="26"/>
        <v>694</v>
      </c>
      <c r="X323" s="48">
        <f t="shared" si="27"/>
        <v>0</v>
      </c>
      <c r="Y323" s="49">
        <f t="shared" si="28"/>
        <v>1937.6</v>
      </c>
      <c r="Z323" s="50">
        <f t="shared" si="29"/>
        <v>1938</v>
      </c>
    </row>
    <row r="324" spans="1:26" x14ac:dyDescent="0.25">
      <c r="A324" s="173" t="s">
        <v>822</v>
      </c>
      <c r="B324" s="29" t="s">
        <v>79</v>
      </c>
      <c r="C324" s="29" t="s">
        <v>850</v>
      </c>
      <c r="D324" s="29">
        <v>37808427</v>
      </c>
      <c r="E324" s="171" t="s">
        <v>851</v>
      </c>
      <c r="F324" s="29">
        <v>160776</v>
      </c>
      <c r="G324" s="171" t="s">
        <v>49</v>
      </c>
      <c r="H324" s="171" t="s">
        <v>911</v>
      </c>
      <c r="I324" s="172" t="s">
        <v>912</v>
      </c>
      <c r="J324" s="42">
        <v>2</v>
      </c>
      <c r="K324" s="43">
        <v>0</v>
      </c>
      <c r="L324" s="43">
        <v>2</v>
      </c>
      <c r="M324" s="43">
        <v>0</v>
      </c>
      <c r="N324" s="43">
        <v>0</v>
      </c>
      <c r="O324" s="43">
        <v>2</v>
      </c>
      <c r="P324" s="52">
        <v>0</v>
      </c>
      <c r="Q324" s="42">
        <v>0</v>
      </c>
      <c r="R324" s="43">
        <v>12</v>
      </c>
      <c r="S324" s="44">
        <v>0</v>
      </c>
      <c r="T324" s="45">
        <f t="shared" ref="T324:T387" si="30">$T$1*L324</f>
        <v>67</v>
      </c>
      <c r="U324" s="46">
        <v>13.9</v>
      </c>
      <c r="V324" s="47">
        <f t="shared" ref="V324:V339" si="31">$U$1*N324+$V$1*Q324</f>
        <v>0</v>
      </c>
      <c r="W324" s="47">
        <f t="shared" ref="W324:W387" si="32">$U$1*O324+$W$1*R324</f>
        <v>51</v>
      </c>
      <c r="X324" s="48">
        <f t="shared" ref="X324:X387" si="33">$X$1*P324+$V$1*S324</f>
        <v>0</v>
      </c>
      <c r="Y324" s="49">
        <f t="shared" ref="Y324:Y387" si="34">T324+U324+V324+W324+X324</f>
        <v>131.9</v>
      </c>
      <c r="Z324" s="50">
        <f t="shared" ref="Z324:Z387" si="35">ROUND(Y324,0)</f>
        <v>132</v>
      </c>
    </row>
    <row r="325" spans="1:26" x14ac:dyDescent="0.25">
      <c r="A325" s="173" t="s">
        <v>822</v>
      </c>
      <c r="B325" s="29" t="s">
        <v>79</v>
      </c>
      <c r="C325" s="29" t="s">
        <v>850</v>
      </c>
      <c r="D325" s="29">
        <v>37808427</v>
      </c>
      <c r="E325" s="171" t="s">
        <v>851</v>
      </c>
      <c r="F325" s="29">
        <v>160890</v>
      </c>
      <c r="G325" s="171" t="s">
        <v>49</v>
      </c>
      <c r="H325" s="171" t="s">
        <v>224</v>
      </c>
      <c r="I325" s="172" t="s">
        <v>913</v>
      </c>
      <c r="J325" s="42">
        <v>19</v>
      </c>
      <c r="K325" s="43">
        <v>0</v>
      </c>
      <c r="L325" s="43">
        <v>58</v>
      </c>
      <c r="M325" s="43">
        <v>0</v>
      </c>
      <c r="N325" s="43">
        <v>1</v>
      </c>
      <c r="O325" s="43">
        <v>19</v>
      </c>
      <c r="P325" s="52">
        <v>3</v>
      </c>
      <c r="Q325" s="42">
        <v>21</v>
      </c>
      <c r="R325" s="43">
        <v>402</v>
      </c>
      <c r="S325" s="44">
        <v>220</v>
      </c>
      <c r="T325" s="45">
        <f t="shared" si="30"/>
        <v>1943</v>
      </c>
      <c r="U325" s="46">
        <v>375.07</v>
      </c>
      <c r="V325" s="47">
        <f t="shared" si="31"/>
        <v>45</v>
      </c>
      <c r="W325" s="47">
        <f t="shared" si="32"/>
        <v>1060.5</v>
      </c>
      <c r="X325" s="48">
        <f t="shared" si="33"/>
        <v>411</v>
      </c>
      <c r="Y325" s="49">
        <f t="shared" si="34"/>
        <v>3834.57</v>
      </c>
      <c r="Z325" s="50">
        <f t="shared" si="35"/>
        <v>3835</v>
      </c>
    </row>
    <row r="326" spans="1:26" x14ac:dyDescent="0.25">
      <c r="A326" s="173" t="s">
        <v>822</v>
      </c>
      <c r="B326" s="29" t="s">
        <v>79</v>
      </c>
      <c r="C326" s="29" t="s">
        <v>850</v>
      </c>
      <c r="D326" s="29">
        <v>37808427</v>
      </c>
      <c r="E326" s="171" t="s">
        <v>851</v>
      </c>
      <c r="F326" s="29">
        <v>160903</v>
      </c>
      <c r="G326" s="171" t="s">
        <v>49</v>
      </c>
      <c r="H326" s="171" t="s">
        <v>224</v>
      </c>
      <c r="I326" s="172" t="s">
        <v>914</v>
      </c>
      <c r="J326" s="42">
        <v>13</v>
      </c>
      <c r="K326" s="43">
        <v>0</v>
      </c>
      <c r="L326" s="43">
        <v>28</v>
      </c>
      <c r="M326" s="43">
        <v>0</v>
      </c>
      <c r="N326" s="43">
        <v>1</v>
      </c>
      <c r="O326" s="43">
        <v>12</v>
      </c>
      <c r="P326" s="52">
        <v>1</v>
      </c>
      <c r="Q326" s="42">
        <v>16</v>
      </c>
      <c r="R326" s="43">
        <v>216</v>
      </c>
      <c r="S326" s="44">
        <v>120</v>
      </c>
      <c r="T326" s="45">
        <f t="shared" si="30"/>
        <v>938</v>
      </c>
      <c r="U326" s="46">
        <v>0</v>
      </c>
      <c r="V326" s="47">
        <f t="shared" si="31"/>
        <v>37.5</v>
      </c>
      <c r="W326" s="47">
        <f t="shared" si="32"/>
        <v>594</v>
      </c>
      <c r="X326" s="48">
        <f t="shared" si="33"/>
        <v>207</v>
      </c>
      <c r="Y326" s="49">
        <f t="shared" si="34"/>
        <v>1776.5</v>
      </c>
      <c r="Z326" s="50">
        <f t="shared" si="35"/>
        <v>1777</v>
      </c>
    </row>
    <row r="327" spans="1:26" x14ac:dyDescent="0.25">
      <c r="A327" s="173" t="s">
        <v>822</v>
      </c>
      <c r="B327" s="29" t="s">
        <v>79</v>
      </c>
      <c r="C327" s="29" t="s">
        <v>850</v>
      </c>
      <c r="D327" s="29">
        <v>37808427</v>
      </c>
      <c r="E327" s="171" t="s">
        <v>851</v>
      </c>
      <c r="F327" s="29">
        <v>31914551</v>
      </c>
      <c r="G327" s="171" t="s">
        <v>49</v>
      </c>
      <c r="H327" s="171" t="s">
        <v>224</v>
      </c>
      <c r="I327" s="172" t="s">
        <v>915</v>
      </c>
      <c r="J327" s="42">
        <v>20</v>
      </c>
      <c r="K327" s="43">
        <v>0</v>
      </c>
      <c r="L327" s="43">
        <v>61</v>
      </c>
      <c r="M327" s="43">
        <v>0</v>
      </c>
      <c r="N327" s="43">
        <v>2</v>
      </c>
      <c r="O327" s="43">
        <v>17</v>
      </c>
      <c r="P327" s="52">
        <v>2</v>
      </c>
      <c r="Q327" s="42">
        <v>50</v>
      </c>
      <c r="R327" s="43">
        <v>504</v>
      </c>
      <c r="S327" s="44">
        <v>155</v>
      </c>
      <c r="T327" s="45">
        <f t="shared" si="30"/>
        <v>2043.5</v>
      </c>
      <c r="U327" s="46">
        <v>314.11</v>
      </c>
      <c r="V327" s="47">
        <f t="shared" si="31"/>
        <v>102</v>
      </c>
      <c r="W327" s="47">
        <f t="shared" si="32"/>
        <v>1237.5</v>
      </c>
      <c r="X327" s="48">
        <f t="shared" si="33"/>
        <v>286.5</v>
      </c>
      <c r="Y327" s="49">
        <f t="shared" si="34"/>
        <v>3983.61</v>
      </c>
      <c r="Z327" s="50">
        <f t="shared" si="35"/>
        <v>3984</v>
      </c>
    </row>
    <row r="328" spans="1:26" x14ac:dyDescent="0.25">
      <c r="A328" s="173" t="s">
        <v>822</v>
      </c>
      <c r="B328" s="29" t="s">
        <v>79</v>
      </c>
      <c r="C328" s="29" t="s">
        <v>850</v>
      </c>
      <c r="D328" s="29">
        <v>37808427</v>
      </c>
      <c r="E328" s="171" t="s">
        <v>851</v>
      </c>
      <c r="F328" s="29">
        <v>158623</v>
      </c>
      <c r="G328" s="171" t="s">
        <v>121</v>
      </c>
      <c r="H328" s="171" t="s">
        <v>224</v>
      </c>
      <c r="I328" s="172" t="s">
        <v>916</v>
      </c>
      <c r="J328" s="42">
        <v>18</v>
      </c>
      <c r="K328" s="43">
        <v>0</v>
      </c>
      <c r="L328" s="43">
        <v>55</v>
      </c>
      <c r="M328" s="43">
        <v>0</v>
      </c>
      <c r="N328" s="43">
        <v>0</v>
      </c>
      <c r="O328" s="43">
        <v>21</v>
      </c>
      <c r="P328" s="52">
        <v>2</v>
      </c>
      <c r="Q328" s="42">
        <v>0</v>
      </c>
      <c r="R328" s="43">
        <v>405</v>
      </c>
      <c r="S328" s="44">
        <v>100</v>
      </c>
      <c r="T328" s="45">
        <f t="shared" si="30"/>
        <v>1842.5</v>
      </c>
      <c r="U328" s="46">
        <v>153.35</v>
      </c>
      <c r="V328" s="47">
        <f t="shared" si="31"/>
        <v>0</v>
      </c>
      <c r="W328" s="47">
        <f t="shared" si="32"/>
        <v>1093.5</v>
      </c>
      <c r="X328" s="48">
        <f t="shared" si="33"/>
        <v>204</v>
      </c>
      <c r="Y328" s="49">
        <f t="shared" si="34"/>
        <v>3293.35</v>
      </c>
      <c r="Z328" s="50">
        <f t="shared" si="35"/>
        <v>3293</v>
      </c>
    </row>
    <row r="329" spans="1:26" x14ac:dyDescent="0.25">
      <c r="A329" s="170" t="s">
        <v>822</v>
      </c>
      <c r="B329" s="51" t="s">
        <v>79</v>
      </c>
      <c r="C329" s="51" t="s">
        <v>850</v>
      </c>
      <c r="D329" s="51">
        <v>37808427</v>
      </c>
      <c r="E329" s="171" t="s">
        <v>851</v>
      </c>
      <c r="F329" s="51">
        <v>162752</v>
      </c>
      <c r="G329" s="171" t="s">
        <v>86</v>
      </c>
      <c r="H329" s="171" t="s">
        <v>224</v>
      </c>
      <c r="I329" s="172" t="s">
        <v>917</v>
      </c>
      <c r="J329" s="42">
        <v>2</v>
      </c>
      <c r="K329" s="43">
        <v>1</v>
      </c>
      <c r="L329" s="43">
        <v>12</v>
      </c>
      <c r="M329" s="43">
        <v>4</v>
      </c>
      <c r="N329" s="43">
        <v>0</v>
      </c>
      <c r="O329" s="43">
        <v>3</v>
      </c>
      <c r="P329" s="52">
        <v>0</v>
      </c>
      <c r="Q329" s="42">
        <v>0</v>
      </c>
      <c r="R329" s="43">
        <v>183</v>
      </c>
      <c r="S329" s="44">
        <v>0</v>
      </c>
      <c r="T329" s="45">
        <f t="shared" si="30"/>
        <v>402</v>
      </c>
      <c r="U329" s="46">
        <v>0</v>
      </c>
      <c r="V329" s="47">
        <f t="shared" si="31"/>
        <v>0</v>
      </c>
      <c r="W329" s="47">
        <f t="shared" si="32"/>
        <v>406.5</v>
      </c>
      <c r="X329" s="48">
        <f t="shared" si="33"/>
        <v>0</v>
      </c>
      <c r="Y329" s="49">
        <f t="shared" si="34"/>
        <v>808.5</v>
      </c>
      <c r="Z329" s="50">
        <f t="shared" si="35"/>
        <v>809</v>
      </c>
    </row>
    <row r="330" spans="1:26" x14ac:dyDescent="0.25">
      <c r="A330" s="170" t="s">
        <v>822</v>
      </c>
      <c r="B330" s="51" t="s">
        <v>79</v>
      </c>
      <c r="C330" s="51" t="s">
        <v>850</v>
      </c>
      <c r="D330" s="51">
        <v>37808427</v>
      </c>
      <c r="E330" s="171" t="s">
        <v>851</v>
      </c>
      <c r="F330" s="51">
        <v>162124</v>
      </c>
      <c r="G330" s="171" t="s">
        <v>100</v>
      </c>
      <c r="H330" s="171" t="s">
        <v>224</v>
      </c>
      <c r="I330" s="172" t="s">
        <v>918</v>
      </c>
      <c r="J330" s="42">
        <v>8</v>
      </c>
      <c r="K330" s="43">
        <v>1</v>
      </c>
      <c r="L330" s="43">
        <v>30</v>
      </c>
      <c r="M330" s="43">
        <v>6</v>
      </c>
      <c r="N330" s="43">
        <v>3</v>
      </c>
      <c r="O330" s="43">
        <v>14</v>
      </c>
      <c r="P330" s="52">
        <v>1</v>
      </c>
      <c r="Q330" s="42">
        <v>50</v>
      </c>
      <c r="R330" s="43">
        <v>246</v>
      </c>
      <c r="S330" s="44">
        <v>95</v>
      </c>
      <c r="T330" s="45">
        <f t="shared" si="30"/>
        <v>1005</v>
      </c>
      <c r="U330" s="46">
        <v>0</v>
      </c>
      <c r="V330" s="47">
        <f t="shared" si="31"/>
        <v>115.5</v>
      </c>
      <c r="W330" s="47">
        <f t="shared" si="32"/>
        <v>681</v>
      </c>
      <c r="X330" s="48">
        <f t="shared" si="33"/>
        <v>169.5</v>
      </c>
      <c r="Y330" s="49">
        <f t="shared" si="34"/>
        <v>1971</v>
      </c>
      <c r="Z330" s="50">
        <f t="shared" si="35"/>
        <v>1971</v>
      </c>
    </row>
    <row r="331" spans="1:26" x14ac:dyDescent="0.25">
      <c r="A331" s="173" t="s">
        <v>822</v>
      </c>
      <c r="B331" s="29" t="s">
        <v>79</v>
      </c>
      <c r="C331" s="29" t="s">
        <v>850</v>
      </c>
      <c r="D331" s="29">
        <v>37808427</v>
      </c>
      <c r="E331" s="171" t="s">
        <v>851</v>
      </c>
      <c r="F331" s="29">
        <v>695106</v>
      </c>
      <c r="G331" s="171" t="s">
        <v>52</v>
      </c>
      <c r="H331" s="171" t="s">
        <v>224</v>
      </c>
      <c r="I331" s="172" t="s">
        <v>919</v>
      </c>
      <c r="J331" s="42">
        <v>13</v>
      </c>
      <c r="K331" s="43">
        <v>1</v>
      </c>
      <c r="L331" s="43">
        <v>42</v>
      </c>
      <c r="M331" s="43">
        <v>1</v>
      </c>
      <c r="N331" s="43">
        <v>3</v>
      </c>
      <c r="O331" s="43">
        <v>13</v>
      </c>
      <c r="P331" s="52">
        <v>1</v>
      </c>
      <c r="Q331" s="42">
        <v>24</v>
      </c>
      <c r="R331" s="43">
        <v>300</v>
      </c>
      <c r="S331" s="44">
        <v>213</v>
      </c>
      <c r="T331" s="45">
        <f t="shared" si="30"/>
        <v>1407</v>
      </c>
      <c r="U331" s="46">
        <v>268.63</v>
      </c>
      <c r="V331" s="47">
        <f t="shared" si="31"/>
        <v>76.5</v>
      </c>
      <c r="W331" s="47">
        <f t="shared" si="32"/>
        <v>775.5</v>
      </c>
      <c r="X331" s="48">
        <f t="shared" si="33"/>
        <v>346.5</v>
      </c>
      <c r="Y331" s="49">
        <f t="shared" si="34"/>
        <v>2874.13</v>
      </c>
      <c r="Z331" s="50">
        <f t="shared" si="35"/>
        <v>2874</v>
      </c>
    </row>
    <row r="332" spans="1:26" x14ac:dyDescent="0.25">
      <c r="A332" s="173" t="s">
        <v>822</v>
      </c>
      <c r="B332" s="29" t="s">
        <v>79</v>
      </c>
      <c r="C332" s="29" t="s">
        <v>850</v>
      </c>
      <c r="D332" s="29">
        <v>37808427</v>
      </c>
      <c r="E332" s="171" t="s">
        <v>851</v>
      </c>
      <c r="F332" s="29">
        <v>158615</v>
      </c>
      <c r="G332" s="171" t="s">
        <v>52</v>
      </c>
      <c r="H332" s="171" t="s">
        <v>224</v>
      </c>
      <c r="I332" s="172" t="s">
        <v>920</v>
      </c>
      <c r="J332" s="42">
        <v>8</v>
      </c>
      <c r="K332" s="43">
        <v>0</v>
      </c>
      <c r="L332" s="43">
        <v>30</v>
      </c>
      <c r="M332" s="43">
        <v>0</v>
      </c>
      <c r="N332" s="43">
        <v>1</v>
      </c>
      <c r="O332" s="43">
        <v>8</v>
      </c>
      <c r="P332" s="52">
        <v>3</v>
      </c>
      <c r="Q332" s="42">
        <v>10</v>
      </c>
      <c r="R332" s="43">
        <v>262</v>
      </c>
      <c r="S332" s="44">
        <v>170</v>
      </c>
      <c r="T332" s="45">
        <f t="shared" si="30"/>
        <v>1005</v>
      </c>
      <c r="U332" s="46">
        <v>226.7</v>
      </c>
      <c r="V332" s="47">
        <f t="shared" si="31"/>
        <v>28.5</v>
      </c>
      <c r="W332" s="47">
        <f t="shared" si="32"/>
        <v>632</v>
      </c>
      <c r="X332" s="48">
        <f t="shared" si="33"/>
        <v>336</v>
      </c>
      <c r="Y332" s="49">
        <f t="shared" si="34"/>
        <v>2228.1999999999998</v>
      </c>
      <c r="Z332" s="50">
        <f t="shared" si="35"/>
        <v>2228</v>
      </c>
    </row>
    <row r="333" spans="1:26" x14ac:dyDescent="0.25">
      <c r="A333" s="173" t="s">
        <v>822</v>
      </c>
      <c r="B333" s="29" t="s">
        <v>79</v>
      </c>
      <c r="C333" s="29" t="s">
        <v>850</v>
      </c>
      <c r="D333" s="29">
        <v>37808427</v>
      </c>
      <c r="E333" s="171" t="s">
        <v>851</v>
      </c>
      <c r="F333" s="29">
        <v>651117</v>
      </c>
      <c r="G333" s="171" t="s">
        <v>104</v>
      </c>
      <c r="H333" s="171" t="s">
        <v>224</v>
      </c>
      <c r="I333" s="172" t="s">
        <v>921</v>
      </c>
      <c r="J333" s="42">
        <v>23</v>
      </c>
      <c r="K333" s="43">
        <v>0</v>
      </c>
      <c r="L333" s="43">
        <v>91</v>
      </c>
      <c r="M333" s="43">
        <v>0</v>
      </c>
      <c r="N333" s="43">
        <v>3</v>
      </c>
      <c r="O333" s="43">
        <v>30</v>
      </c>
      <c r="P333" s="52">
        <v>2</v>
      </c>
      <c r="Q333" s="42">
        <v>140</v>
      </c>
      <c r="R333" s="43">
        <v>538</v>
      </c>
      <c r="S333" s="44">
        <v>264</v>
      </c>
      <c r="T333" s="45">
        <f t="shared" si="30"/>
        <v>3048.5</v>
      </c>
      <c r="U333" s="46">
        <v>639.25</v>
      </c>
      <c r="V333" s="47">
        <f t="shared" si="31"/>
        <v>250.5</v>
      </c>
      <c r="W333" s="47">
        <f t="shared" si="32"/>
        <v>1481</v>
      </c>
      <c r="X333" s="48">
        <f t="shared" si="33"/>
        <v>450</v>
      </c>
      <c r="Y333" s="49">
        <f t="shared" si="34"/>
        <v>5869.25</v>
      </c>
      <c r="Z333" s="50">
        <f t="shared" si="35"/>
        <v>5869</v>
      </c>
    </row>
    <row r="334" spans="1:26" x14ac:dyDescent="0.25">
      <c r="A334" s="173" t="s">
        <v>822</v>
      </c>
      <c r="B334" s="29" t="s">
        <v>79</v>
      </c>
      <c r="C334" s="29" t="s">
        <v>850</v>
      </c>
      <c r="D334" s="29">
        <v>37808427</v>
      </c>
      <c r="E334" s="171" t="s">
        <v>851</v>
      </c>
      <c r="F334" s="29">
        <v>17055377</v>
      </c>
      <c r="G334" s="171" t="s">
        <v>138</v>
      </c>
      <c r="H334" s="171" t="s">
        <v>224</v>
      </c>
      <c r="I334" s="172" t="s">
        <v>922</v>
      </c>
      <c r="J334" s="42">
        <v>5</v>
      </c>
      <c r="K334" s="43">
        <v>2</v>
      </c>
      <c r="L334" s="43">
        <v>25</v>
      </c>
      <c r="M334" s="43">
        <v>9</v>
      </c>
      <c r="N334" s="43">
        <v>7</v>
      </c>
      <c r="O334" s="43">
        <v>10</v>
      </c>
      <c r="P334" s="52">
        <v>0</v>
      </c>
      <c r="Q334" s="42">
        <v>81</v>
      </c>
      <c r="R334" s="43">
        <v>233</v>
      </c>
      <c r="S334" s="44">
        <v>0</v>
      </c>
      <c r="T334" s="45">
        <f t="shared" si="30"/>
        <v>837.5</v>
      </c>
      <c r="U334" s="46">
        <v>246.55</v>
      </c>
      <c r="V334" s="47">
        <f t="shared" si="31"/>
        <v>216</v>
      </c>
      <c r="W334" s="47">
        <f t="shared" si="32"/>
        <v>601</v>
      </c>
      <c r="X334" s="48">
        <f t="shared" si="33"/>
        <v>0</v>
      </c>
      <c r="Y334" s="49">
        <f t="shared" si="34"/>
        <v>1901.05</v>
      </c>
      <c r="Z334" s="50">
        <f t="shared" si="35"/>
        <v>1901</v>
      </c>
    </row>
    <row r="335" spans="1:26" x14ac:dyDescent="0.25">
      <c r="A335" s="173" t="s">
        <v>822</v>
      </c>
      <c r="B335" s="29" t="s">
        <v>79</v>
      </c>
      <c r="C335" s="29" t="s">
        <v>850</v>
      </c>
      <c r="D335" s="29">
        <v>37808427</v>
      </c>
      <c r="E335" s="171" t="s">
        <v>851</v>
      </c>
      <c r="F335" s="29">
        <v>893544</v>
      </c>
      <c r="G335" s="171" t="s">
        <v>152</v>
      </c>
      <c r="H335" s="171" t="s">
        <v>224</v>
      </c>
      <c r="I335" s="172" t="s">
        <v>923</v>
      </c>
      <c r="J335" s="42">
        <v>2</v>
      </c>
      <c r="K335" s="43">
        <v>0</v>
      </c>
      <c r="L335" s="43">
        <v>6</v>
      </c>
      <c r="M335" s="43">
        <v>0</v>
      </c>
      <c r="N335" s="43">
        <v>0</v>
      </c>
      <c r="O335" s="43">
        <v>4</v>
      </c>
      <c r="P335" s="52">
        <v>0</v>
      </c>
      <c r="Q335" s="42">
        <v>0</v>
      </c>
      <c r="R335" s="43">
        <v>33</v>
      </c>
      <c r="S335" s="44">
        <v>0</v>
      </c>
      <c r="T335" s="45">
        <f t="shared" si="30"/>
        <v>201</v>
      </c>
      <c r="U335" s="46">
        <v>57.9</v>
      </c>
      <c r="V335" s="47">
        <f t="shared" si="31"/>
        <v>0</v>
      </c>
      <c r="W335" s="47">
        <f t="shared" si="32"/>
        <v>120</v>
      </c>
      <c r="X335" s="48">
        <f t="shared" si="33"/>
        <v>0</v>
      </c>
      <c r="Y335" s="49">
        <f t="shared" si="34"/>
        <v>378.9</v>
      </c>
      <c r="Z335" s="50">
        <f t="shared" si="35"/>
        <v>379</v>
      </c>
    </row>
    <row r="336" spans="1:26" ht="25.5" x14ac:dyDescent="0.25">
      <c r="A336" s="174" t="s">
        <v>822</v>
      </c>
      <c r="B336" s="30" t="s">
        <v>79</v>
      </c>
      <c r="C336" s="30" t="s">
        <v>850</v>
      </c>
      <c r="D336" s="30">
        <v>37808427</v>
      </c>
      <c r="E336" s="177" t="s">
        <v>851</v>
      </c>
      <c r="F336" s="30">
        <v>162558</v>
      </c>
      <c r="G336" s="178" t="s">
        <v>446</v>
      </c>
      <c r="H336" s="177" t="s">
        <v>224</v>
      </c>
      <c r="I336" s="179" t="s">
        <v>924</v>
      </c>
      <c r="J336" s="42">
        <v>15</v>
      </c>
      <c r="K336" s="43">
        <v>1</v>
      </c>
      <c r="L336" s="43">
        <v>59</v>
      </c>
      <c r="M336" s="43">
        <v>8</v>
      </c>
      <c r="N336" s="43">
        <v>1</v>
      </c>
      <c r="O336" s="43">
        <v>22</v>
      </c>
      <c r="P336" s="52">
        <v>2</v>
      </c>
      <c r="Q336" s="42">
        <v>79</v>
      </c>
      <c r="R336" s="43">
        <v>501</v>
      </c>
      <c r="S336" s="44">
        <v>134</v>
      </c>
      <c r="T336" s="45">
        <f t="shared" si="30"/>
        <v>1976.5</v>
      </c>
      <c r="U336" s="46">
        <v>363.3</v>
      </c>
      <c r="V336" s="47">
        <f t="shared" si="31"/>
        <v>132</v>
      </c>
      <c r="W336" s="47">
        <f t="shared" si="32"/>
        <v>1299</v>
      </c>
      <c r="X336" s="48">
        <f t="shared" si="33"/>
        <v>255</v>
      </c>
      <c r="Y336" s="49">
        <f t="shared" si="34"/>
        <v>4025.8</v>
      </c>
      <c r="Z336" s="50">
        <f t="shared" si="35"/>
        <v>4026</v>
      </c>
    </row>
    <row r="337" spans="1:26" x14ac:dyDescent="0.25">
      <c r="A337" s="173" t="s">
        <v>822</v>
      </c>
      <c r="B337" s="29" t="s">
        <v>79</v>
      </c>
      <c r="C337" s="29" t="s">
        <v>850</v>
      </c>
      <c r="D337" s="29">
        <v>37808427</v>
      </c>
      <c r="E337" s="171" t="s">
        <v>851</v>
      </c>
      <c r="F337" s="29">
        <v>893226</v>
      </c>
      <c r="G337" s="171" t="s">
        <v>701</v>
      </c>
      <c r="H337" s="171" t="s">
        <v>224</v>
      </c>
      <c r="I337" s="172" t="s">
        <v>925</v>
      </c>
      <c r="J337" s="42">
        <v>16</v>
      </c>
      <c r="K337" s="43">
        <v>2</v>
      </c>
      <c r="L337" s="43">
        <v>66</v>
      </c>
      <c r="M337" s="43">
        <v>5</v>
      </c>
      <c r="N337" s="43">
        <v>3</v>
      </c>
      <c r="O337" s="43">
        <v>21</v>
      </c>
      <c r="P337" s="52">
        <v>2</v>
      </c>
      <c r="Q337" s="42">
        <v>30</v>
      </c>
      <c r="R337" s="43">
        <v>390</v>
      </c>
      <c r="S337" s="44">
        <v>163</v>
      </c>
      <c r="T337" s="45">
        <f t="shared" si="30"/>
        <v>2211</v>
      </c>
      <c r="U337" s="46">
        <v>488.5</v>
      </c>
      <c r="V337" s="47">
        <f t="shared" si="31"/>
        <v>85.5</v>
      </c>
      <c r="W337" s="47">
        <f t="shared" si="32"/>
        <v>1063.5</v>
      </c>
      <c r="X337" s="48">
        <f t="shared" si="33"/>
        <v>298.5</v>
      </c>
      <c r="Y337" s="49">
        <f t="shared" si="34"/>
        <v>4147</v>
      </c>
      <c r="Z337" s="50">
        <f t="shared" si="35"/>
        <v>4147</v>
      </c>
    </row>
    <row r="338" spans="1:26" x14ac:dyDescent="0.25">
      <c r="A338" s="170" t="s">
        <v>822</v>
      </c>
      <c r="B338" s="51" t="s">
        <v>79</v>
      </c>
      <c r="C338" s="51" t="s">
        <v>850</v>
      </c>
      <c r="D338" s="51">
        <v>37808427</v>
      </c>
      <c r="E338" s="171" t="s">
        <v>851</v>
      </c>
      <c r="F338" s="51">
        <v>161691</v>
      </c>
      <c r="G338" s="171" t="s">
        <v>706</v>
      </c>
      <c r="H338" s="171" t="s">
        <v>224</v>
      </c>
      <c r="I338" s="172" t="s">
        <v>926</v>
      </c>
      <c r="J338" s="42">
        <v>12</v>
      </c>
      <c r="K338" s="43">
        <v>0</v>
      </c>
      <c r="L338" s="43">
        <v>52</v>
      </c>
      <c r="M338" s="43">
        <v>0</v>
      </c>
      <c r="N338" s="43">
        <v>3</v>
      </c>
      <c r="O338" s="43">
        <v>17</v>
      </c>
      <c r="P338" s="52">
        <v>2</v>
      </c>
      <c r="Q338" s="42">
        <v>24</v>
      </c>
      <c r="R338" s="43">
        <v>231</v>
      </c>
      <c r="S338" s="44">
        <v>127</v>
      </c>
      <c r="T338" s="45">
        <f t="shared" si="30"/>
        <v>1742</v>
      </c>
      <c r="U338" s="46">
        <v>171.06</v>
      </c>
      <c r="V338" s="47">
        <f t="shared" si="31"/>
        <v>76.5</v>
      </c>
      <c r="W338" s="47">
        <f t="shared" si="32"/>
        <v>691.5</v>
      </c>
      <c r="X338" s="48">
        <f t="shared" si="33"/>
        <v>244.5</v>
      </c>
      <c r="Y338" s="49">
        <f t="shared" si="34"/>
        <v>2925.56</v>
      </c>
      <c r="Z338" s="50">
        <f t="shared" si="35"/>
        <v>2926</v>
      </c>
    </row>
    <row r="339" spans="1:26" x14ac:dyDescent="0.25">
      <c r="A339" s="173" t="s">
        <v>822</v>
      </c>
      <c r="B339" s="29" t="s">
        <v>79</v>
      </c>
      <c r="C339" s="29" t="s">
        <v>850</v>
      </c>
      <c r="D339" s="29">
        <v>37808427</v>
      </c>
      <c r="E339" s="171" t="s">
        <v>851</v>
      </c>
      <c r="F339" s="29">
        <v>607061</v>
      </c>
      <c r="G339" s="171" t="s">
        <v>117</v>
      </c>
      <c r="H339" s="171" t="s">
        <v>224</v>
      </c>
      <c r="I339" s="172" t="s">
        <v>927</v>
      </c>
      <c r="J339" s="42">
        <v>14</v>
      </c>
      <c r="K339" s="43">
        <v>0</v>
      </c>
      <c r="L339" s="43">
        <v>63</v>
      </c>
      <c r="M339" s="43">
        <v>0</v>
      </c>
      <c r="N339" s="43">
        <v>0</v>
      </c>
      <c r="O339" s="43">
        <v>25</v>
      </c>
      <c r="P339" s="52">
        <v>0</v>
      </c>
      <c r="Q339" s="42">
        <v>0</v>
      </c>
      <c r="R339" s="43">
        <v>552</v>
      </c>
      <c r="S339" s="44">
        <v>0</v>
      </c>
      <c r="T339" s="45">
        <f t="shared" si="30"/>
        <v>2110.5</v>
      </c>
      <c r="U339" s="46">
        <v>1204.79</v>
      </c>
      <c r="V339" s="47">
        <f t="shared" si="31"/>
        <v>0</v>
      </c>
      <c r="W339" s="47">
        <f t="shared" si="32"/>
        <v>1441.5</v>
      </c>
      <c r="X339" s="48">
        <f t="shared" si="33"/>
        <v>0</v>
      </c>
      <c r="Y339" s="49">
        <f t="shared" si="34"/>
        <v>4756.79</v>
      </c>
      <c r="Z339" s="50">
        <f t="shared" si="35"/>
        <v>4757</v>
      </c>
    </row>
    <row r="340" spans="1:26" x14ac:dyDescent="0.25">
      <c r="A340" s="159" t="s">
        <v>822</v>
      </c>
      <c r="B340" s="30" t="s">
        <v>181</v>
      </c>
      <c r="C340" s="30" t="s">
        <v>935</v>
      </c>
      <c r="D340" s="30">
        <v>42063043</v>
      </c>
      <c r="E340" s="119" t="s">
        <v>936</v>
      </c>
      <c r="F340" s="30">
        <v>17059852</v>
      </c>
      <c r="G340" s="119" t="s">
        <v>939</v>
      </c>
      <c r="H340" s="119" t="s">
        <v>828</v>
      </c>
      <c r="I340" s="158" t="s">
        <v>938</v>
      </c>
      <c r="J340" s="42">
        <v>1</v>
      </c>
      <c r="K340" s="43">
        <v>0</v>
      </c>
      <c r="L340" s="43">
        <v>1</v>
      </c>
      <c r="M340" s="43">
        <v>0</v>
      </c>
      <c r="N340" s="43">
        <v>0</v>
      </c>
      <c r="O340" s="43">
        <v>0</v>
      </c>
      <c r="P340" s="44">
        <v>0</v>
      </c>
      <c r="Q340" s="42">
        <v>0</v>
      </c>
      <c r="R340" s="43">
        <v>6</v>
      </c>
      <c r="S340" s="44">
        <v>0</v>
      </c>
      <c r="T340" s="45">
        <f t="shared" si="30"/>
        <v>33.5</v>
      </c>
      <c r="U340" s="46">
        <v>14.25</v>
      </c>
      <c r="V340" s="46">
        <f>$U$1*N340+$V$1*Q340</f>
        <v>0</v>
      </c>
      <c r="W340" s="46">
        <f t="shared" si="32"/>
        <v>12</v>
      </c>
      <c r="X340" s="121">
        <f t="shared" si="33"/>
        <v>0</v>
      </c>
      <c r="Y340" s="122">
        <f t="shared" si="34"/>
        <v>59.75</v>
      </c>
      <c r="Z340" s="138">
        <f t="shared" si="35"/>
        <v>60</v>
      </c>
    </row>
    <row r="341" spans="1:26" x14ac:dyDescent="0.25">
      <c r="A341" s="30" t="s">
        <v>822</v>
      </c>
      <c r="B341" s="30" t="s">
        <v>181</v>
      </c>
      <c r="C341" s="30" t="s">
        <v>946</v>
      </c>
      <c r="D341" s="30">
        <v>586536</v>
      </c>
      <c r="E341" s="119" t="s">
        <v>947</v>
      </c>
      <c r="F341" s="30">
        <v>30222052</v>
      </c>
      <c r="G341" s="119" t="s">
        <v>948</v>
      </c>
      <c r="H341" s="119" t="s">
        <v>224</v>
      </c>
      <c r="I341" s="158" t="s">
        <v>949</v>
      </c>
      <c r="J341" s="42">
        <v>2</v>
      </c>
      <c r="K341" s="43">
        <v>0</v>
      </c>
      <c r="L341" s="43">
        <v>2</v>
      </c>
      <c r="M341" s="43">
        <v>0</v>
      </c>
      <c r="N341" s="43">
        <v>1</v>
      </c>
      <c r="O341" s="43">
        <v>0</v>
      </c>
      <c r="P341" s="44">
        <v>0</v>
      </c>
      <c r="Q341" s="42">
        <v>9</v>
      </c>
      <c r="R341" s="43">
        <v>6</v>
      </c>
      <c r="S341" s="44">
        <v>0</v>
      </c>
      <c r="T341" s="45">
        <f t="shared" si="30"/>
        <v>67</v>
      </c>
      <c r="U341" s="46">
        <v>3.55</v>
      </c>
      <c r="V341" s="46">
        <f>$U$1*N341+$V$1*Q341</f>
        <v>27</v>
      </c>
      <c r="W341" s="46">
        <f t="shared" si="32"/>
        <v>12</v>
      </c>
      <c r="X341" s="121">
        <f t="shared" si="33"/>
        <v>0</v>
      </c>
      <c r="Y341" s="122">
        <f t="shared" si="34"/>
        <v>109.55</v>
      </c>
      <c r="Z341" s="138">
        <f t="shared" si="35"/>
        <v>110</v>
      </c>
    </row>
    <row r="342" spans="1:26" x14ac:dyDescent="0.25">
      <c r="A342" s="30" t="s">
        <v>822</v>
      </c>
      <c r="B342" s="30" t="s">
        <v>181</v>
      </c>
      <c r="C342" s="30" t="s">
        <v>935</v>
      </c>
      <c r="D342" s="30">
        <v>42063043</v>
      </c>
      <c r="E342" s="119" t="s">
        <v>936</v>
      </c>
      <c r="F342" s="30">
        <v>17059640</v>
      </c>
      <c r="G342" s="119" t="s">
        <v>950</v>
      </c>
      <c r="H342" s="119" t="s">
        <v>224</v>
      </c>
      <c r="I342" s="158" t="s">
        <v>951</v>
      </c>
      <c r="J342" s="42">
        <v>3</v>
      </c>
      <c r="K342" s="43">
        <v>0</v>
      </c>
      <c r="L342" s="43">
        <v>6</v>
      </c>
      <c r="M342" s="43">
        <v>0</v>
      </c>
      <c r="N342" s="43">
        <v>0</v>
      </c>
      <c r="O342" s="43">
        <v>0</v>
      </c>
      <c r="P342" s="44">
        <v>0</v>
      </c>
      <c r="Q342" s="42">
        <v>0</v>
      </c>
      <c r="R342" s="43">
        <v>9</v>
      </c>
      <c r="S342" s="44">
        <v>7</v>
      </c>
      <c r="T342" s="45">
        <f t="shared" si="30"/>
        <v>201</v>
      </c>
      <c r="U342" s="46">
        <v>0</v>
      </c>
      <c r="V342" s="46">
        <f>$U$1*N342+$V$1*Q342</f>
        <v>0</v>
      </c>
      <c r="W342" s="46">
        <f t="shared" si="32"/>
        <v>18</v>
      </c>
      <c r="X342" s="121">
        <f t="shared" si="33"/>
        <v>10.5</v>
      </c>
      <c r="Y342" s="122">
        <f t="shared" si="34"/>
        <v>229.5</v>
      </c>
      <c r="Z342" s="138">
        <f t="shared" si="35"/>
        <v>230</v>
      </c>
    </row>
    <row r="343" spans="1:26" x14ac:dyDescent="0.25">
      <c r="A343" s="30" t="s">
        <v>822</v>
      </c>
      <c r="B343" s="30" t="s">
        <v>226</v>
      </c>
      <c r="C343" s="30" t="s">
        <v>960</v>
      </c>
      <c r="D343" s="30">
        <v>90000070</v>
      </c>
      <c r="E343" s="119" t="s">
        <v>961</v>
      </c>
      <c r="F343" s="30">
        <v>42216702</v>
      </c>
      <c r="G343" s="119" t="s">
        <v>962</v>
      </c>
      <c r="H343" s="119" t="s">
        <v>873</v>
      </c>
      <c r="I343" s="158" t="s">
        <v>963</v>
      </c>
      <c r="J343" s="42">
        <v>3</v>
      </c>
      <c r="K343" s="43">
        <v>0</v>
      </c>
      <c r="L343" s="43">
        <v>4</v>
      </c>
      <c r="M343" s="43">
        <v>0</v>
      </c>
      <c r="N343" s="43">
        <v>0</v>
      </c>
      <c r="O343" s="43">
        <v>0</v>
      </c>
      <c r="P343" s="44">
        <v>0</v>
      </c>
      <c r="Q343" s="42">
        <v>0</v>
      </c>
      <c r="R343" s="43">
        <v>2</v>
      </c>
      <c r="S343" s="44">
        <v>5</v>
      </c>
      <c r="T343" s="45">
        <f t="shared" si="30"/>
        <v>134</v>
      </c>
      <c r="U343" s="46">
        <v>0</v>
      </c>
      <c r="V343" s="46">
        <f>$U$1*N343+$V$1*Q343</f>
        <v>0</v>
      </c>
      <c r="W343" s="46">
        <f t="shared" si="32"/>
        <v>4</v>
      </c>
      <c r="X343" s="121">
        <f t="shared" si="33"/>
        <v>7.5</v>
      </c>
      <c r="Y343" s="122">
        <f t="shared" si="34"/>
        <v>145.5</v>
      </c>
      <c r="Z343" s="138">
        <f t="shared" si="35"/>
        <v>146</v>
      </c>
    </row>
    <row r="344" spans="1:26" x14ac:dyDescent="0.25">
      <c r="A344" s="127" t="s">
        <v>822</v>
      </c>
      <c r="B344" s="127" t="s">
        <v>226</v>
      </c>
      <c r="C344" s="127" t="s">
        <v>964</v>
      </c>
      <c r="D344" s="127">
        <v>36431524</v>
      </c>
      <c r="E344" s="119" t="s">
        <v>965</v>
      </c>
      <c r="F344" s="127">
        <v>42347599</v>
      </c>
      <c r="G344" s="119" t="s">
        <v>814</v>
      </c>
      <c r="H344" s="119" t="s">
        <v>836</v>
      </c>
      <c r="I344" s="158" t="s">
        <v>966</v>
      </c>
      <c r="J344" s="42">
        <v>1</v>
      </c>
      <c r="K344" s="43">
        <v>0</v>
      </c>
      <c r="L344" s="43">
        <v>2</v>
      </c>
      <c r="M344" s="43">
        <v>0</v>
      </c>
      <c r="N344" s="43">
        <v>0</v>
      </c>
      <c r="O344" s="43">
        <v>0</v>
      </c>
      <c r="P344" s="44">
        <v>0</v>
      </c>
      <c r="Q344" s="42">
        <v>0</v>
      </c>
      <c r="R344" s="43">
        <v>0</v>
      </c>
      <c r="S344" s="44">
        <v>8</v>
      </c>
      <c r="T344" s="45">
        <f t="shared" si="30"/>
        <v>67</v>
      </c>
      <c r="U344" s="46">
        <v>0</v>
      </c>
      <c r="V344" s="46">
        <v>0</v>
      </c>
      <c r="W344" s="46">
        <f t="shared" si="32"/>
        <v>0</v>
      </c>
      <c r="X344" s="121">
        <f t="shared" si="33"/>
        <v>12</v>
      </c>
      <c r="Y344" s="122">
        <f t="shared" si="34"/>
        <v>79</v>
      </c>
      <c r="Z344" s="138">
        <f t="shared" si="35"/>
        <v>79</v>
      </c>
    </row>
    <row r="345" spans="1:26" x14ac:dyDescent="0.25">
      <c r="A345" s="30" t="s">
        <v>822</v>
      </c>
      <c r="B345" s="30" t="s">
        <v>226</v>
      </c>
      <c r="C345" s="30" t="s">
        <v>967</v>
      </c>
      <c r="D345" s="30">
        <v>36433209</v>
      </c>
      <c r="E345" s="119" t="s">
        <v>968</v>
      </c>
      <c r="F345" s="30">
        <v>31897959</v>
      </c>
      <c r="G345" s="119" t="s">
        <v>969</v>
      </c>
      <c r="H345" s="119" t="s">
        <v>842</v>
      </c>
      <c r="I345" s="158" t="s">
        <v>970</v>
      </c>
      <c r="J345" s="42">
        <v>2</v>
      </c>
      <c r="K345" s="43">
        <v>0</v>
      </c>
      <c r="L345" s="43">
        <v>3</v>
      </c>
      <c r="M345" s="43">
        <v>0</v>
      </c>
      <c r="N345" s="43">
        <v>0</v>
      </c>
      <c r="O345" s="43">
        <v>0</v>
      </c>
      <c r="P345" s="44">
        <v>0</v>
      </c>
      <c r="Q345" s="42">
        <v>0</v>
      </c>
      <c r="R345" s="43">
        <v>4</v>
      </c>
      <c r="S345" s="44">
        <v>16</v>
      </c>
      <c r="T345" s="45">
        <f t="shared" si="30"/>
        <v>100.5</v>
      </c>
      <c r="U345" s="46">
        <v>38.299999999999997</v>
      </c>
      <c r="V345" s="46">
        <f t="shared" ref="V345:V408" si="36">$U$1*N345+$V$1*Q345</f>
        <v>0</v>
      </c>
      <c r="W345" s="46">
        <f t="shared" si="32"/>
        <v>8</v>
      </c>
      <c r="X345" s="121">
        <f t="shared" si="33"/>
        <v>24</v>
      </c>
      <c r="Y345" s="122">
        <f t="shared" si="34"/>
        <v>170.8</v>
      </c>
      <c r="Z345" s="138">
        <f t="shared" si="35"/>
        <v>171</v>
      </c>
    </row>
    <row r="346" spans="1:26" x14ac:dyDescent="0.25">
      <c r="A346" s="30" t="s">
        <v>822</v>
      </c>
      <c r="B346" s="30" t="s">
        <v>226</v>
      </c>
      <c r="C346" s="30" t="s">
        <v>982</v>
      </c>
      <c r="D346" s="30">
        <v>90000133</v>
      </c>
      <c r="E346" s="119" t="s">
        <v>983</v>
      </c>
      <c r="F346" s="30">
        <v>37982354</v>
      </c>
      <c r="G346" s="119" t="s">
        <v>229</v>
      </c>
      <c r="H346" s="119" t="s">
        <v>224</v>
      </c>
      <c r="I346" s="158" t="s">
        <v>225</v>
      </c>
      <c r="J346" s="42">
        <v>1</v>
      </c>
      <c r="K346" s="43">
        <v>0</v>
      </c>
      <c r="L346" s="43">
        <v>1</v>
      </c>
      <c r="M346" s="43">
        <v>0</v>
      </c>
      <c r="N346" s="43">
        <v>0</v>
      </c>
      <c r="O346" s="43">
        <v>0</v>
      </c>
      <c r="P346" s="44">
        <v>0</v>
      </c>
      <c r="Q346" s="42">
        <v>0</v>
      </c>
      <c r="R346" s="43">
        <v>9</v>
      </c>
      <c r="S346" s="44">
        <v>0</v>
      </c>
      <c r="T346" s="45">
        <f t="shared" si="30"/>
        <v>33.5</v>
      </c>
      <c r="U346" s="46">
        <v>0</v>
      </c>
      <c r="V346" s="46">
        <f t="shared" si="36"/>
        <v>0</v>
      </c>
      <c r="W346" s="46">
        <f t="shared" si="32"/>
        <v>18</v>
      </c>
      <c r="X346" s="121">
        <f t="shared" si="33"/>
        <v>0</v>
      </c>
      <c r="Y346" s="122">
        <f t="shared" si="34"/>
        <v>51.5</v>
      </c>
      <c r="Z346" s="138">
        <f t="shared" si="35"/>
        <v>52</v>
      </c>
    </row>
    <row r="347" spans="1:26" x14ac:dyDescent="0.25">
      <c r="A347" s="30" t="s">
        <v>822</v>
      </c>
      <c r="B347" s="30" t="s">
        <v>226</v>
      </c>
      <c r="C347" s="30" t="s">
        <v>988</v>
      </c>
      <c r="D347" s="30">
        <v>37983121</v>
      </c>
      <c r="E347" s="119" t="s">
        <v>989</v>
      </c>
      <c r="F347" s="30">
        <v>37804324</v>
      </c>
      <c r="G347" s="119" t="s">
        <v>276</v>
      </c>
      <c r="H347" s="119" t="s">
        <v>224</v>
      </c>
      <c r="I347" s="158" t="s">
        <v>990</v>
      </c>
      <c r="J347" s="42">
        <v>2</v>
      </c>
      <c r="K347" s="43">
        <v>0</v>
      </c>
      <c r="L347" s="43">
        <v>2</v>
      </c>
      <c r="M347" s="43">
        <v>0</v>
      </c>
      <c r="N347" s="61">
        <v>0</v>
      </c>
      <c r="O347" s="43">
        <v>0</v>
      </c>
      <c r="P347" s="44">
        <v>0</v>
      </c>
      <c r="Q347" s="42">
        <v>0</v>
      </c>
      <c r="R347" s="43">
        <v>7</v>
      </c>
      <c r="S347" s="44">
        <v>0</v>
      </c>
      <c r="T347" s="45">
        <f t="shared" si="30"/>
        <v>67</v>
      </c>
      <c r="U347" s="46">
        <v>7.3</v>
      </c>
      <c r="V347" s="64">
        <f t="shared" si="36"/>
        <v>0</v>
      </c>
      <c r="W347" s="46">
        <f t="shared" si="32"/>
        <v>14</v>
      </c>
      <c r="X347" s="121">
        <f t="shared" si="33"/>
        <v>0</v>
      </c>
      <c r="Y347" s="122">
        <f t="shared" si="34"/>
        <v>88.3</v>
      </c>
      <c r="Z347" s="138">
        <f t="shared" si="35"/>
        <v>88</v>
      </c>
    </row>
    <row r="348" spans="1:26" x14ac:dyDescent="0.25">
      <c r="A348" s="74" t="s">
        <v>991</v>
      </c>
      <c r="B348" s="74" t="s">
        <v>43</v>
      </c>
      <c r="C348" s="74" t="s">
        <v>992</v>
      </c>
      <c r="D348" s="74">
        <v>54139937</v>
      </c>
      <c r="E348" s="75" t="s">
        <v>993</v>
      </c>
      <c r="F348" s="180">
        <v>396869</v>
      </c>
      <c r="G348" s="139" t="s">
        <v>994</v>
      </c>
      <c r="H348" s="75" t="s">
        <v>995</v>
      </c>
      <c r="I348" s="140" t="s">
        <v>996</v>
      </c>
      <c r="J348" s="42">
        <v>2</v>
      </c>
      <c r="K348" s="43">
        <v>0</v>
      </c>
      <c r="L348" s="43">
        <v>2</v>
      </c>
      <c r="M348" s="43">
        <v>0</v>
      </c>
      <c r="N348" s="55">
        <v>0</v>
      </c>
      <c r="O348" s="163">
        <v>0</v>
      </c>
      <c r="P348" s="164">
        <v>0</v>
      </c>
      <c r="Q348" s="42">
        <v>0</v>
      </c>
      <c r="R348" s="43">
        <v>4</v>
      </c>
      <c r="S348" s="44">
        <v>3</v>
      </c>
      <c r="T348" s="45">
        <f t="shared" si="30"/>
        <v>67</v>
      </c>
      <c r="U348" s="46">
        <v>0</v>
      </c>
      <c r="V348" s="46">
        <f t="shared" si="36"/>
        <v>0</v>
      </c>
      <c r="W348" s="46">
        <f t="shared" si="32"/>
        <v>8</v>
      </c>
      <c r="X348" s="121">
        <f t="shared" si="33"/>
        <v>4.5</v>
      </c>
      <c r="Y348" s="122">
        <f t="shared" si="34"/>
        <v>79.5</v>
      </c>
      <c r="Z348" s="138">
        <f t="shared" si="35"/>
        <v>80</v>
      </c>
    </row>
    <row r="349" spans="1:26" x14ac:dyDescent="0.25">
      <c r="A349" s="74" t="s">
        <v>991</v>
      </c>
      <c r="B349" s="74" t="s">
        <v>43</v>
      </c>
      <c r="C349" s="74" t="s">
        <v>992</v>
      </c>
      <c r="D349" s="74">
        <v>54139937</v>
      </c>
      <c r="E349" s="75" t="s">
        <v>993</v>
      </c>
      <c r="F349" s="180">
        <v>626317</v>
      </c>
      <c r="G349" s="139" t="s">
        <v>997</v>
      </c>
      <c r="H349" s="75" t="s">
        <v>995</v>
      </c>
      <c r="I349" s="140" t="s">
        <v>998</v>
      </c>
      <c r="J349" s="42">
        <v>1</v>
      </c>
      <c r="K349" s="43">
        <v>0</v>
      </c>
      <c r="L349" s="43">
        <v>1</v>
      </c>
      <c r="M349" s="43">
        <v>0</v>
      </c>
      <c r="N349" s="55">
        <v>0</v>
      </c>
      <c r="O349" s="55">
        <v>0</v>
      </c>
      <c r="P349" s="164">
        <v>0</v>
      </c>
      <c r="Q349" s="42">
        <v>0</v>
      </c>
      <c r="R349" s="43">
        <v>0</v>
      </c>
      <c r="S349" s="44">
        <v>1</v>
      </c>
      <c r="T349" s="45">
        <f t="shared" si="30"/>
        <v>33.5</v>
      </c>
      <c r="U349" s="46">
        <v>0</v>
      </c>
      <c r="V349" s="46">
        <f t="shared" si="36"/>
        <v>0</v>
      </c>
      <c r="W349" s="46">
        <f t="shared" si="32"/>
        <v>0</v>
      </c>
      <c r="X349" s="121">
        <f t="shared" si="33"/>
        <v>1.5</v>
      </c>
      <c r="Y349" s="122">
        <f t="shared" si="34"/>
        <v>35</v>
      </c>
      <c r="Z349" s="138">
        <f t="shared" si="35"/>
        <v>35</v>
      </c>
    </row>
    <row r="350" spans="1:26" x14ac:dyDescent="0.25">
      <c r="A350" s="74" t="s">
        <v>991</v>
      </c>
      <c r="B350" s="74" t="s">
        <v>43</v>
      </c>
      <c r="C350" s="74" t="s">
        <v>992</v>
      </c>
      <c r="D350" s="74">
        <v>54139937</v>
      </c>
      <c r="E350" s="75" t="s">
        <v>993</v>
      </c>
      <c r="F350" s="180">
        <v>111571</v>
      </c>
      <c r="G350" s="139" t="s">
        <v>70</v>
      </c>
      <c r="H350" s="75" t="s">
        <v>1010</v>
      </c>
      <c r="I350" s="140" t="s">
        <v>1011</v>
      </c>
      <c r="J350" s="42">
        <v>1</v>
      </c>
      <c r="K350" s="43">
        <v>0</v>
      </c>
      <c r="L350" s="43">
        <v>2</v>
      </c>
      <c r="M350" s="43">
        <v>0</v>
      </c>
      <c r="N350" s="55">
        <v>0</v>
      </c>
      <c r="O350" s="163">
        <v>3</v>
      </c>
      <c r="P350" s="57">
        <v>0</v>
      </c>
      <c r="Q350" s="42">
        <v>0</v>
      </c>
      <c r="R350" s="43">
        <v>8</v>
      </c>
      <c r="S350" s="44">
        <v>0</v>
      </c>
      <c r="T350" s="45">
        <f t="shared" si="30"/>
        <v>67</v>
      </c>
      <c r="U350" s="46">
        <v>0</v>
      </c>
      <c r="V350" s="46">
        <f t="shared" si="36"/>
        <v>0</v>
      </c>
      <c r="W350" s="46">
        <f t="shared" si="32"/>
        <v>56.5</v>
      </c>
      <c r="X350" s="121">
        <f t="shared" si="33"/>
        <v>0</v>
      </c>
      <c r="Y350" s="122">
        <f t="shared" si="34"/>
        <v>123.5</v>
      </c>
      <c r="Z350" s="138">
        <f t="shared" si="35"/>
        <v>124</v>
      </c>
    </row>
    <row r="351" spans="1:26" x14ac:dyDescent="0.25">
      <c r="A351" s="141" t="s">
        <v>991</v>
      </c>
      <c r="B351" s="141" t="s">
        <v>79</v>
      </c>
      <c r="C351" s="141" t="s">
        <v>1024</v>
      </c>
      <c r="D351" s="141">
        <v>37828100</v>
      </c>
      <c r="E351" s="75" t="s">
        <v>1025</v>
      </c>
      <c r="F351" s="181">
        <v>160521</v>
      </c>
      <c r="G351" s="139" t="s">
        <v>1026</v>
      </c>
      <c r="H351" s="75" t="s">
        <v>995</v>
      </c>
      <c r="I351" s="140" t="s">
        <v>1027</v>
      </c>
      <c r="J351" s="42">
        <v>4</v>
      </c>
      <c r="K351" s="43">
        <v>0</v>
      </c>
      <c r="L351" s="43">
        <v>5</v>
      </c>
      <c r="M351" s="43">
        <v>0</v>
      </c>
      <c r="N351" s="163">
        <v>0</v>
      </c>
      <c r="O351" s="163">
        <v>0</v>
      </c>
      <c r="P351" s="164">
        <v>0</v>
      </c>
      <c r="Q351" s="42">
        <v>0</v>
      </c>
      <c r="R351" s="43">
        <v>4</v>
      </c>
      <c r="S351" s="44">
        <v>1</v>
      </c>
      <c r="T351" s="45">
        <f t="shared" si="30"/>
        <v>167.5</v>
      </c>
      <c r="U351" s="46">
        <v>0</v>
      </c>
      <c r="V351" s="46">
        <f t="shared" si="36"/>
        <v>0</v>
      </c>
      <c r="W351" s="46">
        <f t="shared" si="32"/>
        <v>8</v>
      </c>
      <c r="X351" s="121">
        <f t="shared" si="33"/>
        <v>1.5</v>
      </c>
      <c r="Y351" s="122">
        <f t="shared" si="34"/>
        <v>177</v>
      </c>
      <c r="Z351" s="138">
        <f t="shared" si="35"/>
        <v>177</v>
      </c>
    </row>
    <row r="352" spans="1:26" x14ac:dyDescent="0.25">
      <c r="A352" s="74" t="s">
        <v>991</v>
      </c>
      <c r="B352" s="74" t="s">
        <v>79</v>
      </c>
      <c r="C352" s="74" t="s">
        <v>1024</v>
      </c>
      <c r="D352" s="74">
        <v>37828100</v>
      </c>
      <c r="E352" s="75" t="s">
        <v>1025</v>
      </c>
      <c r="F352" s="180">
        <v>17059887</v>
      </c>
      <c r="G352" s="139" t="s">
        <v>1028</v>
      </c>
      <c r="H352" s="75" t="s">
        <v>995</v>
      </c>
      <c r="I352" s="140" t="s">
        <v>1029</v>
      </c>
      <c r="J352" s="42">
        <v>4</v>
      </c>
      <c r="K352" s="43">
        <v>0</v>
      </c>
      <c r="L352" s="43">
        <v>4</v>
      </c>
      <c r="M352" s="43">
        <v>0</v>
      </c>
      <c r="N352" s="55">
        <v>0</v>
      </c>
      <c r="O352" s="163">
        <v>3</v>
      </c>
      <c r="P352" s="57">
        <v>0</v>
      </c>
      <c r="Q352" s="42">
        <v>2</v>
      </c>
      <c r="R352" s="43">
        <v>2</v>
      </c>
      <c r="S352" s="44">
        <v>5</v>
      </c>
      <c r="T352" s="45">
        <f t="shared" si="30"/>
        <v>134</v>
      </c>
      <c r="U352" s="46">
        <v>19.98</v>
      </c>
      <c r="V352" s="46">
        <f t="shared" si="36"/>
        <v>3</v>
      </c>
      <c r="W352" s="46">
        <f t="shared" si="32"/>
        <v>44.5</v>
      </c>
      <c r="X352" s="121">
        <f t="shared" si="33"/>
        <v>7.5</v>
      </c>
      <c r="Y352" s="122">
        <f t="shared" si="34"/>
        <v>208.98</v>
      </c>
      <c r="Z352" s="138">
        <f t="shared" si="35"/>
        <v>209</v>
      </c>
    </row>
    <row r="353" spans="1:26" x14ac:dyDescent="0.25">
      <c r="A353" s="74" t="s">
        <v>991</v>
      </c>
      <c r="B353" s="74" t="s">
        <v>79</v>
      </c>
      <c r="C353" s="74" t="s">
        <v>1024</v>
      </c>
      <c r="D353" s="74">
        <v>37828100</v>
      </c>
      <c r="E353" s="75" t="s">
        <v>1025</v>
      </c>
      <c r="F353" s="180">
        <v>162027</v>
      </c>
      <c r="G353" s="139" t="s">
        <v>100</v>
      </c>
      <c r="H353" s="75" t="s">
        <v>995</v>
      </c>
      <c r="I353" s="140" t="s">
        <v>1030</v>
      </c>
      <c r="J353" s="42">
        <v>3</v>
      </c>
      <c r="K353" s="43">
        <v>0</v>
      </c>
      <c r="L353" s="43">
        <v>3</v>
      </c>
      <c r="M353" s="43">
        <v>0</v>
      </c>
      <c r="N353" s="55">
        <v>0</v>
      </c>
      <c r="O353" s="55">
        <v>0</v>
      </c>
      <c r="P353" s="57">
        <v>0</v>
      </c>
      <c r="Q353" s="42">
        <v>0</v>
      </c>
      <c r="R353" s="43">
        <v>6</v>
      </c>
      <c r="S353" s="44">
        <v>2</v>
      </c>
      <c r="T353" s="45">
        <f t="shared" si="30"/>
        <v>100.5</v>
      </c>
      <c r="U353" s="46">
        <v>0</v>
      </c>
      <c r="V353" s="46">
        <f t="shared" si="36"/>
        <v>0</v>
      </c>
      <c r="W353" s="46">
        <f t="shared" si="32"/>
        <v>12</v>
      </c>
      <c r="X353" s="121">
        <f t="shared" si="33"/>
        <v>3</v>
      </c>
      <c r="Y353" s="122">
        <f t="shared" si="34"/>
        <v>115.5</v>
      </c>
      <c r="Z353" s="138">
        <f t="shared" si="35"/>
        <v>116</v>
      </c>
    </row>
    <row r="354" spans="1:26" x14ac:dyDescent="0.25">
      <c r="A354" s="74" t="s">
        <v>991</v>
      </c>
      <c r="B354" s="74" t="s">
        <v>79</v>
      </c>
      <c r="C354" s="74" t="s">
        <v>1024</v>
      </c>
      <c r="D354" s="74">
        <v>37828100</v>
      </c>
      <c r="E354" s="75" t="s">
        <v>1025</v>
      </c>
      <c r="F354" s="180">
        <v>37956108</v>
      </c>
      <c r="G354" s="139" t="s">
        <v>52</v>
      </c>
      <c r="H354" s="75" t="s">
        <v>995</v>
      </c>
      <c r="I354" s="140" t="s">
        <v>1031</v>
      </c>
      <c r="J354" s="42">
        <v>4</v>
      </c>
      <c r="K354" s="43">
        <v>0</v>
      </c>
      <c r="L354" s="43">
        <v>4</v>
      </c>
      <c r="M354" s="43">
        <v>0</v>
      </c>
      <c r="N354" s="55">
        <v>0</v>
      </c>
      <c r="O354" s="55">
        <v>0</v>
      </c>
      <c r="P354" s="57">
        <v>0</v>
      </c>
      <c r="Q354" s="42">
        <v>0</v>
      </c>
      <c r="R354" s="43">
        <v>5</v>
      </c>
      <c r="S354" s="44">
        <v>1</v>
      </c>
      <c r="T354" s="45">
        <f t="shared" si="30"/>
        <v>134</v>
      </c>
      <c r="U354" s="46">
        <v>22.5</v>
      </c>
      <c r="V354" s="46">
        <f t="shared" si="36"/>
        <v>0</v>
      </c>
      <c r="W354" s="46">
        <f t="shared" si="32"/>
        <v>10</v>
      </c>
      <c r="X354" s="121">
        <f t="shared" si="33"/>
        <v>1.5</v>
      </c>
      <c r="Y354" s="122">
        <f t="shared" si="34"/>
        <v>168</v>
      </c>
      <c r="Z354" s="138">
        <f t="shared" si="35"/>
        <v>168</v>
      </c>
    </row>
    <row r="355" spans="1:26" x14ac:dyDescent="0.25">
      <c r="A355" s="74" t="s">
        <v>991</v>
      </c>
      <c r="B355" s="74" t="s">
        <v>79</v>
      </c>
      <c r="C355" s="74" t="s">
        <v>1024</v>
      </c>
      <c r="D355" s="74">
        <v>37828100</v>
      </c>
      <c r="E355" s="75" t="s">
        <v>1025</v>
      </c>
      <c r="F355" s="180">
        <v>42195446</v>
      </c>
      <c r="G355" s="139" t="s">
        <v>52</v>
      </c>
      <c r="H355" s="75" t="s">
        <v>995</v>
      </c>
      <c r="I355" s="140" t="s">
        <v>1032</v>
      </c>
      <c r="J355" s="42">
        <v>1</v>
      </c>
      <c r="K355" s="43">
        <v>0</v>
      </c>
      <c r="L355" s="43">
        <v>2</v>
      </c>
      <c r="M355" s="43">
        <v>0</v>
      </c>
      <c r="N355" s="55">
        <v>0</v>
      </c>
      <c r="O355" s="55">
        <v>0</v>
      </c>
      <c r="P355" s="57">
        <v>0</v>
      </c>
      <c r="Q355" s="42">
        <v>0</v>
      </c>
      <c r="R355" s="43">
        <v>0</v>
      </c>
      <c r="S355" s="44">
        <v>3</v>
      </c>
      <c r="T355" s="45">
        <f t="shared" si="30"/>
        <v>67</v>
      </c>
      <c r="U355" s="46">
        <v>0</v>
      </c>
      <c r="V355" s="46">
        <f t="shared" si="36"/>
        <v>0</v>
      </c>
      <c r="W355" s="46">
        <f t="shared" si="32"/>
        <v>0</v>
      </c>
      <c r="X355" s="121">
        <f t="shared" si="33"/>
        <v>4.5</v>
      </c>
      <c r="Y355" s="122">
        <f t="shared" si="34"/>
        <v>71.5</v>
      </c>
      <c r="Z355" s="138">
        <f t="shared" si="35"/>
        <v>72</v>
      </c>
    </row>
    <row r="356" spans="1:26" x14ac:dyDescent="0.25">
      <c r="A356" s="74" t="s">
        <v>991</v>
      </c>
      <c r="B356" s="74" t="s">
        <v>79</v>
      </c>
      <c r="C356" s="74" t="s">
        <v>1024</v>
      </c>
      <c r="D356" s="74">
        <v>37828100</v>
      </c>
      <c r="E356" s="75" t="s">
        <v>1025</v>
      </c>
      <c r="F356" s="180">
        <v>45017000</v>
      </c>
      <c r="G356" s="139" t="s">
        <v>575</v>
      </c>
      <c r="H356" s="75" t="s">
        <v>995</v>
      </c>
      <c r="I356" s="140" t="s">
        <v>1033</v>
      </c>
      <c r="J356" s="54">
        <v>1</v>
      </c>
      <c r="K356" s="55">
        <v>0</v>
      </c>
      <c r="L356" s="55">
        <v>1</v>
      </c>
      <c r="M356" s="55">
        <v>0</v>
      </c>
      <c r="N356" s="163">
        <v>0</v>
      </c>
      <c r="O356" s="163">
        <v>1</v>
      </c>
      <c r="P356" s="164">
        <v>0</v>
      </c>
      <c r="Q356" s="54">
        <v>0</v>
      </c>
      <c r="R356" s="55">
        <v>1</v>
      </c>
      <c r="S356" s="44">
        <v>0</v>
      </c>
      <c r="T356" s="45">
        <f t="shared" si="30"/>
        <v>33.5</v>
      </c>
      <c r="U356" s="46">
        <v>0</v>
      </c>
      <c r="V356" s="46">
        <f t="shared" si="36"/>
        <v>0</v>
      </c>
      <c r="W356" s="46">
        <f t="shared" si="32"/>
        <v>15.5</v>
      </c>
      <c r="X356" s="121">
        <f t="shared" si="33"/>
        <v>0</v>
      </c>
      <c r="Y356" s="122">
        <f t="shared" si="34"/>
        <v>49</v>
      </c>
      <c r="Z356" s="138">
        <f t="shared" si="35"/>
        <v>49</v>
      </c>
    </row>
    <row r="357" spans="1:26" ht="25.5" x14ac:dyDescent="0.25">
      <c r="A357" s="159" t="s">
        <v>991</v>
      </c>
      <c r="B357" s="159" t="s">
        <v>79</v>
      </c>
      <c r="C357" s="159" t="s">
        <v>1024</v>
      </c>
      <c r="D357" s="159">
        <v>37828100</v>
      </c>
      <c r="E357" s="182" t="s">
        <v>1025</v>
      </c>
      <c r="F357" s="183">
        <v>158496</v>
      </c>
      <c r="G357" s="160" t="s">
        <v>132</v>
      </c>
      <c r="H357" s="182" t="s">
        <v>995</v>
      </c>
      <c r="I357" s="184" t="s">
        <v>1019</v>
      </c>
      <c r="J357" s="60">
        <v>3</v>
      </c>
      <c r="K357" s="43">
        <v>0</v>
      </c>
      <c r="L357" s="61">
        <v>5</v>
      </c>
      <c r="M357" s="43">
        <v>0</v>
      </c>
      <c r="N357" s="55">
        <v>0</v>
      </c>
      <c r="O357" s="55">
        <v>0</v>
      </c>
      <c r="P357" s="57">
        <v>0</v>
      </c>
      <c r="Q357" s="42">
        <v>0</v>
      </c>
      <c r="R357" s="61">
        <v>10</v>
      </c>
      <c r="S357" s="63">
        <v>38</v>
      </c>
      <c r="T357" s="185">
        <f t="shared" si="30"/>
        <v>167.5</v>
      </c>
      <c r="U357" s="64">
        <v>0</v>
      </c>
      <c r="V357" s="64">
        <f t="shared" si="36"/>
        <v>0</v>
      </c>
      <c r="W357" s="64">
        <f t="shared" si="32"/>
        <v>20</v>
      </c>
      <c r="X357" s="186">
        <f t="shared" si="33"/>
        <v>57</v>
      </c>
      <c r="Y357" s="187">
        <f t="shared" si="34"/>
        <v>244.5</v>
      </c>
      <c r="Z357" s="188">
        <f t="shared" si="35"/>
        <v>245</v>
      </c>
    </row>
    <row r="358" spans="1:26" x14ac:dyDescent="0.25">
      <c r="A358" s="74" t="s">
        <v>991</v>
      </c>
      <c r="B358" s="74" t="s">
        <v>79</v>
      </c>
      <c r="C358" s="74" t="s">
        <v>1024</v>
      </c>
      <c r="D358" s="74">
        <v>37828100</v>
      </c>
      <c r="E358" s="75" t="s">
        <v>1025</v>
      </c>
      <c r="F358" s="180">
        <v>17055431</v>
      </c>
      <c r="G358" s="139" t="s">
        <v>134</v>
      </c>
      <c r="H358" s="75" t="s">
        <v>995</v>
      </c>
      <c r="I358" s="140" t="s">
        <v>1034</v>
      </c>
      <c r="J358" s="60">
        <v>7</v>
      </c>
      <c r="K358" s="61">
        <v>0</v>
      </c>
      <c r="L358" s="61">
        <v>8</v>
      </c>
      <c r="M358" s="61">
        <v>0</v>
      </c>
      <c r="N358" s="163">
        <v>0</v>
      </c>
      <c r="O358" s="163">
        <v>0</v>
      </c>
      <c r="P358" s="164">
        <v>0</v>
      </c>
      <c r="Q358" s="60">
        <v>0</v>
      </c>
      <c r="R358" s="61">
        <v>19</v>
      </c>
      <c r="S358" s="63">
        <v>0</v>
      </c>
      <c r="T358" s="45">
        <f t="shared" si="30"/>
        <v>268</v>
      </c>
      <c r="U358" s="46">
        <v>18.5</v>
      </c>
      <c r="V358" s="46">
        <f t="shared" si="36"/>
        <v>0</v>
      </c>
      <c r="W358" s="46">
        <f t="shared" si="32"/>
        <v>38</v>
      </c>
      <c r="X358" s="121">
        <f t="shared" si="33"/>
        <v>0</v>
      </c>
      <c r="Y358" s="122">
        <f t="shared" si="34"/>
        <v>324.5</v>
      </c>
      <c r="Z358" s="138">
        <f t="shared" si="35"/>
        <v>325</v>
      </c>
    </row>
    <row r="359" spans="1:26" x14ac:dyDescent="0.25">
      <c r="A359" s="74" t="s">
        <v>991</v>
      </c>
      <c r="B359" s="74" t="s">
        <v>79</v>
      </c>
      <c r="C359" s="74" t="s">
        <v>1024</v>
      </c>
      <c r="D359" s="74">
        <v>37828100</v>
      </c>
      <c r="E359" s="75" t="s">
        <v>1025</v>
      </c>
      <c r="F359" s="180">
        <v>161471</v>
      </c>
      <c r="G359" s="139" t="s">
        <v>1035</v>
      </c>
      <c r="H359" s="75" t="s">
        <v>995</v>
      </c>
      <c r="I359" s="140" t="s">
        <v>1036</v>
      </c>
      <c r="J359" s="42">
        <v>6</v>
      </c>
      <c r="K359" s="43">
        <v>0</v>
      </c>
      <c r="L359" s="43">
        <v>8</v>
      </c>
      <c r="M359" s="43">
        <v>0</v>
      </c>
      <c r="N359" s="55">
        <v>0</v>
      </c>
      <c r="O359" s="55">
        <v>0</v>
      </c>
      <c r="P359" s="57">
        <v>0</v>
      </c>
      <c r="Q359" s="42">
        <v>0</v>
      </c>
      <c r="R359" s="43">
        <v>21</v>
      </c>
      <c r="S359" s="44">
        <v>3</v>
      </c>
      <c r="T359" s="45">
        <f t="shared" si="30"/>
        <v>268</v>
      </c>
      <c r="U359" s="46">
        <v>51.1</v>
      </c>
      <c r="V359" s="46">
        <f t="shared" si="36"/>
        <v>0</v>
      </c>
      <c r="W359" s="46">
        <f t="shared" si="32"/>
        <v>42</v>
      </c>
      <c r="X359" s="121">
        <f t="shared" si="33"/>
        <v>4.5</v>
      </c>
      <c r="Y359" s="122">
        <f t="shared" si="34"/>
        <v>365.6</v>
      </c>
      <c r="Z359" s="138">
        <f t="shared" si="35"/>
        <v>366</v>
      </c>
    </row>
    <row r="360" spans="1:26" x14ac:dyDescent="0.25">
      <c r="A360" s="74" t="s">
        <v>991</v>
      </c>
      <c r="B360" s="74" t="s">
        <v>79</v>
      </c>
      <c r="C360" s="74" t="s">
        <v>1024</v>
      </c>
      <c r="D360" s="74">
        <v>37828100</v>
      </c>
      <c r="E360" s="75" t="s">
        <v>1025</v>
      </c>
      <c r="F360" s="180">
        <v>516554</v>
      </c>
      <c r="G360" s="139" t="s">
        <v>615</v>
      </c>
      <c r="H360" s="75" t="s">
        <v>995</v>
      </c>
      <c r="I360" s="140" t="s">
        <v>1037</v>
      </c>
      <c r="J360" s="42">
        <v>1</v>
      </c>
      <c r="K360" s="43">
        <v>0</v>
      </c>
      <c r="L360" s="43">
        <v>1</v>
      </c>
      <c r="M360" s="43">
        <v>0</v>
      </c>
      <c r="N360" s="55">
        <v>0</v>
      </c>
      <c r="O360" s="55">
        <v>0</v>
      </c>
      <c r="P360" s="57">
        <v>0</v>
      </c>
      <c r="Q360" s="42">
        <v>0</v>
      </c>
      <c r="R360" s="43">
        <v>1</v>
      </c>
      <c r="S360" s="44">
        <v>0</v>
      </c>
      <c r="T360" s="45">
        <f t="shared" si="30"/>
        <v>33.5</v>
      </c>
      <c r="U360" s="46">
        <v>0</v>
      </c>
      <c r="V360" s="46">
        <f t="shared" si="36"/>
        <v>0</v>
      </c>
      <c r="W360" s="46">
        <f t="shared" si="32"/>
        <v>2</v>
      </c>
      <c r="X360" s="121">
        <f t="shared" si="33"/>
        <v>0</v>
      </c>
      <c r="Y360" s="122">
        <f t="shared" si="34"/>
        <v>35.5</v>
      </c>
      <c r="Z360" s="138">
        <f t="shared" si="35"/>
        <v>36</v>
      </c>
    </row>
    <row r="361" spans="1:26" x14ac:dyDescent="0.25">
      <c r="A361" s="159" t="s">
        <v>991</v>
      </c>
      <c r="B361" s="159" t="s">
        <v>79</v>
      </c>
      <c r="C361" s="159" t="s">
        <v>1024</v>
      </c>
      <c r="D361" s="159">
        <v>37828100</v>
      </c>
      <c r="E361" s="182" t="s">
        <v>1025</v>
      </c>
      <c r="F361" s="183">
        <v>607053</v>
      </c>
      <c r="G361" s="160" t="s">
        <v>117</v>
      </c>
      <c r="H361" s="182" t="s">
        <v>995</v>
      </c>
      <c r="I361" s="184" t="s">
        <v>1038</v>
      </c>
      <c r="J361" s="60">
        <v>6</v>
      </c>
      <c r="K361" s="43">
        <v>0</v>
      </c>
      <c r="L361" s="61">
        <v>9</v>
      </c>
      <c r="M361" s="43">
        <v>0</v>
      </c>
      <c r="N361" s="55">
        <v>0</v>
      </c>
      <c r="O361" s="55">
        <v>0</v>
      </c>
      <c r="P361" s="57">
        <v>0</v>
      </c>
      <c r="Q361" s="42">
        <v>0</v>
      </c>
      <c r="R361" s="61">
        <v>10</v>
      </c>
      <c r="S361" s="63">
        <v>35</v>
      </c>
      <c r="T361" s="185">
        <f t="shared" si="30"/>
        <v>301.5</v>
      </c>
      <c r="U361" s="64">
        <v>68.400000000000006</v>
      </c>
      <c r="V361" s="64">
        <f t="shared" si="36"/>
        <v>0</v>
      </c>
      <c r="W361" s="64">
        <f t="shared" si="32"/>
        <v>20</v>
      </c>
      <c r="X361" s="186">
        <f t="shared" si="33"/>
        <v>52.5</v>
      </c>
      <c r="Y361" s="187">
        <f t="shared" si="34"/>
        <v>442.4</v>
      </c>
      <c r="Z361" s="188">
        <f t="shared" si="35"/>
        <v>442</v>
      </c>
    </row>
    <row r="362" spans="1:26" x14ac:dyDescent="0.25">
      <c r="A362" s="74" t="s">
        <v>991</v>
      </c>
      <c r="B362" s="74" t="s">
        <v>79</v>
      </c>
      <c r="C362" s="74" t="s">
        <v>1024</v>
      </c>
      <c r="D362" s="74">
        <v>37828100</v>
      </c>
      <c r="E362" s="75" t="s">
        <v>1025</v>
      </c>
      <c r="F362" s="180">
        <v>160539</v>
      </c>
      <c r="G362" s="139" t="s">
        <v>1039</v>
      </c>
      <c r="H362" s="75" t="s">
        <v>1040</v>
      </c>
      <c r="I362" s="140" t="s">
        <v>1041</v>
      </c>
      <c r="J362" s="42">
        <v>2</v>
      </c>
      <c r="K362" s="43">
        <v>0</v>
      </c>
      <c r="L362" s="43">
        <v>3</v>
      </c>
      <c r="M362" s="43">
        <v>0</v>
      </c>
      <c r="N362" s="163">
        <v>0</v>
      </c>
      <c r="O362" s="163">
        <v>0</v>
      </c>
      <c r="P362" s="164">
        <v>0</v>
      </c>
      <c r="Q362" s="42">
        <v>0</v>
      </c>
      <c r="R362" s="43">
        <v>4</v>
      </c>
      <c r="S362" s="44">
        <v>2</v>
      </c>
      <c r="T362" s="45">
        <f t="shared" si="30"/>
        <v>100.5</v>
      </c>
      <c r="U362" s="46">
        <v>19.93</v>
      </c>
      <c r="V362" s="46">
        <f t="shared" si="36"/>
        <v>0</v>
      </c>
      <c r="W362" s="46">
        <f t="shared" si="32"/>
        <v>8</v>
      </c>
      <c r="X362" s="121">
        <f t="shared" si="33"/>
        <v>3</v>
      </c>
      <c r="Y362" s="122">
        <f t="shared" si="34"/>
        <v>131.43</v>
      </c>
      <c r="Z362" s="138">
        <f t="shared" si="35"/>
        <v>131</v>
      </c>
    </row>
    <row r="363" spans="1:26" x14ac:dyDescent="0.25">
      <c r="A363" s="74" t="s">
        <v>991</v>
      </c>
      <c r="B363" s="74" t="s">
        <v>79</v>
      </c>
      <c r="C363" s="74" t="s">
        <v>1024</v>
      </c>
      <c r="D363" s="74">
        <v>37828100</v>
      </c>
      <c r="E363" s="75" t="s">
        <v>1025</v>
      </c>
      <c r="F363" s="180">
        <v>162710</v>
      </c>
      <c r="G363" s="139" t="s">
        <v>907</v>
      </c>
      <c r="H363" s="75" t="s">
        <v>1040</v>
      </c>
      <c r="I363" s="140" t="s">
        <v>1042</v>
      </c>
      <c r="J363" s="42">
        <v>3</v>
      </c>
      <c r="K363" s="43">
        <v>0</v>
      </c>
      <c r="L363" s="43">
        <v>6</v>
      </c>
      <c r="M363" s="43">
        <v>0</v>
      </c>
      <c r="N363" s="55">
        <v>0</v>
      </c>
      <c r="O363" s="55">
        <v>0</v>
      </c>
      <c r="P363" s="57">
        <v>0</v>
      </c>
      <c r="Q363" s="42">
        <v>0</v>
      </c>
      <c r="R363" s="43">
        <v>12</v>
      </c>
      <c r="S363" s="44">
        <v>9</v>
      </c>
      <c r="T363" s="45">
        <f t="shared" si="30"/>
        <v>201</v>
      </c>
      <c r="U363" s="46"/>
      <c r="V363" s="46">
        <f t="shared" si="36"/>
        <v>0</v>
      </c>
      <c r="W363" s="46">
        <f t="shared" si="32"/>
        <v>24</v>
      </c>
      <c r="X363" s="121">
        <f t="shared" si="33"/>
        <v>13.5</v>
      </c>
      <c r="Y363" s="122">
        <f t="shared" si="34"/>
        <v>238.5</v>
      </c>
      <c r="Z363" s="138">
        <f t="shared" si="35"/>
        <v>239</v>
      </c>
    </row>
    <row r="364" spans="1:26" x14ac:dyDescent="0.25">
      <c r="A364" s="74" t="s">
        <v>991</v>
      </c>
      <c r="B364" s="74" t="s">
        <v>79</v>
      </c>
      <c r="C364" s="74" t="s">
        <v>1024</v>
      </c>
      <c r="D364" s="74">
        <v>37828100</v>
      </c>
      <c r="E364" s="75" t="s">
        <v>1025</v>
      </c>
      <c r="F364" s="180">
        <v>42317673</v>
      </c>
      <c r="G364" s="139" t="s">
        <v>1043</v>
      </c>
      <c r="H364" s="75" t="s">
        <v>1040</v>
      </c>
      <c r="I364" s="140" t="s">
        <v>1044</v>
      </c>
      <c r="J364" s="42">
        <v>2</v>
      </c>
      <c r="K364" s="43">
        <v>0</v>
      </c>
      <c r="L364" s="43">
        <v>2</v>
      </c>
      <c r="M364" s="43">
        <v>0</v>
      </c>
      <c r="N364" s="55">
        <v>0</v>
      </c>
      <c r="O364" s="163">
        <v>1</v>
      </c>
      <c r="P364" s="164">
        <v>1</v>
      </c>
      <c r="Q364" s="42">
        <v>0</v>
      </c>
      <c r="R364" s="43">
        <v>2</v>
      </c>
      <c r="S364" s="44">
        <v>2</v>
      </c>
      <c r="T364" s="45">
        <f t="shared" si="30"/>
        <v>67</v>
      </c>
      <c r="U364" s="46">
        <v>11.2</v>
      </c>
      <c r="V364" s="46">
        <f t="shared" si="36"/>
        <v>0</v>
      </c>
      <c r="W364" s="46">
        <f t="shared" si="32"/>
        <v>17.5</v>
      </c>
      <c r="X364" s="121">
        <f t="shared" si="33"/>
        <v>30</v>
      </c>
      <c r="Y364" s="122">
        <f t="shared" si="34"/>
        <v>125.7</v>
      </c>
      <c r="Z364" s="138">
        <f t="shared" si="35"/>
        <v>126</v>
      </c>
    </row>
    <row r="365" spans="1:26" x14ac:dyDescent="0.25">
      <c r="A365" s="159" t="s">
        <v>991</v>
      </c>
      <c r="B365" s="159" t="s">
        <v>79</v>
      </c>
      <c r="C365" s="159" t="s">
        <v>1024</v>
      </c>
      <c r="D365" s="159">
        <v>37828100</v>
      </c>
      <c r="E365" s="182" t="s">
        <v>1025</v>
      </c>
      <c r="F365" s="183">
        <v>161667</v>
      </c>
      <c r="G365" s="160" t="s">
        <v>1668</v>
      </c>
      <c r="H365" s="182" t="s">
        <v>1040</v>
      </c>
      <c r="I365" s="184" t="s">
        <v>1046</v>
      </c>
      <c r="J365" s="60">
        <v>5</v>
      </c>
      <c r="K365" s="43">
        <v>0</v>
      </c>
      <c r="L365" s="61">
        <v>17</v>
      </c>
      <c r="M365" s="43">
        <v>0</v>
      </c>
      <c r="N365" s="55">
        <v>0</v>
      </c>
      <c r="O365" s="163">
        <v>10</v>
      </c>
      <c r="P365" s="57">
        <v>0</v>
      </c>
      <c r="Q365" s="42">
        <v>0</v>
      </c>
      <c r="R365" s="61">
        <v>134</v>
      </c>
      <c r="S365" s="63">
        <v>7</v>
      </c>
      <c r="T365" s="185">
        <f t="shared" si="30"/>
        <v>569.5</v>
      </c>
      <c r="U365" s="64">
        <v>116.59</v>
      </c>
      <c r="V365" s="64">
        <f t="shared" si="36"/>
        <v>0</v>
      </c>
      <c r="W365" s="64">
        <f t="shared" si="32"/>
        <v>403</v>
      </c>
      <c r="X365" s="186">
        <f t="shared" si="33"/>
        <v>10.5</v>
      </c>
      <c r="Y365" s="187">
        <f t="shared" si="34"/>
        <v>1099.5900000000001</v>
      </c>
      <c r="Z365" s="188">
        <f t="shared" si="35"/>
        <v>1100</v>
      </c>
    </row>
    <row r="366" spans="1:26" x14ac:dyDescent="0.25">
      <c r="A366" s="74" t="s">
        <v>991</v>
      </c>
      <c r="B366" s="74" t="s">
        <v>79</v>
      </c>
      <c r="C366" s="74" t="s">
        <v>1024</v>
      </c>
      <c r="D366" s="74">
        <v>37828100</v>
      </c>
      <c r="E366" s="75" t="s">
        <v>1025</v>
      </c>
      <c r="F366" s="180">
        <v>160547</v>
      </c>
      <c r="G366" s="139" t="s">
        <v>1047</v>
      </c>
      <c r="H366" s="75" t="s">
        <v>1048</v>
      </c>
      <c r="I366" s="140" t="s">
        <v>1049</v>
      </c>
      <c r="J366" s="42">
        <v>1</v>
      </c>
      <c r="K366" s="43">
        <v>0</v>
      </c>
      <c r="L366" s="43">
        <v>1</v>
      </c>
      <c r="M366" s="43">
        <v>0</v>
      </c>
      <c r="N366" s="163">
        <v>1</v>
      </c>
      <c r="O366" s="55">
        <v>0</v>
      </c>
      <c r="P366" s="57">
        <v>0</v>
      </c>
      <c r="Q366" s="42">
        <v>1</v>
      </c>
      <c r="R366" s="43">
        <v>0</v>
      </c>
      <c r="S366" s="44">
        <v>0</v>
      </c>
      <c r="T366" s="45">
        <f t="shared" si="30"/>
        <v>33.5</v>
      </c>
      <c r="U366" s="46">
        <v>0</v>
      </c>
      <c r="V366" s="46">
        <f t="shared" si="36"/>
        <v>15</v>
      </c>
      <c r="W366" s="46">
        <f t="shared" si="32"/>
        <v>0</v>
      </c>
      <c r="X366" s="121">
        <f t="shared" si="33"/>
        <v>0</v>
      </c>
      <c r="Y366" s="122">
        <f t="shared" si="34"/>
        <v>48.5</v>
      </c>
      <c r="Z366" s="138">
        <f t="shared" si="35"/>
        <v>49</v>
      </c>
    </row>
    <row r="367" spans="1:26" x14ac:dyDescent="0.25">
      <c r="A367" s="74" t="s">
        <v>991</v>
      </c>
      <c r="B367" s="74" t="s">
        <v>79</v>
      </c>
      <c r="C367" s="74" t="s">
        <v>1024</v>
      </c>
      <c r="D367" s="74">
        <v>37828100</v>
      </c>
      <c r="E367" s="75" t="s">
        <v>1025</v>
      </c>
      <c r="F367" s="180">
        <v>162035</v>
      </c>
      <c r="G367" s="139" t="s">
        <v>121</v>
      </c>
      <c r="H367" s="75" t="s">
        <v>1048</v>
      </c>
      <c r="I367" s="140" t="s">
        <v>1050</v>
      </c>
      <c r="J367" s="42">
        <v>2</v>
      </c>
      <c r="K367" s="43">
        <v>0</v>
      </c>
      <c r="L367" s="43">
        <v>2</v>
      </c>
      <c r="M367" s="43">
        <v>0</v>
      </c>
      <c r="N367" s="55">
        <v>0</v>
      </c>
      <c r="O367" s="55">
        <v>0</v>
      </c>
      <c r="P367" s="57">
        <v>0</v>
      </c>
      <c r="Q367" s="42">
        <v>0</v>
      </c>
      <c r="R367" s="43">
        <v>2</v>
      </c>
      <c r="S367" s="44">
        <v>2</v>
      </c>
      <c r="T367" s="45">
        <f t="shared" si="30"/>
        <v>67</v>
      </c>
      <c r="U367" s="46">
        <v>0</v>
      </c>
      <c r="V367" s="46">
        <f t="shared" si="36"/>
        <v>0</v>
      </c>
      <c r="W367" s="46">
        <f t="shared" si="32"/>
        <v>4</v>
      </c>
      <c r="X367" s="121">
        <f t="shared" si="33"/>
        <v>3</v>
      </c>
      <c r="Y367" s="122">
        <f t="shared" si="34"/>
        <v>74</v>
      </c>
      <c r="Z367" s="138">
        <f t="shared" si="35"/>
        <v>74</v>
      </c>
    </row>
    <row r="368" spans="1:26" x14ac:dyDescent="0.25">
      <c r="A368" s="74" t="s">
        <v>991</v>
      </c>
      <c r="B368" s="74" t="s">
        <v>79</v>
      </c>
      <c r="C368" s="74" t="s">
        <v>1024</v>
      </c>
      <c r="D368" s="74">
        <v>37828100</v>
      </c>
      <c r="E368" s="75" t="s">
        <v>1025</v>
      </c>
      <c r="F368" s="180">
        <v>42317657</v>
      </c>
      <c r="G368" s="139" t="s">
        <v>679</v>
      </c>
      <c r="H368" s="75" t="s">
        <v>1048</v>
      </c>
      <c r="I368" s="140" t="s">
        <v>1051</v>
      </c>
      <c r="J368" s="42">
        <v>5</v>
      </c>
      <c r="K368" s="43">
        <v>0</v>
      </c>
      <c r="L368" s="43">
        <v>5</v>
      </c>
      <c r="M368" s="43">
        <v>0</v>
      </c>
      <c r="N368" s="55">
        <v>0</v>
      </c>
      <c r="O368" s="55">
        <v>0</v>
      </c>
      <c r="P368" s="57">
        <v>0</v>
      </c>
      <c r="Q368" s="42">
        <v>0</v>
      </c>
      <c r="R368" s="43">
        <v>7</v>
      </c>
      <c r="S368" s="44">
        <v>0</v>
      </c>
      <c r="T368" s="45">
        <f t="shared" si="30"/>
        <v>167.5</v>
      </c>
      <c r="U368" s="46">
        <v>0</v>
      </c>
      <c r="V368" s="46">
        <f t="shared" si="36"/>
        <v>0</v>
      </c>
      <c r="W368" s="46">
        <f t="shared" si="32"/>
        <v>14</v>
      </c>
      <c r="X368" s="121">
        <f t="shared" si="33"/>
        <v>0</v>
      </c>
      <c r="Y368" s="122">
        <f t="shared" si="34"/>
        <v>181.5</v>
      </c>
      <c r="Z368" s="138">
        <f t="shared" si="35"/>
        <v>182</v>
      </c>
    </row>
    <row r="369" spans="1:26" x14ac:dyDescent="0.25">
      <c r="A369" s="74" t="s">
        <v>991</v>
      </c>
      <c r="B369" s="74" t="s">
        <v>79</v>
      </c>
      <c r="C369" s="74" t="s">
        <v>1024</v>
      </c>
      <c r="D369" s="74">
        <v>37828100</v>
      </c>
      <c r="E369" s="75" t="s">
        <v>1025</v>
      </c>
      <c r="F369" s="180">
        <v>37956205</v>
      </c>
      <c r="G369" s="139" t="s">
        <v>52</v>
      </c>
      <c r="H369" s="75" t="s">
        <v>1052</v>
      </c>
      <c r="I369" s="140" t="s">
        <v>1054</v>
      </c>
      <c r="J369" s="42">
        <v>3</v>
      </c>
      <c r="K369" s="43">
        <v>0</v>
      </c>
      <c r="L369" s="189">
        <v>4</v>
      </c>
      <c r="M369" s="43">
        <v>0</v>
      </c>
      <c r="N369" s="55">
        <v>0</v>
      </c>
      <c r="O369" s="55">
        <v>0</v>
      </c>
      <c r="P369" s="57">
        <v>0</v>
      </c>
      <c r="Q369" s="42">
        <v>0</v>
      </c>
      <c r="R369" s="189">
        <v>8</v>
      </c>
      <c r="S369" s="44">
        <v>0</v>
      </c>
      <c r="T369" s="45">
        <f t="shared" si="30"/>
        <v>134</v>
      </c>
      <c r="U369" s="64">
        <v>37.200000000000003</v>
      </c>
      <c r="V369" s="46">
        <f t="shared" si="36"/>
        <v>0</v>
      </c>
      <c r="W369" s="46">
        <f t="shared" si="32"/>
        <v>16</v>
      </c>
      <c r="X369" s="121">
        <f t="shared" si="33"/>
        <v>0</v>
      </c>
      <c r="Y369" s="122">
        <f t="shared" si="34"/>
        <v>187.2</v>
      </c>
      <c r="Z369" s="138">
        <f t="shared" si="35"/>
        <v>187</v>
      </c>
    </row>
    <row r="370" spans="1:26" x14ac:dyDescent="0.25">
      <c r="A370" s="74" t="s">
        <v>991</v>
      </c>
      <c r="B370" s="74" t="s">
        <v>79</v>
      </c>
      <c r="C370" s="74" t="s">
        <v>1024</v>
      </c>
      <c r="D370" s="74">
        <v>37828100</v>
      </c>
      <c r="E370" s="75" t="s">
        <v>1025</v>
      </c>
      <c r="F370" s="180">
        <v>160644</v>
      </c>
      <c r="G370" s="139" t="s">
        <v>1026</v>
      </c>
      <c r="H370" s="75" t="s">
        <v>1055</v>
      </c>
      <c r="I370" s="140" t="s">
        <v>1056</v>
      </c>
      <c r="J370" s="42">
        <v>1</v>
      </c>
      <c r="K370" s="43">
        <v>0</v>
      </c>
      <c r="L370" s="43">
        <v>1</v>
      </c>
      <c r="M370" s="43">
        <v>0</v>
      </c>
      <c r="N370" s="55">
        <v>0</v>
      </c>
      <c r="O370" s="55">
        <v>0</v>
      </c>
      <c r="P370" s="57">
        <v>0</v>
      </c>
      <c r="Q370" s="42">
        <v>0</v>
      </c>
      <c r="R370" s="43">
        <v>1</v>
      </c>
      <c r="S370" s="44">
        <v>0</v>
      </c>
      <c r="T370" s="45">
        <f t="shared" si="30"/>
        <v>33.5</v>
      </c>
      <c r="U370" s="46">
        <v>9.6</v>
      </c>
      <c r="V370" s="46">
        <f t="shared" si="36"/>
        <v>0</v>
      </c>
      <c r="W370" s="46">
        <f t="shared" si="32"/>
        <v>2</v>
      </c>
      <c r="X370" s="121">
        <f t="shared" si="33"/>
        <v>0</v>
      </c>
      <c r="Y370" s="122">
        <f t="shared" si="34"/>
        <v>45.1</v>
      </c>
      <c r="Z370" s="138">
        <f t="shared" si="35"/>
        <v>45</v>
      </c>
    </row>
    <row r="371" spans="1:26" x14ac:dyDescent="0.25">
      <c r="A371" s="74" t="s">
        <v>991</v>
      </c>
      <c r="B371" s="74" t="s">
        <v>79</v>
      </c>
      <c r="C371" s="74" t="s">
        <v>1024</v>
      </c>
      <c r="D371" s="74">
        <v>37828100</v>
      </c>
      <c r="E371" s="75" t="s">
        <v>1025</v>
      </c>
      <c r="F371" s="180">
        <v>159352</v>
      </c>
      <c r="G371" s="139" t="s">
        <v>402</v>
      </c>
      <c r="H371" s="75" t="s">
        <v>1055</v>
      </c>
      <c r="I371" s="140" t="s">
        <v>1056</v>
      </c>
      <c r="J371" s="42">
        <v>4</v>
      </c>
      <c r="K371" s="43">
        <v>0</v>
      </c>
      <c r="L371" s="43">
        <v>5</v>
      </c>
      <c r="M371" s="43">
        <v>0</v>
      </c>
      <c r="N371" s="55">
        <v>0</v>
      </c>
      <c r="O371" s="55">
        <v>0</v>
      </c>
      <c r="P371" s="57">
        <v>0</v>
      </c>
      <c r="Q371" s="42">
        <v>0</v>
      </c>
      <c r="R371" s="43">
        <v>26</v>
      </c>
      <c r="S371" s="44">
        <v>0</v>
      </c>
      <c r="T371" s="45">
        <f t="shared" si="30"/>
        <v>167.5</v>
      </c>
      <c r="U371" s="46">
        <v>23</v>
      </c>
      <c r="V371" s="46">
        <f t="shared" si="36"/>
        <v>0</v>
      </c>
      <c r="W371" s="46">
        <f t="shared" si="32"/>
        <v>52</v>
      </c>
      <c r="X371" s="121">
        <f t="shared" si="33"/>
        <v>0</v>
      </c>
      <c r="Y371" s="122">
        <f t="shared" si="34"/>
        <v>242.5</v>
      </c>
      <c r="Z371" s="138">
        <f t="shared" si="35"/>
        <v>243</v>
      </c>
    </row>
    <row r="372" spans="1:26" x14ac:dyDescent="0.25">
      <c r="A372" s="74" t="s">
        <v>991</v>
      </c>
      <c r="B372" s="74" t="s">
        <v>79</v>
      </c>
      <c r="C372" s="74" t="s">
        <v>1024</v>
      </c>
      <c r="D372" s="74">
        <v>37828100</v>
      </c>
      <c r="E372" s="75" t="s">
        <v>1025</v>
      </c>
      <c r="F372" s="180">
        <v>37890069</v>
      </c>
      <c r="G372" s="139" t="s">
        <v>1059</v>
      </c>
      <c r="H372" s="75" t="s">
        <v>1057</v>
      </c>
      <c r="I372" s="140" t="s">
        <v>1060</v>
      </c>
      <c r="J372" s="42">
        <v>2</v>
      </c>
      <c r="K372" s="43">
        <v>0</v>
      </c>
      <c r="L372" s="43">
        <v>3</v>
      </c>
      <c r="M372" s="43">
        <v>0</v>
      </c>
      <c r="N372" s="55">
        <v>0</v>
      </c>
      <c r="O372" s="163">
        <v>3</v>
      </c>
      <c r="P372" s="57">
        <v>0</v>
      </c>
      <c r="Q372" s="42">
        <v>0</v>
      </c>
      <c r="R372" s="43">
        <v>2</v>
      </c>
      <c r="S372" s="44">
        <v>0</v>
      </c>
      <c r="T372" s="45">
        <f t="shared" si="30"/>
        <v>100.5</v>
      </c>
      <c r="U372" s="46">
        <v>0</v>
      </c>
      <c r="V372" s="46">
        <f t="shared" si="36"/>
        <v>0</v>
      </c>
      <c r="W372" s="46">
        <f t="shared" si="32"/>
        <v>44.5</v>
      </c>
      <c r="X372" s="121">
        <f t="shared" si="33"/>
        <v>0</v>
      </c>
      <c r="Y372" s="122">
        <f t="shared" si="34"/>
        <v>145</v>
      </c>
      <c r="Z372" s="138">
        <f t="shared" si="35"/>
        <v>145</v>
      </c>
    </row>
    <row r="373" spans="1:26" x14ac:dyDescent="0.25">
      <c r="A373" s="74" t="s">
        <v>991</v>
      </c>
      <c r="B373" s="74" t="s">
        <v>79</v>
      </c>
      <c r="C373" s="74" t="s">
        <v>1024</v>
      </c>
      <c r="D373" s="74">
        <v>37828100</v>
      </c>
      <c r="E373" s="75" t="s">
        <v>1025</v>
      </c>
      <c r="F373" s="180">
        <v>162060</v>
      </c>
      <c r="G373" s="139" t="s">
        <v>100</v>
      </c>
      <c r="H373" s="75" t="s">
        <v>1005</v>
      </c>
      <c r="I373" s="140" t="s">
        <v>1063</v>
      </c>
      <c r="J373" s="42">
        <v>2</v>
      </c>
      <c r="K373" s="43">
        <v>0</v>
      </c>
      <c r="L373" s="189">
        <v>4</v>
      </c>
      <c r="M373" s="43">
        <v>0</v>
      </c>
      <c r="N373" s="55">
        <v>0</v>
      </c>
      <c r="O373" s="55">
        <v>0</v>
      </c>
      <c r="P373" s="57">
        <v>0</v>
      </c>
      <c r="Q373" s="42">
        <v>0</v>
      </c>
      <c r="R373" s="189">
        <v>12</v>
      </c>
      <c r="S373" s="190">
        <v>12</v>
      </c>
      <c r="T373" s="45">
        <f t="shared" si="30"/>
        <v>134</v>
      </c>
      <c r="U373" s="76">
        <v>0</v>
      </c>
      <c r="V373" s="46">
        <f t="shared" si="36"/>
        <v>0</v>
      </c>
      <c r="W373" s="46">
        <f t="shared" si="32"/>
        <v>24</v>
      </c>
      <c r="X373" s="121">
        <f t="shared" si="33"/>
        <v>18</v>
      </c>
      <c r="Y373" s="122">
        <f t="shared" si="34"/>
        <v>176</v>
      </c>
      <c r="Z373" s="138">
        <f t="shared" si="35"/>
        <v>176</v>
      </c>
    </row>
    <row r="374" spans="1:26" ht="25.5" x14ac:dyDescent="0.25">
      <c r="A374" s="74" t="s">
        <v>991</v>
      </c>
      <c r="B374" s="74" t="s">
        <v>79</v>
      </c>
      <c r="C374" s="74" t="s">
        <v>1024</v>
      </c>
      <c r="D374" s="74">
        <v>37828100</v>
      </c>
      <c r="E374" s="75" t="s">
        <v>1025</v>
      </c>
      <c r="F374" s="180">
        <v>162809</v>
      </c>
      <c r="G374" s="139" t="s">
        <v>1066</v>
      </c>
      <c r="H374" s="75" t="s">
        <v>1005</v>
      </c>
      <c r="I374" s="140" t="s">
        <v>1067</v>
      </c>
      <c r="J374" s="42">
        <v>3</v>
      </c>
      <c r="K374" s="43">
        <v>0</v>
      </c>
      <c r="L374" s="43">
        <v>3</v>
      </c>
      <c r="M374" s="43">
        <v>0</v>
      </c>
      <c r="N374" s="55">
        <v>0</v>
      </c>
      <c r="O374" s="55">
        <v>0</v>
      </c>
      <c r="P374" s="57">
        <v>0</v>
      </c>
      <c r="Q374" s="42">
        <v>0</v>
      </c>
      <c r="R374" s="43">
        <v>4</v>
      </c>
      <c r="S374" s="44">
        <v>8</v>
      </c>
      <c r="T374" s="45">
        <f t="shared" si="30"/>
        <v>100.5</v>
      </c>
      <c r="U374" s="46">
        <v>0</v>
      </c>
      <c r="V374" s="46">
        <f t="shared" si="36"/>
        <v>0</v>
      </c>
      <c r="W374" s="46">
        <f t="shared" si="32"/>
        <v>8</v>
      </c>
      <c r="X374" s="121">
        <f t="shared" si="33"/>
        <v>12</v>
      </c>
      <c r="Y374" s="122">
        <f t="shared" si="34"/>
        <v>120.5</v>
      </c>
      <c r="Z374" s="138">
        <f t="shared" si="35"/>
        <v>121</v>
      </c>
    </row>
    <row r="375" spans="1:26" x14ac:dyDescent="0.25">
      <c r="A375" s="191" t="s">
        <v>991</v>
      </c>
      <c r="B375" s="191" t="s">
        <v>79</v>
      </c>
      <c r="C375" s="191" t="s">
        <v>1024</v>
      </c>
      <c r="D375" s="191">
        <v>37828100</v>
      </c>
      <c r="E375" s="192" t="s">
        <v>1025</v>
      </c>
      <c r="F375" s="193">
        <v>893307</v>
      </c>
      <c r="G375" s="194" t="s">
        <v>154</v>
      </c>
      <c r="H375" s="192" t="s">
        <v>1005</v>
      </c>
      <c r="I375" s="195" t="s">
        <v>1068</v>
      </c>
      <c r="J375" s="60">
        <v>1</v>
      </c>
      <c r="K375" s="43">
        <v>0</v>
      </c>
      <c r="L375" s="61">
        <v>1</v>
      </c>
      <c r="M375" s="43">
        <v>0</v>
      </c>
      <c r="N375" s="55">
        <v>0</v>
      </c>
      <c r="O375" s="55">
        <v>0</v>
      </c>
      <c r="P375" s="57">
        <v>0</v>
      </c>
      <c r="Q375" s="42">
        <v>0</v>
      </c>
      <c r="R375" s="61">
        <v>1</v>
      </c>
      <c r="S375" s="44">
        <v>0</v>
      </c>
      <c r="T375" s="185">
        <f t="shared" si="30"/>
        <v>33.5</v>
      </c>
      <c r="U375" s="64">
        <v>7.3</v>
      </c>
      <c r="V375" s="64">
        <f t="shared" si="36"/>
        <v>0</v>
      </c>
      <c r="W375" s="64">
        <f t="shared" si="32"/>
        <v>2</v>
      </c>
      <c r="X375" s="186">
        <f t="shared" si="33"/>
        <v>0</v>
      </c>
      <c r="Y375" s="187">
        <f t="shared" si="34"/>
        <v>42.8</v>
      </c>
      <c r="Z375" s="188">
        <f t="shared" si="35"/>
        <v>43</v>
      </c>
    </row>
    <row r="376" spans="1:26" ht="38.25" x14ac:dyDescent="0.25">
      <c r="A376" s="74" t="s">
        <v>991</v>
      </c>
      <c r="B376" s="74" t="s">
        <v>79</v>
      </c>
      <c r="C376" s="74" t="s">
        <v>1024</v>
      </c>
      <c r="D376" s="74">
        <v>37828100</v>
      </c>
      <c r="E376" s="75" t="s">
        <v>1025</v>
      </c>
      <c r="F376" s="180">
        <v>161560</v>
      </c>
      <c r="G376" s="139" t="s">
        <v>1069</v>
      </c>
      <c r="H376" s="75" t="s">
        <v>1005</v>
      </c>
      <c r="I376" s="140" t="s">
        <v>1070</v>
      </c>
      <c r="J376" s="42">
        <v>1</v>
      </c>
      <c r="K376" s="43">
        <v>0</v>
      </c>
      <c r="L376" s="43">
        <v>1</v>
      </c>
      <c r="M376" s="43">
        <v>0</v>
      </c>
      <c r="N376" s="163">
        <v>0</v>
      </c>
      <c r="O376" s="163">
        <v>0</v>
      </c>
      <c r="P376" s="164">
        <v>0</v>
      </c>
      <c r="Q376" s="42">
        <v>0</v>
      </c>
      <c r="R376" s="43">
        <v>1</v>
      </c>
      <c r="S376" s="44">
        <v>0</v>
      </c>
      <c r="T376" s="45">
        <f t="shared" si="30"/>
        <v>33.5</v>
      </c>
      <c r="U376" s="46">
        <v>10.4</v>
      </c>
      <c r="V376" s="46">
        <f t="shared" si="36"/>
        <v>0</v>
      </c>
      <c r="W376" s="46">
        <f t="shared" si="32"/>
        <v>2</v>
      </c>
      <c r="X376" s="121">
        <f t="shared" si="33"/>
        <v>0</v>
      </c>
      <c r="Y376" s="122">
        <f t="shared" si="34"/>
        <v>45.9</v>
      </c>
      <c r="Z376" s="138">
        <f t="shared" si="35"/>
        <v>46</v>
      </c>
    </row>
    <row r="377" spans="1:26" x14ac:dyDescent="0.25">
      <c r="A377" s="159" t="s">
        <v>991</v>
      </c>
      <c r="B377" s="159" t="s">
        <v>79</v>
      </c>
      <c r="C377" s="159" t="s">
        <v>1024</v>
      </c>
      <c r="D377" s="159">
        <v>37828100</v>
      </c>
      <c r="E377" s="182" t="s">
        <v>1025</v>
      </c>
      <c r="F377" s="183">
        <v>42195462</v>
      </c>
      <c r="G377" s="160" t="s">
        <v>52</v>
      </c>
      <c r="H377" s="182" t="s">
        <v>1072</v>
      </c>
      <c r="I377" s="184" t="s">
        <v>1073</v>
      </c>
      <c r="J377" s="60">
        <v>6</v>
      </c>
      <c r="K377" s="43">
        <v>0</v>
      </c>
      <c r="L377" s="61">
        <v>11</v>
      </c>
      <c r="M377" s="43">
        <v>0</v>
      </c>
      <c r="N377" s="55">
        <v>0</v>
      </c>
      <c r="O377" s="55">
        <v>0</v>
      </c>
      <c r="P377" s="57">
        <v>0</v>
      </c>
      <c r="Q377" s="42">
        <v>0</v>
      </c>
      <c r="R377" s="61">
        <v>22</v>
      </c>
      <c r="S377" s="44">
        <v>0</v>
      </c>
      <c r="T377" s="185">
        <f t="shared" si="30"/>
        <v>368.5</v>
      </c>
      <c r="U377" s="64">
        <v>41.7</v>
      </c>
      <c r="V377" s="64">
        <f t="shared" si="36"/>
        <v>0</v>
      </c>
      <c r="W377" s="64">
        <f t="shared" si="32"/>
        <v>44</v>
      </c>
      <c r="X377" s="186">
        <f t="shared" si="33"/>
        <v>0</v>
      </c>
      <c r="Y377" s="187">
        <f t="shared" si="34"/>
        <v>454.2</v>
      </c>
      <c r="Z377" s="188">
        <f t="shared" si="35"/>
        <v>454</v>
      </c>
    </row>
    <row r="378" spans="1:26" x14ac:dyDescent="0.25">
      <c r="A378" s="74" t="s">
        <v>991</v>
      </c>
      <c r="B378" s="74" t="s">
        <v>79</v>
      </c>
      <c r="C378" s="74" t="s">
        <v>1024</v>
      </c>
      <c r="D378" s="74">
        <v>37828100</v>
      </c>
      <c r="E378" s="75" t="s">
        <v>1025</v>
      </c>
      <c r="F378" s="180">
        <v>37890182</v>
      </c>
      <c r="G378" s="139" t="s">
        <v>575</v>
      </c>
      <c r="H378" s="75" t="s">
        <v>1075</v>
      </c>
      <c r="I378" s="140" t="s">
        <v>1077</v>
      </c>
      <c r="J378" s="42">
        <v>3</v>
      </c>
      <c r="K378" s="43">
        <v>0</v>
      </c>
      <c r="L378" s="43">
        <v>4</v>
      </c>
      <c r="M378" s="43">
        <v>0</v>
      </c>
      <c r="N378" s="55">
        <v>0</v>
      </c>
      <c r="O378" s="55">
        <v>0</v>
      </c>
      <c r="P378" s="57">
        <v>0</v>
      </c>
      <c r="Q378" s="42">
        <v>2</v>
      </c>
      <c r="R378" s="43">
        <v>3</v>
      </c>
      <c r="S378" s="44">
        <v>0</v>
      </c>
      <c r="T378" s="45">
        <f t="shared" si="30"/>
        <v>134</v>
      </c>
      <c r="U378" s="46">
        <v>43.5</v>
      </c>
      <c r="V378" s="46">
        <f t="shared" si="36"/>
        <v>3</v>
      </c>
      <c r="W378" s="46">
        <f t="shared" si="32"/>
        <v>6</v>
      </c>
      <c r="X378" s="121">
        <f t="shared" si="33"/>
        <v>0</v>
      </c>
      <c r="Y378" s="122">
        <f t="shared" si="34"/>
        <v>186.5</v>
      </c>
      <c r="Z378" s="138">
        <f t="shared" si="35"/>
        <v>187</v>
      </c>
    </row>
    <row r="379" spans="1:26" x14ac:dyDescent="0.25">
      <c r="A379" s="74" t="s">
        <v>991</v>
      </c>
      <c r="B379" s="74" t="s">
        <v>79</v>
      </c>
      <c r="C379" s="74" t="s">
        <v>1024</v>
      </c>
      <c r="D379" s="74">
        <v>37828100</v>
      </c>
      <c r="E379" s="75" t="s">
        <v>1025</v>
      </c>
      <c r="F379" s="180">
        <v>894818</v>
      </c>
      <c r="G379" s="139" t="s">
        <v>1059</v>
      </c>
      <c r="H379" s="75" t="s">
        <v>1010</v>
      </c>
      <c r="I379" s="140" t="s">
        <v>1078</v>
      </c>
      <c r="J379" s="42">
        <v>4</v>
      </c>
      <c r="K379" s="43">
        <v>0</v>
      </c>
      <c r="L379" s="43">
        <v>5</v>
      </c>
      <c r="M379" s="43">
        <v>0</v>
      </c>
      <c r="N379" s="55">
        <v>0</v>
      </c>
      <c r="O379" s="55">
        <v>0</v>
      </c>
      <c r="P379" s="57">
        <v>0</v>
      </c>
      <c r="Q379" s="42">
        <v>0</v>
      </c>
      <c r="R379" s="43">
        <v>9</v>
      </c>
      <c r="S379" s="44">
        <v>5</v>
      </c>
      <c r="T379" s="45">
        <f t="shared" si="30"/>
        <v>167.5</v>
      </c>
      <c r="U379" s="46">
        <v>61.5</v>
      </c>
      <c r="V379" s="46">
        <f t="shared" si="36"/>
        <v>0</v>
      </c>
      <c r="W379" s="46">
        <f t="shared" si="32"/>
        <v>18</v>
      </c>
      <c r="X379" s="121">
        <f t="shared" si="33"/>
        <v>7.5</v>
      </c>
      <c r="Y379" s="122">
        <f t="shared" si="34"/>
        <v>254.5</v>
      </c>
      <c r="Z379" s="138">
        <f t="shared" si="35"/>
        <v>255</v>
      </c>
    </row>
    <row r="380" spans="1:26" x14ac:dyDescent="0.25">
      <c r="A380" s="74" t="s">
        <v>991</v>
      </c>
      <c r="B380" s="74" t="s">
        <v>79</v>
      </c>
      <c r="C380" s="74" t="s">
        <v>1024</v>
      </c>
      <c r="D380" s="74">
        <v>37828100</v>
      </c>
      <c r="E380" s="75" t="s">
        <v>1025</v>
      </c>
      <c r="F380" s="180">
        <v>162108</v>
      </c>
      <c r="G380" s="139" t="s">
        <v>395</v>
      </c>
      <c r="H380" s="75" t="s">
        <v>777</v>
      </c>
      <c r="I380" s="140" t="s">
        <v>1084</v>
      </c>
      <c r="J380" s="42">
        <v>1</v>
      </c>
      <c r="K380" s="43">
        <v>0</v>
      </c>
      <c r="L380" s="43"/>
      <c r="M380" s="43">
        <v>0</v>
      </c>
      <c r="N380" s="55">
        <v>0</v>
      </c>
      <c r="O380" s="163">
        <v>2</v>
      </c>
      <c r="P380" s="57">
        <v>0</v>
      </c>
      <c r="Q380" s="42">
        <v>0</v>
      </c>
      <c r="R380" s="43">
        <v>3</v>
      </c>
      <c r="S380" s="44">
        <v>0</v>
      </c>
      <c r="T380" s="45">
        <f t="shared" si="30"/>
        <v>0</v>
      </c>
      <c r="U380" s="46">
        <v>0</v>
      </c>
      <c r="V380" s="46">
        <f t="shared" si="36"/>
        <v>0</v>
      </c>
      <c r="W380" s="46">
        <f t="shared" si="32"/>
        <v>33</v>
      </c>
      <c r="X380" s="121">
        <f t="shared" si="33"/>
        <v>0</v>
      </c>
      <c r="Y380" s="122">
        <f t="shared" si="34"/>
        <v>33</v>
      </c>
      <c r="Z380" s="138">
        <f t="shared" si="35"/>
        <v>33</v>
      </c>
    </row>
    <row r="381" spans="1:26" ht="38.25" x14ac:dyDescent="0.25">
      <c r="A381" s="74" t="s">
        <v>991</v>
      </c>
      <c r="B381" s="74" t="s">
        <v>79</v>
      </c>
      <c r="C381" s="74" t="s">
        <v>1024</v>
      </c>
      <c r="D381" s="74">
        <v>37828100</v>
      </c>
      <c r="E381" s="75" t="s">
        <v>1025</v>
      </c>
      <c r="F381" s="180">
        <v>42317665</v>
      </c>
      <c r="G381" s="139" t="s">
        <v>1086</v>
      </c>
      <c r="H381" s="75" t="s">
        <v>777</v>
      </c>
      <c r="I381" s="140" t="s">
        <v>1087</v>
      </c>
      <c r="J381" s="42">
        <v>4</v>
      </c>
      <c r="K381" s="43">
        <v>0</v>
      </c>
      <c r="L381" s="43">
        <v>5</v>
      </c>
      <c r="M381" s="43">
        <v>5</v>
      </c>
      <c r="N381" s="163">
        <v>0</v>
      </c>
      <c r="O381" s="163">
        <v>0</v>
      </c>
      <c r="P381" s="164">
        <v>0</v>
      </c>
      <c r="Q381" s="42">
        <v>1</v>
      </c>
      <c r="R381" s="43">
        <v>3</v>
      </c>
      <c r="S381" s="44">
        <v>2</v>
      </c>
      <c r="T381" s="45">
        <f t="shared" si="30"/>
        <v>167.5</v>
      </c>
      <c r="U381" s="46">
        <v>33.1</v>
      </c>
      <c r="V381" s="46">
        <f t="shared" si="36"/>
        <v>1.5</v>
      </c>
      <c r="W381" s="46">
        <f t="shared" si="32"/>
        <v>6</v>
      </c>
      <c r="X381" s="121">
        <f t="shared" si="33"/>
        <v>3</v>
      </c>
      <c r="Y381" s="122">
        <f t="shared" si="34"/>
        <v>211.1</v>
      </c>
      <c r="Z381" s="138">
        <f t="shared" si="35"/>
        <v>211</v>
      </c>
    </row>
    <row r="382" spans="1:26" x14ac:dyDescent="0.25">
      <c r="A382" s="74" t="s">
        <v>991</v>
      </c>
      <c r="B382" s="74" t="s">
        <v>79</v>
      </c>
      <c r="C382" s="74" t="s">
        <v>1024</v>
      </c>
      <c r="D382" s="74">
        <v>37828100</v>
      </c>
      <c r="E382" s="75" t="s">
        <v>1025</v>
      </c>
      <c r="F382" s="180">
        <v>161632</v>
      </c>
      <c r="G382" s="139" t="s">
        <v>575</v>
      </c>
      <c r="H382" s="75" t="s">
        <v>1088</v>
      </c>
      <c r="I382" s="140" t="s">
        <v>1089</v>
      </c>
      <c r="J382" s="42">
        <v>1</v>
      </c>
      <c r="K382" s="43">
        <v>0</v>
      </c>
      <c r="L382" s="43">
        <v>1</v>
      </c>
      <c r="M382" s="43">
        <v>0</v>
      </c>
      <c r="N382" s="55">
        <v>0</v>
      </c>
      <c r="O382" s="55">
        <v>0</v>
      </c>
      <c r="P382" s="57">
        <v>0</v>
      </c>
      <c r="Q382" s="42">
        <v>0</v>
      </c>
      <c r="R382" s="43">
        <v>2</v>
      </c>
      <c r="S382" s="44">
        <v>2</v>
      </c>
      <c r="T382" s="45">
        <f t="shared" si="30"/>
        <v>33.5</v>
      </c>
      <c r="U382" s="46">
        <v>0</v>
      </c>
      <c r="V382" s="46">
        <f t="shared" si="36"/>
        <v>0</v>
      </c>
      <c r="W382" s="46">
        <f t="shared" si="32"/>
        <v>4</v>
      </c>
      <c r="X382" s="121">
        <f t="shared" si="33"/>
        <v>3</v>
      </c>
      <c r="Y382" s="122">
        <f t="shared" si="34"/>
        <v>40.5</v>
      </c>
      <c r="Z382" s="138">
        <f t="shared" si="35"/>
        <v>41</v>
      </c>
    </row>
    <row r="383" spans="1:26" x14ac:dyDescent="0.25">
      <c r="A383" s="74" t="s">
        <v>991</v>
      </c>
      <c r="B383" s="74" t="s">
        <v>79</v>
      </c>
      <c r="C383" s="74" t="s">
        <v>1024</v>
      </c>
      <c r="D383" s="74">
        <v>37828100</v>
      </c>
      <c r="E383" s="75" t="s">
        <v>1025</v>
      </c>
      <c r="F383" s="180">
        <v>37956248</v>
      </c>
      <c r="G383" s="139" t="s">
        <v>52</v>
      </c>
      <c r="H383" s="75" t="s">
        <v>1090</v>
      </c>
      <c r="I383" s="140" t="s">
        <v>1091</v>
      </c>
      <c r="J383" s="42">
        <v>3</v>
      </c>
      <c r="K383" s="43">
        <v>0</v>
      </c>
      <c r="L383" s="43">
        <v>4</v>
      </c>
      <c r="M383" s="43">
        <v>0</v>
      </c>
      <c r="N383" s="55">
        <v>0</v>
      </c>
      <c r="O383" s="55">
        <v>0</v>
      </c>
      <c r="P383" s="57">
        <v>0</v>
      </c>
      <c r="Q383" s="42">
        <v>0</v>
      </c>
      <c r="R383" s="43">
        <v>6</v>
      </c>
      <c r="S383" s="44">
        <v>0</v>
      </c>
      <c r="T383" s="45">
        <f t="shared" si="30"/>
        <v>134</v>
      </c>
      <c r="U383" s="46">
        <v>81.98</v>
      </c>
      <c r="V383" s="46">
        <f t="shared" si="36"/>
        <v>0</v>
      </c>
      <c r="W383" s="46">
        <f t="shared" si="32"/>
        <v>12</v>
      </c>
      <c r="X383" s="121">
        <f t="shared" si="33"/>
        <v>0</v>
      </c>
      <c r="Y383" s="122">
        <f t="shared" si="34"/>
        <v>227.98000000000002</v>
      </c>
      <c r="Z383" s="138">
        <f t="shared" si="35"/>
        <v>228</v>
      </c>
    </row>
    <row r="384" spans="1:26" x14ac:dyDescent="0.25">
      <c r="A384" s="74" t="s">
        <v>991</v>
      </c>
      <c r="B384" s="74" t="s">
        <v>79</v>
      </c>
      <c r="C384" s="74" t="s">
        <v>1024</v>
      </c>
      <c r="D384" s="74">
        <v>37828100</v>
      </c>
      <c r="E384" s="75" t="s">
        <v>1025</v>
      </c>
      <c r="F384" s="180">
        <v>37956469</v>
      </c>
      <c r="G384" s="139" t="s">
        <v>745</v>
      </c>
      <c r="H384" s="75" t="s">
        <v>1096</v>
      </c>
      <c r="I384" s="140" t="s">
        <v>1098</v>
      </c>
      <c r="J384" s="42">
        <v>4</v>
      </c>
      <c r="K384" s="43">
        <v>1</v>
      </c>
      <c r="L384" s="43">
        <v>6</v>
      </c>
      <c r="M384" s="43">
        <v>1</v>
      </c>
      <c r="N384" s="55">
        <v>0</v>
      </c>
      <c r="O384" s="55">
        <v>0</v>
      </c>
      <c r="P384" s="57">
        <v>0</v>
      </c>
      <c r="Q384" s="42">
        <v>0</v>
      </c>
      <c r="R384" s="43">
        <v>10</v>
      </c>
      <c r="S384" s="44">
        <v>6</v>
      </c>
      <c r="T384" s="45">
        <f t="shared" si="30"/>
        <v>201</v>
      </c>
      <c r="U384" s="46">
        <v>45.5</v>
      </c>
      <c r="V384" s="46">
        <f t="shared" si="36"/>
        <v>0</v>
      </c>
      <c r="W384" s="46">
        <f t="shared" si="32"/>
        <v>20</v>
      </c>
      <c r="X384" s="121">
        <f t="shared" si="33"/>
        <v>9</v>
      </c>
      <c r="Y384" s="122">
        <f t="shared" si="34"/>
        <v>275.5</v>
      </c>
      <c r="Z384" s="138">
        <f t="shared" si="35"/>
        <v>276</v>
      </c>
    </row>
    <row r="385" spans="1:26" ht="25.5" x14ac:dyDescent="0.25">
      <c r="A385" s="74" t="s">
        <v>991</v>
      </c>
      <c r="B385" s="74" t="s">
        <v>79</v>
      </c>
      <c r="C385" s="74" t="s">
        <v>1024</v>
      </c>
      <c r="D385" s="74">
        <v>37828100</v>
      </c>
      <c r="E385" s="75" t="s">
        <v>1025</v>
      </c>
      <c r="F385" s="180">
        <v>37890115</v>
      </c>
      <c r="G385" s="139" t="s">
        <v>132</v>
      </c>
      <c r="H385" s="75" t="s">
        <v>1096</v>
      </c>
      <c r="I385" s="140" t="s">
        <v>1099</v>
      </c>
      <c r="J385" s="42">
        <v>5</v>
      </c>
      <c r="K385" s="43">
        <v>0</v>
      </c>
      <c r="L385" s="43">
        <v>7</v>
      </c>
      <c r="M385" s="43">
        <v>0</v>
      </c>
      <c r="N385" s="55">
        <v>0</v>
      </c>
      <c r="O385" s="55">
        <v>0</v>
      </c>
      <c r="P385" s="57">
        <v>0</v>
      </c>
      <c r="Q385" s="42">
        <v>0</v>
      </c>
      <c r="R385" s="43">
        <v>11</v>
      </c>
      <c r="S385" s="44">
        <v>15</v>
      </c>
      <c r="T385" s="45">
        <f t="shared" si="30"/>
        <v>234.5</v>
      </c>
      <c r="U385" s="46">
        <v>17.95</v>
      </c>
      <c r="V385" s="46">
        <f t="shared" si="36"/>
        <v>0</v>
      </c>
      <c r="W385" s="46">
        <f t="shared" si="32"/>
        <v>22</v>
      </c>
      <c r="X385" s="121">
        <f t="shared" si="33"/>
        <v>22.5</v>
      </c>
      <c r="Y385" s="122">
        <f t="shared" si="34"/>
        <v>296.95</v>
      </c>
      <c r="Z385" s="138">
        <f t="shared" si="35"/>
        <v>297</v>
      </c>
    </row>
    <row r="386" spans="1:26" x14ac:dyDescent="0.25">
      <c r="A386" s="74" t="s">
        <v>991</v>
      </c>
      <c r="B386" s="74" t="s">
        <v>79</v>
      </c>
      <c r="C386" s="74" t="s">
        <v>1024</v>
      </c>
      <c r="D386" s="74">
        <v>37828100</v>
      </c>
      <c r="E386" s="75" t="s">
        <v>1025</v>
      </c>
      <c r="F386" s="180">
        <v>45015171</v>
      </c>
      <c r="G386" s="139" t="s">
        <v>154</v>
      </c>
      <c r="H386" s="75" t="s">
        <v>1096</v>
      </c>
      <c r="I386" s="140" t="s">
        <v>1100</v>
      </c>
      <c r="J386" s="42">
        <v>3</v>
      </c>
      <c r="K386" s="43">
        <v>0</v>
      </c>
      <c r="L386" s="43">
        <v>3</v>
      </c>
      <c r="M386" s="43">
        <v>0</v>
      </c>
      <c r="N386" s="55">
        <v>0</v>
      </c>
      <c r="O386" s="55">
        <v>0</v>
      </c>
      <c r="P386" s="57">
        <v>0</v>
      </c>
      <c r="Q386" s="42">
        <v>0</v>
      </c>
      <c r="R386" s="43">
        <v>10</v>
      </c>
      <c r="S386" s="44">
        <v>4</v>
      </c>
      <c r="T386" s="45">
        <f t="shared" si="30"/>
        <v>100.5</v>
      </c>
      <c r="U386" s="46">
        <v>2.94</v>
      </c>
      <c r="V386" s="46">
        <f t="shared" si="36"/>
        <v>0</v>
      </c>
      <c r="W386" s="46">
        <f t="shared" si="32"/>
        <v>20</v>
      </c>
      <c r="X386" s="121">
        <f t="shared" si="33"/>
        <v>6</v>
      </c>
      <c r="Y386" s="122">
        <f t="shared" si="34"/>
        <v>129.44</v>
      </c>
      <c r="Z386" s="138">
        <f t="shared" si="35"/>
        <v>129</v>
      </c>
    </row>
    <row r="387" spans="1:26" x14ac:dyDescent="0.25">
      <c r="A387" s="74" t="s">
        <v>991</v>
      </c>
      <c r="B387" s="74" t="s">
        <v>79</v>
      </c>
      <c r="C387" s="74" t="s">
        <v>1024</v>
      </c>
      <c r="D387" s="74">
        <v>37828100</v>
      </c>
      <c r="E387" s="75" t="s">
        <v>1025</v>
      </c>
      <c r="F387" s="180">
        <v>215589</v>
      </c>
      <c r="G387" s="139" t="s">
        <v>114</v>
      </c>
      <c r="H387" s="75" t="s">
        <v>1096</v>
      </c>
      <c r="I387" s="140" t="s">
        <v>1101</v>
      </c>
      <c r="J387" s="42">
        <v>7</v>
      </c>
      <c r="K387" s="43">
        <v>0</v>
      </c>
      <c r="L387" s="43">
        <v>10</v>
      </c>
      <c r="M387" s="43">
        <v>0</v>
      </c>
      <c r="N387" s="55">
        <v>0</v>
      </c>
      <c r="O387" s="55">
        <v>0</v>
      </c>
      <c r="P387" s="57">
        <v>0</v>
      </c>
      <c r="Q387" s="42">
        <v>1</v>
      </c>
      <c r="R387" s="43">
        <v>18</v>
      </c>
      <c r="S387" s="44">
        <v>20</v>
      </c>
      <c r="T387" s="45">
        <f t="shared" si="30"/>
        <v>335</v>
      </c>
      <c r="U387" s="46">
        <v>58.9</v>
      </c>
      <c r="V387" s="46">
        <f t="shared" si="36"/>
        <v>1.5</v>
      </c>
      <c r="W387" s="46">
        <f t="shared" si="32"/>
        <v>36</v>
      </c>
      <c r="X387" s="121">
        <f t="shared" si="33"/>
        <v>30</v>
      </c>
      <c r="Y387" s="122">
        <f t="shared" si="34"/>
        <v>461.4</v>
      </c>
      <c r="Z387" s="138">
        <f t="shared" si="35"/>
        <v>461</v>
      </c>
    </row>
    <row r="388" spans="1:26" x14ac:dyDescent="0.25">
      <c r="A388" s="74" t="s">
        <v>991</v>
      </c>
      <c r="B388" s="74" t="s">
        <v>79</v>
      </c>
      <c r="C388" s="74" t="s">
        <v>1024</v>
      </c>
      <c r="D388" s="74">
        <v>37828100</v>
      </c>
      <c r="E388" s="75" t="s">
        <v>1025</v>
      </c>
      <c r="F388" s="180">
        <v>160725</v>
      </c>
      <c r="G388" s="139" t="s">
        <v>1103</v>
      </c>
      <c r="H388" s="75" t="s">
        <v>1018</v>
      </c>
      <c r="I388" s="140" t="s">
        <v>1104</v>
      </c>
      <c r="J388" s="42">
        <v>2</v>
      </c>
      <c r="K388" s="43">
        <v>0</v>
      </c>
      <c r="L388" s="43">
        <v>2</v>
      </c>
      <c r="M388" s="43">
        <v>0</v>
      </c>
      <c r="N388" s="55">
        <v>0</v>
      </c>
      <c r="O388" s="163">
        <v>0</v>
      </c>
      <c r="P388" s="57">
        <v>0</v>
      </c>
      <c r="Q388" s="42">
        <v>0</v>
      </c>
      <c r="R388" s="43">
        <v>4</v>
      </c>
      <c r="S388" s="44">
        <v>0</v>
      </c>
      <c r="T388" s="45">
        <f t="shared" ref="T388:T451" si="37">$T$1*L388</f>
        <v>67</v>
      </c>
      <c r="U388" s="46">
        <v>7.6</v>
      </c>
      <c r="V388" s="46">
        <f t="shared" si="36"/>
        <v>0</v>
      </c>
      <c r="W388" s="46">
        <f t="shared" ref="W388:W451" si="38">$U$1*O388+$W$1*R388</f>
        <v>8</v>
      </c>
      <c r="X388" s="121">
        <f t="shared" ref="X388:X451" si="39">$X$1*P388+$V$1*S388</f>
        <v>0</v>
      </c>
      <c r="Y388" s="122">
        <f t="shared" ref="Y388:Y451" si="40">T388+U388+V388+W388+X388</f>
        <v>82.6</v>
      </c>
      <c r="Z388" s="138">
        <f t="shared" ref="Z388:Z451" si="41">ROUND(Y388,0)</f>
        <v>83</v>
      </c>
    </row>
    <row r="389" spans="1:26" x14ac:dyDescent="0.25">
      <c r="A389" s="159" t="s">
        <v>991</v>
      </c>
      <c r="B389" s="159" t="s">
        <v>79</v>
      </c>
      <c r="C389" s="159" t="s">
        <v>1024</v>
      </c>
      <c r="D389" s="159">
        <v>37828100</v>
      </c>
      <c r="E389" s="182" t="s">
        <v>1025</v>
      </c>
      <c r="F389" s="183">
        <v>891827</v>
      </c>
      <c r="G389" s="160" t="s">
        <v>575</v>
      </c>
      <c r="H389" s="182" t="s">
        <v>1106</v>
      </c>
      <c r="I389" s="184" t="s">
        <v>1107</v>
      </c>
      <c r="J389" s="60">
        <v>2</v>
      </c>
      <c r="K389" s="43">
        <v>0</v>
      </c>
      <c r="L389" s="61">
        <v>3</v>
      </c>
      <c r="M389" s="43">
        <v>0</v>
      </c>
      <c r="N389" s="55">
        <v>0</v>
      </c>
      <c r="O389" s="55">
        <v>0</v>
      </c>
      <c r="P389" s="57">
        <v>0</v>
      </c>
      <c r="Q389" s="42">
        <v>0</v>
      </c>
      <c r="R389" s="61">
        <v>9</v>
      </c>
      <c r="S389" s="44">
        <v>0</v>
      </c>
      <c r="T389" s="185">
        <f t="shared" si="37"/>
        <v>100.5</v>
      </c>
      <c r="U389" s="64">
        <v>20.2</v>
      </c>
      <c r="V389" s="64">
        <f t="shared" si="36"/>
        <v>0</v>
      </c>
      <c r="W389" s="64">
        <f t="shared" si="38"/>
        <v>18</v>
      </c>
      <c r="X389" s="186">
        <f t="shared" si="39"/>
        <v>0</v>
      </c>
      <c r="Y389" s="187">
        <f t="shared" si="40"/>
        <v>138.69999999999999</v>
      </c>
      <c r="Z389" s="188">
        <f t="shared" si="41"/>
        <v>139</v>
      </c>
    </row>
    <row r="390" spans="1:26" x14ac:dyDescent="0.25">
      <c r="A390" s="74" t="s">
        <v>991</v>
      </c>
      <c r="B390" s="74" t="s">
        <v>79</v>
      </c>
      <c r="C390" s="74" t="s">
        <v>1024</v>
      </c>
      <c r="D390" s="74">
        <v>37828100</v>
      </c>
      <c r="E390" s="75" t="s">
        <v>1025</v>
      </c>
      <c r="F390" s="180">
        <v>160881</v>
      </c>
      <c r="G390" s="139" t="s">
        <v>1108</v>
      </c>
      <c r="H390" s="75" t="s">
        <v>1109</v>
      </c>
      <c r="I390" s="140" t="s">
        <v>1110</v>
      </c>
      <c r="J390" s="42">
        <v>1</v>
      </c>
      <c r="K390" s="43">
        <v>0</v>
      </c>
      <c r="L390" s="43">
        <v>1</v>
      </c>
      <c r="M390" s="43">
        <v>0</v>
      </c>
      <c r="N390" s="55">
        <v>0</v>
      </c>
      <c r="O390" s="163">
        <v>1</v>
      </c>
      <c r="P390" s="57">
        <v>0</v>
      </c>
      <c r="Q390" s="42">
        <v>0</v>
      </c>
      <c r="R390" s="43">
        <v>1</v>
      </c>
      <c r="S390" s="44">
        <v>0</v>
      </c>
      <c r="T390" s="45">
        <f t="shared" si="37"/>
        <v>33.5</v>
      </c>
      <c r="U390" s="46">
        <v>0</v>
      </c>
      <c r="V390" s="46">
        <f t="shared" si="36"/>
        <v>0</v>
      </c>
      <c r="W390" s="46">
        <f t="shared" si="38"/>
        <v>15.5</v>
      </c>
      <c r="X390" s="121">
        <f t="shared" si="39"/>
        <v>0</v>
      </c>
      <c r="Y390" s="122">
        <f t="shared" si="40"/>
        <v>49</v>
      </c>
      <c r="Z390" s="138">
        <f t="shared" si="41"/>
        <v>49</v>
      </c>
    </row>
    <row r="391" spans="1:26" x14ac:dyDescent="0.25">
      <c r="A391" s="74" t="s">
        <v>991</v>
      </c>
      <c r="B391" s="74" t="s">
        <v>79</v>
      </c>
      <c r="C391" s="74" t="s">
        <v>1024</v>
      </c>
      <c r="D391" s="74">
        <v>37828100</v>
      </c>
      <c r="E391" s="75" t="s">
        <v>1025</v>
      </c>
      <c r="F391" s="180">
        <v>37890085</v>
      </c>
      <c r="G391" s="139" t="s">
        <v>402</v>
      </c>
      <c r="H391" s="75" t="s">
        <v>1109</v>
      </c>
      <c r="I391" s="140" t="s">
        <v>1111</v>
      </c>
      <c r="J391" s="42">
        <v>1</v>
      </c>
      <c r="K391" s="43">
        <v>0</v>
      </c>
      <c r="L391" s="43">
        <v>1</v>
      </c>
      <c r="M391" s="43">
        <v>0</v>
      </c>
      <c r="N391" s="55">
        <v>0</v>
      </c>
      <c r="O391" s="55">
        <v>0</v>
      </c>
      <c r="P391" s="57">
        <v>0</v>
      </c>
      <c r="Q391" s="42">
        <v>0</v>
      </c>
      <c r="R391" s="43">
        <v>1</v>
      </c>
      <c r="S391" s="44">
        <v>0</v>
      </c>
      <c r="T391" s="45">
        <f t="shared" si="37"/>
        <v>33.5</v>
      </c>
      <c r="U391" s="46">
        <v>7.3</v>
      </c>
      <c r="V391" s="46">
        <f t="shared" si="36"/>
        <v>0</v>
      </c>
      <c r="W391" s="46">
        <f t="shared" si="38"/>
        <v>2</v>
      </c>
      <c r="X391" s="121">
        <f t="shared" si="39"/>
        <v>0</v>
      </c>
      <c r="Y391" s="122">
        <f t="shared" si="40"/>
        <v>42.8</v>
      </c>
      <c r="Z391" s="138">
        <f t="shared" si="41"/>
        <v>43</v>
      </c>
    </row>
    <row r="392" spans="1:26" x14ac:dyDescent="0.25">
      <c r="A392" s="74" t="s">
        <v>991</v>
      </c>
      <c r="B392" s="74" t="s">
        <v>181</v>
      </c>
      <c r="C392" s="74" t="s">
        <v>1116</v>
      </c>
      <c r="D392" s="74">
        <v>179086</v>
      </c>
      <c r="E392" s="75" t="s">
        <v>1117</v>
      </c>
      <c r="F392" s="180">
        <v>30232503</v>
      </c>
      <c r="G392" s="139" t="s">
        <v>1118</v>
      </c>
      <c r="H392" s="75" t="s">
        <v>995</v>
      </c>
      <c r="I392" s="140" t="s">
        <v>1119</v>
      </c>
      <c r="J392" s="42">
        <v>3</v>
      </c>
      <c r="K392" s="43">
        <v>0</v>
      </c>
      <c r="L392" s="43">
        <v>6</v>
      </c>
      <c r="M392" s="43">
        <v>0</v>
      </c>
      <c r="N392" s="55">
        <v>0</v>
      </c>
      <c r="O392" s="55">
        <v>0</v>
      </c>
      <c r="P392" s="57">
        <v>0</v>
      </c>
      <c r="Q392" s="42">
        <v>0</v>
      </c>
      <c r="R392" s="43">
        <v>9</v>
      </c>
      <c r="S392" s="44">
        <v>7</v>
      </c>
      <c r="T392" s="45">
        <f t="shared" si="37"/>
        <v>201</v>
      </c>
      <c r="U392" s="46">
        <v>4</v>
      </c>
      <c r="V392" s="46">
        <f t="shared" si="36"/>
        <v>0</v>
      </c>
      <c r="W392" s="46">
        <f t="shared" si="38"/>
        <v>18</v>
      </c>
      <c r="X392" s="121">
        <f t="shared" si="39"/>
        <v>10.5</v>
      </c>
      <c r="Y392" s="122">
        <f t="shared" si="40"/>
        <v>233.5</v>
      </c>
      <c r="Z392" s="138">
        <f t="shared" si="41"/>
        <v>234</v>
      </c>
    </row>
    <row r="393" spans="1:26" x14ac:dyDescent="0.25">
      <c r="A393" s="74" t="s">
        <v>991</v>
      </c>
      <c r="B393" s="74" t="s">
        <v>181</v>
      </c>
      <c r="C393" s="74" t="s">
        <v>1112</v>
      </c>
      <c r="D393" s="74">
        <v>31933475</v>
      </c>
      <c r="E393" s="75" t="s">
        <v>1113</v>
      </c>
      <c r="F393" s="180">
        <v>30232171</v>
      </c>
      <c r="G393" s="139" t="s">
        <v>1114</v>
      </c>
      <c r="H393" s="75" t="s">
        <v>995</v>
      </c>
      <c r="I393" s="140" t="s">
        <v>1115</v>
      </c>
      <c r="J393" s="42">
        <v>1</v>
      </c>
      <c r="K393" s="43">
        <v>0</v>
      </c>
      <c r="L393" s="43">
        <v>2</v>
      </c>
      <c r="M393" s="43">
        <v>0</v>
      </c>
      <c r="N393" s="55">
        <v>0</v>
      </c>
      <c r="O393" s="163">
        <v>1</v>
      </c>
      <c r="P393" s="164">
        <v>1</v>
      </c>
      <c r="Q393" s="42">
        <v>0</v>
      </c>
      <c r="R393" s="43">
        <v>1</v>
      </c>
      <c r="S393" s="44">
        <v>1</v>
      </c>
      <c r="T393" s="45">
        <f t="shared" si="37"/>
        <v>67</v>
      </c>
      <c r="U393" s="46">
        <v>0</v>
      </c>
      <c r="V393" s="46">
        <f t="shared" si="36"/>
        <v>0</v>
      </c>
      <c r="W393" s="46">
        <f t="shared" si="38"/>
        <v>15.5</v>
      </c>
      <c r="X393" s="121">
        <f t="shared" si="39"/>
        <v>28.5</v>
      </c>
      <c r="Y393" s="122">
        <f t="shared" si="40"/>
        <v>111</v>
      </c>
      <c r="Z393" s="138">
        <f t="shared" si="41"/>
        <v>111</v>
      </c>
    </row>
    <row r="394" spans="1:26" x14ac:dyDescent="0.25">
      <c r="A394" s="74" t="s">
        <v>991</v>
      </c>
      <c r="B394" s="74" t="s">
        <v>181</v>
      </c>
      <c r="C394" s="74" t="s">
        <v>1112</v>
      </c>
      <c r="D394" s="74">
        <v>31933475</v>
      </c>
      <c r="E394" s="75" t="s">
        <v>1113</v>
      </c>
      <c r="F394" s="180">
        <v>17327164</v>
      </c>
      <c r="G394" s="139" t="s">
        <v>1122</v>
      </c>
      <c r="H394" s="75" t="s">
        <v>66</v>
      </c>
      <c r="I394" s="140" t="s">
        <v>1123</v>
      </c>
      <c r="J394" s="196">
        <v>4</v>
      </c>
      <c r="K394" s="43">
        <v>0</v>
      </c>
      <c r="L394" s="197">
        <v>6</v>
      </c>
      <c r="M394" s="43">
        <v>0</v>
      </c>
      <c r="N394" s="55">
        <v>0</v>
      </c>
      <c r="O394" s="198">
        <v>1</v>
      </c>
      <c r="P394" s="57">
        <v>0</v>
      </c>
      <c r="Q394" s="42">
        <v>0</v>
      </c>
      <c r="R394" s="197">
        <v>17</v>
      </c>
      <c r="S394" s="199">
        <v>5</v>
      </c>
      <c r="T394" s="45">
        <f t="shared" si="37"/>
        <v>201</v>
      </c>
      <c r="U394" s="46">
        <v>0</v>
      </c>
      <c r="V394" s="46">
        <f t="shared" si="36"/>
        <v>0</v>
      </c>
      <c r="W394" s="46">
        <f t="shared" si="38"/>
        <v>47.5</v>
      </c>
      <c r="X394" s="121">
        <f t="shared" si="39"/>
        <v>7.5</v>
      </c>
      <c r="Y394" s="122">
        <f t="shared" si="40"/>
        <v>256</v>
      </c>
      <c r="Z394" s="138">
        <f t="shared" si="41"/>
        <v>256</v>
      </c>
    </row>
    <row r="395" spans="1:26" x14ac:dyDescent="0.25">
      <c r="A395" s="74" t="s">
        <v>991</v>
      </c>
      <c r="B395" s="74" t="s">
        <v>226</v>
      </c>
      <c r="C395" s="74" t="s">
        <v>1143</v>
      </c>
      <c r="D395" s="74">
        <v>31562141</v>
      </c>
      <c r="E395" s="75" t="s">
        <v>1144</v>
      </c>
      <c r="F395" s="180">
        <v>52800253</v>
      </c>
      <c r="G395" s="139" t="s">
        <v>1145</v>
      </c>
      <c r="H395" s="75" t="s">
        <v>1146</v>
      </c>
      <c r="I395" s="140" t="s">
        <v>1147</v>
      </c>
      <c r="J395" s="42">
        <v>4</v>
      </c>
      <c r="K395" s="43">
        <v>0</v>
      </c>
      <c r="L395" s="43">
        <v>6</v>
      </c>
      <c r="M395" s="43">
        <v>0</v>
      </c>
      <c r="N395" s="55">
        <v>0</v>
      </c>
      <c r="O395" s="55">
        <v>0</v>
      </c>
      <c r="P395" s="57">
        <v>0</v>
      </c>
      <c r="Q395" s="42">
        <v>0</v>
      </c>
      <c r="R395" s="43">
        <v>6</v>
      </c>
      <c r="S395" s="44">
        <v>3</v>
      </c>
      <c r="T395" s="45">
        <f t="shared" si="37"/>
        <v>201</v>
      </c>
      <c r="U395" s="46">
        <v>60.48</v>
      </c>
      <c r="V395" s="46">
        <f t="shared" si="36"/>
        <v>0</v>
      </c>
      <c r="W395" s="46">
        <f t="shared" si="38"/>
        <v>12</v>
      </c>
      <c r="X395" s="121">
        <f t="shared" si="39"/>
        <v>4.5</v>
      </c>
      <c r="Y395" s="122">
        <f t="shared" si="40"/>
        <v>277.98</v>
      </c>
      <c r="Z395" s="138">
        <f t="shared" si="41"/>
        <v>278</v>
      </c>
    </row>
    <row r="396" spans="1:26" ht="25.5" x14ac:dyDescent="0.25">
      <c r="A396" s="74" t="s">
        <v>991</v>
      </c>
      <c r="B396" s="74" t="s">
        <v>226</v>
      </c>
      <c r="C396" s="74" t="s">
        <v>1140</v>
      </c>
      <c r="D396" s="74">
        <v>37896695</v>
      </c>
      <c r="E396" s="75" t="s">
        <v>1141</v>
      </c>
      <c r="F396" s="180">
        <v>42422132</v>
      </c>
      <c r="G396" s="139" t="s">
        <v>1142</v>
      </c>
      <c r="H396" s="75" t="s">
        <v>1151</v>
      </c>
      <c r="I396" s="140" t="s">
        <v>1152</v>
      </c>
      <c r="J396" s="42">
        <v>2</v>
      </c>
      <c r="K396" s="43">
        <v>0</v>
      </c>
      <c r="L396" s="43">
        <v>2</v>
      </c>
      <c r="M396" s="43">
        <v>0</v>
      </c>
      <c r="N396" s="55">
        <v>0</v>
      </c>
      <c r="O396" s="163">
        <v>2</v>
      </c>
      <c r="P396" s="57">
        <v>0</v>
      </c>
      <c r="Q396" s="42">
        <v>0</v>
      </c>
      <c r="R396" s="43">
        <v>5</v>
      </c>
      <c r="S396" s="44">
        <v>0</v>
      </c>
      <c r="T396" s="45">
        <f t="shared" si="37"/>
        <v>67</v>
      </c>
      <c r="U396" s="46"/>
      <c r="V396" s="46">
        <f t="shared" si="36"/>
        <v>0</v>
      </c>
      <c r="W396" s="46">
        <f t="shared" si="38"/>
        <v>37</v>
      </c>
      <c r="X396" s="121">
        <f t="shared" si="39"/>
        <v>0</v>
      </c>
      <c r="Y396" s="122">
        <f t="shared" si="40"/>
        <v>104</v>
      </c>
      <c r="Z396" s="138">
        <f t="shared" si="41"/>
        <v>104</v>
      </c>
    </row>
    <row r="397" spans="1:26" x14ac:dyDescent="0.25">
      <c r="A397" s="74" t="s">
        <v>991</v>
      </c>
      <c r="B397" s="74" t="s">
        <v>226</v>
      </c>
      <c r="C397" s="74" t="s">
        <v>1153</v>
      </c>
      <c r="D397" s="74">
        <v>44458878</v>
      </c>
      <c r="E397" s="75" t="s">
        <v>1154</v>
      </c>
      <c r="F397" s="180">
        <v>45024065</v>
      </c>
      <c r="G397" s="139" t="s">
        <v>276</v>
      </c>
      <c r="H397" s="75" t="s">
        <v>1005</v>
      </c>
      <c r="I397" s="140" t="s">
        <v>1155</v>
      </c>
      <c r="J397" s="42">
        <v>1</v>
      </c>
      <c r="K397" s="43">
        <v>0</v>
      </c>
      <c r="L397" s="43"/>
      <c r="M397" s="43">
        <v>0</v>
      </c>
      <c r="N397" s="55">
        <v>0</v>
      </c>
      <c r="O397" s="163">
        <v>1</v>
      </c>
      <c r="P397" s="57">
        <v>0</v>
      </c>
      <c r="Q397" s="42">
        <v>0</v>
      </c>
      <c r="R397" s="43">
        <v>1</v>
      </c>
      <c r="S397" s="44">
        <v>0</v>
      </c>
      <c r="T397" s="45">
        <f t="shared" si="37"/>
        <v>0</v>
      </c>
      <c r="U397" s="46"/>
      <c r="V397" s="46">
        <f t="shared" si="36"/>
        <v>0</v>
      </c>
      <c r="W397" s="46">
        <f t="shared" si="38"/>
        <v>15.5</v>
      </c>
      <c r="X397" s="121">
        <f t="shared" si="39"/>
        <v>0</v>
      </c>
      <c r="Y397" s="122">
        <f t="shared" si="40"/>
        <v>15.5</v>
      </c>
      <c r="Z397" s="138">
        <f t="shared" si="41"/>
        <v>16</v>
      </c>
    </row>
    <row r="398" spans="1:26" ht="25.5" x14ac:dyDescent="0.25">
      <c r="A398" s="74" t="s">
        <v>991</v>
      </c>
      <c r="B398" s="74" t="s">
        <v>226</v>
      </c>
      <c r="C398" s="74" t="s">
        <v>1136</v>
      </c>
      <c r="D398" s="74">
        <v>47342242</v>
      </c>
      <c r="E398" s="75" t="s">
        <v>1137</v>
      </c>
      <c r="F398" s="180">
        <v>42114985</v>
      </c>
      <c r="G398" s="139" t="s">
        <v>1156</v>
      </c>
      <c r="H398" s="75" t="s">
        <v>643</v>
      </c>
      <c r="I398" s="140" t="s">
        <v>1157</v>
      </c>
      <c r="J398" s="42">
        <v>6</v>
      </c>
      <c r="K398" s="43">
        <v>0</v>
      </c>
      <c r="L398" s="43">
        <v>8</v>
      </c>
      <c r="M398" s="43">
        <v>0</v>
      </c>
      <c r="N398" s="55">
        <v>0</v>
      </c>
      <c r="O398" s="55">
        <v>0</v>
      </c>
      <c r="P398" s="57">
        <v>0</v>
      </c>
      <c r="Q398" s="42">
        <v>0</v>
      </c>
      <c r="R398" s="43">
        <v>10</v>
      </c>
      <c r="S398" s="44">
        <v>4</v>
      </c>
      <c r="T398" s="45">
        <f t="shared" si="37"/>
        <v>268</v>
      </c>
      <c r="U398" s="46">
        <v>21.9</v>
      </c>
      <c r="V398" s="46">
        <f t="shared" si="36"/>
        <v>0</v>
      </c>
      <c r="W398" s="46">
        <f t="shared" si="38"/>
        <v>20</v>
      </c>
      <c r="X398" s="121">
        <f t="shared" si="39"/>
        <v>6</v>
      </c>
      <c r="Y398" s="122">
        <f t="shared" si="40"/>
        <v>315.89999999999998</v>
      </c>
      <c r="Z398" s="138">
        <f t="shared" si="41"/>
        <v>316</v>
      </c>
    </row>
    <row r="399" spans="1:26" x14ac:dyDescent="0.25">
      <c r="A399" s="159" t="s">
        <v>991</v>
      </c>
      <c r="B399" s="159" t="s">
        <v>226</v>
      </c>
      <c r="C399" s="159" t="s">
        <v>1158</v>
      </c>
      <c r="D399" s="159">
        <v>36640425</v>
      </c>
      <c r="E399" s="182" t="s">
        <v>1159</v>
      </c>
      <c r="F399" s="183">
        <v>37998676</v>
      </c>
      <c r="G399" s="160" t="s">
        <v>229</v>
      </c>
      <c r="H399" s="182" t="s">
        <v>1075</v>
      </c>
      <c r="I399" s="184" t="s">
        <v>1160</v>
      </c>
      <c r="J399" s="60">
        <v>1</v>
      </c>
      <c r="K399" s="43">
        <v>0</v>
      </c>
      <c r="L399" s="61">
        <v>1</v>
      </c>
      <c r="M399" s="43">
        <v>0</v>
      </c>
      <c r="N399" s="55">
        <v>0</v>
      </c>
      <c r="O399" s="55">
        <v>0</v>
      </c>
      <c r="P399" s="57">
        <v>0</v>
      </c>
      <c r="Q399" s="42">
        <v>0</v>
      </c>
      <c r="R399" s="61">
        <v>2</v>
      </c>
      <c r="S399" s="63">
        <v>3</v>
      </c>
      <c r="T399" s="185">
        <f t="shared" si="37"/>
        <v>33.5</v>
      </c>
      <c r="U399" s="64">
        <v>6</v>
      </c>
      <c r="V399" s="64">
        <f t="shared" si="36"/>
        <v>0</v>
      </c>
      <c r="W399" s="64">
        <f t="shared" si="38"/>
        <v>4</v>
      </c>
      <c r="X399" s="186">
        <f t="shared" si="39"/>
        <v>4.5</v>
      </c>
      <c r="Y399" s="187">
        <f t="shared" si="40"/>
        <v>48</v>
      </c>
      <c r="Z399" s="188">
        <f t="shared" si="41"/>
        <v>48</v>
      </c>
    </row>
    <row r="400" spans="1:26" ht="25.5" x14ac:dyDescent="0.25">
      <c r="A400" s="74" t="s">
        <v>991</v>
      </c>
      <c r="B400" s="74" t="s">
        <v>226</v>
      </c>
      <c r="C400" s="74" t="s">
        <v>1161</v>
      </c>
      <c r="D400" s="74">
        <v>50743481</v>
      </c>
      <c r="E400" s="75" t="s">
        <v>1162</v>
      </c>
      <c r="F400" s="180">
        <v>42395968</v>
      </c>
      <c r="G400" s="139" t="s">
        <v>1163</v>
      </c>
      <c r="H400" s="75" t="s">
        <v>777</v>
      </c>
      <c r="I400" s="140" t="s">
        <v>1164</v>
      </c>
      <c r="J400" s="42">
        <v>1</v>
      </c>
      <c r="K400" s="43">
        <v>0</v>
      </c>
      <c r="L400" s="43">
        <v>1</v>
      </c>
      <c r="M400" s="43">
        <v>0</v>
      </c>
      <c r="N400" s="55">
        <v>0</v>
      </c>
      <c r="O400" s="55">
        <v>0</v>
      </c>
      <c r="P400" s="57">
        <v>0</v>
      </c>
      <c r="Q400" s="42">
        <v>0</v>
      </c>
      <c r="R400" s="43">
        <v>1</v>
      </c>
      <c r="S400" s="44">
        <v>1</v>
      </c>
      <c r="T400" s="45">
        <f t="shared" si="37"/>
        <v>33.5</v>
      </c>
      <c r="U400" s="46"/>
      <c r="V400" s="46">
        <f t="shared" si="36"/>
        <v>0</v>
      </c>
      <c r="W400" s="46">
        <f t="shared" si="38"/>
        <v>2</v>
      </c>
      <c r="X400" s="121">
        <f t="shared" si="39"/>
        <v>1.5</v>
      </c>
      <c r="Y400" s="122">
        <f t="shared" si="40"/>
        <v>37</v>
      </c>
      <c r="Z400" s="138">
        <f t="shared" si="41"/>
        <v>37</v>
      </c>
    </row>
    <row r="401" spans="1:26" x14ac:dyDescent="0.25">
      <c r="A401" s="74" t="s">
        <v>991</v>
      </c>
      <c r="B401" s="74" t="s">
        <v>226</v>
      </c>
      <c r="C401" s="74" t="s">
        <v>1136</v>
      </c>
      <c r="D401" s="74">
        <v>47342242</v>
      </c>
      <c r="E401" s="75" t="s">
        <v>1137</v>
      </c>
      <c r="F401" s="180">
        <v>162663</v>
      </c>
      <c r="G401" s="139" t="s">
        <v>1168</v>
      </c>
      <c r="H401" s="75" t="s">
        <v>1169</v>
      </c>
      <c r="I401" s="140" t="s">
        <v>1067</v>
      </c>
      <c r="J401" s="42">
        <v>5</v>
      </c>
      <c r="K401" s="43">
        <v>0</v>
      </c>
      <c r="L401" s="43">
        <v>5</v>
      </c>
      <c r="M401" s="43">
        <v>0</v>
      </c>
      <c r="N401" s="55">
        <v>0</v>
      </c>
      <c r="O401" s="55">
        <v>0</v>
      </c>
      <c r="P401" s="57">
        <v>0</v>
      </c>
      <c r="Q401" s="42">
        <v>0</v>
      </c>
      <c r="R401" s="43">
        <v>8</v>
      </c>
      <c r="S401" s="44">
        <v>0</v>
      </c>
      <c r="T401" s="45">
        <f t="shared" si="37"/>
        <v>167.5</v>
      </c>
      <c r="U401" s="46"/>
      <c r="V401" s="46">
        <f t="shared" si="36"/>
        <v>0</v>
      </c>
      <c r="W401" s="46">
        <f t="shared" si="38"/>
        <v>16</v>
      </c>
      <c r="X401" s="121">
        <f t="shared" si="39"/>
        <v>0</v>
      </c>
      <c r="Y401" s="122">
        <f t="shared" si="40"/>
        <v>183.5</v>
      </c>
      <c r="Z401" s="138">
        <f t="shared" si="41"/>
        <v>184</v>
      </c>
    </row>
    <row r="402" spans="1:26" x14ac:dyDescent="0.25">
      <c r="A402" s="74" t="s">
        <v>991</v>
      </c>
      <c r="B402" s="74" t="s">
        <v>226</v>
      </c>
      <c r="C402" s="74" t="s">
        <v>1176</v>
      </c>
      <c r="D402" s="74">
        <v>44040512</v>
      </c>
      <c r="E402" s="75" t="s">
        <v>1177</v>
      </c>
      <c r="F402" s="180">
        <v>45024731</v>
      </c>
      <c r="G402" s="139" t="s">
        <v>505</v>
      </c>
      <c r="H402" s="75" t="s">
        <v>1096</v>
      </c>
      <c r="I402" s="140" t="s">
        <v>1178</v>
      </c>
      <c r="J402" s="42">
        <v>2</v>
      </c>
      <c r="K402" s="43">
        <v>0</v>
      </c>
      <c r="L402" s="43">
        <v>2</v>
      </c>
      <c r="M402" s="43">
        <v>0</v>
      </c>
      <c r="N402" s="55">
        <v>0</v>
      </c>
      <c r="O402" s="55">
        <v>0</v>
      </c>
      <c r="P402" s="57">
        <v>0</v>
      </c>
      <c r="Q402" s="42">
        <v>0</v>
      </c>
      <c r="R402" s="43">
        <v>8</v>
      </c>
      <c r="S402" s="44">
        <v>0</v>
      </c>
      <c r="T402" s="45">
        <f t="shared" si="37"/>
        <v>67</v>
      </c>
      <c r="U402" s="46"/>
      <c r="V402" s="46">
        <f t="shared" si="36"/>
        <v>0</v>
      </c>
      <c r="W402" s="46">
        <f t="shared" si="38"/>
        <v>16</v>
      </c>
      <c r="X402" s="121">
        <f t="shared" si="39"/>
        <v>0</v>
      </c>
      <c r="Y402" s="122">
        <f t="shared" si="40"/>
        <v>83</v>
      </c>
      <c r="Z402" s="138">
        <f t="shared" si="41"/>
        <v>83</v>
      </c>
    </row>
    <row r="403" spans="1:26" x14ac:dyDescent="0.25">
      <c r="A403" s="74" t="s">
        <v>991</v>
      </c>
      <c r="B403" s="74" t="s">
        <v>226</v>
      </c>
      <c r="C403" s="74" t="s">
        <v>1182</v>
      </c>
      <c r="D403" s="74">
        <v>90000103</v>
      </c>
      <c r="E403" s="75" t="s">
        <v>1183</v>
      </c>
      <c r="F403" s="180">
        <v>42317568</v>
      </c>
      <c r="G403" s="139" t="s">
        <v>806</v>
      </c>
      <c r="H403" s="75" t="s">
        <v>1096</v>
      </c>
      <c r="I403" s="140" t="s">
        <v>1184</v>
      </c>
      <c r="J403" s="42">
        <v>2</v>
      </c>
      <c r="K403" s="43">
        <v>0</v>
      </c>
      <c r="L403" s="43">
        <v>2</v>
      </c>
      <c r="M403" s="43">
        <v>0</v>
      </c>
      <c r="N403" s="55">
        <v>0</v>
      </c>
      <c r="O403" s="55">
        <v>0</v>
      </c>
      <c r="P403" s="57">
        <v>0</v>
      </c>
      <c r="Q403" s="42">
        <v>0</v>
      </c>
      <c r="R403" s="43">
        <v>6</v>
      </c>
      <c r="S403" s="44">
        <v>0</v>
      </c>
      <c r="T403" s="45">
        <f t="shared" si="37"/>
        <v>67</v>
      </c>
      <c r="U403" s="46">
        <v>5.5</v>
      </c>
      <c r="V403" s="46">
        <f t="shared" si="36"/>
        <v>0</v>
      </c>
      <c r="W403" s="46">
        <f t="shared" si="38"/>
        <v>12</v>
      </c>
      <c r="X403" s="121">
        <f t="shared" si="39"/>
        <v>0</v>
      </c>
      <c r="Y403" s="122">
        <f t="shared" si="40"/>
        <v>84.5</v>
      </c>
      <c r="Z403" s="138">
        <f t="shared" si="41"/>
        <v>85</v>
      </c>
    </row>
    <row r="404" spans="1:26" x14ac:dyDescent="0.25">
      <c r="A404" s="74" t="s">
        <v>991</v>
      </c>
      <c r="B404" s="74" t="s">
        <v>226</v>
      </c>
      <c r="C404" s="74" t="s">
        <v>1179</v>
      </c>
      <c r="D404" s="74">
        <v>90000151</v>
      </c>
      <c r="E404" s="75" t="s">
        <v>1180</v>
      </c>
      <c r="F404" s="180">
        <v>42012376</v>
      </c>
      <c r="G404" s="139" t="s">
        <v>810</v>
      </c>
      <c r="H404" s="75" t="s">
        <v>1096</v>
      </c>
      <c r="I404" s="140" t="s">
        <v>1181</v>
      </c>
      <c r="J404" s="42">
        <v>1</v>
      </c>
      <c r="K404" s="43">
        <v>0</v>
      </c>
      <c r="L404" s="43">
        <v>1</v>
      </c>
      <c r="M404" s="43">
        <v>0</v>
      </c>
      <c r="N404" s="55">
        <v>0</v>
      </c>
      <c r="O404" s="55">
        <v>0</v>
      </c>
      <c r="P404" s="57">
        <v>0</v>
      </c>
      <c r="Q404" s="42">
        <v>0</v>
      </c>
      <c r="R404" s="43">
        <v>5</v>
      </c>
      <c r="S404" s="44">
        <v>0</v>
      </c>
      <c r="T404" s="45">
        <f t="shared" si="37"/>
        <v>33.5</v>
      </c>
      <c r="U404" s="46">
        <v>11.3</v>
      </c>
      <c r="V404" s="46">
        <f t="shared" si="36"/>
        <v>0</v>
      </c>
      <c r="W404" s="46">
        <f t="shared" si="38"/>
        <v>10</v>
      </c>
      <c r="X404" s="121">
        <f t="shared" si="39"/>
        <v>0</v>
      </c>
      <c r="Y404" s="122">
        <f t="shared" si="40"/>
        <v>54.8</v>
      </c>
      <c r="Z404" s="138">
        <f t="shared" si="41"/>
        <v>55</v>
      </c>
    </row>
    <row r="405" spans="1:26" x14ac:dyDescent="0.25">
      <c r="A405" s="74" t="s">
        <v>991</v>
      </c>
      <c r="B405" s="74" t="s">
        <v>226</v>
      </c>
      <c r="C405" s="74" t="s">
        <v>1136</v>
      </c>
      <c r="D405" s="74">
        <v>47342242</v>
      </c>
      <c r="E405" s="75" t="s">
        <v>1137</v>
      </c>
      <c r="F405" s="180">
        <v>37998218</v>
      </c>
      <c r="G405" s="139" t="s">
        <v>1195</v>
      </c>
      <c r="H405" s="75" t="s">
        <v>1109</v>
      </c>
      <c r="I405" s="140" t="s">
        <v>1196</v>
      </c>
      <c r="J405" s="42">
        <v>2</v>
      </c>
      <c r="K405" s="43">
        <v>0</v>
      </c>
      <c r="L405" s="43">
        <v>2</v>
      </c>
      <c r="M405" s="43">
        <v>0</v>
      </c>
      <c r="N405" s="55">
        <v>0</v>
      </c>
      <c r="O405" s="55">
        <v>0</v>
      </c>
      <c r="P405" s="57">
        <v>0</v>
      </c>
      <c r="Q405" s="42">
        <v>0</v>
      </c>
      <c r="R405" s="43">
        <v>4</v>
      </c>
      <c r="S405" s="44">
        <v>0</v>
      </c>
      <c r="T405" s="45">
        <f t="shared" si="37"/>
        <v>67</v>
      </c>
      <c r="U405" s="46"/>
      <c r="V405" s="46">
        <f t="shared" si="36"/>
        <v>0</v>
      </c>
      <c r="W405" s="46">
        <f t="shared" si="38"/>
        <v>8</v>
      </c>
      <c r="X405" s="121">
        <f t="shared" si="39"/>
        <v>0</v>
      </c>
      <c r="Y405" s="122">
        <f t="shared" si="40"/>
        <v>75</v>
      </c>
      <c r="Z405" s="138">
        <f t="shared" si="41"/>
        <v>75</v>
      </c>
    </row>
    <row r="406" spans="1:26" x14ac:dyDescent="0.25">
      <c r="A406" s="159" t="s">
        <v>991</v>
      </c>
      <c r="B406" s="159" t="s">
        <v>226</v>
      </c>
      <c r="C406" s="159" t="s">
        <v>1197</v>
      </c>
      <c r="D406" s="159">
        <v>37899198</v>
      </c>
      <c r="E406" s="182" t="s">
        <v>1198</v>
      </c>
      <c r="F406" s="183">
        <v>45022631</v>
      </c>
      <c r="G406" s="160" t="s">
        <v>1199</v>
      </c>
      <c r="H406" s="182" t="s">
        <v>1109</v>
      </c>
      <c r="I406" s="184" t="s">
        <v>1200</v>
      </c>
      <c r="J406" s="42">
        <v>1</v>
      </c>
      <c r="K406" s="43">
        <v>0</v>
      </c>
      <c r="L406" s="43">
        <v>1</v>
      </c>
      <c r="M406" s="43">
        <v>0</v>
      </c>
      <c r="N406" s="55">
        <v>0</v>
      </c>
      <c r="O406" s="55">
        <v>0</v>
      </c>
      <c r="P406" s="57">
        <v>0</v>
      </c>
      <c r="Q406" s="42">
        <v>0</v>
      </c>
      <c r="R406" s="43">
        <v>1</v>
      </c>
      <c r="S406" s="44">
        <v>0</v>
      </c>
      <c r="T406" s="185">
        <f t="shared" si="37"/>
        <v>33.5</v>
      </c>
      <c r="U406" s="64">
        <v>7.3</v>
      </c>
      <c r="V406" s="64">
        <f t="shared" si="36"/>
        <v>0</v>
      </c>
      <c r="W406" s="64">
        <f t="shared" si="38"/>
        <v>2</v>
      </c>
      <c r="X406" s="186">
        <f t="shared" si="39"/>
        <v>0</v>
      </c>
      <c r="Y406" s="187">
        <f t="shared" si="40"/>
        <v>42.8</v>
      </c>
      <c r="Z406" s="188">
        <f t="shared" si="41"/>
        <v>43</v>
      </c>
    </row>
    <row r="407" spans="1:26" x14ac:dyDescent="0.25">
      <c r="A407" s="30" t="s">
        <v>1201</v>
      </c>
      <c r="B407" s="30" t="s">
        <v>43</v>
      </c>
      <c r="C407" s="30" t="s">
        <v>1202</v>
      </c>
      <c r="D407" s="30">
        <v>54131472</v>
      </c>
      <c r="E407" s="31" t="s">
        <v>1203</v>
      </c>
      <c r="F407" s="30">
        <v>42083788</v>
      </c>
      <c r="G407" s="119" t="s">
        <v>52</v>
      </c>
      <c r="H407" s="31" t="s">
        <v>351</v>
      </c>
      <c r="I407" s="120" t="s">
        <v>1217</v>
      </c>
      <c r="J407" s="42">
        <v>4</v>
      </c>
      <c r="K407" s="43">
        <v>0</v>
      </c>
      <c r="L407" s="43">
        <v>5</v>
      </c>
      <c r="M407" s="43">
        <v>0</v>
      </c>
      <c r="N407" s="43">
        <v>0</v>
      </c>
      <c r="O407" s="43">
        <v>3</v>
      </c>
      <c r="P407" s="44">
        <v>1</v>
      </c>
      <c r="Q407" s="42">
        <v>0</v>
      </c>
      <c r="R407" s="43">
        <v>6</v>
      </c>
      <c r="S407" s="44">
        <v>5</v>
      </c>
      <c r="T407" s="45">
        <f t="shared" si="37"/>
        <v>167.5</v>
      </c>
      <c r="U407" s="46">
        <v>0</v>
      </c>
      <c r="V407" s="46">
        <f t="shared" si="36"/>
        <v>0</v>
      </c>
      <c r="W407" s="46">
        <f t="shared" si="38"/>
        <v>52.5</v>
      </c>
      <c r="X407" s="121">
        <f t="shared" si="39"/>
        <v>34.5</v>
      </c>
      <c r="Y407" s="122">
        <f t="shared" si="40"/>
        <v>254.5</v>
      </c>
      <c r="Z407" s="138">
        <f t="shared" si="41"/>
        <v>255</v>
      </c>
    </row>
    <row r="408" spans="1:26" x14ac:dyDescent="0.25">
      <c r="A408" s="30" t="s">
        <v>1201</v>
      </c>
      <c r="B408" s="30" t="s">
        <v>79</v>
      </c>
      <c r="C408" s="30" t="s">
        <v>1241</v>
      </c>
      <c r="D408" s="30">
        <v>37870475</v>
      </c>
      <c r="E408" s="31" t="s">
        <v>1242</v>
      </c>
      <c r="F408" s="30">
        <v>42035261</v>
      </c>
      <c r="G408" s="119" t="s">
        <v>1246</v>
      </c>
      <c r="H408" s="31" t="s">
        <v>230</v>
      </c>
      <c r="I408" s="120" t="s">
        <v>1247</v>
      </c>
      <c r="J408" s="42">
        <v>1</v>
      </c>
      <c r="K408" s="43">
        <v>0</v>
      </c>
      <c r="L408" s="43">
        <v>1</v>
      </c>
      <c r="M408" s="43">
        <v>0</v>
      </c>
      <c r="N408" s="43">
        <v>0</v>
      </c>
      <c r="O408" s="43">
        <v>0</v>
      </c>
      <c r="P408" s="44">
        <v>0</v>
      </c>
      <c r="Q408" s="42">
        <v>0</v>
      </c>
      <c r="R408" s="43">
        <v>1</v>
      </c>
      <c r="S408" s="44">
        <v>1</v>
      </c>
      <c r="T408" s="45">
        <f t="shared" si="37"/>
        <v>33.5</v>
      </c>
      <c r="U408" s="46">
        <v>0</v>
      </c>
      <c r="V408" s="46">
        <f t="shared" si="36"/>
        <v>0</v>
      </c>
      <c r="W408" s="46">
        <f t="shared" si="38"/>
        <v>2</v>
      </c>
      <c r="X408" s="121">
        <f t="shared" si="39"/>
        <v>1.5</v>
      </c>
      <c r="Y408" s="122">
        <f t="shared" si="40"/>
        <v>37</v>
      </c>
      <c r="Z408" s="138">
        <f t="shared" si="41"/>
        <v>37</v>
      </c>
    </row>
    <row r="409" spans="1:26" ht="25.5" x14ac:dyDescent="0.25">
      <c r="A409" s="127" t="s">
        <v>1201</v>
      </c>
      <c r="B409" s="127" t="s">
        <v>79</v>
      </c>
      <c r="C409" s="127" t="s">
        <v>1241</v>
      </c>
      <c r="D409" s="127">
        <v>37870475</v>
      </c>
      <c r="E409" s="31" t="s">
        <v>1242</v>
      </c>
      <c r="F409" s="127">
        <v>36155993</v>
      </c>
      <c r="G409" s="119" t="s">
        <v>1248</v>
      </c>
      <c r="H409" s="31" t="s">
        <v>230</v>
      </c>
      <c r="I409" s="120" t="s">
        <v>1249</v>
      </c>
      <c r="J409" s="42">
        <v>3</v>
      </c>
      <c r="K409" s="43">
        <v>0</v>
      </c>
      <c r="L409" s="43">
        <v>3</v>
      </c>
      <c r="M409" s="43">
        <v>0</v>
      </c>
      <c r="N409" s="43">
        <v>0</v>
      </c>
      <c r="O409" s="43">
        <v>0</v>
      </c>
      <c r="P409" s="44">
        <v>0</v>
      </c>
      <c r="Q409" s="42">
        <v>0</v>
      </c>
      <c r="R409" s="43">
        <v>3</v>
      </c>
      <c r="S409" s="44">
        <v>1</v>
      </c>
      <c r="T409" s="45">
        <f t="shared" si="37"/>
        <v>100.5</v>
      </c>
      <c r="U409" s="46">
        <v>0</v>
      </c>
      <c r="V409" s="46">
        <f t="shared" ref="V409:V468" si="42">$U$1*N409+$V$1*Q409</f>
        <v>0</v>
      </c>
      <c r="W409" s="46">
        <f t="shared" si="38"/>
        <v>6</v>
      </c>
      <c r="X409" s="121">
        <f t="shared" si="39"/>
        <v>1.5</v>
      </c>
      <c r="Y409" s="122">
        <f t="shared" si="40"/>
        <v>108</v>
      </c>
      <c r="Z409" s="138">
        <f t="shared" si="41"/>
        <v>108</v>
      </c>
    </row>
    <row r="410" spans="1:26" x14ac:dyDescent="0.25">
      <c r="A410" s="30" t="s">
        <v>1201</v>
      </c>
      <c r="B410" s="30" t="s">
        <v>79</v>
      </c>
      <c r="C410" s="30" t="s">
        <v>1241</v>
      </c>
      <c r="D410" s="30">
        <v>37870475</v>
      </c>
      <c r="E410" s="31" t="s">
        <v>1242</v>
      </c>
      <c r="F410" s="30">
        <v>161705</v>
      </c>
      <c r="G410" s="119" t="s">
        <v>451</v>
      </c>
      <c r="H410" s="31" t="s">
        <v>230</v>
      </c>
      <c r="I410" s="120" t="s">
        <v>1250</v>
      </c>
      <c r="J410" s="42">
        <v>6</v>
      </c>
      <c r="K410" s="43">
        <v>0</v>
      </c>
      <c r="L410" s="43">
        <v>8</v>
      </c>
      <c r="M410" s="43">
        <v>0</v>
      </c>
      <c r="N410" s="43">
        <v>0</v>
      </c>
      <c r="O410" s="43">
        <v>0</v>
      </c>
      <c r="P410" s="44">
        <v>0</v>
      </c>
      <c r="Q410" s="42">
        <v>0</v>
      </c>
      <c r="R410" s="43">
        <v>14</v>
      </c>
      <c r="S410" s="44">
        <v>0</v>
      </c>
      <c r="T410" s="45">
        <f t="shared" si="37"/>
        <v>268</v>
      </c>
      <c r="U410" s="46">
        <v>0</v>
      </c>
      <c r="V410" s="46">
        <f t="shared" si="42"/>
        <v>0</v>
      </c>
      <c r="W410" s="46">
        <f t="shared" si="38"/>
        <v>28</v>
      </c>
      <c r="X410" s="121">
        <f t="shared" si="39"/>
        <v>0</v>
      </c>
      <c r="Y410" s="122">
        <f t="shared" si="40"/>
        <v>296</v>
      </c>
      <c r="Z410" s="138">
        <f t="shared" si="41"/>
        <v>296</v>
      </c>
    </row>
    <row r="411" spans="1:26" x14ac:dyDescent="0.25">
      <c r="A411" s="30" t="s">
        <v>1201</v>
      </c>
      <c r="B411" s="30" t="s">
        <v>79</v>
      </c>
      <c r="C411" s="30" t="s">
        <v>1241</v>
      </c>
      <c r="D411" s="30">
        <v>37870475</v>
      </c>
      <c r="E411" s="31" t="s">
        <v>1242</v>
      </c>
      <c r="F411" s="30">
        <v>160954</v>
      </c>
      <c r="G411" s="119" t="s">
        <v>1251</v>
      </c>
      <c r="H411" s="31" t="s">
        <v>1151</v>
      </c>
      <c r="I411" s="120" t="s">
        <v>1252</v>
      </c>
      <c r="J411" s="42">
        <v>2</v>
      </c>
      <c r="K411" s="43">
        <v>0</v>
      </c>
      <c r="L411" s="43">
        <v>2</v>
      </c>
      <c r="M411" s="43">
        <v>0</v>
      </c>
      <c r="N411" s="43">
        <v>0</v>
      </c>
      <c r="O411" s="43">
        <v>0</v>
      </c>
      <c r="P411" s="44">
        <v>0</v>
      </c>
      <c r="Q411" s="42">
        <v>1</v>
      </c>
      <c r="R411" s="43">
        <v>3</v>
      </c>
      <c r="S411" s="44">
        <v>0</v>
      </c>
      <c r="T411" s="45">
        <f t="shared" si="37"/>
        <v>67</v>
      </c>
      <c r="U411" s="46">
        <v>0</v>
      </c>
      <c r="V411" s="46">
        <f t="shared" si="42"/>
        <v>1.5</v>
      </c>
      <c r="W411" s="46">
        <f t="shared" si="38"/>
        <v>6</v>
      </c>
      <c r="X411" s="121">
        <f t="shared" si="39"/>
        <v>0</v>
      </c>
      <c r="Y411" s="122">
        <f t="shared" si="40"/>
        <v>74.5</v>
      </c>
      <c r="Z411" s="138">
        <f t="shared" si="41"/>
        <v>75</v>
      </c>
    </row>
    <row r="412" spans="1:26" x14ac:dyDescent="0.25">
      <c r="A412" s="30" t="s">
        <v>1201</v>
      </c>
      <c r="B412" s="30" t="s">
        <v>79</v>
      </c>
      <c r="C412" s="30" t="s">
        <v>1241</v>
      </c>
      <c r="D412" s="30">
        <v>37870475</v>
      </c>
      <c r="E412" s="31" t="s">
        <v>1242</v>
      </c>
      <c r="F412" s="30">
        <v>17078393</v>
      </c>
      <c r="G412" s="119" t="s">
        <v>121</v>
      </c>
      <c r="H412" s="31" t="s">
        <v>1151</v>
      </c>
      <c r="I412" s="120" t="s">
        <v>1253</v>
      </c>
      <c r="J412" s="42">
        <v>1</v>
      </c>
      <c r="K412" s="43">
        <v>0</v>
      </c>
      <c r="L412" s="43">
        <v>1</v>
      </c>
      <c r="M412" s="43">
        <v>0</v>
      </c>
      <c r="N412" s="43">
        <v>0</v>
      </c>
      <c r="O412" s="43">
        <v>0</v>
      </c>
      <c r="P412" s="44">
        <v>0</v>
      </c>
      <c r="Q412" s="42">
        <v>0</v>
      </c>
      <c r="R412" s="43">
        <v>1</v>
      </c>
      <c r="S412" s="44">
        <v>0</v>
      </c>
      <c r="T412" s="45">
        <f t="shared" si="37"/>
        <v>33.5</v>
      </c>
      <c r="U412" s="46">
        <v>16.649999999999999</v>
      </c>
      <c r="V412" s="46">
        <f t="shared" si="42"/>
        <v>0</v>
      </c>
      <c r="W412" s="46">
        <f t="shared" si="38"/>
        <v>2</v>
      </c>
      <c r="X412" s="121">
        <f t="shared" si="39"/>
        <v>0</v>
      </c>
      <c r="Y412" s="122">
        <f t="shared" si="40"/>
        <v>52.15</v>
      </c>
      <c r="Z412" s="138">
        <f t="shared" si="41"/>
        <v>52</v>
      </c>
    </row>
    <row r="413" spans="1:26" x14ac:dyDescent="0.25">
      <c r="A413" s="30" t="s">
        <v>1201</v>
      </c>
      <c r="B413" s="30" t="s">
        <v>79</v>
      </c>
      <c r="C413" s="30" t="s">
        <v>1241</v>
      </c>
      <c r="D413" s="30">
        <v>37870475</v>
      </c>
      <c r="E413" s="31" t="s">
        <v>1242</v>
      </c>
      <c r="F413" s="30">
        <v>162132</v>
      </c>
      <c r="G413" s="119" t="s">
        <v>100</v>
      </c>
      <c r="H413" s="31" t="s">
        <v>1151</v>
      </c>
      <c r="I413" s="120" t="s">
        <v>452</v>
      </c>
      <c r="J413" s="42">
        <v>3</v>
      </c>
      <c r="K413" s="43">
        <v>0</v>
      </c>
      <c r="L413" s="43">
        <v>3</v>
      </c>
      <c r="M413" s="43">
        <v>0</v>
      </c>
      <c r="N413" s="43">
        <v>0</v>
      </c>
      <c r="O413" s="43">
        <v>0</v>
      </c>
      <c r="P413" s="44">
        <v>0</v>
      </c>
      <c r="Q413" s="42">
        <v>0</v>
      </c>
      <c r="R413" s="43">
        <v>3</v>
      </c>
      <c r="S413" s="44">
        <v>4</v>
      </c>
      <c r="T413" s="45">
        <f t="shared" si="37"/>
        <v>100.5</v>
      </c>
      <c r="U413" s="46">
        <v>0</v>
      </c>
      <c r="V413" s="46">
        <f t="shared" si="42"/>
        <v>0</v>
      </c>
      <c r="W413" s="46">
        <f t="shared" si="38"/>
        <v>6</v>
      </c>
      <c r="X413" s="121">
        <f t="shared" si="39"/>
        <v>6</v>
      </c>
      <c r="Y413" s="122">
        <f t="shared" si="40"/>
        <v>112.5</v>
      </c>
      <c r="Z413" s="138">
        <f t="shared" si="41"/>
        <v>113</v>
      </c>
    </row>
    <row r="414" spans="1:26" x14ac:dyDescent="0.25">
      <c r="A414" s="30" t="s">
        <v>1201</v>
      </c>
      <c r="B414" s="30" t="s">
        <v>79</v>
      </c>
      <c r="C414" s="30" t="s">
        <v>1241</v>
      </c>
      <c r="D414" s="30">
        <v>37870475</v>
      </c>
      <c r="E414" s="31" t="s">
        <v>1242</v>
      </c>
      <c r="F414" s="30">
        <v>37880012</v>
      </c>
      <c r="G414" s="119" t="s">
        <v>575</v>
      </c>
      <c r="H414" s="31" t="s">
        <v>1206</v>
      </c>
      <c r="I414" s="120" t="s">
        <v>1261</v>
      </c>
      <c r="J414" s="42">
        <v>6</v>
      </c>
      <c r="K414" s="43">
        <v>0</v>
      </c>
      <c r="L414" s="43">
        <v>7</v>
      </c>
      <c r="M414" s="43">
        <v>0</v>
      </c>
      <c r="N414" s="43">
        <v>0</v>
      </c>
      <c r="O414" s="43">
        <v>0</v>
      </c>
      <c r="P414" s="44">
        <v>0</v>
      </c>
      <c r="Q414" s="42">
        <v>0</v>
      </c>
      <c r="R414" s="43">
        <v>13</v>
      </c>
      <c r="S414" s="44">
        <v>7</v>
      </c>
      <c r="T414" s="45">
        <f t="shared" si="37"/>
        <v>234.5</v>
      </c>
      <c r="U414" s="46">
        <v>61.6</v>
      </c>
      <c r="V414" s="46">
        <f t="shared" si="42"/>
        <v>0</v>
      </c>
      <c r="W414" s="46">
        <f t="shared" si="38"/>
        <v>26</v>
      </c>
      <c r="X414" s="121">
        <f t="shared" si="39"/>
        <v>10.5</v>
      </c>
      <c r="Y414" s="122">
        <f t="shared" si="40"/>
        <v>332.6</v>
      </c>
      <c r="Z414" s="138">
        <f t="shared" si="41"/>
        <v>333</v>
      </c>
    </row>
    <row r="415" spans="1:26" ht="25.5" x14ac:dyDescent="0.25">
      <c r="A415" s="30" t="s">
        <v>1201</v>
      </c>
      <c r="B415" s="30" t="s">
        <v>79</v>
      </c>
      <c r="C415" s="30" t="s">
        <v>1241</v>
      </c>
      <c r="D415" s="30">
        <v>37870475</v>
      </c>
      <c r="E415" s="31" t="s">
        <v>1242</v>
      </c>
      <c r="F415" s="30">
        <v>159468</v>
      </c>
      <c r="G415" s="119" t="s">
        <v>1262</v>
      </c>
      <c r="H415" s="31" t="s">
        <v>1206</v>
      </c>
      <c r="I415" s="120" t="s">
        <v>1263</v>
      </c>
      <c r="J415" s="42">
        <v>2</v>
      </c>
      <c r="K415" s="43">
        <v>0</v>
      </c>
      <c r="L415" s="43">
        <v>2</v>
      </c>
      <c r="M415" s="43">
        <v>0</v>
      </c>
      <c r="N415" s="43">
        <v>0</v>
      </c>
      <c r="O415" s="43">
        <v>0</v>
      </c>
      <c r="P415" s="44">
        <v>0</v>
      </c>
      <c r="Q415" s="42">
        <v>0</v>
      </c>
      <c r="R415" s="43">
        <v>4</v>
      </c>
      <c r="S415" s="44">
        <v>0</v>
      </c>
      <c r="T415" s="45">
        <f t="shared" si="37"/>
        <v>67</v>
      </c>
      <c r="U415" s="46">
        <v>0</v>
      </c>
      <c r="V415" s="46">
        <f t="shared" si="42"/>
        <v>0</v>
      </c>
      <c r="W415" s="46">
        <f t="shared" si="38"/>
        <v>8</v>
      </c>
      <c r="X415" s="121">
        <f t="shared" si="39"/>
        <v>0</v>
      </c>
      <c r="Y415" s="122">
        <f t="shared" si="40"/>
        <v>75</v>
      </c>
      <c r="Z415" s="138">
        <f t="shared" si="41"/>
        <v>75</v>
      </c>
    </row>
    <row r="416" spans="1:26" x14ac:dyDescent="0.25">
      <c r="A416" s="30" t="s">
        <v>1201</v>
      </c>
      <c r="B416" s="30" t="s">
        <v>79</v>
      </c>
      <c r="C416" s="30" t="s">
        <v>1241</v>
      </c>
      <c r="D416" s="30">
        <v>37870475</v>
      </c>
      <c r="E416" s="31" t="s">
        <v>1242</v>
      </c>
      <c r="F416" s="30">
        <v>161039</v>
      </c>
      <c r="G416" s="119" t="s">
        <v>1265</v>
      </c>
      <c r="H416" s="31" t="s">
        <v>1210</v>
      </c>
      <c r="I416" s="120" t="s">
        <v>1266</v>
      </c>
      <c r="J416" s="42">
        <v>4</v>
      </c>
      <c r="K416" s="43">
        <v>0</v>
      </c>
      <c r="L416" s="43">
        <v>4</v>
      </c>
      <c r="M416" s="43">
        <v>0</v>
      </c>
      <c r="N416" s="43">
        <v>0</v>
      </c>
      <c r="O416" s="43">
        <v>0</v>
      </c>
      <c r="P416" s="44">
        <v>0</v>
      </c>
      <c r="Q416" s="42">
        <v>0</v>
      </c>
      <c r="R416" s="43">
        <v>7</v>
      </c>
      <c r="S416" s="44">
        <v>0</v>
      </c>
      <c r="T416" s="45">
        <f t="shared" si="37"/>
        <v>134</v>
      </c>
      <c r="U416" s="46">
        <v>0</v>
      </c>
      <c r="V416" s="46">
        <f t="shared" si="42"/>
        <v>0</v>
      </c>
      <c r="W416" s="46">
        <f t="shared" si="38"/>
        <v>14</v>
      </c>
      <c r="X416" s="121">
        <f t="shared" si="39"/>
        <v>0</v>
      </c>
      <c r="Y416" s="122">
        <f t="shared" si="40"/>
        <v>148</v>
      </c>
      <c r="Z416" s="138">
        <f t="shared" si="41"/>
        <v>148</v>
      </c>
    </row>
    <row r="417" spans="1:26" x14ac:dyDescent="0.25">
      <c r="A417" s="30" t="s">
        <v>1201</v>
      </c>
      <c r="B417" s="30" t="s">
        <v>79</v>
      </c>
      <c r="C417" s="30" t="s">
        <v>1241</v>
      </c>
      <c r="D417" s="30">
        <v>37870475</v>
      </c>
      <c r="E417" s="31" t="s">
        <v>1242</v>
      </c>
      <c r="F417" s="30">
        <v>162833</v>
      </c>
      <c r="G417" s="119" t="s">
        <v>141</v>
      </c>
      <c r="H417" s="31" t="s">
        <v>1210</v>
      </c>
      <c r="I417" s="120" t="s">
        <v>1267</v>
      </c>
      <c r="J417" s="42">
        <v>2</v>
      </c>
      <c r="K417" s="43">
        <v>0</v>
      </c>
      <c r="L417" s="43">
        <v>2</v>
      </c>
      <c r="M417" s="43">
        <v>0</v>
      </c>
      <c r="N417" s="43">
        <v>0</v>
      </c>
      <c r="O417" s="43">
        <v>0</v>
      </c>
      <c r="P417" s="44">
        <v>0</v>
      </c>
      <c r="Q417" s="42">
        <v>0</v>
      </c>
      <c r="R417" s="43">
        <v>0</v>
      </c>
      <c r="S417" s="44">
        <v>8</v>
      </c>
      <c r="T417" s="45">
        <f t="shared" si="37"/>
        <v>67</v>
      </c>
      <c r="U417" s="46">
        <v>0</v>
      </c>
      <c r="V417" s="46">
        <f t="shared" si="42"/>
        <v>0</v>
      </c>
      <c r="W417" s="46">
        <f t="shared" si="38"/>
        <v>0</v>
      </c>
      <c r="X417" s="121">
        <f t="shared" si="39"/>
        <v>12</v>
      </c>
      <c r="Y417" s="122">
        <f t="shared" si="40"/>
        <v>79</v>
      </c>
      <c r="Z417" s="138">
        <f t="shared" si="41"/>
        <v>79</v>
      </c>
    </row>
    <row r="418" spans="1:26" x14ac:dyDescent="0.25">
      <c r="A418" s="30" t="s">
        <v>1201</v>
      </c>
      <c r="B418" s="30" t="s">
        <v>79</v>
      </c>
      <c r="C418" s="30" t="s">
        <v>1241</v>
      </c>
      <c r="D418" s="30">
        <v>37870475</v>
      </c>
      <c r="E418" s="31" t="s">
        <v>1242</v>
      </c>
      <c r="F418" s="30">
        <v>159514</v>
      </c>
      <c r="G418" s="119" t="s">
        <v>1268</v>
      </c>
      <c r="H418" s="31" t="s">
        <v>1210</v>
      </c>
      <c r="I418" s="120" t="s">
        <v>1269</v>
      </c>
      <c r="J418" s="42">
        <v>1</v>
      </c>
      <c r="K418" s="43">
        <v>0</v>
      </c>
      <c r="L418" s="43">
        <v>1</v>
      </c>
      <c r="M418" s="43">
        <v>0</v>
      </c>
      <c r="N418" s="43">
        <v>0</v>
      </c>
      <c r="O418" s="43">
        <v>0</v>
      </c>
      <c r="P418" s="44">
        <v>0</v>
      </c>
      <c r="Q418" s="42">
        <v>0</v>
      </c>
      <c r="R418" s="43">
        <v>1</v>
      </c>
      <c r="S418" s="44">
        <v>0</v>
      </c>
      <c r="T418" s="45">
        <f t="shared" si="37"/>
        <v>33.5</v>
      </c>
      <c r="U418" s="46">
        <v>0</v>
      </c>
      <c r="V418" s="46">
        <f t="shared" si="42"/>
        <v>0</v>
      </c>
      <c r="W418" s="46">
        <f t="shared" si="38"/>
        <v>2</v>
      </c>
      <c r="X418" s="121">
        <f t="shared" si="39"/>
        <v>0</v>
      </c>
      <c r="Y418" s="122">
        <f t="shared" si="40"/>
        <v>35.5</v>
      </c>
      <c r="Z418" s="138">
        <f t="shared" si="41"/>
        <v>36</v>
      </c>
    </row>
    <row r="419" spans="1:26" x14ac:dyDescent="0.25">
      <c r="A419" s="30" t="s">
        <v>1201</v>
      </c>
      <c r="B419" s="30" t="s">
        <v>79</v>
      </c>
      <c r="C419" s="30" t="s">
        <v>1241</v>
      </c>
      <c r="D419" s="30">
        <v>37870475</v>
      </c>
      <c r="E419" s="31" t="s">
        <v>1242</v>
      </c>
      <c r="F419" s="30">
        <v>54018404</v>
      </c>
      <c r="G419" s="119" t="s">
        <v>52</v>
      </c>
      <c r="H419" s="31" t="s">
        <v>1214</v>
      </c>
      <c r="I419" s="120" t="s">
        <v>1270</v>
      </c>
      <c r="J419" s="42">
        <v>1</v>
      </c>
      <c r="K419" s="43">
        <v>0</v>
      </c>
      <c r="L419" s="43">
        <v>1</v>
      </c>
      <c r="M419" s="43">
        <v>0</v>
      </c>
      <c r="N419" s="43">
        <v>0</v>
      </c>
      <c r="O419" s="43">
        <v>0</v>
      </c>
      <c r="P419" s="44">
        <v>0</v>
      </c>
      <c r="Q419" s="42">
        <v>0</v>
      </c>
      <c r="R419" s="43">
        <v>1</v>
      </c>
      <c r="S419" s="44">
        <v>0</v>
      </c>
      <c r="T419" s="45">
        <f t="shared" si="37"/>
        <v>33.5</v>
      </c>
      <c r="U419" s="46">
        <v>0</v>
      </c>
      <c r="V419" s="46">
        <f t="shared" si="42"/>
        <v>0</v>
      </c>
      <c r="W419" s="46">
        <f t="shared" si="38"/>
        <v>2</v>
      </c>
      <c r="X419" s="121">
        <f t="shared" si="39"/>
        <v>0</v>
      </c>
      <c r="Y419" s="122">
        <f t="shared" si="40"/>
        <v>35.5</v>
      </c>
      <c r="Z419" s="138">
        <f t="shared" si="41"/>
        <v>36</v>
      </c>
    </row>
    <row r="420" spans="1:26" x14ac:dyDescent="0.25">
      <c r="A420" s="30" t="s">
        <v>1201</v>
      </c>
      <c r="B420" s="30" t="s">
        <v>79</v>
      </c>
      <c r="C420" s="30" t="s">
        <v>1241</v>
      </c>
      <c r="D420" s="30">
        <v>37870475</v>
      </c>
      <c r="E420" s="31" t="s">
        <v>1242</v>
      </c>
      <c r="F420" s="30">
        <v>161098</v>
      </c>
      <c r="G420" s="119" t="s">
        <v>49</v>
      </c>
      <c r="H420" s="31" t="s">
        <v>351</v>
      </c>
      <c r="I420" s="120" t="s">
        <v>1271</v>
      </c>
      <c r="J420" s="42">
        <v>1</v>
      </c>
      <c r="K420" s="43">
        <v>0</v>
      </c>
      <c r="L420" s="43">
        <v>1</v>
      </c>
      <c r="M420" s="43">
        <v>0</v>
      </c>
      <c r="N420" s="43">
        <v>0</v>
      </c>
      <c r="O420" s="43">
        <v>0</v>
      </c>
      <c r="P420" s="44">
        <v>0</v>
      </c>
      <c r="Q420" s="42">
        <v>0</v>
      </c>
      <c r="R420" s="43">
        <v>0</v>
      </c>
      <c r="S420" s="44">
        <v>3</v>
      </c>
      <c r="T420" s="45">
        <f t="shared" si="37"/>
        <v>33.5</v>
      </c>
      <c r="U420" s="46">
        <v>0</v>
      </c>
      <c r="V420" s="46">
        <f t="shared" si="42"/>
        <v>0</v>
      </c>
      <c r="W420" s="46">
        <f t="shared" si="38"/>
        <v>0</v>
      </c>
      <c r="X420" s="121">
        <f t="shared" si="39"/>
        <v>4.5</v>
      </c>
      <c r="Y420" s="122">
        <f t="shared" si="40"/>
        <v>38</v>
      </c>
      <c r="Z420" s="138">
        <f t="shared" si="41"/>
        <v>38</v>
      </c>
    </row>
    <row r="421" spans="1:26" x14ac:dyDescent="0.25">
      <c r="A421" s="30" t="s">
        <v>1201</v>
      </c>
      <c r="B421" s="30" t="s">
        <v>79</v>
      </c>
      <c r="C421" s="30" t="s">
        <v>1241</v>
      </c>
      <c r="D421" s="30">
        <v>37870475</v>
      </c>
      <c r="E421" s="31" t="s">
        <v>1242</v>
      </c>
      <c r="F421" s="30">
        <v>162167</v>
      </c>
      <c r="G421" s="119" t="s">
        <v>100</v>
      </c>
      <c r="H421" s="31" t="s">
        <v>351</v>
      </c>
      <c r="I421" s="120" t="s">
        <v>1272</v>
      </c>
      <c r="J421" s="42">
        <v>2</v>
      </c>
      <c r="K421" s="43">
        <v>0</v>
      </c>
      <c r="L421" s="43">
        <v>4</v>
      </c>
      <c r="M421" s="43">
        <v>0</v>
      </c>
      <c r="N421" s="43">
        <v>0</v>
      </c>
      <c r="O421" s="43">
        <v>0</v>
      </c>
      <c r="P421" s="44">
        <v>0</v>
      </c>
      <c r="Q421" s="42">
        <v>0</v>
      </c>
      <c r="R421" s="43">
        <v>4</v>
      </c>
      <c r="S421" s="44">
        <v>15</v>
      </c>
      <c r="T421" s="45">
        <f t="shared" si="37"/>
        <v>134</v>
      </c>
      <c r="U421" s="46">
        <v>0</v>
      </c>
      <c r="V421" s="46">
        <f t="shared" si="42"/>
        <v>0</v>
      </c>
      <c r="W421" s="46">
        <f t="shared" si="38"/>
        <v>8</v>
      </c>
      <c r="X421" s="121">
        <f t="shared" si="39"/>
        <v>22.5</v>
      </c>
      <c r="Y421" s="122">
        <f t="shared" si="40"/>
        <v>164.5</v>
      </c>
      <c r="Z421" s="138">
        <f t="shared" si="41"/>
        <v>165</v>
      </c>
    </row>
    <row r="422" spans="1:26" x14ac:dyDescent="0.25">
      <c r="A422" s="30" t="s">
        <v>1201</v>
      </c>
      <c r="B422" s="30" t="s">
        <v>79</v>
      </c>
      <c r="C422" s="30" t="s">
        <v>1241</v>
      </c>
      <c r="D422" s="30">
        <v>37870475</v>
      </c>
      <c r="E422" s="31" t="s">
        <v>1242</v>
      </c>
      <c r="F422" s="30">
        <v>893102</v>
      </c>
      <c r="G422" s="119" t="s">
        <v>138</v>
      </c>
      <c r="H422" s="31" t="s">
        <v>351</v>
      </c>
      <c r="I422" s="120" t="s">
        <v>1273</v>
      </c>
      <c r="J422" s="42">
        <v>3</v>
      </c>
      <c r="K422" s="43">
        <v>0</v>
      </c>
      <c r="L422" s="43">
        <v>4</v>
      </c>
      <c r="M422" s="43">
        <v>0</v>
      </c>
      <c r="N422" s="43">
        <v>0</v>
      </c>
      <c r="O422" s="43">
        <v>0</v>
      </c>
      <c r="P422" s="44">
        <v>0</v>
      </c>
      <c r="Q422" s="42">
        <v>0</v>
      </c>
      <c r="R422" s="43">
        <v>13</v>
      </c>
      <c r="S422" s="44">
        <v>1</v>
      </c>
      <c r="T422" s="45">
        <f t="shared" si="37"/>
        <v>134</v>
      </c>
      <c r="U422" s="46">
        <v>0</v>
      </c>
      <c r="V422" s="46">
        <f t="shared" si="42"/>
        <v>0</v>
      </c>
      <c r="W422" s="46">
        <f t="shared" si="38"/>
        <v>26</v>
      </c>
      <c r="X422" s="121">
        <f t="shared" si="39"/>
        <v>1.5</v>
      </c>
      <c r="Y422" s="122">
        <f t="shared" si="40"/>
        <v>161.5</v>
      </c>
      <c r="Z422" s="138">
        <f t="shared" si="41"/>
        <v>162</v>
      </c>
    </row>
    <row r="423" spans="1:26" x14ac:dyDescent="0.25">
      <c r="A423" s="30" t="s">
        <v>1201</v>
      </c>
      <c r="B423" s="30" t="s">
        <v>79</v>
      </c>
      <c r="C423" s="30" t="s">
        <v>1241</v>
      </c>
      <c r="D423" s="30">
        <v>37870475</v>
      </c>
      <c r="E423" s="31" t="s">
        <v>1242</v>
      </c>
      <c r="F423" s="30">
        <v>42077133</v>
      </c>
      <c r="G423" s="119" t="s">
        <v>1274</v>
      </c>
      <c r="H423" s="31" t="s">
        <v>351</v>
      </c>
      <c r="I423" s="120" t="s">
        <v>1275</v>
      </c>
      <c r="J423" s="42">
        <v>2</v>
      </c>
      <c r="K423" s="43">
        <v>0</v>
      </c>
      <c r="L423" s="43">
        <v>2</v>
      </c>
      <c r="M423" s="43">
        <v>0</v>
      </c>
      <c r="N423" s="43">
        <v>0</v>
      </c>
      <c r="O423" s="43">
        <v>0</v>
      </c>
      <c r="P423" s="44">
        <v>0</v>
      </c>
      <c r="Q423" s="42">
        <v>0</v>
      </c>
      <c r="R423" s="43">
        <v>8</v>
      </c>
      <c r="S423" s="44">
        <v>8</v>
      </c>
      <c r="T423" s="45">
        <f t="shared" si="37"/>
        <v>67</v>
      </c>
      <c r="U423" s="46">
        <v>0</v>
      </c>
      <c r="V423" s="46">
        <f t="shared" si="42"/>
        <v>0</v>
      </c>
      <c r="W423" s="46">
        <f t="shared" si="38"/>
        <v>16</v>
      </c>
      <c r="X423" s="121">
        <f t="shared" si="39"/>
        <v>12</v>
      </c>
      <c r="Y423" s="122">
        <f t="shared" si="40"/>
        <v>95</v>
      </c>
      <c r="Z423" s="138">
        <f t="shared" si="41"/>
        <v>95</v>
      </c>
    </row>
    <row r="424" spans="1:26" x14ac:dyDescent="0.25">
      <c r="A424" s="30" t="s">
        <v>1201</v>
      </c>
      <c r="B424" s="30" t="s">
        <v>79</v>
      </c>
      <c r="C424" s="30" t="s">
        <v>1241</v>
      </c>
      <c r="D424" s="30">
        <v>37870475</v>
      </c>
      <c r="E424" s="31" t="s">
        <v>1242</v>
      </c>
      <c r="F424" s="30">
        <v>891541</v>
      </c>
      <c r="G424" s="119" t="s">
        <v>154</v>
      </c>
      <c r="H424" s="31" t="s">
        <v>351</v>
      </c>
      <c r="I424" s="120" t="s">
        <v>1276</v>
      </c>
      <c r="J424" s="42">
        <v>1</v>
      </c>
      <c r="K424" s="43">
        <v>0</v>
      </c>
      <c r="L424" s="43">
        <v>2</v>
      </c>
      <c r="M424" s="43">
        <v>0</v>
      </c>
      <c r="N424" s="43">
        <v>0</v>
      </c>
      <c r="O424" s="43">
        <v>0</v>
      </c>
      <c r="P424" s="44">
        <v>0</v>
      </c>
      <c r="Q424" s="42">
        <v>0</v>
      </c>
      <c r="R424" s="43">
        <v>3</v>
      </c>
      <c r="S424" s="44">
        <v>0</v>
      </c>
      <c r="T424" s="45">
        <f t="shared" si="37"/>
        <v>67</v>
      </c>
      <c r="U424" s="46">
        <v>0</v>
      </c>
      <c r="V424" s="46">
        <f t="shared" si="42"/>
        <v>0</v>
      </c>
      <c r="W424" s="46">
        <f t="shared" si="38"/>
        <v>6</v>
      </c>
      <c r="X424" s="121">
        <f t="shared" si="39"/>
        <v>0</v>
      </c>
      <c r="Y424" s="122">
        <f t="shared" si="40"/>
        <v>73</v>
      </c>
      <c r="Z424" s="138">
        <f t="shared" si="41"/>
        <v>73</v>
      </c>
    </row>
    <row r="425" spans="1:26" x14ac:dyDescent="0.25">
      <c r="A425" s="30" t="s">
        <v>1201</v>
      </c>
      <c r="B425" s="30" t="s">
        <v>79</v>
      </c>
      <c r="C425" s="30" t="s">
        <v>1241</v>
      </c>
      <c r="D425" s="30">
        <v>37870475</v>
      </c>
      <c r="E425" s="31" t="s">
        <v>1242</v>
      </c>
      <c r="F425" s="30">
        <v>606791</v>
      </c>
      <c r="G425" s="119" t="s">
        <v>117</v>
      </c>
      <c r="H425" s="31" t="s">
        <v>351</v>
      </c>
      <c r="I425" s="120" t="s">
        <v>1280</v>
      </c>
      <c r="J425" s="42">
        <v>2</v>
      </c>
      <c r="K425" s="43">
        <v>0</v>
      </c>
      <c r="L425" s="43">
        <v>3</v>
      </c>
      <c r="M425" s="43">
        <v>0</v>
      </c>
      <c r="N425" s="43">
        <v>0</v>
      </c>
      <c r="O425" s="43">
        <v>0</v>
      </c>
      <c r="P425" s="44">
        <v>0</v>
      </c>
      <c r="Q425" s="42">
        <v>0</v>
      </c>
      <c r="R425" s="43">
        <v>1</v>
      </c>
      <c r="S425" s="44">
        <v>3</v>
      </c>
      <c r="T425" s="45">
        <f t="shared" si="37"/>
        <v>100.5</v>
      </c>
      <c r="U425" s="46">
        <v>0</v>
      </c>
      <c r="V425" s="46">
        <f t="shared" si="42"/>
        <v>0</v>
      </c>
      <c r="W425" s="46">
        <f t="shared" si="38"/>
        <v>2</v>
      </c>
      <c r="X425" s="121">
        <f t="shared" si="39"/>
        <v>4.5</v>
      </c>
      <c r="Y425" s="122">
        <f t="shared" si="40"/>
        <v>107</v>
      </c>
      <c r="Z425" s="138">
        <f t="shared" si="41"/>
        <v>107</v>
      </c>
    </row>
    <row r="426" spans="1:26" ht="25.5" x14ac:dyDescent="0.25">
      <c r="A426" s="30" t="s">
        <v>1201</v>
      </c>
      <c r="B426" s="30" t="s">
        <v>79</v>
      </c>
      <c r="C426" s="30" t="s">
        <v>1241</v>
      </c>
      <c r="D426" s="30">
        <v>37870475</v>
      </c>
      <c r="E426" s="31" t="s">
        <v>1242</v>
      </c>
      <c r="F426" s="30">
        <v>37947541</v>
      </c>
      <c r="G426" s="119" t="s">
        <v>1281</v>
      </c>
      <c r="H426" s="31" t="s">
        <v>1282</v>
      </c>
      <c r="I426" s="120" t="s">
        <v>1283</v>
      </c>
      <c r="J426" s="42">
        <v>6</v>
      </c>
      <c r="K426" s="43">
        <v>0</v>
      </c>
      <c r="L426" s="43">
        <v>6</v>
      </c>
      <c r="M426" s="43">
        <v>0</v>
      </c>
      <c r="N426" s="43">
        <v>0</v>
      </c>
      <c r="O426" s="43">
        <v>0</v>
      </c>
      <c r="P426" s="44">
        <v>0</v>
      </c>
      <c r="Q426" s="42">
        <v>0</v>
      </c>
      <c r="R426" s="43">
        <v>6</v>
      </c>
      <c r="S426" s="44">
        <v>5</v>
      </c>
      <c r="T426" s="45">
        <f t="shared" si="37"/>
        <v>201</v>
      </c>
      <c r="U426" s="46">
        <v>14.6</v>
      </c>
      <c r="V426" s="46">
        <f t="shared" si="42"/>
        <v>0</v>
      </c>
      <c r="W426" s="46">
        <f t="shared" si="38"/>
        <v>12</v>
      </c>
      <c r="X426" s="121">
        <f t="shared" si="39"/>
        <v>7.5</v>
      </c>
      <c r="Y426" s="122">
        <f t="shared" si="40"/>
        <v>235.1</v>
      </c>
      <c r="Z426" s="138">
        <f t="shared" si="41"/>
        <v>235</v>
      </c>
    </row>
    <row r="427" spans="1:26" x14ac:dyDescent="0.25">
      <c r="A427" s="30" t="s">
        <v>1201</v>
      </c>
      <c r="B427" s="30" t="s">
        <v>79</v>
      </c>
      <c r="C427" s="30" t="s">
        <v>1241</v>
      </c>
      <c r="D427" s="30">
        <v>37870475</v>
      </c>
      <c r="E427" s="31" t="s">
        <v>1242</v>
      </c>
      <c r="F427" s="30">
        <v>161110</v>
      </c>
      <c r="G427" s="119" t="s">
        <v>49</v>
      </c>
      <c r="H427" s="31" t="s">
        <v>1223</v>
      </c>
      <c r="I427" s="120" t="s">
        <v>1287</v>
      </c>
      <c r="J427" s="42">
        <v>4</v>
      </c>
      <c r="K427" s="43">
        <v>0</v>
      </c>
      <c r="L427" s="43">
        <v>4</v>
      </c>
      <c r="M427" s="43">
        <v>0</v>
      </c>
      <c r="N427" s="43">
        <v>0</v>
      </c>
      <c r="O427" s="43">
        <v>0</v>
      </c>
      <c r="P427" s="44">
        <v>0</v>
      </c>
      <c r="Q427" s="42">
        <v>0</v>
      </c>
      <c r="R427" s="43">
        <v>6</v>
      </c>
      <c r="S427" s="44">
        <v>2</v>
      </c>
      <c r="T427" s="45">
        <f t="shared" si="37"/>
        <v>134</v>
      </c>
      <c r="U427" s="46">
        <v>0</v>
      </c>
      <c r="V427" s="46">
        <f t="shared" si="42"/>
        <v>0</v>
      </c>
      <c r="W427" s="46">
        <f t="shared" si="38"/>
        <v>12</v>
      </c>
      <c r="X427" s="121">
        <f t="shared" si="39"/>
        <v>3</v>
      </c>
      <c r="Y427" s="122">
        <f t="shared" si="40"/>
        <v>149</v>
      </c>
      <c r="Z427" s="138">
        <f t="shared" si="41"/>
        <v>149</v>
      </c>
    </row>
    <row r="428" spans="1:26" x14ac:dyDescent="0.25">
      <c r="A428" s="30" t="s">
        <v>1201</v>
      </c>
      <c r="B428" s="30" t="s">
        <v>79</v>
      </c>
      <c r="C428" s="30" t="s">
        <v>1241</v>
      </c>
      <c r="D428" s="30">
        <v>37870475</v>
      </c>
      <c r="E428" s="31" t="s">
        <v>1242</v>
      </c>
      <c r="F428" s="30">
        <v>161101</v>
      </c>
      <c r="G428" s="119" t="s">
        <v>1288</v>
      </c>
      <c r="H428" s="31" t="s">
        <v>1223</v>
      </c>
      <c r="I428" s="120" t="s">
        <v>1289</v>
      </c>
      <c r="J428" s="42">
        <v>3</v>
      </c>
      <c r="K428" s="43">
        <v>0</v>
      </c>
      <c r="L428" s="43">
        <v>4</v>
      </c>
      <c r="M428" s="43">
        <v>0</v>
      </c>
      <c r="N428" s="43">
        <v>0</v>
      </c>
      <c r="O428" s="43">
        <v>0</v>
      </c>
      <c r="P428" s="44">
        <v>0</v>
      </c>
      <c r="Q428" s="42">
        <v>0</v>
      </c>
      <c r="R428" s="43">
        <v>1</v>
      </c>
      <c r="S428" s="44">
        <v>5</v>
      </c>
      <c r="T428" s="45">
        <f t="shared" si="37"/>
        <v>134</v>
      </c>
      <c r="U428" s="46">
        <v>0</v>
      </c>
      <c r="V428" s="46">
        <f t="shared" si="42"/>
        <v>0</v>
      </c>
      <c r="W428" s="46">
        <f t="shared" si="38"/>
        <v>2</v>
      </c>
      <c r="X428" s="121">
        <f t="shared" si="39"/>
        <v>7.5</v>
      </c>
      <c r="Y428" s="122">
        <f t="shared" si="40"/>
        <v>143.5</v>
      </c>
      <c r="Z428" s="138">
        <f t="shared" si="41"/>
        <v>144</v>
      </c>
    </row>
    <row r="429" spans="1:26" x14ac:dyDescent="0.25">
      <c r="A429" s="127" t="s">
        <v>1201</v>
      </c>
      <c r="B429" s="127" t="s">
        <v>79</v>
      </c>
      <c r="C429" s="127" t="s">
        <v>1241</v>
      </c>
      <c r="D429" s="127">
        <v>37870475</v>
      </c>
      <c r="E429" s="31" t="s">
        <v>1242</v>
      </c>
      <c r="F429" s="127">
        <v>162191</v>
      </c>
      <c r="G429" s="119" t="s">
        <v>121</v>
      </c>
      <c r="H429" s="31" t="s">
        <v>1223</v>
      </c>
      <c r="I429" s="120" t="s">
        <v>1290</v>
      </c>
      <c r="J429" s="42">
        <v>2</v>
      </c>
      <c r="K429" s="43">
        <v>0</v>
      </c>
      <c r="L429" s="43">
        <v>3</v>
      </c>
      <c r="M429" s="43">
        <v>0</v>
      </c>
      <c r="N429" s="43">
        <v>0</v>
      </c>
      <c r="O429" s="43">
        <v>0</v>
      </c>
      <c r="P429" s="44">
        <v>0</v>
      </c>
      <c r="Q429" s="42">
        <v>0</v>
      </c>
      <c r="R429" s="43">
        <v>4</v>
      </c>
      <c r="S429" s="44">
        <v>4</v>
      </c>
      <c r="T429" s="45">
        <f t="shared" si="37"/>
        <v>100.5</v>
      </c>
      <c r="U429" s="46">
        <v>0</v>
      </c>
      <c r="V429" s="46">
        <f t="shared" si="42"/>
        <v>0</v>
      </c>
      <c r="W429" s="46">
        <f t="shared" si="38"/>
        <v>8</v>
      </c>
      <c r="X429" s="121">
        <f t="shared" si="39"/>
        <v>6</v>
      </c>
      <c r="Y429" s="122">
        <f t="shared" si="40"/>
        <v>114.5</v>
      </c>
      <c r="Z429" s="138">
        <f t="shared" si="41"/>
        <v>115</v>
      </c>
    </row>
    <row r="430" spans="1:26" x14ac:dyDescent="0.25">
      <c r="A430" s="30" t="s">
        <v>1201</v>
      </c>
      <c r="B430" s="30" t="s">
        <v>79</v>
      </c>
      <c r="C430" s="30" t="s">
        <v>1241</v>
      </c>
      <c r="D430" s="30">
        <v>37870475</v>
      </c>
      <c r="E430" s="31" t="s">
        <v>1242</v>
      </c>
      <c r="F430" s="30">
        <v>37946765</v>
      </c>
      <c r="G430" s="119" t="s">
        <v>52</v>
      </c>
      <c r="H430" s="31" t="s">
        <v>1223</v>
      </c>
      <c r="I430" s="120" t="s">
        <v>1291</v>
      </c>
      <c r="J430" s="42">
        <v>2</v>
      </c>
      <c r="K430" s="43">
        <v>0</v>
      </c>
      <c r="L430" s="43">
        <v>2</v>
      </c>
      <c r="M430" s="43">
        <v>0</v>
      </c>
      <c r="N430" s="43">
        <v>0</v>
      </c>
      <c r="O430" s="43">
        <v>0</v>
      </c>
      <c r="P430" s="44">
        <v>0</v>
      </c>
      <c r="Q430" s="42">
        <v>0</v>
      </c>
      <c r="R430" s="43">
        <v>6</v>
      </c>
      <c r="S430" s="44">
        <v>0</v>
      </c>
      <c r="T430" s="45">
        <f t="shared" si="37"/>
        <v>67</v>
      </c>
      <c r="U430" s="46">
        <v>0</v>
      </c>
      <c r="V430" s="46">
        <f t="shared" si="42"/>
        <v>0</v>
      </c>
      <c r="W430" s="46">
        <f t="shared" si="38"/>
        <v>12</v>
      </c>
      <c r="X430" s="121">
        <f t="shared" si="39"/>
        <v>0</v>
      </c>
      <c r="Y430" s="122">
        <f t="shared" si="40"/>
        <v>79</v>
      </c>
      <c r="Z430" s="138">
        <f t="shared" si="41"/>
        <v>79</v>
      </c>
    </row>
    <row r="431" spans="1:26" x14ac:dyDescent="0.25">
      <c r="A431" s="30" t="s">
        <v>1201</v>
      </c>
      <c r="B431" s="30" t="s">
        <v>79</v>
      </c>
      <c r="C431" s="30" t="s">
        <v>1241</v>
      </c>
      <c r="D431" s="30">
        <v>37870475</v>
      </c>
      <c r="E431" s="31" t="s">
        <v>1242</v>
      </c>
      <c r="F431" s="30">
        <v>54018391</v>
      </c>
      <c r="G431" s="119" t="s">
        <v>52</v>
      </c>
      <c r="H431" s="31" t="s">
        <v>1223</v>
      </c>
      <c r="I431" s="120" t="s">
        <v>1292</v>
      </c>
      <c r="J431" s="42">
        <v>3</v>
      </c>
      <c r="K431" s="43">
        <v>0</v>
      </c>
      <c r="L431" s="43">
        <v>3</v>
      </c>
      <c r="M431" s="43">
        <v>0</v>
      </c>
      <c r="N431" s="43">
        <v>0</v>
      </c>
      <c r="O431" s="43">
        <v>0</v>
      </c>
      <c r="P431" s="44">
        <v>0</v>
      </c>
      <c r="Q431" s="42">
        <v>0</v>
      </c>
      <c r="R431" s="43">
        <v>8</v>
      </c>
      <c r="S431" s="44">
        <v>1</v>
      </c>
      <c r="T431" s="45">
        <f t="shared" si="37"/>
        <v>100.5</v>
      </c>
      <c r="U431" s="46">
        <v>0</v>
      </c>
      <c r="V431" s="46">
        <f t="shared" si="42"/>
        <v>0</v>
      </c>
      <c r="W431" s="46">
        <f t="shared" si="38"/>
        <v>16</v>
      </c>
      <c r="X431" s="121">
        <f t="shared" si="39"/>
        <v>1.5</v>
      </c>
      <c r="Y431" s="122">
        <f t="shared" si="40"/>
        <v>118</v>
      </c>
      <c r="Z431" s="138">
        <f t="shared" si="41"/>
        <v>118</v>
      </c>
    </row>
    <row r="432" spans="1:26" ht="25.5" x14ac:dyDescent="0.25">
      <c r="A432" s="30" t="s">
        <v>1201</v>
      </c>
      <c r="B432" s="30" t="s">
        <v>79</v>
      </c>
      <c r="C432" s="30" t="s">
        <v>1241</v>
      </c>
      <c r="D432" s="30">
        <v>37870475</v>
      </c>
      <c r="E432" s="31" t="s">
        <v>1242</v>
      </c>
      <c r="F432" s="30">
        <v>37947923</v>
      </c>
      <c r="G432" s="119" t="s">
        <v>1293</v>
      </c>
      <c r="H432" s="31" t="s">
        <v>1223</v>
      </c>
      <c r="I432" s="120" t="s">
        <v>1294</v>
      </c>
      <c r="J432" s="42">
        <v>2</v>
      </c>
      <c r="K432" s="43">
        <v>0</v>
      </c>
      <c r="L432" s="43">
        <v>2</v>
      </c>
      <c r="M432" s="43">
        <v>0</v>
      </c>
      <c r="N432" s="43">
        <v>0</v>
      </c>
      <c r="O432" s="43">
        <v>0</v>
      </c>
      <c r="P432" s="44">
        <v>0</v>
      </c>
      <c r="Q432" s="42">
        <v>0</v>
      </c>
      <c r="R432" s="43">
        <v>5</v>
      </c>
      <c r="S432" s="44">
        <v>6</v>
      </c>
      <c r="T432" s="45">
        <f t="shared" si="37"/>
        <v>67</v>
      </c>
      <c r="U432" s="46">
        <v>0</v>
      </c>
      <c r="V432" s="46">
        <f t="shared" si="42"/>
        <v>0</v>
      </c>
      <c r="W432" s="46">
        <f t="shared" si="38"/>
        <v>10</v>
      </c>
      <c r="X432" s="121">
        <f t="shared" si="39"/>
        <v>9</v>
      </c>
      <c r="Y432" s="122">
        <f t="shared" si="40"/>
        <v>86</v>
      </c>
      <c r="Z432" s="138">
        <f t="shared" si="41"/>
        <v>86</v>
      </c>
    </row>
    <row r="433" spans="1:26" x14ac:dyDescent="0.25">
      <c r="A433" s="30" t="s">
        <v>1201</v>
      </c>
      <c r="B433" s="30" t="s">
        <v>79</v>
      </c>
      <c r="C433" s="30" t="s">
        <v>1241</v>
      </c>
      <c r="D433" s="30">
        <v>37870475</v>
      </c>
      <c r="E433" s="31" t="s">
        <v>1242</v>
      </c>
      <c r="F433" s="30">
        <v>17078482</v>
      </c>
      <c r="G433" s="119" t="s">
        <v>733</v>
      </c>
      <c r="H433" s="31" t="s">
        <v>1223</v>
      </c>
      <c r="I433" s="120" t="s">
        <v>1296</v>
      </c>
      <c r="J433" s="42">
        <v>1</v>
      </c>
      <c r="K433" s="43">
        <v>0</v>
      </c>
      <c r="L433" s="43">
        <v>1</v>
      </c>
      <c r="M433" s="43">
        <v>0</v>
      </c>
      <c r="N433" s="43">
        <v>0</v>
      </c>
      <c r="O433" s="43">
        <v>0</v>
      </c>
      <c r="P433" s="44">
        <v>0</v>
      </c>
      <c r="Q433" s="42">
        <v>0</v>
      </c>
      <c r="R433" s="43">
        <v>2</v>
      </c>
      <c r="S433" s="44">
        <v>5</v>
      </c>
      <c r="T433" s="45">
        <f t="shared" si="37"/>
        <v>33.5</v>
      </c>
      <c r="U433" s="46">
        <v>0</v>
      </c>
      <c r="V433" s="46">
        <f t="shared" si="42"/>
        <v>0</v>
      </c>
      <c r="W433" s="46">
        <f t="shared" si="38"/>
        <v>4</v>
      </c>
      <c r="X433" s="121">
        <f t="shared" si="39"/>
        <v>7.5</v>
      </c>
      <c r="Y433" s="122">
        <f t="shared" si="40"/>
        <v>45</v>
      </c>
      <c r="Z433" s="138">
        <f t="shared" si="41"/>
        <v>45</v>
      </c>
    </row>
    <row r="434" spans="1:26" x14ac:dyDescent="0.25">
      <c r="A434" s="30" t="s">
        <v>1201</v>
      </c>
      <c r="B434" s="30" t="s">
        <v>79</v>
      </c>
      <c r="C434" s="30" t="s">
        <v>1241</v>
      </c>
      <c r="D434" s="30">
        <v>37870475</v>
      </c>
      <c r="E434" s="31" t="s">
        <v>1242</v>
      </c>
      <c r="F434" s="30">
        <v>51896109</v>
      </c>
      <c r="G434" s="119" t="s">
        <v>907</v>
      </c>
      <c r="H434" s="31" t="s">
        <v>1223</v>
      </c>
      <c r="I434" s="120" t="s">
        <v>1297</v>
      </c>
      <c r="J434" s="42">
        <v>3</v>
      </c>
      <c r="K434" s="43">
        <v>0</v>
      </c>
      <c r="L434" s="43">
        <v>3</v>
      </c>
      <c r="M434" s="43">
        <v>0</v>
      </c>
      <c r="N434" s="43">
        <v>0</v>
      </c>
      <c r="O434" s="43">
        <v>0</v>
      </c>
      <c r="P434" s="44">
        <v>0</v>
      </c>
      <c r="Q434" s="42">
        <v>0</v>
      </c>
      <c r="R434" s="43">
        <v>5</v>
      </c>
      <c r="S434" s="44">
        <v>5</v>
      </c>
      <c r="T434" s="45">
        <f t="shared" si="37"/>
        <v>100.5</v>
      </c>
      <c r="U434" s="46">
        <v>4.5999999999999996</v>
      </c>
      <c r="V434" s="46">
        <f t="shared" si="42"/>
        <v>0</v>
      </c>
      <c r="W434" s="46">
        <f t="shared" si="38"/>
        <v>10</v>
      </c>
      <c r="X434" s="121">
        <f t="shared" si="39"/>
        <v>7.5</v>
      </c>
      <c r="Y434" s="122">
        <f t="shared" si="40"/>
        <v>122.6</v>
      </c>
      <c r="Z434" s="138">
        <f t="shared" si="41"/>
        <v>123</v>
      </c>
    </row>
    <row r="435" spans="1:26" x14ac:dyDescent="0.25">
      <c r="A435" s="30" t="s">
        <v>1201</v>
      </c>
      <c r="B435" s="30" t="s">
        <v>79</v>
      </c>
      <c r="C435" s="30" t="s">
        <v>1241</v>
      </c>
      <c r="D435" s="30">
        <v>37870475</v>
      </c>
      <c r="E435" s="31" t="s">
        <v>1242</v>
      </c>
      <c r="F435" s="30">
        <v>162825</v>
      </c>
      <c r="G435" s="119" t="s">
        <v>141</v>
      </c>
      <c r="H435" s="31" t="s">
        <v>1223</v>
      </c>
      <c r="I435" s="120" t="s">
        <v>1298</v>
      </c>
      <c r="J435" s="42">
        <v>2</v>
      </c>
      <c r="K435" s="43">
        <v>0</v>
      </c>
      <c r="L435" s="43">
        <v>3</v>
      </c>
      <c r="M435" s="43">
        <v>0</v>
      </c>
      <c r="N435" s="43">
        <v>0</v>
      </c>
      <c r="O435" s="43">
        <v>0</v>
      </c>
      <c r="P435" s="44">
        <v>0</v>
      </c>
      <c r="Q435" s="42">
        <v>0</v>
      </c>
      <c r="R435" s="43">
        <v>4</v>
      </c>
      <c r="S435" s="44">
        <v>4</v>
      </c>
      <c r="T435" s="45">
        <f t="shared" si="37"/>
        <v>100.5</v>
      </c>
      <c r="U435" s="46">
        <v>0</v>
      </c>
      <c r="V435" s="46">
        <f t="shared" si="42"/>
        <v>0</v>
      </c>
      <c r="W435" s="46">
        <f t="shared" si="38"/>
        <v>8</v>
      </c>
      <c r="X435" s="121">
        <f t="shared" si="39"/>
        <v>6</v>
      </c>
      <c r="Y435" s="122">
        <f t="shared" si="40"/>
        <v>114.5</v>
      </c>
      <c r="Z435" s="138">
        <f t="shared" si="41"/>
        <v>115</v>
      </c>
    </row>
    <row r="436" spans="1:26" x14ac:dyDescent="0.25">
      <c r="A436" s="30" t="s">
        <v>1201</v>
      </c>
      <c r="B436" s="30" t="s">
        <v>79</v>
      </c>
      <c r="C436" s="30" t="s">
        <v>1241</v>
      </c>
      <c r="D436" s="30">
        <v>37870475</v>
      </c>
      <c r="E436" s="31" t="s">
        <v>1242</v>
      </c>
      <c r="F436" s="30">
        <v>37880080</v>
      </c>
      <c r="G436" s="119" t="s">
        <v>677</v>
      </c>
      <c r="H436" s="31" t="s">
        <v>1223</v>
      </c>
      <c r="I436" s="120" t="s">
        <v>1299</v>
      </c>
      <c r="J436" s="42">
        <v>4</v>
      </c>
      <c r="K436" s="43">
        <v>0</v>
      </c>
      <c r="L436" s="43">
        <v>5</v>
      </c>
      <c r="M436" s="43">
        <v>0</v>
      </c>
      <c r="N436" s="43">
        <v>0</v>
      </c>
      <c r="O436" s="43">
        <v>0</v>
      </c>
      <c r="P436" s="44">
        <v>0</v>
      </c>
      <c r="Q436" s="42">
        <v>0</v>
      </c>
      <c r="R436" s="43">
        <v>14</v>
      </c>
      <c r="S436" s="44">
        <v>1</v>
      </c>
      <c r="T436" s="45">
        <f t="shared" si="37"/>
        <v>167.5</v>
      </c>
      <c r="U436" s="46">
        <v>2.8</v>
      </c>
      <c r="V436" s="46">
        <f t="shared" si="42"/>
        <v>0</v>
      </c>
      <c r="W436" s="46">
        <f t="shared" si="38"/>
        <v>28</v>
      </c>
      <c r="X436" s="121">
        <f t="shared" si="39"/>
        <v>1.5</v>
      </c>
      <c r="Y436" s="122">
        <f t="shared" si="40"/>
        <v>199.8</v>
      </c>
      <c r="Z436" s="138">
        <f t="shared" si="41"/>
        <v>200</v>
      </c>
    </row>
    <row r="437" spans="1:26" x14ac:dyDescent="0.25">
      <c r="A437" s="30" t="s">
        <v>1201</v>
      </c>
      <c r="B437" s="30" t="s">
        <v>79</v>
      </c>
      <c r="C437" s="30" t="s">
        <v>1241</v>
      </c>
      <c r="D437" s="30">
        <v>37870475</v>
      </c>
      <c r="E437" s="31" t="s">
        <v>1242</v>
      </c>
      <c r="F437" s="30">
        <v>893251</v>
      </c>
      <c r="G437" s="119" t="s">
        <v>154</v>
      </c>
      <c r="H437" s="31" t="s">
        <v>1223</v>
      </c>
      <c r="I437" s="120" t="s">
        <v>1300</v>
      </c>
      <c r="J437" s="42">
        <v>3</v>
      </c>
      <c r="K437" s="43">
        <v>0</v>
      </c>
      <c r="L437" s="43">
        <v>3</v>
      </c>
      <c r="M437" s="43">
        <v>0</v>
      </c>
      <c r="N437" s="43">
        <v>0</v>
      </c>
      <c r="O437" s="43">
        <v>0</v>
      </c>
      <c r="P437" s="44">
        <v>0</v>
      </c>
      <c r="Q437" s="42">
        <v>0</v>
      </c>
      <c r="R437" s="43">
        <v>6</v>
      </c>
      <c r="S437" s="44">
        <v>3</v>
      </c>
      <c r="T437" s="45">
        <f t="shared" si="37"/>
        <v>100.5</v>
      </c>
      <c r="U437" s="46">
        <v>0</v>
      </c>
      <c r="V437" s="46">
        <f t="shared" si="42"/>
        <v>0</v>
      </c>
      <c r="W437" s="46">
        <f t="shared" si="38"/>
        <v>12</v>
      </c>
      <c r="X437" s="121">
        <f t="shared" si="39"/>
        <v>4.5</v>
      </c>
      <c r="Y437" s="122">
        <f t="shared" si="40"/>
        <v>117</v>
      </c>
      <c r="Z437" s="138">
        <f t="shared" si="41"/>
        <v>117</v>
      </c>
    </row>
    <row r="438" spans="1:26" x14ac:dyDescent="0.25">
      <c r="A438" s="30" t="s">
        <v>1201</v>
      </c>
      <c r="B438" s="30" t="s">
        <v>79</v>
      </c>
      <c r="C438" s="30" t="s">
        <v>1241</v>
      </c>
      <c r="D438" s="30">
        <v>37870475</v>
      </c>
      <c r="E438" s="31" t="s">
        <v>1242</v>
      </c>
      <c r="F438" s="30">
        <v>161829</v>
      </c>
      <c r="G438" s="119" t="s">
        <v>88</v>
      </c>
      <c r="H438" s="31" t="s">
        <v>1223</v>
      </c>
      <c r="I438" s="120" t="s">
        <v>1301</v>
      </c>
      <c r="J438" s="42">
        <v>4</v>
      </c>
      <c r="K438" s="43">
        <v>0</v>
      </c>
      <c r="L438" s="43">
        <v>4</v>
      </c>
      <c r="M438" s="43">
        <v>0</v>
      </c>
      <c r="N438" s="43">
        <v>0</v>
      </c>
      <c r="O438" s="43">
        <v>0</v>
      </c>
      <c r="P438" s="44">
        <v>0</v>
      </c>
      <c r="Q438" s="42">
        <v>0</v>
      </c>
      <c r="R438" s="43">
        <v>9</v>
      </c>
      <c r="S438" s="44">
        <v>0</v>
      </c>
      <c r="T438" s="45">
        <f t="shared" si="37"/>
        <v>134</v>
      </c>
      <c r="U438" s="46">
        <v>0</v>
      </c>
      <c r="V438" s="46">
        <f t="shared" si="42"/>
        <v>0</v>
      </c>
      <c r="W438" s="46">
        <f t="shared" si="38"/>
        <v>18</v>
      </c>
      <c r="X438" s="121">
        <f t="shared" si="39"/>
        <v>0</v>
      </c>
      <c r="Y438" s="122">
        <f t="shared" si="40"/>
        <v>152</v>
      </c>
      <c r="Z438" s="138">
        <f t="shared" si="41"/>
        <v>152</v>
      </c>
    </row>
    <row r="439" spans="1:26" x14ac:dyDescent="0.25">
      <c r="A439" s="30" t="s">
        <v>1201</v>
      </c>
      <c r="B439" s="30" t="s">
        <v>79</v>
      </c>
      <c r="C439" s="30" t="s">
        <v>1241</v>
      </c>
      <c r="D439" s="30">
        <v>37870475</v>
      </c>
      <c r="E439" s="31" t="s">
        <v>1242</v>
      </c>
      <c r="F439" s="30">
        <v>161845</v>
      </c>
      <c r="G439" s="119" t="s">
        <v>90</v>
      </c>
      <c r="H439" s="31" t="s">
        <v>1223</v>
      </c>
      <c r="I439" s="120" t="s">
        <v>1303</v>
      </c>
      <c r="J439" s="42">
        <v>2</v>
      </c>
      <c r="K439" s="43">
        <v>0</v>
      </c>
      <c r="L439" s="43">
        <v>2</v>
      </c>
      <c r="M439" s="43">
        <v>0</v>
      </c>
      <c r="N439" s="43">
        <v>0</v>
      </c>
      <c r="O439" s="43">
        <v>0</v>
      </c>
      <c r="P439" s="44">
        <v>0</v>
      </c>
      <c r="Q439" s="42">
        <v>0</v>
      </c>
      <c r="R439" s="43">
        <v>2</v>
      </c>
      <c r="S439" s="44">
        <v>0</v>
      </c>
      <c r="T439" s="45">
        <f t="shared" si="37"/>
        <v>67</v>
      </c>
      <c r="U439" s="46">
        <v>0</v>
      </c>
      <c r="V439" s="46">
        <f t="shared" si="42"/>
        <v>0</v>
      </c>
      <c r="W439" s="46">
        <f t="shared" si="38"/>
        <v>4</v>
      </c>
      <c r="X439" s="121">
        <f t="shared" si="39"/>
        <v>0</v>
      </c>
      <c r="Y439" s="122">
        <f t="shared" si="40"/>
        <v>71</v>
      </c>
      <c r="Z439" s="138">
        <f t="shared" si="41"/>
        <v>71</v>
      </c>
    </row>
    <row r="440" spans="1:26" x14ac:dyDescent="0.25">
      <c r="A440" s="30" t="s">
        <v>1201</v>
      </c>
      <c r="B440" s="30" t="s">
        <v>79</v>
      </c>
      <c r="C440" s="30" t="s">
        <v>1241</v>
      </c>
      <c r="D440" s="30">
        <v>37870475</v>
      </c>
      <c r="E440" s="31" t="s">
        <v>1242</v>
      </c>
      <c r="F440" s="30">
        <v>606804</v>
      </c>
      <c r="G440" s="119" t="s">
        <v>117</v>
      </c>
      <c r="H440" s="31" t="s">
        <v>1223</v>
      </c>
      <c r="I440" s="120" t="s">
        <v>1304</v>
      </c>
      <c r="J440" s="42">
        <v>5</v>
      </c>
      <c r="K440" s="43">
        <v>0</v>
      </c>
      <c r="L440" s="43">
        <v>6</v>
      </c>
      <c r="M440" s="43">
        <v>0</v>
      </c>
      <c r="N440" s="43">
        <v>0</v>
      </c>
      <c r="O440" s="43">
        <v>0</v>
      </c>
      <c r="P440" s="44">
        <v>0</v>
      </c>
      <c r="Q440" s="42">
        <v>0</v>
      </c>
      <c r="R440" s="43">
        <v>9</v>
      </c>
      <c r="S440" s="44">
        <v>6</v>
      </c>
      <c r="T440" s="45">
        <f t="shared" si="37"/>
        <v>201</v>
      </c>
      <c r="U440" s="46">
        <v>180.25</v>
      </c>
      <c r="V440" s="46">
        <f t="shared" si="42"/>
        <v>0</v>
      </c>
      <c r="W440" s="46">
        <f t="shared" si="38"/>
        <v>18</v>
      </c>
      <c r="X440" s="121">
        <f t="shared" si="39"/>
        <v>9</v>
      </c>
      <c r="Y440" s="122">
        <f t="shared" si="40"/>
        <v>408.25</v>
      </c>
      <c r="Z440" s="138">
        <f t="shared" si="41"/>
        <v>408</v>
      </c>
    </row>
    <row r="441" spans="1:26" x14ac:dyDescent="0.25">
      <c r="A441" s="30" t="s">
        <v>1201</v>
      </c>
      <c r="B441" s="30" t="s">
        <v>79</v>
      </c>
      <c r="C441" s="30" t="s">
        <v>1241</v>
      </c>
      <c r="D441" s="30">
        <v>37870475</v>
      </c>
      <c r="E441" s="31" t="s">
        <v>1242</v>
      </c>
      <c r="F441" s="30">
        <v>17078466</v>
      </c>
      <c r="G441" s="119" t="s">
        <v>119</v>
      </c>
      <c r="H441" s="31" t="s">
        <v>1223</v>
      </c>
      <c r="I441" s="120" t="s">
        <v>1305</v>
      </c>
      <c r="J441" s="42">
        <v>1</v>
      </c>
      <c r="K441" s="43">
        <v>0</v>
      </c>
      <c r="L441" s="43">
        <v>1</v>
      </c>
      <c r="M441" s="43">
        <v>0</v>
      </c>
      <c r="N441" s="43">
        <v>0</v>
      </c>
      <c r="O441" s="43">
        <v>0</v>
      </c>
      <c r="P441" s="44">
        <v>0</v>
      </c>
      <c r="Q441" s="42">
        <v>0</v>
      </c>
      <c r="R441" s="43">
        <v>27</v>
      </c>
      <c r="S441" s="44">
        <v>0</v>
      </c>
      <c r="T441" s="45">
        <f t="shared" si="37"/>
        <v>33.5</v>
      </c>
      <c r="U441" s="46">
        <v>64.150000000000006</v>
      </c>
      <c r="V441" s="46">
        <f t="shared" si="42"/>
        <v>0</v>
      </c>
      <c r="W441" s="46">
        <f t="shared" si="38"/>
        <v>54</v>
      </c>
      <c r="X441" s="121">
        <f t="shared" si="39"/>
        <v>0</v>
      </c>
      <c r="Y441" s="122">
        <f t="shared" si="40"/>
        <v>151.65</v>
      </c>
      <c r="Z441" s="138">
        <f t="shared" si="41"/>
        <v>152</v>
      </c>
    </row>
    <row r="442" spans="1:26" x14ac:dyDescent="0.25">
      <c r="A442" s="30" t="s">
        <v>1201</v>
      </c>
      <c r="B442" s="30" t="s">
        <v>79</v>
      </c>
      <c r="C442" s="30" t="s">
        <v>1241</v>
      </c>
      <c r="D442" s="30">
        <v>37870475</v>
      </c>
      <c r="E442" s="31" t="s">
        <v>1242</v>
      </c>
      <c r="F442" s="30">
        <v>161047</v>
      </c>
      <c r="G442" s="119" t="s">
        <v>49</v>
      </c>
      <c r="H442" s="31" t="s">
        <v>1229</v>
      </c>
      <c r="I442" s="120" t="s">
        <v>410</v>
      </c>
      <c r="J442" s="42">
        <v>1</v>
      </c>
      <c r="K442" s="43">
        <v>0</v>
      </c>
      <c r="L442" s="43">
        <v>5</v>
      </c>
      <c r="M442" s="43">
        <v>0</v>
      </c>
      <c r="N442" s="43">
        <v>1</v>
      </c>
      <c r="O442" s="43">
        <v>0</v>
      </c>
      <c r="P442" s="44">
        <v>0</v>
      </c>
      <c r="Q442" s="42">
        <v>1</v>
      </c>
      <c r="R442" s="43">
        <v>2</v>
      </c>
      <c r="S442" s="44">
        <v>3</v>
      </c>
      <c r="T442" s="45">
        <f t="shared" si="37"/>
        <v>167.5</v>
      </c>
      <c r="U442" s="46">
        <v>43.3</v>
      </c>
      <c r="V442" s="46">
        <f t="shared" si="42"/>
        <v>15</v>
      </c>
      <c r="W442" s="46">
        <f t="shared" si="38"/>
        <v>4</v>
      </c>
      <c r="X442" s="121">
        <f t="shared" si="39"/>
        <v>4.5</v>
      </c>
      <c r="Y442" s="122">
        <f t="shared" si="40"/>
        <v>234.3</v>
      </c>
      <c r="Z442" s="138">
        <f t="shared" si="41"/>
        <v>234</v>
      </c>
    </row>
    <row r="443" spans="1:26" x14ac:dyDescent="0.25">
      <c r="A443" s="30" t="s">
        <v>1201</v>
      </c>
      <c r="B443" s="30" t="s">
        <v>79</v>
      </c>
      <c r="C443" s="30" t="s">
        <v>1241</v>
      </c>
      <c r="D443" s="30">
        <v>37870475</v>
      </c>
      <c r="E443" s="31" t="s">
        <v>1242</v>
      </c>
      <c r="F443" s="30">
        <v>159476</v>
      </c>
      <c r="G443" s="119" t="s">
        <v>166</v>
      </c>
      <c r="H443" s="31" t="s">
        <v>1229</v>
      </c>
      <c r="I443" s="120" t="s">
        <v>1306</v>
      </c>
      <c r="J443" s="42">
        <v>3</v>
      </c>
      <c r="K443" s="43">
        <v>0</v>
      </c>
      <c r="L443" s="43">
        <v>3</v>
      </c>
      <c r="M443" s="43">
        <v>0</v>
      </c>
      <c r="N443" s="43">
        <v>0</v>
      </c>
      <c r="O443" s="43">
        <v>0</v>
      </c>
      <c r="P443" s="44">
        <v>0</v>
      </c>
      <c r="Q443" s="42">
        <v>0</v>
      </c>
      <c r="R443" s="43">
        <v>3</v>
      </c>
      <c r="S443" s="44">
        <v>1</v>
      </c>
      <c r="T443" s="45">
        <f t="shared" si="37"/>
        <v>100.5</v>
      </c>
      <c r="U443" s="46">
        <v>21</v>
      </c>
      <c r="V443" s="46">
        <f t="shared" si="42"/>
        <v>0</v>
      </c>
      <c r="W443" s="46">
        <f t="shared" si="38"/>
        <v>6</v>
      </c>
      <c r="X443" s="121">
        <f t="shared" si="39"/>
        <v>1.5</v>
      </c>
      <c r="Y443" s="122">
        <f t="shared" si="40"/>
        <v>129</v>
      </c>
      <c r="Z443" s="138">
        <f t="shared" si="41"/>
        <v>129</v>
      </c>
    </row>
    <row r="444" spans="1:26" x14ac:dyDescent="0.25">
      <c r="A444" s="30" t="s">
        <v>1201</v>
      </c>
      <c r="B444" s="30" t="s">
        <v>79</v>
      </c>
      <c r="C444" s="30" t="s">
        <v>1241</v>
      </c>
      <c r="D444" s="30">
        <v>37870475</v>
      </c>
      <c r="E444" s="31" t="s">
        <v>1242</v>
      </c>
      <c r="F444" s="30">
        <v>42383153</v>
      </c>
      <c r="G444" s="119" t="s">
        <v>52</v>
      </c>
      <c r="H444" s="31" t="s">
        <v>1166</v>
      </c>
      <c r="I444" s="120" t="s">
        <v>1307</v>
      </c>
      <c r="J444" s="42">
        <v>5</v>
      </c>
      <c r="K444" s="43">
        <v>0</v>
      </c>
      <c r="L444" s="43">
        <v>5</v>
      </c>
      <c r="M444" s="43">
        <v>0</v>
      </c>
      <c r="N444" s="43">
        <v>0</v>
      </c>
      <c r="O444" s="43">
        <v>0</v>
      </c>
      <c r="P444" s="44">
        <v>0</v>
      </c>
      <c r="Q444" s="42">
        <v>0</v>
      </c>
      <c r="R444" s="43">
        <v>5</v>
      </c>
      <c r="S444" s="44">
        <v>2</v>
      </c>
      <c r="T444" s="45">
        <f t="shared" si="37"/>
        <v>167.5</v>
      </c>
      <c r="U444" s="46">
        <v>0</v>
      </c>
      <c r="V444" s="46">
        <f t="shared" si="42"/>
        <v>0</v>
      </c>
      <c r="W444" s="46">
        <f t="shared" si="38"/>
        <v>10</v>
      </c>
      <c r="X444" s="121">
        <f t="shared" si="39"/>
        <v>3</v>
      </c>
      <c r="Y444" s="122">
        <f t="shared" si="40"/>
        <v>180.5</v>
      </c>
      <c r="Z444" s="138">
        <f t="shared" si="41"/>
        <v>181</v>
      </c>
    </row>
    <row r="445" spans="1:26" x14ac:dyDescent="0.25">
      <c r="A445" s="30" t="s">
        <v>1201</v>
      </c>
      <c r="B445" s="30" t="s">
        <v>79</v>
      </c>
      <c r="C445" s="30" t="s">
        <v>1241</v>
      </c>
      <c r="D445" s="30">
        <v>37870475</v>
      </c>
      <c r="E445" s="31" t="s">
        <v>1242</v>
      </c>
      <c r="F445" s="30">
        <v>161179</v>
      </c>
      <c r="G445" s="119" t="s">
        <v>49</v>
      </c>
      <c r="H445" s="31" t="s">
        <v>1232</v>
      </c>
      <c r="I445" s="120" t="s">
        <v>1308</v>
      </c>
      <c r="J445" s="42">
        <v>2</v>
      </c>
      <c r="K445" s="43">
        <v>0</v>
      </c>
      <c r="L445" s="43">
        <v>3</v>
      </c>
      <c r="M445" s="43">
        <v>0</v>
      </c>
      <c r="N445" s="43">
        <v>0</v>
      </c>
      <c r="O445" s="43">
        <v>0</v>
      </c>
      <c r="P445" s="44">
        <v>0</v>
      </c>
      <c r="Q445" s="42">
        <v>0</v>
      </c>
      <c r="R445" s="43">
        <v>4</v>
      </c>
      <c r="S445" s="44">
        <v>2</v>
      </c>
      <c r="T445" s="45">
        <f t="shared" si="37"/>
        <v>100.5</v>
      </c>
      <c r="U445" s="46">
        <v>0</v>
      </c>
      <c r="V445" s="46">
        <f t="shared" si="42"/>
        <v>0</v>
      </c>
      <c r="W445" s="46">
        <f t="shared" si="38"/>
        <v>8</v>
      </c>
      <c r="X445" s="121">
        <f t="shared" si="39"/>
        <v>3</v>
      </c>
      <c r="Y445" s="122">
        <f t="shared" si="40"/>
        <v>111.5</v>
      </c>
      <c r="Z445" s="138">
        <f t="shared" si="41"/>
        <v>112</v>
      </c>
    </row>
    <row r="446" spans="1:26" x14ac:dyDescent="0.25">
      <c r="A446" s="30" t="s">
        <v>1201</v>
      </c>
      <c r="B446" s="30" t="s">
        <v>79</v>
      </c>
      <c r="C446" s="30" t="s">
        <v>1241</v>
      </c>
      <c r="D446" s="30">
        <v>37870475</v>
      </c>
      <c r="E446" s="31" t="s">
        <v>1242</v>
      </c>
      <c r="F446" s="30">
        <v>37878247</v>
      </c>
      <c r="G446" s="119" t="s">
        <v>575</v>
      </c>
      <c r="H446" s="31" t="s">
        <v>1232</v>
      </c>
      <c r="I446" s="120" t="s">
        <v>1309</v>
      </c>
      <c r="J446" s="42">
        <v>2</v>
      </c>
      <c r="K446" s="43">
        <v>0</v>
      </c>
      <c r="L446" s="43">
        <v>3</v>
      </c>
      <c r="M446" s="43">
        <v>0</v>
      </c>
      <c r="N446" s="43">
        <v>0</v>
      </c>
      <c r="O446" s="43">
        <v>0</v>
      </c>
      <c r="P446" s="44">
        <v>0</v>
      </c>
      <c r="Q446" s="42">
        <v>0</v>
      </c>
      <c r="R446" s="43">
        <v>2</v>
      </c>
      <c r="S446" s="44">
        <v>0</v>
      </c>
      <c r="T446" s="45">
        <f t="shared" si="37"/>
        <v>100.5</v>
      </c>
      <c r="U446" s="46">
        <v>0</v>
      </c>
      <c r="V446" s="46">
        <f t="shared" si="42"/>
        <v>0</v>
      </c>
      <c r="W446" s="46">
        <f t="shared" si="38"/>
        <v>4</v>
      </c>
      <c r="X446" s="121">
        <f t="shared" si="39"/>
        <v>0</v>
      </c>
      <c r="Y446" s="122">
        <f t="shared" si="40"/>
        <v>104.5</v>
      </c>
      <c r="Z446" s="138">
        <f t="shared" si="41"/>
        <v>105</v>
      </c>
    </row>
    <row r="447" spans="1:26" x14ac:dyDescent="0.25">
      <c r="A447" s="30" t="s">
        <v>1201</v>
      </c>
      <c r="B447" s="30" t="s">
        <v>79</v>
      </c>
      <c r="C447" s="30" t="s">
        <v>1241</v>
      </c>
      <c r="D447" s="30">
        <v>37870475</v>
      </c>
      <c r="E447" s="31" t="s">
        <v>1242</v>
      </c>
      <c r="F447" s="30">
        <v>161217</v>
      </c>
      <c r="G447" s="119" t="s">
        <v>1311</v>
      </c>
      <c r="H447" s="31" t="s">
        <v>1234</v>
      </c>
      <c r="I447" s="120" t="s">
        <v>1312</v>
      </c>
      <c r="J447" s="42">
        <v>1</v>
      </c>
      <c r="K447" s="43">
        <v>0</v>
      </c>
      <c r="L447" s="43">
        <v>1</v>
      </c>
      <c r="M447" s="43">
        <v>0</v>
      </c>
      <c r="N447" s="43">
        <v>0</v>
      </c>
      <c r="O447" s="43">
        <v>0</v>
      </c>
      <c r="P447" s="44">
        <v>0</v>
      </c>
      <c r="Q447" s="42">
        <v>0</v>
      </c>
      <c r="R447" s="43">
        <v>0</v>
      </c>
      <c r="S447" s="44">
        <v>2</v>
      </c>
      <c r="T447" s="45">
        <f t="shared" si="37"/>
        <v>33.5</v>
      </c>
      <c r="U447" s="46">
        <v>0</v>
      </c>
      <c r="V447" s="46">
        <f t="shared" si="42"/>
        <v>0</v>
      </c>
      <c r="W447" s="46">
        <f t="shared" si="38"/>
        <v>0</v>
      </c>
      <c r="X447" s="121">
        <f t="shared" si="39"/>
        <v>3</v>
      </c>
      <c r="Y447" s="122">
        <f t="shared" si="40"/>
        <v>36.5</v>
      </c>
      <c r="Z447" s="138">
        <f t="shared" si="41"/>
        <v>37</v>
      </c>
    </row>
    <row r="448" spans="1:26" x14ac:dyDescent="0.25">
      <c r="A448" s="30" t="s">
        <v>1201</v>
      </c>
      <c r="B448" s="30" t="s">
        <v>79</v>
      </c>
      <c r="C448" s="30" t="s">
        <v>1241</v>
      </c>
      <c r="D448" s="30">
        <v>37870475</v>
      </c>
      <c r="E448" s="31" t="s">
        <v>1242</v>
      </c>
      <c r="F448" s="30">
        <v>17050405</v>
      </c>
      <c r="G448" s="119" t="s">
        <v>154</v>
      </c>
      <c r="H448" s="31" t="s">
        <v>1234</v>
      </c>
      <c r="I448" s="120" t="s">
        <v>1314</v>
      </c>
      <c r="J448" s="42">
        <v>1</v>
      </c>
      <c r="K448" s="43">
        <v>0</v>
      </c>
      <c r="L448" s="43">
        <v>1</v>
      </c>
      <c r="M448" s="43">
        <v>0</v>
      </c>
      <c r="N448" s="43">
        <v>0</v>
      </c>
      <c r="O448" s="43">
        <v>0</v>
      </c>
      <c r="P448" s="44">
        <v>0</v>
      </c>
      <c r="Q448" s="42">
        <v>0</v>
      </c>
      <c r="R448" s="43">
        <v>1</v>
      </c>
      <c r="S448" s="44">
        <v>0</v>
      </c>
      <c r="T448" s="45">
        <f t="shared" si="37"/>
        <v>33.5</v>
      </c>
      <c r="U448" s="46">
        <v>0</v>
      </c>
      <c r="V448" s="46">
        <f t="shared" si="42"/>
        <v>0</v>
      </c>
      <c r="W448" s="46">
        <f t="shared" si="38"/>
        <v>2</v>
      </c>
      <c r="X448" s="121">
        <f t="shared" si="39"/>
        <v>0</v>
      </c>
      <c r="Y448" s="122">
        <f t="shared" si="40"/>
        <v>35.5</v>
      </c>
      <c r="Z448" s="138">
        <f t="shared" si="41"/>
        <v>36</v>
      </c>
    </row>
    <row r="449" spans="1:26" ht="25.5" x14ac:dyDescent="0.25">
      <c r="A449" s="30" t="s">
        <v>1201</v>
      </c>
      <c r="B449" s="30" t="s">
        <v>79</v>
      </c>
      <c r="C449" s="30" t="s">
        <v>1241</v>
      </c>
      <c r="D449" s="30">
        <v>37870475</v>
      </c>
      <c r="E449" s="31" t="s">
        <v>1242</v>
      </c>
      <c r="F449" s="30">
        <v>893692</v>
      </c>
      <c r="G449" s="119" t="s">
        <v>1320</v>
      </c>
      <c r="H449" s="31" t="s">
        <v>1236</v>
      </c>
      <c r="I449" s="120" t="s">
        <v>1321</v>
      </c>
      <c r="J449" s="42">
        <v>2</v>
      </c>
      <c r="K449" s="43">
        <v>0</v>
      </c>
      <c r="L449" s="43">
        <v>3</v>
      </c>
      <c r="M449" s="43">
        <v>0</v>
      </c>
      <c r="N449" s="43">
        <v>0</v>
      </c>
      <c r="O449" s="43">
        <v>0</v>
      </c>
      <c r="P449" s="44">
        <v>0</v>
      </c>
      <c r="Q449" s="42">
        <v>0</v>
      </c>
      <c r="R449" s="43">
        <v>3</v>
      </c>
      <c r="S449" s="44">
        <v>2</v>
      </c>
      <c r="T449" s="45">
        <f t="shared" si="37"/>
        <v>100.5</v>
      </c>
      <c r="U449" s="46">
        <v>0</v>
      </c>
      <c r="V449" s="46">
        <f t="shared" si="42"/>
        <v>0</v>
      </c>
      <c r="W449" s="46">
        <f t="shared" si="38"/>
        <v>6</v>
      </c>
      <c r="X449" s="121">
        <f t="shared" si="39"/>
        <v>3</v>
      </c>
      <c r="Y449" s="122">
        <f t="shared" si="40"/>
        <v>109.5</v>
      </c>
      <c r="Z449" s="138">
        <f t="shared" si="41"/>
        <v>110</v>
      </c>
    </row>
    <row r="450" spans="1:26" x14ac:dyDescent="0.25">
      <c r="A450" s="30" t="s">
        <v>1201</v>
      </c>
      <c r="B450" s="30" t="s">
        <v>79</v>
      </c>
      <c r="C450" s="30" t="s">
        <v>1241</v>
      </c>
      <c r="D450" s="30">
        <v>37870475</v>
      </c>
      <c r="E450" s="31" t="s">
        <v>1242</v>
      </c>
      <c r="F450" s="30">
        <v>161268</v>
      </c>
      <c r="G450" s="119" t="s">
        <v>1325</v>
      </c>
      <c r="H450" s="31" t="s">
        <v>1238</v>
      </c>
      <c r="I450" s="120" t="s">
        <v>1326</v>
      </c>
      <c r="J450" s="42">
        <v>3</v>
      </c>
      <c r="K450" s="43">
        <v>0</v>
      </c>
      <c r="L450" s="43">
        <v>3</v>
      </c>
      <c r="M450" s="43">
        <v>0</v>
      </c>
      <c r="N450" s="43">
        <v>0</v>
      </c>
      <c r="O450" s="43">
        <v>0</v>
      </c>
      <c r="P450" s="44">
        <v>0</v>
      </c>
      <c r="Q450" s="42">
        <v>0</v>
      </c>
      <c r="R450" s="43">
        <v>9</v>
      </c>
      <c r="S450" s="44">
        <v>6</v>
      </c>
      <c r="T450" s="45">
        <f t="shared" si="37"/>
        <v>100.5</v>
      </c>
      <c r="U450" s="46">
        <v>0</v>
      </c>
      <c r="V450" s="46">
        <f t="shared" si="42"/>
        <v>0</v>
      </c>
      <c r="W450" s="46">
        <f t="shared" si="38"/>
        <v>18</v>
      </c>
      <c r="X450" s="121">
        <f t="shared" si="39"/>
        <v>9</v>
      </c>
      <c r="Y450" s="122">
        <f t="shared" si="40"/>
        <v>127.5</v>
      </c>
      <c r="Z450" s="138">
        <f t="shared" si="41"/>
        <v>128</v>
      </c>
    </row>
    <row r="451" spans="1:26" x14ac:dyDescent="0.25">
      <c r="A451" s="30" t="s">
        <v>1201</v>
      </c>
      <c r="B451" s="30" t="s">
        <v>79</v>
      </c>
      <c r="C451" s="30" t="s">
        <v>1241</v>
      </c>
      <c r="D451" s="30">
        <v>37870475</v>
      </c>
      <c r="E451" s="31" t="s">
        <v>1242</v>
      </c>
      <c r="F451" s="30">
        <v>162230</v>
      </c>
      <c r="G451" s="119" t="s">
        <v>100</v>
      </c>
      <c r="H451" s="31" t="s">
        <v>1238</v>
      </c>
      <c r="I451" s="120" t="s">
        <v>1327</v>
      </c>
      <c r="J451" s="42">
        <v>1</v>
      </c>
      <c r="K451" s="43">
        <v>0</v>
      </c>
      <c r="L451" s="43">
        <v>1</v>
      </c>
      <c r="M451" s="43">
        <v>0</v>
      </c>
      <c r="N451" s="43">
        <v>0</v>
      </c>
      <c r="O451" s="43">
        <v>0</v>
      </c>
      <c r="P451" s="44">
        <v>0</v>
      </c>
      <c r="Q451" s="42">
        <v>0</v>
      </c>
      <c r="R451" s="43">
        <v>0</v>
      </c>
      <c r="S451" s="44">
        <v>1</v>
      </c>
      <c r="T451" s="45">
        <f t="shared" si="37"/>
        <v>33.5</v>
      </c>
      <c r="U451" s="46">
        <v>0</v>
      </c>
      <c r="V451" s="46">
        <f t="shared" si="42"/>
        <v>0</v>
      </c>
      <c r="W451" s="46">
        <f t="shared" si="38"/>
        <v>0</v>
      </c>
      <c r="X451" s="121">
        <f t="shared" si="39"/>
        <v>1.5</v>
      </c>
      <c r="Y451" s="122">
        <f t="shared" si="40"/>
        <v>35</v>
      </c>
      <c r="Z451" s="138">
        <f t="shared" si="41"/>
        <v>35</v>
      </c>
    </row>
    <row r="452" spans="1:26" x14ac:dyDescent="0.25">
      <c r="A452" s="30" t="s">
        <v>1201</v>
      </c>
      <c r="B452" s="30" t="s">
        <v>79</v>
      </c>
      <c r="C452" s="30" t="s">
        <v>1241</v>
      </c>
      <c r="D452" s="30">
        <v>37870475</v>
      </c>
      <c r="E452" s="31" t="s">
        <v>1242</v>
      </c>
      <c r="F452" s="30">
        <v>37946773</v>
      </c>
      <c r="G452" s="119" t="s">
        <v>575</v>
      </c>
      <c r="H452" s="31" t="s">
        <v>1238</v>
      </c>
      <c r="I452" s="120" t="s">
        <v>1328</v>
      </c>
      <c r="J452" s="42">
        <v>1</v>
      </c>
      <c r="K452" s="43">
        <v>0</v>
      </c>
      <c r="L452" s="43">
        <v>1</v>
      </c>
      <c r="M452" s="43">
        <v>0</v>
      </c>
      <c r="N452" s="43">
        <v>0</v>
      </c>
      <c r="O452" s="43">
        <v>0</v>
      </c>
      <c r="P452" s="44">
        <v>0</v>
      </c>
      <c r="Q452" s="42">
        <v>0</v>
      </c>
      <c r="R452" s="43">
        <v>1</v>
      </c>
      <c r="S452" s="44">
        <v>0</v>
      </c>
      <c r="T452" s="45">
        <f t="shared" ref="T452:T468" si="43">$T$1*L452</f>
        <v>33.5</v>
      </c>
      <c r="U452" s="46">
        <v>0</v>
      </c>
      <c r="V452" s="46">
        <f t="shared" si="42"/>
        <v>0</v>
      </c>
      <c r="W452" s="46">
        <f t="shared" ref="W452:W468" si="44">$U$1*O452+$W$1*R452</f>
        <v>2</v>
      </c>
      <c r="X452" s="121">
        <f t="shared" ref="X452:X468" si="45">$X$1*P452+$V$1*S452</f>
        <v>0</v>
      </c>
      <c r="Y452" s="122">
        <f t="shared" ref="Y452:Y468" si="46">T452+U452+V452+W452+X452</f>
        <v>35.5</v>
      </c>
      <c r="Z452" s="138">
        <f t="shared" ref="Z452:Z515" si="47">ROUND(Y452,0)</f>
        <v>36</v>
      </c>
    </row>
    <row r="453" spans="1:26" x14ac:dyDescent="0.25">
      <c r="A453" s="30" t="s">
        <v>1201</v>
      </c>
      <c r="B453" s="30" t="s">
        <v>181</v>
      </c>
      <c r="C453" s="30" t="s">
        <v>1344</v>
      </c>
      <c r="D453" s="30">
        <v>179205</v>
      </c>
      <c r="E453" s="31" t="s">
        <v>1345</v>
      </c>
      <c r="F453" s="30">
        <v>36161667</v>
      </c>
      <c r="G453" s="119" t="s">
        <v>1346</v>
      </c>
      <c r="H453" s="31" t="s">
        <v>1151</v>
      </c>
      <c r="I453" s="120" t="s">
        <v>1347</v>
      </c>
      <c r="J453" s="42">
        <v>1</v>
      </c>
      <c r="K453" s="43">
        <v>0</v>
      </c>
      <c r="L453" s="43">
        <v>1</v>
      </c>
      <c r="M453" s="43">
        <v>0</v>
      </c>
      <c r="N453" s="43">
        <v>0</v>
      </c>
      <c r="O453" s="43">
        <v>0</v>
      </c>
      <c r="P453" s="44">
        <v>0</v>
      </c>
      <c r="Q453" s="42">
        <v>0</v>
      </c>
      <c r="R453" s="43">
        <v>5</v>
      </c>
      <c r="S453" s="44">
        <v>0</v>
      </c>
      <c r="T453" s="45">
        <f t="shared" si="43"/>
        <v>33.5</v>
      </c>
      <c r="U453" s="46">
        <v>0</v>
      </c>
      <c r="V453" s="46">
        <f t="shared" si="42"/>
        <v>0</v>
      </c>
      <c r="W453" s="46">
        <f t="shared" si="44"/>
        <v>10</v>
      </c>
      <c r="X453" s="121">
        <f t="shared" si="45"/>
        <v>0</v>
      </c>
      <c r="Y453" s="122">
        <f t="shared" si="46"/>
        <v>43.5</v>
      </c>
      <c r="Z453" s="138">
        <f t="shared" si="47"/>
        <v>44</v>
      </c>
    </row>
    <row r="454" spans="1:26" x14ac:dyDescent="0.25">
      <c r="A454" s="30" t="s">
        <v>1201</v>
      </c>
      <c r="B454" s="30" t="s">
        <v>181</v>
      </c>
      <c r="C454" s="30" t="s">
        <v>1348</v>
      </c>
      <c r="D454" s="30">
        <v>31997520</v>
      </c>
      <c r="E454" s="31" t="s">
        <v>1349</v>
      </c>
      <c r="F454" s="30">
        <v>31305288</v>
      </c>
      <c r="G454" s="119" t="s">
        <v>1350</v>
      </c>
      <c r="H454" s="31" t="s">
        <v>214</v>
      </c>
      <c r="I454" s="120" t="s">
        <v>1351</v>
      </c>
      <c r="J454" s="42">
        <v>1</v>
      </c>
      <c r="K454" s="43">
        <v>0</v>
      </c>
      <c r="L454" s="43">
        <v>1</v>
      </c>
      <c r="M454" s="43">
        <v>0</v>
      </c>
      <c r="N454" s="43">
        <v>0</v>
      </c>
      <c r="O454" s="43">
        <v>0</v>
      </c>
      <c r="P454" s="44">
        <v>0</v>
      </c>
      <c r="Q454" s="42">
        <v>0</v>
      </c>
      <c r="R454" s="43">
        <v>0</v>
      </c>
      <c r="S454" s="44">
        <v>1</v>
      </c>
      <c r="T454" s="45">
        <f t="shared" si="43"/>
        <v>33.5</v>
      </c>
      <c r="U454" s="46">
        <v>0</v>
      </c>
      <c r="V454" s="46">
        <f t="shared" si="42"/>
        <v>0</v>
      </c>
      <c r="W454" s="46">
        <f t="shared" si="44"/>
        <v>0</v>
      </c>
      <c r="X454" s="121">
        <f t="shared" si="45"/>
        <v>1.5</v>
      </c>
      <c r="Y454" s="122">
        <f t="shared" si="46"/>
        <v>35</v>
      </c>
      <c r="Z454" s="138">
        <f t="shared" si="47"/>
        <v>35</v>
      </c>
    </row>
    <row r="455" spans="1:26" x14ac:dyDescent="0.25">
      <c r="A455" s="30" t="s">
        <v>1201</v>
      </c>
      <c r="B455" s="30" t="s">
        <v>181</v>
      </c>
      <c r="C455" s="30" t="s">
        <v>1340</v>
      </c>
      <c r="D455" s="30">
        <v>179124</v>
      </c>
      <c r="E455" s="31" t="s">
        <v>1341</v>
      </c>
      <c r="F455" s="30">
        <v>17082447</v>
      </c>
      <c r="G455" s="119" t="s">
        <v>1352</v>
      </c>
      <c r="H455" s="31" t="s">
        <v>1210</v>
      </c>
      <c r="I455" s="120" t="s">
        <v>1353</v>
      </c>
      <c r="J455" s="42">
        <v>1</v>
      </c>
      <c r="K455" s="43">
        <v>0</v>
      </c>
      <c r="L455" s="43">
        <v>1</v>
      </c>
      <c r="M455" s="43">
        <v>0</v>
      </c>
      <c r="N455" s="43">
        <v>0</v>
      </c>
      <c r="O455" s="43">
        <v>0</v>
      </c>
      <c r="P455" s="44">
        <v>0</v>
      </c>
      <c r="Q455" s="42">
        <v>0</v>
      </c>
      <c r="R455" s="43">
        <v>1</v>
      </c>
      <c r="S455" s="44">
        <v>0</v>
      </c>
      <c r="T455" s="45">
        <f t="shared" si="43"/>
        <v>33.5</v>
      </c>
      <c r="U455" s="46">
        <v>0</v>
      </c>
      <c r="V455" s="46">
        <f t="shared" si="42"/>
        <v>0</v>
      </c>
      <c r="W455" s="46">
        <f t="shared" si="44"/>
        <v>2</v>
      </c>
      <c r="X455" s="121">
        <f t="shared" si="45"/>
        <v>0</v>
      </c>
      <c r="Y455" s="122">
        <f t="shared" si="46"/>
        <v>35.5</v>
      </c>
      <c r="Z455" s="138">
        <f t="shared" si="47"/>
        <v>36</v>
      </c>
    </row>
    <row r="456" spans="1:26" x14ac:dyDescent="0.25">
      <c r="A456" s="30" t="s">
        <v>1201</v>
      </c>
      <c r="B456" s="30" t="s">
        <v>181</v>
      </c>
      <c r="C456" s="30" t="s">
        <v>1340</v>
      </c>
      <c r="D456" s="30">
        <v>179124</v>
      </c>
      <c r="E456" s="31" t="s">
        <v>1341</v>
      </c>
      <c r="F456" s="30">
        <v>37937731</v>
      </c>
      <c r="G456" s="119" t="s">
        <v>1356</v>
      </c>
      <c r="H456" s="31" t="s">
        <v>1210</v>
      </c>
      <c r="I456" s="120" t="s">
        <v>1357</v>
      </c>
      <c r="J456" s="42">
        <v>2</v>
      </c>
      <c r="K456" s="43">
        <v>0</v>
      </c>
      <c r="L456" s="43">
        <v>3</v>
      </c>
      <c r="M456" s="43">
        <v>0</v>
      </c>
      <c r="N456" s="43">
        <v>0</v>
      </c>
      <c r="O456" s="43">
        <v>0</v>
      </c>
      <c r="P456" s="44">
        <v>0</v>
      </c>
      <c r="Q456" s="42">
        <v>0</v>
      </c>
      <c r="R456" s="43">
        <v>7</v>
      </c>
      <c r="S456" s="44">
        <v>3</v>
      </c>
      <c r="T456" s="45">
        <f t="shared" si="43"/>
        <v>100.5</v>
      </c>
      <c r="U456" s="46">
        <v>120.5</v>
      </c>
      <c r="V456" s="46">
        <f t="shared" si="42"/>
        <v>0</v>
      </c>
      <c r="W456" s="46">
        <f t="shared" si="44"/>
        <v>14</v>
      </c>
      <c r="X456" s="121">
        <f t="shared" si="45"/>
        <v>4.5</v>
      </c>
      <c r="Y456" s="122">
        <f t="shared" si="46"/>
        <v>239.5</v>
      </c>
      <c r="Z456" s="138">
        <f t="shared" si="47"/>
        <v>240</v>
      </c>
    </row>
    <row r="457" spans="1:26" x14ac:dyDescent="0.25">
      <c r="A457" s="30" t="s">
        <v>1201</v>
      </c>
      <c r="B457" s="30" t="s">
        <v>181</v>
      </c>
      <c r="C457" s="30" t="s">
        <v>1348</v>
      </c>
      <c r="D457" s="30">
        <v>31997520</v>
      </c>
      <c r="E457" s="31" t="s">
        <v>1349</v>
      </c>
      <c r="F457" s="30">
        <v>37975650</v>
      </c>
      <c r="G457" s="119" t="s">
        <v>1358</v>
      </c>
      <c r="H457" s="31" t="s">
        <v>833</v>
      </c>
      <c r="I457" s="120" t="s">
        <v>1359</v>
      </c>
      <c r="J457" s="42">
        <v>2</v>
      </c>
      <c r="K457" s="43">
        <v>0</v>
      </c>
      <c r="L457" s="43">
        <v>2</v>
      </c>
      <c r="M457" s="43">
        <v>0</v>
      </c>
      <c r="N457" s="43">
        <v>0</v>
      </c>
      <c r="O457" s="43">
        <v>0</v>
      </c>
      <c r="P457" s="44">
        <v>0</v>
      </c>
      <c r="Q457" s="42">
        <v>0</v>
      </c>
      <c r="R457" s="43">
        <v>2</v>
      </c>
      <c r="S457" s="44">
        <v>3</v>
      </c>
      <c r="T457" s="45">
        <f t="shared" si="43"/>
        <v>67</v>
      </c>
      <c r="U457" s="46">
        <v>25.85</v>
      </c>
      <c r="V457" s="46">
        <f t="shared" si="42"/>
        <v>0</v>
      </c>
      <c r="W457" s="46">
        <f t="shared" si="44"/>
        <v>4</v>
      </c>
      <c r="X457" s="121">
        <f t="shared" si="45"/>
        <v>4.5</v>
      </c>
      <c r="Y457" s="122">
        <f t="shared" si="46"/>
        <v>101.35</v>
      </c>
      <c r="Z457" s="138">
        <f t="shared" si="47"/>
        <v>101</v>
      </c>
    </row>
    <row r="458" spans="1:26" x14ac:dyDescent="0.25">
      <c r="A458" s="30" t="s">
        <v>1201</v>
      </c>
      <c r="B458" s="30" t="s">
        <v>181</v>
      </c>
      <c r="C458" s="30" t="s">
        <v>1348</v>
      </c>
      <c r="D458" s="30">
        <v>31997520</v>
      </c>
      <c r="E458" s="31" t="s">
        <v>1349</v>
      </c>
      <c r="F458" s="30">
        <v>42227496</v>
      </c>
      <c r="G458" s="119" t="s">
        <v>1358</v>
      </c>
      <c r="H458" s="31" t="s">
        <v>1223</v>
      </c>
      <c r="I458" s="120" t="s">
        <v>1366</v>
      </c>
      <c r="J458" s="42">
        <v>2</v>
      </c>
      <c r="K458" s="43">
        <v>0</v>
      </c>
      <c r="L458" s="43">
        <v>2</v>
      </c>
      <c r="M458" s="43">
        <v>0</v>
      </c>
      <c r="N458" s="43">
        <v>0</v>
      </c>
      <c r="O458" s="43">
        <v>0</v>
      </c>
      <c r="P458" s="44">
        <v>0</v>
      </c>
      <c r="Q458" s="42">
        <v>1</v>
      </c>
      <c r="R458" s="43">
        <v>0</v>
      </c>
      <c r="S458" s="44">
        <v>1</v>
      </c>
      <c r="T458" s="45">
        <f t="shared" si="43"/>
        <v>67</v>
      </c>
      <c r="U458" s="46">
        <v>0</v>
      </c>
      <c r="V458" s="46">
        <f t="shared" si="42"/>
        <v>1.5</v>
      </c>
      <c r="W458" s="46">
        <f t="shared" si="44"/>
        <v>0</v>
      </c>
      <c r="X458" s="121">
        <f t="shared" si="45"/>
        <v>1.5</v>
      </c>
      <c r="Y458" s="122">
        <f t="shared" si="46"/>
        <v>70</v>
      </c>
      <c r="Z458" s="138">
        <f t="shared" si="47"/>
        <v>70</v>
      </c>
    </row>
    <row r="459" spans="1:26" x14ac:dyDescent="0.25">
      <c r="A459" s="30" t="s">
        <v>1201</v>
      </c>
      <c r="B459" s="30" t="s">
        <v>181</v>
      </c>
      <c r="C459" s="30" t="s">
        <v>1369</v>
      </c>
      <c r="D459" s="30">
        <v>586439</v>
      </c>
      <c r="E459" s="31" t="s">
        <v>1370</v>
      </c>
      <c r="F459" s="30">
        <v>698288</v>
      </c>
      <c r="G459" s="119" t="s">
        <v>1371</v>
      </c>
      <c r="H459" s="31" t="s">
        <v>1223</v>
      </c>
      <c r="I459" s="120" t="s">
        <v>1372</v>
      </c>
      <c r="J459" s="42">
        <v>1</v>
      </c>
      <c r="K459" s="43">
        <v>0</v>
      </c>
      <c r="L459" s="43">
        <v>0</v>
      </c>
      <c r="M459" s="43">
        <v>0</v>
      </c>
      <c r="N459" s="43">
        <v>0</v>
      </c>
      <c r="O459" s="43">
        <v>0</v>
      </c>
      <c r="P459" s="44">
        <v>0</v>
      </c>
      <c r="Q459" s="42">
        <v>0</v>
      </c>
      <c r="R459" s="43">
        <v>4</v>
      </c>
      <c r="S459" s="44">
        <v>3</v>
      </c>
      <c r="T459" s="45">
        <f t="shared" si="43"/>
        <v>0</v>
      </c>
      <c r="U459" s="46">
        <v>0</v>
      </c>
      <c r="V459" s="46">
        <f t="shared" si="42"/>
        <v>0</v>
      </c>
      <c r="W459" s="46">
        <f t="shared" si="44"/>
        <v>8</v>
      </c>
      <c r="X459" s="121">
        <f t="shared" si="45"/>
        <v>4.5</v>
      </c>
      <c r="Y459" s="122">
        <f t="shared" si="46"/>
        <v>12.5</v>
      </c>
      <c r="Z459" s="138">
        <f t="shared" si="47"/>
        <v>13</v>
      </c>
    </row>
    <row r="460" spans="1:26" x14ac:dyDescent="0.25">
      <c r="A460" s="30" t="s">
        <v>1201</v>
      </c>
      <c r="B460" s="30" t="s">
        <v>181</v>
      </c>
      <c r="C460" s="30" t="s">
        <v>1340</v>
      </c>
      <c r="D460" s="30">
        <v>179124</v>
      </c>
      <c r="E460" s="31" t="s">
        <v>1341</v>
      </c>
      <c r="F460" s="30">
        <v>17060532</v>
      </c>
      <c r="G460" s="119" t="s">
        <v>1373</v>
      </c>
      <c r="H460" s="31" t="s">
        <v>462</v>
      </c>
      <c r="I460" s="120" t="s">
        <v>1374</v>
      </c>
      <c r="J460" s="42">
        <v>1</v>
      </c>
      <c r="K460" s="43">
        <v>0</v>
      </c>
      <c r="L460" s="43">
        <v>4</v>
      </c>
      <c r="M460" s="43">
        <v>0</v>
      </c>
      <c r="N460" s="43">
        <v>0</v>
      </c>
      <c r="O460" s="43">
        <v>1</v>
      </c>
      <c r="P460" s="44">
        <v>0</v>
      </c>
      <c r="Q460" s="42">
        <v>0</v>
      </c>
      <c r="R460" s="43">
        <v>52</v>
      </c>
      <c r="S460" s="44">
        <v>0</v>
      </c>
      <c r="T460" s="45">
        <f t="shared" si="43"/>
        <v>134</v>
      </c>
      <c r="U460" s="46">
        <v>6.3</v>
      </c>
      <c r="V460" s="46">
        <f t="shared" si="42"/>
        <v>0</v>
      </c>
      <c r="W460" s="46">
        <f t="shared" si="44"/>
        <v>117.5</v>
      </c>
      <c r="X460" s="121">
        <f t="shared" si="45"/>
        <v>0</v>
      </c>
      <c r="Y460" s="122">
        <f t="shared" si="46"/>
        <v>257.8</v>
      </c>
      <c r="Z460" s="138">
        <f t="shared" si="47"/>
        <v>258</v>
      </c>
    </row>
    <row r="461" spans="1:26" x14ac:dyDescent="0.25">
      <c r="A461" s="30" t="s">
        <v>1201</v>
      </c>
      <c r="B461" s="30" t="s">
        <v>181</v>
      </c>
      <c r="C461" s="30" t="s">
        <v>1340</v>
      </c>
      <c r="D461" s="30">
        <v>179124</v>
      </c>
      <c r="E461" s="31" t="s">
        <v>1341</v>
      </c>
      <c r="F461" s="30">
        <v>17151481</v>
      </c>
      <c r="G461" s="119" t="s">
        <v>1381</v>
      </c>
      <c r="H461" s="31" t="s">
        <v>1379</v>
      </c>
      <c r="I461" s="120" t="s">
        <v>1380</v>
      </c>
      <c r="J461" s="42">
        <v>1</v>
      </c>
      <c r="K461" s="43">
        <v>0</v>
      </c>
      <c r="L461" s="43">
        <v>1</v>
      </c>
      <c r="M461" s="43">
        <v>0</v>
      </c>
      <c r="N461" s="43">
        <v>0</v>
      </c>
      <c r="O461" s="43">
        <v>0</v>
      </c>
      <c r="P461" s="44">
        <v>0</v>
      </c>
      <c r="Q461" s="42">
        <v>0</v>
      </c>
      <c r="R461" s="43">
        <v>1</v>
      </c>
      <c r="S461" s="44">
        <v>4</v>
      </c>
      <c r="T461" s="45">
        <f t="shared" si="43"/>
        <v>33.5</v>
      </c>
      <c r="U461" s="46">
        <v>5</v>
      </c>
      <c r="V461" s="46">
        <f t="shared" si="42"/>
        <v>0</v>
      </c>
      <c r="W461" s="46">
        <f t="shared" si="44"/>
        <v>2</v>
      </c>
      <c r="X461" s="121">
        <f t="shared" si="45"/>
        <v>6</v>
      </c>
      <c r="Y461" s="122">
        <f t="shared" si="46"/>
        <v>46.5</v>
      </c>
      <c r="Z461" s="138">
        <f t="shared" si="47"/>
        <v>47</v>
      </c>
    </row>
    <row r="462" spans="1:26" x14ac:dyDescent="0.25">
      <c r="A462" s="30" t="s">
        <v>1201</v>
      </c>
      <c r="B462" s="30" t="s">
        <v>226</v>
      </c>
      <c r="C462" s="30" t="s">
        <v>1388</v>
      </c>
      <c r="D462" s="30">
        <v>44405847</v>
      </c>
      <c r="E462" s="31" t="s">
        <v>1389</v>
      </c>
      <c r="F462" s="30">
        <v>52108163</v>
      </c>
      <c r="G462" s="119" t="s">
        <v>814</v>
      </c>
      <c r="H462" s="31" t="s">
        <v>351</v>
      </c>
      <c r="I462" s="120" t="s">
        <v>1390</v>
      </c>
      <c r="J462" s="42">
        <v>1</v>
      </c>
      <c r="K462" s="43">
        <v>0</v>
      </c>
      <c r="L462" s="43">
        <v>3</v>
      </c>
      <c r="M462" s="43">
        <v>0</v>
      </c>
      <c r="N462" s="43">
        <v>0</v>
      </c>
      <c r="O462" s="43">
        <v>3</v>
      </c>
      <c r="P462" s="44">
        <v>1</v>
      </c>
      <c r="Q462" s="42">
        <v>0</v>
      </c>
      <c r="R462" s="43">
        <v>3</v>
      </c>
      <c r="S462" s="44">
        <v>1</v>
      </c>
      <c r="T462" s="45">
        <f t="shared" si="43"/>
        <v>100.5</v>
      </c>
      <c r="U462" s="46">
        <v>0</v>
      </c>
      <c r="V462" s="46">
        <f t="shared" si="42"/>
        <v>0</v>
      </c>
      <c r="W462" s="46">
        <f t="shared" si="44"/>
        <v>46.5</v>
      </c>
      <c r="X462" s="121">
        <f t="shared" si="45"/>
        <v>28.5</v>
      </c>
      <c r="Y462" s="122">
        <f t="shared" si="46"/>
        <v>175.5</v>
      </c>
      <c r="Z462" s="138">
        <f t="shared" si="47"/>
        <v>176</v>
      </c>
    </row>
    <row r="463" spans="1:26" x14ac:dyDescent="0.25">
      <c r="A463" s="30" t="s">
        <v>1201</v>
      </c>
      <c r="B463" s="30" t="s">
        <v>226</v>
      </c>
      <c r="C463" s="30" t="s">
        <v>1391</v>
      </c>
      <c r="D463" s="30">
        <v>37886223</v>
      </c>
      <c r="E463" s="31" t="s">
        <v>1392</v>
      </c>
      <c r="F463" s="30">
        <v>42039371</v>
      </c>
      <c r="G463" s="119" t="s">
        <v>229</v>
      </c>
      <c r="H463" s="31" t="s">
        <v>351</v>
      </c>
      <c r="I463" s="120" t="s">
        <v>1393</v>
      </c>
      <c r="J463" s="42">
        <v>1</v>
      </c>
      <c r="K463" s="43">
        <v>0</v>
      </c>
      <c r="L463" s="43">
        <v>2</v>
      </c>
      <c r="M463" s="43">
        <v>0</v>
      </c>
      <c r="N463" s="43">
        <v>0</v>
      </c>
      <c r="O463" s="43">
        <v>0</v>
      </c>
      <c r="P463" s="44">
        <v>0</v>
      </c>
      <c r="Q463" s="42">
        <v>0</v>
      </c>
      <c r="R463" s="43">
        <v>3</v>
      </c>
      <c r="S463" s="44">
        <v>7</v>
      </c>
      <c r="T463" s="45">
        <f t="shared" si="43"/>
        <v>67</v>
      </c>
      <c r="U463" s="46">
        <v>0</v>
      </c>
      <c r="V463" s="46">
        <f t="shared" si="42"/>
        <v>0</v>
      </c>
      <c r="W463" s="46">
        <f t="shared" si="44"/>
        <v>6</v>
      </c>
      <c r="X463" s="121">
        <f t="shared" si="45"/>
        <v>10.5</v>
      </c>
      <c r="Y463" s="122">
        <f t="shared" si="46"/>
        <v>83.5</v>
      </c>
      <c r="Z463" s="138">
        <f t="shared" si="47"/>
        <v>84</v>
      </c>
    </row>
    <row r="464" spans="1:26" x14ac:dyDescent="0.25">
      <c r="A464" s="30" t="s">
        <v>1201</v>
      </c>
      <c r="B464" s="30" t="s">
        <v>226</v>
      </c>
      <c r="C464" s="30" t="s">
        <v>1399</v>
      </c>
      <c r="D464" s="30">
        <v>45731047</v>
      </c>
      <c r="E464" s="31" t="s">
        <v>1400</v>
      </c>
      <c r="F464" s="30">
        <v>42384010</v>
      </c>
      <c r="G464" s="119" t="s">
        <v>1401</v>
      </c>
      <c r="H464" s="31" t="s">
        <v>1223</v>
      </c>
      <c r="I464" s="120" t="s">
        <v>1402</v>
      </c>
      <c r="J464" s="42">
        <v>1</v>
      </c>
      <c r="K464" s="43">
        <v>0</v>
      </c>
      <c r="L464" s="43">
        <v>1</v>
      </c>
      <c r="M464" s="43">
        <v>0</v>
      </c>
      <c r="N464" s="43">
        <v>0</v>
      </c>
      <c r="O464" s="43">
        <v>0</v>
      </c>
      <c r="P464" s="44">
        <v>0</v>
      </c>
      <c r="Q464" s="42">
        <v>0</v>
      </c>
      <c r="R464" s="43">
        <v>1</v>
      </c>
      <c r="S464" s="44">
        <v>0</v>
      </c>
      <c r="T464" s="45">
        <f t="shared" si="43"/>
        <v>33.5</v>
      </c>
      <c r="U464" s="46">
        <v>0</v>
      </c>
      <c r="V464" s="46">
        <f t="shared" si="42"/>
        <v>0</v>
      </c>
      <c r="W464" s="46">
        <f t="shared" si="44"/>
        <v>2</v>
      </c>
      <c r="X464" s="121">
        <f t="shared" si="45"/>
        <v>0</v>
      </c>
      <c r="Y464" s="122">
        <f t="shared" si="46"/>
        <v>35.5</v>
      </c>
      <c r="Z464" s="138">
        <f t="shared" si="47"/>
        <v>36</v>
      </c>
    </row>
    <row r="465" spans="1:26" ht="25.5" x14ac:dyDescent="0.25">
      <c r="A465" s="30" t="s">
        <v>1201</v>
      </c>
      <c r="B465" s="30" t="s">
        <v>226</v>
      </c>
      <c r="C465" s="30" t="s">
        <v>1407</v>
      </c>
      <c r="D465" s="30">
        <v>45732108</v>
      </c>
      <c r="E465" s="31" t="s">
        <v>1408</v>
      </c>
      <c r="F465" s="30">
        <v>686514</v>
      </c>
      <c r="G465" s="119" t="s">
        <v>1409</v>
      </c>
      <c r="H465" s="31" t="s">
        <v>1223</v>
      </c>
      <c r="I465" s="120" t="s">
        <v>1410</v>
      </c>
      <c r="J465" s="42">
        <v>2</v>
      </c>
      <c r="K465" s="43">
        <v>0</v>
      </c>
      <c r="L465" s="43">
        <v>3</v>
      </c>
      <c r="M465" s="43">
        <v>0</v>
      </c>
      <c r="N465" s="43">
        <v>0</v>
      </c>
      <c r="O465" s="43">
        <v>0</v>
      </c>
      <c r="P465" s="44">
        <v>0</v>
      </c>
      <c r="Q465" s="42">
        <v>1</v>
      </c>
      <c r="R465" s="43">
        <v>1</v>
      </c>
      <c r="S465" s="44">
        <v>0</v>
      </c>
      <c r="T465" s="45">
        <f t="shared" si="43"/>
        <v>100.5</v>
      </c>
      <c r="U465" s="46">
        <v>0</v>
      </c>
      <c r="V465" s="46">
        <f t="shared" si="42"/>
        <v>1.5</v>
      </c>
      <c r="W465" s="46">
        <f t="shared" si="44"/>
        <v>2</v>
      </c>
      <c r="X465" s="121">
        <f t="shared" si="45"/>
        <v>0</v>
      </c>
      <c r="Y465" s="122">
        <f t="shared" si="46"/>
        <v>104</v>
      </c>
      <c r="Z465" s="138">
        <f t="shared" si="47"/>
        <v>104</v>
      </c>
    </row>
    <row r="466" spans="1:26" x14ac:dyDescent="0.25">
      <c r="A466" s="30" t="s">
        <v>1201</v>
      </c>
      <c r="B466" s="30" t="s">
        <v>226</v>
      </c>
      <c r="C466" s="30" t="s">
        <v>1403</v>
      </c>
      <c r="D466" s="30">
        <v>37051890</v>
      </c>
      <c r="E466" s="31" t="s">
        <v>1404</v>
      </c>
      <c r="F466" s="30">
        <v>37945653</v>
      </c>
      <c r="G466" s="119" t="s">
        <v>1411</v>
      </c>
      <c r="H466" s="31" t="s">
        <v>1223</v>
      </c>
      <c r="I466" s="120" t="s">
        <v>1406</v>
      </c>
      <c r="J466" s="42">
        <v>2</v>
      </c>
      <c r="K466" s="43">
        <v>0</v>
      </c>
      <c r="L466" s="43">
        <v>1</v>
      </c>
      <c r="M466" s="43">
        <v>0</v>
      </c>
      <c r="N466" s="43">
        <v>0</v>
      </c>
      <c r="O466" s="43">
        <v>2</v>
      </c>
      <c r="P466" s="44">
        <v>0</v>
      </c>
      <c r="Q466" s="42">
        <v>0</v>
      </c>
      <c r="R466" s="43">
        <v>3</v>
      </c>
      <c r="S466" s="44">
        <v>0</v>
      </c>
      <c r="T466" s="45">
        <f t="shared" si="43"/>
        <v>33.5</v>
      </c>
      <c r="U466" s="46">
        <v>0</v>
      </c>
      <c r="V466" s="46">
        <f t="shared" si="42"/>
        <v>0</v>
      </c>
      <c r="W466" s="46">
        <f t="shared" si="44"/>
        <v>33</v>
      </c>
      <c r="X466" s="121">
        <f t="shared" si="45"/>
        <v>0</v>
      </c>
      <c r="Y466" s="122">
        <f t="shared" si="46"/>
        <v>66.5</v>
      </c>
      <c r="Z466" s="138">
        <f t="shared" si="47"/>
        <v>67</v>
      </c>
    </row>
    <row r="467" spans="1:26" x14ac:dyDescent="0.25">
      <c r="A467" s="30" t="s">
        <v>1428</v>
      </c>
      <c r="B467" s="30" t="s">
        <v>43</v>
      </c>
      <c r="C467" s="30" t="s">
        <v>1429</v>
      </c>
      <c r="D467" s="30">
        <v>54131430</v>
      </c>
      <c r="E467" s="31" t="s">
        <v>1430</v>
      </c>
      <c r="F467" s="30">
        <v>35531754</v>
      </c>
      <c r="G467" s="119" t="s">
        <v>49</v>
      </c>
      <c r="H467" s="31" t="s">
        <v>1437</v>
      </c>
      <c r="I467" s="120" t="s">
        <v>1438</v>
      </c>
      <c r="J467" s="42">
        <v>3</v>
      </c>
      <c r="K467" s="43">
        <v>0</v>
      </c>
      <c r="L467" s="43">
        <v>3</v>
      </c>
      <c r="M467" s="43">
        <v>0</v>
      </c>
      <c r="N467" s="43">
        <v>0</v>
      </c>
      <c r="O467" s="43">
        <v>0</v>
      </c>
      <c r="P467" s="44">
        <v>0</v>
      </c>
      <c r="Q467" s="42">
        <v>0</v>
      </c>
      <c r="R467" s="43">
        <v>6</v>
      </c>
      <c r="S467" s="44">
        <v>1</v>
      </c>
      <c r="T467" s="45">
        <f t="shared" si="43"/>
        <v>100.5</v>
      </c>
      <c r="U467" s="46">
        <v>33</v>
      </c>
      <c r="V467" s="46">
        <f t="shared" si="42"/>
        <v>0</v>
      </c>
      <c r="W467" s="46">
        <f t="shared" si="44"/>
        <v>12</v>
      </c>
      <c r="X467" s="121">
        <f t="shared" si="45"/>
        <v>1.5</v>
      </c>
      <c r="Y467" s="122">
        <f t="shared" si="46"/>
        <v>147</v>
      </c>
      <c r="Z467" s="138">
        <f t="shared" si="47"/>
        <v>147</v>
      </c>
    </row>
    <row r="468" spans="1:26" x14ac:dyDescent="0.25">
      <c r="A468" s="30" t="s">
        <v>1428</v>
      </c>
      <c r="B468" s="30" t="s">
        <v>43</v>
      </c>
      <c r="C468" s="30" t="s">
        <v>1429</v>
      </c>
      <c r="D468" s="30">
        <v>54131430</v>
      </c>
      <c r="E468" s="31" t="s">
        <v>1430</v>
      </c>
      <c r="F468" s="30">
        <v>35570563</v>
      </c>
      <c r="G468" s="119" t="s">
        <v>1443</v>
      </c>
      <c r="H468" s="31" t="s">
        <v>214</v>
      </c>
      <c r="I468" s="120" t="s">
        <v>1444</v>
      </c>
      <c r="J468" s="42">
        <v>4</v>
      </c>
      <c r="K468" s="43">
        <v>0</v>
      </c>
      <c r="L468" s="43">
        <v>4</v>
      </c>
      <c r="M468" s="43">
        <v>0</v>
      </c>
      <c r="N468" s="43">
        <v>0</v>
      </c>
      <c r="O468" s="43">
        <v>0</v>
      </c>
      <c r="P468" s="44">
        <v>0</v>
      </c>
      <c r="Q468" s="42">
        <v>0</v>
      </c>
      <c r="R468" s="43">
        <v>8</v>
      </c>
      <c r="S468" s="44">
        <v>1</v>
      </c>
      <c r="T468" s="45">
        <f t="shared" si="43"/>
        <v>134</v>
      </c>
      <c r="U468" s="46">
        <v>0</v>
      </c>
      <c r="V468" s="46">
        <f t="shared" si="42"/>
        <v>0</v>
      </c>
      <c r="W468" s="46">
        <f t="shared" si="44"/>
        <v>16</v>
      </c>
      <c r="X468" s="121">
        <f t="shared" si="45"/>
        <v>1.5</v>
      </c>
      <c r="Y468" s="122">
        <f t="shared" si="46"/>
        <v>151.5</v>
      </c>
      <c r="Z468" s="138">
        <f t="shared" si="47"/>
        <v>152</v>
      </c>
    </row>
    <row r="469" spans="1:26" x14ac:dyDescent="0.25">
      <c r="A469" s="30" t="s">
        <v>1428</v>
      </c>
      <c r="B469" s="30" t="s">
        <v>79</v>
      </c>
      <c r="C469" s="30" t="s">
        <v>1467</v>
      </c>
      <c r="D469" s="30">
        <v>35541016</v>
      </c>
      <c r="E469" s="31" t="s">
        <v>1468</v>
      </c>
      <c r="F469" s="30">
        <v>160938</v>
      </c>
      <c r="G469" s="119" t="s">
        <v>49</v>
      </c>
      <c r="H469" s="31" t="s">
        <v>1469</v>
      </c>
      <c r="I469" s="120" t="s">
        <v>1470</v>
      </c>
      <c r="J469" s="200">
        <v>1</v>
      </c>
      <c r="K469" s="201">
        <v>0</v>
      </c>
      <c r="L469" s="201">
        <v>2</v>
      </c>
      <c r="M469" s="201">
        <v>0</v>
      </c>
      <c r="N469" s="201">
        <v>0</v>
      </c>
      <c r="O469" s="201">
        <v>0</v>
      </c>
      <c r="P469" s="202">
        <v>0</v>
      </c>
      <c r="Q469" s="200">
        <v>0</v>
      </c>
      <c r="R469" s="201">
        <v>0</v>
      </c>
      <c r="S469" s="202">
        <v>2</v>
      </c>
      <c r="T469" s="203">
        <f t="shared" ref="T469:T523" si="48">33.5*L469</f>
        <v>67</v>
      </c>
      <c r="U469" s="204">
        <v>24.6</v>
      </c>
      <c r="V469" s="204">
        <f t="shared" ref="V469:V523" si="49">13.5*N469+1.5*Q469</f>
        <v>0</v>
      </c>
      <c r="W469" s="204">
        <f t="shared" ref="W469:W523" si="50">13.5*O469+2*R469</f>
        <v>0</v>
      </c>
      <c r="X469" s="205">
        <f t="shared" ref="X469:X523" si="51">27*P469+1.5*S469</f>
        <v>3</v>
      </c>
      <c r="Y469" s="206">
        <f t="shared" ref="Y469:Y523" si="52">ROUND(T469+U469+V469+W469+X469,0)</f>
        <v>95</v>
      </c>
      <c r="Z469" s="138">
        <f t="shared" si="47"/>
        <v>95</v>
      </c>
    </row>
    <row r="470" spans="1:26" x14ac:dyDescent="0.25">
      <c r="A470" s="30" t="s">
        <v>1428</v>
      </c>
      <c r="B470" s="30" t="s">
        <v>79</v>
      </c>
      <c r="C470" s="30" t="s">
        <v>1467</v>
      </c>
      <c r="D470" s="30">
        <v>35541016</v>
      </c>
      <c r="E470" s="31" t="s">
        <v>1468</v>
      </c>
      <c r="F470" s="30">
        <v>35568348</v>
      </c>
      <c r="G470" s="119" t="s">
        <v>679</v>
      </c>
      <c r="H470" s="31" t="s">
        <v>1431</v>
      </c>
      <c r="I470" s="120" t="s">
        <v>1471</v>
      </c>
      <c r="J470" s="200">
        <v>3</v>
      </c>
      <c r="K470" s="201">
        <v>0</v>
      </c>
      <c r="L470" s="201">
        <v>3</v>
      </c>
      <c r="M470" s="201">
        <v>0</v>
      </c>
      <c r="N470" s="201">
        <v>0</v>
      </c>
      <c r="O470" s="201">
        <v>0</v>
      </c>
      <c r="P470" s="202">
        <v>0</v>
      </c>
      <c r="Q470" s="200">
        <v>0</v>
      </c>
      <c r="R470" s="201">
        <v>3</v>
      </c>
      <c r="S470" s="202">
        <v>2</v>
      </c>
      <c r="T470" s="203">
        <f t="shared" si="48"/>
        <v>100.5</v>
      </c>
      <c r="U470" s="204">
        <v>11.8</v>
      </c>
      <c r="V470" s="204">
        <f t="shared" si="49"/>
        <v>0</v>
      </c>
      <c r="W470" s="204">
        <f t="shared" si="50"/>
        <v>6</v>
      </c>
      <c r="X470" s="205">
        <f t="shared" si="51"/>
        <v>3</v>
      </c>
      <c r="Y470" s="206">
        <f t="shared" si="52"/>
        <v>121</v>
      </c>
      <c r="Z470" s="138">
        <f t="shared" si="47"/>
        <v>121</v>
      </c>
    </row>
    <row r="471" spans="1:26" x14ac:dyDescent="0.25">
      <c r="A471" s="30" t="s">
        <v>1428</v>
      </c>
      <c r="B471" s="30" t="s">
        <v>79</v>
      </c>
      <c r="C471" s="30" t="s">
        <v>1467</v>
      </c>
      <c r="D471" s="30">
        <v>35541016</v>
      </c>
      <c r="E471" s="31" t="s">
        <v>1468</v>
      </c>
      <c r="F471" s="30">
        <v>161071</v>
      </c>
      <c r="G471" s="119" t="s">
        <v>1472</v>
      </c>
      <c r="H471" s="31" t="s">
        <v>1433</v>
      </c>
      <c r="I471" s="120" t="s">
        <v>1473</v>
      </c>
      <c r="J471" s="200">
        <v>3</v>
      </c>
      <c r="K471" s="201">
        <v>0</v>
      </c>
      <c r="L471" s="201">
        <v>4</v>
      </c>
      <c r="M471" s="201">
        <v>0</v>
      </c>
      <c r="N471" s="201">
        <v>0</v>
      </c>
      <c r="O471" s="201">
        <v>0</v>
      </c>
      <c r="P471" s="202">
        <v>0</v>
      </c>
      <c r="Q471" s="200">
        <v>0</v>
      </c>
      <c r="R471" s="201">
        <v>4</v>
      </c>
      <c r="S471" s="202">
        <v>1</v>
      </c>
      <c r="T471" s="203">
        <f t="shared" si="48"/>
        <v>134</v>
      </c>
      <c r="U471" s="204">
        <v>10.4</v>
      </c>
      <c r="V471" s="204">
        <f t="shared" si="49"/>
        <v>0</v>
      </c>
      <c r="W471" s="204">
        <f t="shared" si="50"/>
        <v>8</v>
      </c>
      <c r="X471" s="205">
        <f t="shared" si="51"/>
        <v>1.5</v>
      </c>
      <c r="Y471" s="206">
        <f t="shared" si="52"/>
        <v>154</v>
      </c>
      <c r="Z471" s="138">
        <f t="shared" si="47"/>
        <v>154</v>
      </c>
    </row>
    <row r="472" spans="1:26" ht="25.5" x14ac:dyDescent="0.25">
      <c r="A472" s="30" t="s">
        <v>1428</v>
      </c>
      <c r="B472" s="30" t="s">
        <v>79</v>
      </c>
      <c r="C472" s="30" t="s">
        <v>1467</v>
      </c>
      <c r="D472" s="30">
        <v>35541016</v>
      </c>
      <c r="E472" s="31" t="s">
        <v>1468</v>
      </c>
      <c r="F472" s="30">
        <v>42102341</v>
      </c>
      <c r="G472" s="119" t="s">
        <v>1474</v>
      </c>
      <c r="H472" s="31" t="s">
        <v>1433</v>
      </c>
      <c r="I472" s="120" t="s">
        <v>1475</v>
      </c>
      <c r="J472" s="200">
        <v>2</v>
      </c>
      <c r="K472" s="201">
        <v>0</v>
      </c>
      <c r="L472" s="201">
        <v>3</v>
      </c>
      <c r="M472" s="201">
        <v>0</v>
      </c>
      <c r="N472" s="201">
        <v>0</v>
      </c>
      <c r="O472" s="201">
        <v>0</v>
      </c>
      <c r="P472" s="202">
        <v>0</v>
      </c>
      <c r="Q472" s="200">
        <v>0</v>
      </c>
      <c r="R472" s="201">
        <v>4</v>
      </c>
      <c r="S472" s="202">
        <v>0</v>
      </c>
      <c r="T472" s="203">
        <f t="shared" si="48"/>
        <v>100.5</v>
      </c>
      <c r="U472" s="204">
        <v>37.700000000000003</v>
      </c>
      <c r="V472" s="204">
        <f t="shared" si="49"/>
        <v>0</v>
      </c>
      <c r="W472" s="204">
        <f t="shared" si="50"/>
        <v>8</v>
      </c>
      <c r="X472" s="205">
        <f t="shared" si="51"/>
        <v>0</v>
      </c>
      <c r="Y472" s="206">
        <f t="shared" si="52"/>
        <v>146</v>
      </c>
      <c r="Z472" s="138">
        <f t="shared" si="47"/>
        <v>146</v>
      </c>
    </row>
    <row r="473" spans="1:26" x14ac:dyDescent="0.25">
      <c r="A473" s="127" t="s">
        <v>1428</v>
      </c>
      <c r="B473" s="127" t="s">
        <v>79</v>
      </c>
      <c r="C473" s="127" t="s">
        <v>1467</v>
      </c>
      <c r="D473" s="127">
        <v>35541016</v>
      </c>
      <c r="E473" s="31" t="s">
        <v>1468</v>
      </c>
      <c r="F473" s="127">
        <v>162141</v>
      </c>
      <c r="G473" s="119" t="s">
        <v>100</v>
      </c>
      <c r="H473" s="31" t="s">
        <v>1437</v>
      </c>
      <c r="I473" s="120" t="s">
        <v>1476</v>
      </c>
      <c r="J473" s="200">
        <v>11</v>
      </c>
      <c r="K473" s="201">
        <v>0</v>
      </c>
      <c r="L473" s="201">
        <v>12</v>
      </c>
      <c r="M473" s="201">
        <v>0</v>
      </c>
      <c r="N473" s="201">
        <v>0</v>
      </c>
      <c r="O473" s="201">
        <v>0</v>
      </c>
      <c r="P473" s="202">
        <v>0</v>
      </c>
      <c r="Q473" s="200">
        <v>0</v>
      </c>
      <c r="R473" s="201">
        <v>32</v>
      </c>
      <c r="S473" s="202">
        <v>1</v>
      </c>
      <c r="T473" s="203">
        <f t="shared" si="48"/>
        <v>402</v>
      </c>
      <c r="U473" s="204">
        <v>0</v>
      </c>
      <c r="V473" s="204">
        <f t="shared" si="49"/>
        <v>0</v>
      </c>
      <c r="W473" s="204">
        <f t="shared" si="50"/>
        <v>64</v>
      </c>
      <c r="X473" s="205">
        <f t="shared" si="51"/>
        <v>1.5</v>
      </c>
      <c r="Y473" s="206">
        <f t="shared" si="52"/>
        <v>468</v>
      </c>
      <c r="Z473" s="138">
        <f t="shared" si="47"/>
        <v>468</v>
      </c>
    </row>
    <row r="474" spans="1:26" x14ac:dyDescent="0.25">
      <c r="A474" s="30" t="s">
        <v>1428</v>
      </c>
      <c r="B474" s="30" t="s">
        <v>79</v>
      </c>
      <c r="C474" s="30" t="s">
        <v>1467</v>
      </c>
      <c r="D474" s="30">
        <v>35541016</v>
      </c>
      <c r="E474" s="31" t="s">
        <v>1468</v>
      </c>
      <c r="F474" s="30">
        <v>161756</v>
      </c>
      <c r="G474" s="119" t="s">
        <v>88</v>
      </c>
      <c r="H474" s="31" t="s">
        <v>1437</v>
      </c>
      <c r="I474" s="120" t="s">
        <v>1477</v>
      </c>
      <c r="J474" s="200">
        <v>10</v>
      </c>
      <c r="K474" s="201">
        <v>0</v>
      </c>
      <c r="L474" s="201">
        <v>11</v>
      </c>
      <c r="M474" s="201">
        <v>0</v>
      </c>
      <c r="N474" s="201">
        <v>0</v>
      </c>
      <c r="O474" s="201">
        <v>0</v>
      </c>
      <c r="P474" s="202">
        <v>0</v>
      </c>
      <c r="Q474" s="200">
        <v>0</v>
      </c>
      <c r="R474" s="201">
        <v>34</v>
      </c>
      <c r="S474" s="202">
        <v>0</v>
      </c>
      <c r="T474" s="203">
        <f t="shared" si="48"/>
        <v>368.5</v>
      </c>
      <c r="U474" s="204">
        <v>20</v>
      </c>
      <c r="V474" s="204">
        <f t="shared" si="49"/>
        <v>0</v>
      </c>
      <c r="W474" s="204">
        <f t="shared" si="50"/>
        <v>68</v>
      </c>
      <c r="X474" s="205">
        <f t="shared" si="51"/>
        <v>0</v>
      </c>
      <c r="Y474" s="206">
        <f t="shared" si="52"/>
        <v>457</v>
      </c>
      <c r="Z474" s="138">
        <f t="shared" si="47"/>
        <v>457</v>
      </c>
    </row>
    <row r="475" spans="1:26" x14ac:dyDescent="0.25">
      <c r="A475" s="30" t="s">
        <v>1428</v>
      </c>
      <c r="B475" s="30" t="s">
        <v>79</v>
      </c>
      <c r="C475" s="30" t="s">
        <v>1467</v>
      </c>
      <c r="D475" s="30">
        <v>35541016</v>
      </c>
      <c r="E475" s="31" t="s">
        <v>1468</v>
      </c>
      <c r="F475" s="30">
        <v>160989</v>
      </c>
      <c r="G475" s="119" t="s">
        <v>49</v>
      </c>
      <c r="H475" s="31" t="s">
        <v>214</v>
      </c>
      <c r="I475" s="120" t="s">
        <v>1478</v>
      </c>
      <c r="J475" s="200">
        <v>8</v>
      </c>
      <c r="K475" s="201">
        <v>0</v>
      </c>
      <c r="L475" s="201">
        <v>9</v>
      </c>
      <c r="M475" s="201">
        <v>0</v>
      </c>
      <c r="N475" s="201">
        <v>0</v>
      </c>
      <c r="O475" s="201">
        <v>0</v>
      </c>
      <c r="P475" s="202">
        <v>0</v>
      </c>
      <c r="Q475" s="200">
        <v>0</v>
      </c>
      <c r="R475" s="201">
        <v>16</v>
      </c>
      <c r="S475" s="202">
        <v>10</v>
      </c>
      <c r="T475" s="203">
        <f t="shared" si="48"/>
        <v>301.5</v>
      </c>
      <c r="U475" s="204">
        <v>0</v>
      </c>
      <c r="V475" s="204">
        <f t="shared" si="49"/>
        <v>0</v>
      </c>
      <c r="W475" s="204">
        <f t="shared" si="50"/>
        <v>32</v>
      </c>
      <c r="X475" s="205">
        <f t="shared" si="51"/>
        <v>15</v>
      </c>
      <c r="Y475" s="206">
        <f t="shared" si="52"/>
        <v>349</v>
      </c>
      <c r="Z475" s="138">
        <f t="shared" si="47"/>
        <v>349</v>
      </c>
    </row>
    <row r="476" spans="1:26" ht="38.25" x14ac:dyDescent="0.25">
      <c r="A476" s="30" t="s">
        <v>1428</v>
      </c>
      <c r="B476" s="30" t="s">
        <v>79</v>
      </c>
      <c r="C476" s="30" t="s">
        <v>1467</v>
      </c>
      <c r="D476" s="30">
        <v>35541016</v>
      </c>
      <c r="E476" s="31" t="s">
        <v>1468</v>
      </c>
      <c r="F476" s="30">
        <v>161004</v>
      </c>
      <c r="G476" s="119" t="s">
        <v>1480</v>
      </c>
      <c r="H476" s="31" t="s">
        <v>214</v>
      </c>
      <c r="I476" s="120" t="s">
        <v>1481</v>
      </c>
      <c r="J476" s="200">
        <v>3</v>
      </c>
      <c r="K476" s="201">
        <v>0</v>
      </c>
      <c r="L476" s="201">
        <v>10</v>
      </c>
      <c r="M476" s="201">
        <v>0</v>
      </c>
      <c r="N476" s="201">
        <v>0</v>
      </c>
      <c r="O476" s="201">
        <v>0</v>
      </c>
      <c r="P476" s="202">
        <v>0</v>
      </c>
      <c r="Q476" s="200">
        <v>0</v>
      </c>
      <c r="R476" s="201">
        <v>12</v>
      </c>
      <c r="S476" s="202">
        <v>6</v>
      </c>
      <c r="T476" s="203">
        <f t="shared" si="48"/>
        <v>335</v>
      </c>
      <c r="U476" s="204">
        <v>0</v>
      </c>
      <c r="V476" s="204">
        <f t="shared" si="49"/>
        <v>0</v>
      </c>
      <c r="W476" s="204">
        <f t="shared" si="50"/>
        <v>24</v>
      </c>
      <c r="X476" s="205">
        <f t="shared" si="51"/>
        <v>9</v>
      </c>
      <c r="Y476" s="206">
        <f t="shared" si="52"/>
        <v>368</v>
      </c>
      <c r="Z476" s="138">
        <f t="shared" si="47"/>
        <v>368</v>
      </c>
    </row>
    <row r="477" spans="1:26" x14ac:dyDescent="0.25">
      <c r="A477" s="30" t="s">
        <v>1428</v>
      </c>
      <c r="B477" s="30" t="s">
        <v>79</v>
      </c>
      <c r="C477" s="30" t="s">
        <v>1467</v>
      </c>
      <c r="D477" s="30">
        <v>35541016</v>
      </c>
      <c r="E477" s="31" t="s">
        <v>1468</v>
      </c>
      <c r="F477" s="30">
        <v>162761</v>
      </c>
      <c r="G477" s="119" t="s">
        <v>86</v>
      </c>
      <c r="H477" s="31" t="s">
        <v>214</v>
      </c>
      <c r="I477" s="120" t="s">
        <v>1482</v>
      </c>
      <c r="J477" s="200">
        <v>1</v>
      </c>
      <c r="K477" s="201">
        <v>0</v>
      </c>
      <c r="L477" s="201">
        <v>1</v>
      </c>
      <c r="M477" s="201">
        <v>0</v>
      </c>
      <c r="N477" s="201">
        <v>0</v>
      </c>
      <c r="O477" s="201">
        <v>0</v>
      </c>
      <c r="P477" s="202">
        <v>0</v>
      </c>
      <c r="Q477" s="200">
        <v>0</v>
      </c>
      <c r="R477" s="201">
        <v>1</v>
      </c>
      <c r="S477" s="202">
        <v>0</v>
      </c>
      <c r="T477" s="203">
        <f t="shared" si="48"/>
        <v>33.5</v>
      </c>
      <c r="U477" s="204">
        <v>0</v>
      </c>
      <c r="V477" s="204">
        <f t="shared" si="49"/>
        <v>0</v>
      </c>
      <c r="W477" s="204">
        <f t="shared" si="50"/>
        <v>2</v>
      </c>
      <c r="X477" s="205">
        <f t="shared" si="51"/>
        <v>0</v>
      </c>
      <c r="Y477" s="206">
        <f t="shared" si="52"/>
        <v>36</v>
      </c>
      <c r="Z477" s="138">
        <f t="shared" si="47"/>
        <v>36</v>
      </c>
    </row>
    <row r="478" spans="1:26" ht="38.25" x14ac:dyDescent="0.25">
      <c r="A478" s="30" t="s">
        <v>1428</v>
      </c>
      <c r="B478" s="30" t="s">
        <v>79</v>
      </c>
      <c r="C478" s="30" t="s">
        <v>1467</v>
      </c>
      <c r="D478" s="30">
        <v>35541016</v>
      </c>
      <c r="E478" s="31" t="s">
        <v>1468</v>
      </c>
      <c r="F478" s="30">
        <v>161781</v>
      </c>
      <c r="G478" s="119" t="s">
        <v>1485</v>
      </c>
      <c r="H478" s="31" t="s">
        <v>214</v>
      </c>
      <c r="I478" s="120" t="s">
        <v>1486</v>
      </c>
      <c r="J478" s="200">
        <v>4</v>
      </c>
      <c r="K478" s="201">
        <v>0</v>
      </c>
      <c r="L478" s="201">
        <v>5</v>
      </c>
      <c r="M478" s="201">
        <v>0</v>
      </c>
      <c r="N478" s="201">
        <v>0</v>
      </c>
      <c r="O478" s="201">
        <v>0</v>
      </c>
      <c r="P478" s="202">
        <v>1</v>
      </c>
      <c r="Q478" s="200">
        <v>0</v>
      </c>
      <c r="R478" s="201">
        <v>7</v>
      </c>
      <c r="S478" s="202">
        <v>4</v>
      </c>
      <c r="T478" s="203">
        <f t="shared" si="48"/>
        <v>167.5</v>
      </c>
      <c r="U478" s="204">
        <v>20.2</v>
      </c>
      <c r="V478" s="204">
        <f t="shared" si="49"/>
        <v>0</v>
      </c>
      <c r="W478" s="204">
        <f t="shared" si="50"/>
        <v>14</v>
      </c>
      <c r="X478" s="205">
        <f t="shared" si="51"/>
        <v>33</v>
      </c>
      <c r="Y478" s="206">
        <f t="shared" si="52"/>
        <v>235</v>
      </c>
      <c r="Z478" s="138">
        <f t="shared" si="47"/>
        <v>235</v>
      </c>
    </row>
    <row r="479" spans="1:26" x14ac:dyDescent="0.25">
      <c r="A479" s="30" t="s">
        <v>1428</v>
      </c>
      <c r="B479" s="30" t="s">
        <v>79</v>
      </c>
      <c r="C479" s="30" t="s">
        <v>1467</v>
      </c>
      <c r="D479" s="30">
        <v>35541016</v>
      </c>
      <c r="E479" s="31" t="s">
        <v>1468</v>
      </c>
      <c r="F479" s="30">
        <v>161730</v>
      </c>
      <c r="G479" s="119" t="s">
        <v>114</v>
      </c>
      <c r="H479" s="31" t="s">
        <v>214</v>
      </c>
      <c r="I479" s="120" t="s">
        <v>1487</v>
      </c>
      <c r="J479" s="200">
        <v>5</v>
      </c>
      <c r="K479" s="201">
        <v>0</v>
      </c>
      <c r="L479" s="201">
        <v>6</v>
      </c>
      <c r="M479" s="201">
        <v>0</v>
      </c>
      <c r="N479" s="201">
        <v>0</v>
      </c>
      <c r="O479" s="201">
        <v>1</v>
      </c>
      <c r="P479" s="202">
        <v>0</v>
      </c>
      <c r="Q479" s="200">
        <v>0</v>
      </c>
      <c r="R479" s="201">
        <v>6</v>
      </c>
      <c r="S479" s="202">
        <v>10</v>
      </c>
      <c r="T479" s="203">
        <f t="shared" si="48"/>
        <v>201</v>
      </c>
      <c r="U479" s="204">
        <v>0</v>
      </c>
      <c r="V479" s="204">
        <f t="shared" si="49"/>
        <v>0</v>
      </c>
      <c r="W479" s="204">
        <f t="shared" si="50"/>
        <v>25.5</v>
      </c>
      <c r="X479" s="205">
        <f t="shared" si="51"/>
        <v>15</v>
      </c>
      <c r="Y479" s="206">
        <f t="shared" si="52"/>
        <v>242</v>
      </c>
      <c r="Z479" s="138">
        <f t="shared" si="47"/>
        <v>242</v>
      </c>
    </row>
    <row r="480" spans="1:26" x14ac:dyDescent="0.25">
      <c r="A480" s="30" t="s">
        <v>1428</v>
      </c>
      <c r="B480" s="30" t="s">
        <v>79</v>
      </c>
      <c r="C480" s="30" t="s">
        <v>1467</v>
      </c>
      <c r="D480" s="30">
        <v>35541016</v>
      </c>
      <c r="E480" s="31" t="s">
        <v>1468</v>
      </c>
      <c r="F480" s="30">
        <v>161772</v>
      </c>
      <c r="G480" s="119" t="s">
        <v>90</v>
      </c>
      <c r="H480" s="31" t="s">
        <v>214</v>
      </c>
      <c r="I480" s="120" t="s">
        <v>1489</v>
      </c>
      <c r="J480" s="200">
        <v>3</v>
      </c>
      <c r="K480" s="201">
        <v>0</v>
      </c>
      <c r="L480" s="201">
        <v>3</v>
      </c>
      <c r="M480" s="201">
        <v>0</v>
      </c>
      <c r="N480" s="201">
        <v>0</v>
      </c>
      <c r="O480" s="201">
        <v>0</v>
      </c>
      <c r="P480" s="202">
        <v>0</v>
      </c>
      <c r="Q480" s="200">
        <v>2</v>
      </c>
      <c r="R480" s="201">
        <v>4</v>
      </c>
      <c r="S480" s="202">
        <v>0</v>
      </c>
      <c r="T480" s="203">
        <f t="shared" si="48"/>
        <v>100.5</v>
      </c>
      <c r="U480" s="204">
        <v>0</v>
      </c>
      <c r="V480" s="204">
        <f t="shared" si="49"/>
        <v>3</v>
      </c>
      <c r="W480" s="204">
        <f t="shared" si="50"/>
        <v>8</v>
      </c>
      <c r="X480" s="205">
        <f t="shared" si="51"/>
        <v>0</v>
      </c>
      <c r="Y480" s="206">
        <f t="shared" si="52"/>
        <v>112</v>
      </c>
      <c r="Z480" s="138">
        <f t="shared" si="47"/>
        <v>112</v>
      </c>
    </row>
    <row r="481" spans="1:26" x14ac:dyDescent="0.25">
      <c r="A481" s="30" t="s">
        <v>1428</v>
      </c>
      <c r="B481" s="30" t="s">
        <v>79</v>
      </c>
      <c r="C481" s="30" t="s">
        <v>1467</v>
      </c>
      <c r="D481" s="30">
        <v>35541016</v>
      </c>
      <c r="E481" s="31" t="s">
        <v>1468</v>
      </c>
      <c r="F481" s="30">
        <v>606766</v>
      </c>
      <c r="G481" s="119" t="s">
        <v>117</v>
      </c>
      <c r="H481" s="31" t="s">
        <v>214</v>
      </c>
      <c r="I481" s="120" t="s">
        <v>1490</v>
      </c>
      <c r="J481" s="200">
        <v>3</v>
      </c>
      <c r="K481" s="201">
        <v>5</v>
      </c>
      <c r="L481" s="201">
        <v>3</v>
      </c>
      <c r="M481" s="201">
        <v>6</v>
      </c>
      <c r="N481" s="201">
        <v>0</v>
      </c>
      <c r="O481" s="201">
        <v>0</v>
      </c>
      <c r="P481" s="202">
        <v>0</v>
      </c>
      <c r="Q481" s="200">
        <v>17</v>
      </c>
      <c r="R481" s="201">
        <v>3</v>
      </c>
      <c r="S481" s="202">
        <v>4</v>
      </c>
      <c r="T481" s="203">
        <f t="shared" si="48"/>
        <v>100.5</v>
      </c>
      <c r="U481" s="204">
        <v>17.5</v>
      </c>
      <c r="V481" s="204">
        <f t="shared" si="49"/>
        <v>25.5</v>
      </c>
      <c r="W481" s="204">
        <f t="shared" si="50"/>
        <v>6</v>
      </c>
      <c r="X481" s="205">
        <f t="shared" si="51"/>
        <v>6</v>
      </c>
      <c r="Y481" s="206">
        <f t="shared" si="52"/>
        <v>156</v>
      </c>
      <c r="Z481" s="138">
        <f t="shared" si="47"/>
        <v>156</v>
      </c>
    </row>
    <row r="482" spans="1:26" x14ac:dyDescent="0.25">
      <c r="A482" s="30" t="s">
        <v>1428</v>
      </c>
      <c r="B482" s="30" t="s">
        <v>79</v>
      </c>
      <c r="C482" s="30" t="s">
        <v>1467</v>
      </c>
      <c r="D482" s="30">
        <v>35541016</v>
      </c>
      <c r="E482" s="31" t="s">
        <v>1468</v>
      </c>
      <c r="F482" s="30">
        <v>133132</v>
      </c>
      <c r="G482" s="119" t="s">
        <v>119</v>
      </c>
      <c r="H482" s="31" t="s">
        <v>214</v>
      </c>
      <c r="I482" s="120" t="s">
        <v>1491</v>
      </c>
      <c r="J482" s="200">
        <v>2</v>
      </c>
      <c r="K482" s="201">
        <v>0</v>
      </c>
      <c r="L482" s="201">
        <v>2</v>
      </c>
      <c r="M482" s="201">
        <v>0</v>
      </c>
      <c r="N482" s="201">
        <v>0</v>
      </c>
      <c r="O482" s="201">
        <v>0</v>
      </c>
      <c r="P482" s="202">
        <v>0</v>
      </c>
      <c r="Q482" s="200">
        <v>0</v>
      </c>
      <c r="R482" s="201">
        <v>4</v>
      </c>
      <c r="S482" s="202">
        <v>0</v>
      </c>
      <c r="T482" s="203">
        <f t="shared" si="48"/>
        <v>67</v>
      </c>
      <c r="U482" s="204">
        <v>25.4</v>
      </c>
      <c r="V482" s="204">
        <f t="shared" si="49"/>
        <v>0</v>
      </c>
      <c r="W482" s="204">
        <f t="shared" si="50"/>
        <v>8</v>
      </c>
      <c r="X482" s="205">
        <f t="shared" si="51"/>
        <v>0</v>
      </c>
      <c r="Y482" s="206">
        <f t="shared" si="52"/>
        <v>100</v>
      </c>
      <c r="Z482" s="138">
        <f t="shared" si="47"/>
        <v>100</v>
      </c>
    </row>
    <row r="483" spans="1:26" x14ac:dyDescent="0.25">
      <c r="A483" s="30" t="s">
        <v>1428</v>
      </c>
      <c r="B483" s="30" t="s">
        <v>79</v>
      </c>
      <c r="C483" s="30" t="s">
        <v>1467</v>
      </c>
      <c r="D483" s="30">
        <v>35541016</v>
      </c>
      <c r="E483" s="31" t="s">
        <v>1468</v>
      </c>
      <c r="F483" s="30">
        <v>17050367</v>
      </c>
      <c r="G483" s="119" t="s">
        <v>1492</v>
      </c>
      <c r="H483" s="31" t="s">
        <v>1493</v>
      </c>
      <c r="I483" s="120" t="s">
        <v>1494</v>
      </c>
      <c r="J483" s="200">
        <v>2</v>
      </c>
      <c r="K483" s="201">
        <v>0</v>
      </c>
      <c r="L483" s="201">
        <v>2</v>
      </c>
      <c r="M483" s="201">
        <v>0</v>
      </c>
      <c r="N483" s="201">
        <v>0</v>
      </c>
      <c r="O483" s="201">
        <v>0</v>
      </c>
      <c r="P483" s="202">
        <v>0</v>
      </c>
      <c r="Q483" s="200">
        <v>0</v>
      </c>
      <c r="R483" s="201">
        <v>3</v>
      </c>
      <c r="S483" s="202">
        <v>0</v>
      </c>
      <c r="T483" s="203">
        <f t="shared" si="48"/>
        <v>67</v>
      </c>
      <c r="U483" s="204">
        <v>0</v>
      </c>
      <c r="V483" s="204">
        <f t="shared" si="49"/>
        <v>0</v>
      </c>
      <c r="W483" s="204">
        <f t="shared" si="50"/>
        <v>6</v>
      </c>
      <c r="X483" s="205">
        <f t="shared" si="51"/>
        <v>0</v>
      </c>
      <c r="Y483" s="206">
        <f t="shared" si="52"/>
        <v>73</v>
      </c>
      <c r="Z483" s="138">
        <f t="shared" si="47"/>
        <v>73</v>
      </c>
    </row>
    <row r="484" spans="1:26" x14ac:dyDescent="0.25">
      <c r="A484" s="30" t="s">
        <v>1428</v>
      </c>
      <c r="B484" s="30" t="s">
        <v>79</v>
      </c>
      <c r="C484" s="30" t="s">
        <v>1467</v>
      </c>
      <c r="D484" s="30">
        <v>35541016</v>
      </c>
      <c r="E484" s="31" t="s">
        <v>1468</v>
      </c>
      <c r="F484" s="30">
        <v>398900</v>
      </c>
      <c r="G484" s="119" t="s">
        <v>49</v>
      </c>
      <c r="H484" s="31" t="s">
        <v>1495</v>
      </c>
      <c r="I484" s="120" t="s">
        <v>1496</v>
      </c>
      <c r="J484" s="200">
        <v>12</v>
      </c>
      <c r="K484" s="201">
        <v>0</v>
      </c>
      <c r="L484" s="201">
        <v>18</v>
      </c>
      <c r="M484" s="201">
        <v>0</v>
      </c>
      <c r="N484" s="201">
        <v>0</v>
      </c>
      <c r="O484" s="201">
        <v>0</v>
      </c>
      <c r="P484" s="202">
        <v>0</v>
      </c>
      <c r="Q484" s="200">
        <v>0</v>
      </c>
      <c r="R484" s="201">
        <v>18</v>
      </c>
      <c r="S484" s="202">
        <v>15</v>
      </c>
      <c r="T484" s="203">
        <f t="shared" si="48"/>
        <v>603</v>
      </c>
      <c r="U484" s="204">
        <v>0</v>
      </c>
      <c r="V484" s="204">
        <f t="shared" si="49"/>
        <v>0</v>
      </c>
      <c r="W484" s="204">
        <f t="shared" si="50"/>
        <v>36</v>
      </c>
      <c r="X484" s="205">
        <f t="shared" si="51"/>
        <v>22.5</v>
      </c>
      <c r="Y484" s="206">
        <f t="shared" si="52"/>
        <v>662</v>
      </c>
      <c r="Z484" s="138">
        <f t="shared" si="47"/>
        <v>662</v>
      </c>
    </row>
    <row r="485" spans="1:26" x14ac:dyDescent="0.25">
      <c r="A485" s="30" t="s">
        <v>1428</v>
      </c>
      <c r="B485" s="30" t="s">
        <v>79</v>
      </c>
      <c r="C485" s="30" t="s">
        <v>1467</v>
      </c>
      <c r="D485" s="30">
        <v>35541016</v>
      </c>
      <c r="E485" s="31" t="s">
        <v>1468</v>
      </c>
      <c r="F485" s="30">
        <v>521965</v>
      </c>
      <c r="G485" s="119" t="s">
        <v>615</v>
      </c>
      <c r="H485" s="31" t="s">
        <v>1495</v>
      </c>
      <c r="I485" s="120" t="s">
        <v>1497</v>
      </c>
      <c r="J485" s="200">
        <v>5</v>
      </c>
      <c r="K485" s="201">
        <v>0</v>
      </c>
      <c r="L485" s="201">
        <v>5</v>
      </c>
      <c r="M485" s="201">
        <v>0</v>
      </c>
      <c r="N485" s="201">
        <v>0</v>
      </c>
      <c r="O485" s="201">
        <v>0</v>
      </c>
      <c r="P485" s="202">
        <v>0</v>
      </c>
      <c r="Q485" s="200">
        <v>0</v>
      </c>
      <c r="R485" s="201">
        <v>4</v>
      </c>
      <c r="S485" s="202">
        <v>3</v>
      </c>
      <c r="T485" s="203">
        <f t="shared" si="48"/>
        <v>167.5</v>
      </c>
      <c r="U485" s="204">
        <v>0</v>
      </c>
      <c r="V485" s="204">
        <f t="shared" si="49"/>
        <v>0</v>
      </c>
      <c r="W485" s="204">
        <f t="shared" si="50"/>
        <v>8</v>
      </c>
      <c r="X485" s="205">
        <f t="shared" si="51"/>
        <v>4.5</v>
      </c>
      <c r="Y485" s="206">
        <f t="shared" si="52"/>
        <v>180</v>
      </c>
      <c r="Z485" s="138">
        <f t="shared" si="47"/>
        <v>180</v>
      </c>
    </row>
    <row r="486" spans="1:26" x14ac:dyDescent="0.25">
      <c r="A486" s="30" t="s">
        <v>1428</v>
      </c>
      <c r="B486" s="30" t="s">
        <v>79</v>
      </c>
      <c r="C486" s="30" t="s">
        <v>1467</v>
      </c>
      <c r="D486" s="30">
        <v>35541016</v>
      </c>
      <c r="E486" s="31" t="s">
        <v>1468</v>
      </c>
      <c r="F486" s="30">
        <v>42243262</v>
      </c>
      <c r="G486" s="119" t="s">
        <v>1498</v>
      </c>
      <c r="H486" s="31" t="s">
        <v>1499</v>
      </c>
      <c r="I486" s="120" t="s">
        <v>1500</v>
      </c>
      <c r="J486" s="200">
        <v>4</v>
      </c>
      <c r="K486" s="201">
        <v>0</v>
      </c>
      <c r="L486" s="201">
        <v>4</v>
      </c>
      <c r="M486" s="201">
        <v>0</v>
      </c>
      <c r="N486" s="201">
        <v>0</v>
      </c>
      <c r="O486" s="201">
        <v>0</v>
      </c>
      <c r="P486" s="202">
        <v>0</v>
      </c>
      <c r="Q486" s="200">
        <v>0</v>
      </c>
      <c r="R486" s="201">
        <v>10</v>
      </c>
      <c r="S486" s="202">
        <v>1</v>
      </c>
      <c r="T486" s="203">
        <f t="shared" si="48"/>
        <v>134</v>
      </c>
      <c r="U486" s="204">
        <v>0</v>
      </c>
      <c r="V486" s="204">
        <f t="shared" si="49"/>
        <v>0</v>
      </c>
      <c r="W486" s="204">
        <f t="shared" si="50"/>
        <v>20</v>
      </c>
      <c r="X486" s="205">
        <f t="shared" si="51"/>
        <v>1.5</v>
      </c>
      <c r="Y486" s="206">
        <f t="shared" si="52"/>
        <v>156</v>
      </c>
      <c r="Z486" s="138">
        <f t="shared" si="47"/>
        <v>156</v>
      </c>
    </row>
    <row r="487" spans="1:26" ht="25.5" x14ac:dyDescent="0.25">
      <c r="A487" s="30" t="s">
        <v>1428</v>
      </c>
      <c r="B487" s="30" t="s">
        <v>79</v>
      </c>
      <c r="C487" s="30" t="s">
        <v>1467</v>
      </c>
      <c r="D487" s="30">
        <v>35541016</v>
      </c>
      <c r="E487" s="31" t="s">
        <v>1468</v>
      </c>
      <c r="F487" s="30">
        <v>162574</v>
      </c>
      <c r="G487" s="119" t="s">
        <v>704</v>
      </c>
      <c r="H487" s="31" t="s">
        <v>1501</v>
      </c>
      <c r="I487" s="158" t="s">
        <v>1502</v>
      </c>
      <c r="J487" s="200">
        <v>8</v>
      </c>
      <c r="K487" s="201">
        <v>0</v>
      </c>
      <c r="L487" s="201">
        <v>14</v>
      </c>
      <c r="M487" s="201">
        <v>0</v>
      </c>
      <c r="N487" s="201">
        <v>0</v>
      </c>
      <c r="O487" s="201">
        <v>0</v>
      </c>
      <c r="P487" s="202">
        <v>0</v>
      </c>
      <c r="Q487" s="200">
        <v>0</v>
      </c>
      <c r="R487" s="201">
        <v>18</v>
      </c>
      <c r="S487" s="202">
        <v>39</v>
      </c>
      <c r="T487" s="203">
        <f t="shared" si="48"/>
        <v>469</v>
      </c>
      <c r="U487" s="204">
        <v>80.3</v>
      </c>
      <c r="V487" s="204">
        <f t="shared" si="49"/>
        <v>0</v>
      </c>
      <c r="W487" s="204">
        <f t="shared" si="50"/>
        <v>36</v>
      </c>
      <c r="X487" s="205">
        <f t="shared" si="51"/>
        <v>58.5</v>
      </c>
      <c r="Y487" s="206">
        <f t="shared" si="52"/>
        <v>644</v>
      </c>
      <c r="Z487" s="138">
        <f t="shared" si="47"/>
        <v>644</v>
      </c>
    </row>
    <row r="488" spans="1:26" x14ac:dyDescent="0.25">
      <c r="A488" s="30" t="s">
        <v>1428</v>
      </c>
      <c r="B488" s="30" t="s">
        <v>79</v>
      </c>
      <c r="C488" s="30" t="s">
        <v>1467</v>
      </c>
      <c r="D488" s="30">
        <v>35541016</v>
      </c>
      <c r="E488" s="31" t="s">
        <v>1468</v>
      </c>
      <c r="F488" s="30">
        <v>31946615</v>
      </c>
      <c r="G488" s="119" t="s">
        <v>121</v>
      </c>
      <c r="H488" s="31" t="s">
        <v>1445</v>
      </c>
      <c r="I488" s="120" t="s">
        <v>1504</v>
      </c>
      <c r="J488" s="200">
        <v>5</v>
      </c>
      <c r="K488" s="201">
        <v>0</v>
      </c>
      <c r="L488" s="201">
        <v>10</v>
      </c>
      <c r="M488" s="201">
        <v>0</v>
      </c>
      <c r="N488" s="201">
        <v>0</v>
      </c>
      <c r="O488" s="201">
        <v>0</v>
      </c>
      <c r="P488" s="202">
        <v>0</v>
      </c>
      <c r="Q488" s="200">
        <v>0</v>
      </c>
      <c r="R488" s="201">
        <v>15</v>
      </c>
      <c r="S488" s="202">
        <v>21</v>
      </c>
      <c r="T488" s="203">
        <f t="shared" si="48"/>
        <v>335</v>
      </c>
      <c r="U488" s="204">
        <v>0</v>
      </c>
      <c r="V488" s="204">
        <f t="shared" si="49"/>
        <v>0</v>
      </c>
      <c r="W488" s="204">
        <f t="shared" si="50"/>
        <v>30</v>
      </c>
      <c r="X488" s="205">
        <f t="shared" si="51"/>
        <v>31.5</v>
      </c>
      <c r="Y488" s="206">
        <f t="shared" si="52"/>
        <v>397</v>
      </c>
      <c r="Z488" s="138">
        <f t="shared" si="47"/>
        <v>397</v>
      </c>
    </row>
    <row r="489" spans="1:26" x14ac:dyDescent="0.25">
      <c r="A489" s="30" t="s">
        <v>1428</v>
      </c>
      <c r="B489" s="30" t="s">
        <v>79</v>
      </c>
      <c r="C489" s="30" t="s">
        <v>1467</v>
      </c>
      <c r="D489" s="30">
        <v>35541016</v>
      </c>
      <c r="E489" s="31" t="s">
        <v>1468</v>
      </c>
      <c r="F489" s="30">
        <v>17078407</v>
      </c>
      <c r="G489" s="119" t="s">
        <v>442</v>
      </c>
      <c r="H489" s="31" t="s">
        <v>1445</v>
      </c>
      <c r="I489" s="120" t="s">
        <v>1505</v>
      </c>
      <c r="J489" s="200">
        <v>3</v>
      </c>
      <c r="K489" s="201">
        <v>0</v>
      </c>
      <c r="L489" s="201">
        <v>3</v>
      </c>
      <c r="M489" s="201">
        <v>0</v>
      </c>
      <c r="N489" s="201">
        <v>0</v>
      </c>
      <c r="O489" s="201">
        <v>0</v>
      </c>
      <c r="P489" s="202">
        <v>0</v>
      </c>
      <c r="Q489" s="200">
        <v>0</v>
      </c>
      <c r="R489" s="201">
        <v>9</v>
      </c>
      <c r="S489" s="202">
        <v>0</v>
      </c>
      <c r="T489" s="203">
        <f t="shared" si="48"/>
        <v>100.5</v>
      </c>
      <c r="U489" s="204">
        <v>0</v>
      </c>
      <c r="V489" s="204">
        <f t="shared" si="49"/>
        <v>0</v>
      </c>
      <c r="W489" s="204">
        <f t="shared" si="50"/>
        <v>18</v>
      </c>
      <c r="X489" s="205">
        <f t="shared" si="51"/>
        <v>0</v>
      </c>
      <c r="Y489" s="206">
        <f t="shared" si="52"/>
        <v>119</v>
      </c>
      <c r="Z489" s="138">
        <f t="shared" si="47"/>
        <v>119</v>
      </c>
    </row>
    <row r="490" spans="1:26" x14ac:dyDescent="0.25">
      <c r="A490" s="30" t="s">
        <v>1428</v>
      </c>
      <c r="B490" s="30" t="s">
        <v>79</v>
      </c>
      <c r="C490" s="30" t="s">
        <v>1467</v>
      </c>
      <c r="D490" s="30">
        <v>35541016</v>
      </c>
      <c r="E490" s="31" t="s">
        <v>1468</v>
      </c>
      <c r="F490" s="30">
        <v>17078423</v>
      </c>
      <c r="G490" s="119" t="s">
        <v>124</v>
      </c>
      <c r="H490" s="31" t="s">
        <v>1445</v>
      </c>
      <c r="I490" s="120" t="s">
        <v>1506</v>
      </c>
      <c r="J490" s="200">
        <v>2</v>
      </c>
      <c r="K490" s="201">
        <v>0</v>
      </c>
      <c r="L490" s="201">
        <v>2</v>
      </c>
      <c r="M490" s="201">
        <v>0</v>
      </c>
      <c r="N490" s="201">
        <v>0</v>
      </c>
      <c r="O490" s="201">
        <v>0</v>
      </c>
      <c r="P490" s="202">
        <v>0</v>
      </c>
      <c r="Q490" s="200">
        <v>0</v>
      </c>
      <c r="R490" s="201">
        <v>0</v>
      </c>
      <c r="S490" s="202">
        <v>8</v>
      </c>
      <c r="T490" s="203">
        <f t="shared" si="48"/>
        <v>67</v>
      </c>
      <c r="U490" s="204">
        <v>0</v>
      </c>
      <c r="V490" s="204">
        <f t="shared" si="49"/>
        <v>0</v>
      </c>
      <c r="W490" s="204">
        <f t="shared" si="50"/>
        <v>0</v>
      </c>
      <c r="X490" s="205">
        <f t="shared" si="51"/>
        <v>12</v>
      </c>
      <c r="Y490" s="206">
        <f t="shared" si="52"/>
        <v>79</v>
      </c>
      <c r="Z490" s="138">
        <f t="shared" si="47"/>
        <v>79</v>
      </c>
    </row>
    <row r="491" spans="1:26" x14ac:dyDescent="0.25">
      <c r="A491" s="30" t="s">
        <v>1428</v>
      </c>
      <c r="B491" s="30" t="s">
        <v>79</v>
      </c>
      <c r="C491" s="30" t="s">
        <v>1467</v>
      </c>
      <c r="D491" s="30">
        <v>35541016</v>
      </c>
      <c r="E491" s="31" t="s">
        <v>1468</v>
      </c>
      <c r="F491" s="30">
        <v>893331</v>
      </c>
      <c r="G491" s="119" t="s">
        <v>134</v>
      </c>
      <c r="H491" s="31" t="s">
        <v>1445</v>
      </c>
      <c r="I491" s="120" t="s">
        <v>1507</v>
      </c>
      <c r="J491" s="200">
        <v>7</v>
      </c>
      <c r="K491" s="201">
        <v>0</v>
      </c>
      <c r="L491" s="201">
        <v>7</v>
      </c>
      <c r="M491" s="201">
        <v>0</v>
      </c>
      <c r="N491" s="201">
        <v>0</v>
      </c>
      <c r="O491" s="201">
        <v>0</v>
      </c>
      <c r="P491" s="202">
        <v>0</v>
      </c>
      <c r="Q491" s="200">
        <v>0</v>
      </c>
      <c r="R491" s="201">
        <v>9</v>
      </c>
      <c r="S491" s="202">
        <v>0</v>
      </c>
      <c r="T491" s="203">
        <f t="shared" si="48"/>
        <v>234.5</v>
      </c>
      <c r="U491" s="204">
        <v>7.3</v>
      </c>
      <c r="V491" s="204">
        <f t="shared" si="49"/>
        <v>0</v>
      </c>
      <c r="W491" s="204">
        <f t="shared" si="50"/>
        <v>18</v>
      </c>
      <c r="X491" s="205">
        <f t="shared" si="51"/>
        <v>0</v>
      </c>
      <c r="Y491" s="206">
        <f t="shared" si="52"/>
        <v>260</v>
      </c>
      <c r="Z491" s="138">
        <f t="shared" si="47"/>
        <v>260</v>
      </c>
    </row>
    <row r="492" spans="1:26" ht="25.5" x14ac:dyDescent="0.25">
      <c r="A492" s="30" t="s">
        <v>1428</v>
      </c>
      <c r="B492" s="30" t="s">
        <v>79</v>
      </c>
      <c r="C492" s="30" t="s">
        <v>1467</v>
      </c>
      <c r="D492" s="30">
        <v>35541016</v>
      </c>
      <c r="E492" s="31" t="s">
        <v>1468</v>
      </c>
      <c r="F492" s="30">
        <v>159433</v>
      </c>
      <c r="G492" s="119" t="s">
        <v>446</v>
      </c>
      <c r="H492" s="31" t="s">
        <v>1445</v>
      </c>
      <c r="I492" s="120" t="s">
        <v>1508</v>
      </c>
      <c r="J492" s="200">
        <v>2</v>
      </c>
      <c r="K492" s="201">
        <v>0</v>
      </c>
      <c r="L492" s="201">
        <v>2</v>
      </c>
      <c r="M492" s="201">
        <v>0</v>
      </c>
      <c r="N492" s="201">
        <v>0</v>
      </c>
      <c r="O492" s="201">
        <v>0</v>
      </c>
      <c r="P492" s="202">
        <v>0</v>
      </c>
      <c r="Q492" s="200">
        <v>0</v>
      </c>
      <c r="R492" s="201">
        <v>2</v>
      </c>
      <c r="S492" s="202">
        <v>0</v>
      </c>
      <c r="T492" s="203">
        <f t="shared" si="48"/>
        <v>67</v>
      </c>
      <c r="U492" s="204">
        <v>0</v>
      </c>
      <c r="V492" s="204">
        <f t="shared" si="49"/>
        <v>0</v>
      </c>
      <c r="W492" s="204">
        <f t="shared" si="50"/>
        <v>4</v>
      </c>
      <c r="X492" s="205">
        <f t="shared" si="51"/>
        <v>0</v>
      </c>
      <c r="Y492" s="206">
        <f t="shared" si="52"/>
        <v>71</v>
      </c>
      <c r="Z492" s="138">
        <f t="shared" si="47"/>
        <v>71</v>
      </c>
    </row>
    <row r="493" spans="1:26" x14ac:dyDescent="0.25">
      <c r="A493" s="30" t="s">
        <v>1428</v>
      </c>
      <c r="B493" s="30" t="s">
        <v>79</v>
      </c>
      <c r="C493" s="30" t="s">
        <v>1467</v>
      </c>
      <c r="D493" s="30">
        <v>35541016</v>
      </c>
      <c r="E493" s="31" t="s">
        <v>1468</v>
      </c>
      <c r="F493" s="30">
        <v>893340</v>
      </c>
      <c r="G493" s="119" t="s">
        <v>154</v>
      </c>
      <c r="H493" s="31" t="s">
        <v>1445</v>
      </c>
      <c r="I493" s="120" t="s">
        <v>1508</v>
      </c>
      <c r="J493" s="200">
        <v>5</v>
      </c>
      <c r="K493" s="201">
        <v>0</v>
      </c>
      <c r="L493" s="201">
        <v>6</v>
      </c>
      <c r="M493" s="201">
        <v>0</v>
      </c>
      <c r="N493" s="201">
        <v>0</v>
      </c>
      <c r="O493" s="201">
        <v>0</v>
      </c>
      <c r="P493" s="202">
        <v>0</v>
      </c>
      <c r="Q493" s="200">
        <v>0</v>
      </c>
      <c r="R493" s="201">
        <v>17</v>
      </c>
      <c r="S493" s="202">
        <v>3</v>
      </c>
      <c r="T493" s="203">
        <f t="shared" si="48"/>
        <v>201</v>
      </c>
      <c r="U493" s="204">
        <v>0</v>
      </c>
      <c r="V493" s="204">
        <f t="shared" si="49"/>
        <v>0</v>
      </c>
      <c r="W493" s="204">
        <f t="shared" si="50"/>
        <v>34</v>
      </c>
      <c r="X493" s="205">
        <f t="shared" si="51"/>
        <v>4.5</v>
      </c>
      <c r="Y493" s="206">
        <f t="shared" si="52"/>
        <v>240</v>
      </c>
      <c r="Z493" s="138">
        <f t="shared" si="47"/>
        <v>240</v>
      </c>
    </row>
    <row r="494" spans="1:26" x14ac:dyDescent="0.25">
      <c r="A494" s="30" t="s">
        <v>1428</v>
      </c>
      <c r="B494" s="30" t="s">
        <v>79</v>
      </c>
      <c r="C494" s="30" t="s">
        <v>1467</v>
      </c>
      <c r="D494" s="30">
        <v>35541016</v>
      </c>
      <c r="E494" s="31" t="s">
        <v>1468</v>
      </c>
      <c r="F494" s="30">
        <v>606758</v>
      </c>
      <c r="G494" s="119" t="s">
        <v>117</v>
      </c>
      <c r="H494" s="31" t="s">
        <v>1445</v>
      </c>
      <c r="I494" s="120" t="s">
        <v>1509</v>
      </c>
      <c r="J494" s="200">
        <v>1</v>
      </c>
      <c r="K494" s="201">
        <v>0</v>
      </c>
      <c r="L494" s="201">
        <v>1</v>
      </c>
      <c r="M494" s="201">
        <v>0</v>
      </c>
      <c r="N494" s="201">
        <v>0</v>
      </c>
      <c r="O494" s="201">
        <v>0</v>
      </c>
      <c r="P494" s="202">
        <v>0</v>
      </c>
      <c r="Q494" s="200">
        <v>0</v>
      </c>
      <c r="R494" s="201">
        <v>2</v>
      </c>
      <c r="S494" s="202">
        <v>0</v>
      </c>
      <c r="T494" s="203">
        <f t="shared" si="48"/>
        <v>33.5</v>
      </c>
      <c r="U494" s="204">
        <v>17.899999999999999</v>
      </c>
      <c r="V494" s="204">
        <f t="shared" si="49"/>
        <v>0</v>
      </c>
      <c r="W494" s="204">
        <f t="shared" si="50"/>
        <v>4</v>
      </c>
      <c r="X494" s="205">
        <f t="shared" si="51"/>
        <v>0</v>
      </c>
      <c r="Y494" s="206">
        <f t="shared" si="52"/>
        <v>55</v>
      </c>
      <c r="Z494" s="138">
        <f t="shared" si="47"/>
        <v>55</v>
      </c>
    </row>
    <row r="495" spans="1:26" x14ac:dyDescent="0.25">
      <c r="A495" s="30" t="s">
        <v>1428</v>
      </c>
      <c r="B495" s="30" t="s">
        <v>79</v>
      </c>
      <c r="C495" s="30" t="s">
        <v>1467</v>
      </c>
      <c r="D495" s="30">
        <v>35541016</v>
      </c>
      <c r="E495" s="31" t="s">
        <v>1468</v>
      </c>
      <c r="F495" s="30">
        <v>31956688</v>
      </c>
      <c r="G495" s="119" t="s">
        <v>100</v>
      </c>
      <c r="H495" s="31" t="s">
        <v>1510</v>
      </c>
      <c r="I495" s="120" t="s">
        <v>1511</v>
      </c>
      <c r="J495" s="200">
        <v>3</v>
      </c>
      <c r="K495" s="201">
        <v>0</v>
      </c>
      <c r="L495" s="201">
        <v>4</v>
      </c>
      <c r="M495" s="201">
        <v>0</v>
      </c>
      <c r="N495" s="201">
        <v>0</v>
      </c>
      <c r="O495" s="201">
        <v>1</v>
      </c>
      <c r="P495" s="202">
        <v>1</v>
      </c>
      <c r="Q495" s="200">
        <v>0</v>
      </c>
      <c r="R495" s="201">
        <v>13</v>
      </c>
      <c r="S495" s="202">
        <v>10</v>
      </c>
      <c r="T495" s="203">
        <f t="shared" si="48"/>
        <v>134</v>
      </c>
      <c r="U495" s="204">
        <v>0</v>
      </c>
      <c r="V495" s="204">
        <f t="shared" si="49"/>
        <v>0</v>
      </c>
      <c r="W495" s="204">
        <f t="shared" si="50"/>
        <v>39.5</v>
      </c>
      <c r="X495" s="205">
        <f t="shared" si="51"/>
        <v>42</v>
      </c>
      <c r="Y495" s="206">
        <f t="shared" si="52"/>
        <v>216</v>
      </c>
      <c r="Z495" s="138">
        <f t="shared" si="47"/>
        <v>216</v>
      </c>
    </row>
    <row r="496" spans="1:26" x14ac:dyDescent="0.25">
      <c r="A496" s="30" t="s">
        <v>1428</v>
      </c>
      <c r="B496" s="30" t="s">
        <v>79</v>
      </c>
      <c r="C496" s="30" t="s">
        <v>1467</v>
      </c>
      <c r="D496" s="30">
        <v>35541016</v>
      </c>
      <c r="E496" s="31" t="s">
        <v>1468</v>
      </c>
      <c r="F496" s="30">
        <v>162159</v>
      </c>
      <c r="G496" s="119" t="s">
        <v>49</v>
      </c>
      <c r="H496" s="31" t="s">
        <v>1447</v>
      </c>
      <c r="I496" s="120" t="s">
        <v>1512</v>
      </c>
      <c r="J496" s="200">
        <v>7</v>
      </c>
      <c r="K496" s="201">
        <v>0</v>
      </c>
      <c r="L496" s="201">
        <v>8</v>
      </c>
      <c r="M496" s="201">
        <v>0</v>
      </c>
      <c r="N496" s="201">
        <v>0</v>
      </c>
      <c r="O496" s="201">
        <v>0</v>
      </c>
      <c r="P496" s="202">
        <v>0</v>
      </c>
      <c r="Q496" s="200">
        <v>0</v>
      </c>
      <c r="R496" s="201">
        <v>12</v>
      </c>
      <c r="S496" s="202">
        <v>5</v>
      </c>
      <c r="T496" s="203">
        <f t="shared" si="48"/>
        <v>268</v>
      </c>
      <c r="U496" s="204">
        <v>0</v>
      </c>
      <c r="V496" s="204">
        <f t="shared" si="49"/>
        <v>0</v>
      </c>
      <c r="W496" s="204">
        <f t="shared" si="50"/>
        <v>24</v>
      </c>
      <c r="X496" s="205">
        <f t="shared" si="51"/>
        <v>7.5</v>
      </c>
      <c r="Y496" s="206">
        <f t="shared" si="52"/>
        <v>300</v>
      </c>
      <c r="Z496" s="138">
        <f t="shared" si="47"/>
        <v>300</v>
      </c>
    </row>
    <row r="497" spans="1:26" x14ac:dyDescent="0.25">
      <c r="A497" s="30" t="s">
        <v>1428</v>
      </c>
      <c r="B497" s="30" t="s">
        <v>79</v>
      </c>
      <c r="C497" s="30" t="s">
        <v>1467</v>
      </c>
      <c r="D497" s="30">
        <v>35541016</v>
      </c>
      <c r="E497" s="31" t="s">
        <v>1468</v>
      </c>
      <c r="F497" s="30">
        <v>17151341</v>
      </c>
      <c r="G497" s="119" t="s">
        <v>49</v>
      </c>
      <c r="H497" s="31" t="s">
        <v>1449</v>
      </c>
      <c r="I497" s="120" t="s">
        <v>1513</v>
      </c>
      <c r="J497" s="200">
        <v>1</v>
      </c>
      <c r="K497" s="201">
        <v>0</v>
      </c>
      <c r="L497" s="201">
        <v>1</v>
      </c>
      <c r="M497" s="201">
        <v>0</v>
      </c>
      <c r="N497" s="201">
        <v>0</v>
      </c>
      <c r="O497" s="201">
        <v>0</v>
      </c>
      <c r="P497" s="202">
        <v>0</v>
      </c>
      <c r="Q497" s="200">
        <v>0</v>
      </c>
      <c r="R497" s="201">
        <v>6</v>
      </c>
      <c r="S497" s="202">
        <v>0</v>
      </c>
      <c r="T497" s="203">
        <f t="shared" si="48"/>
        <v>33.5</v>
      </c>
      <c r="U497" s="204">
        <v>0</v>
      </c>
      <c r="V497" s="204">
        <f t="shared" si="49"/>
        <v>0</v>
      </c>
      <c r="W497" s="204">
        <f t="shared" si="50"/>
        <v>12</v>
      </c>
      <c r="X497" s="205">
        <f t="shared" si="51"/>
        <v>0</v>
      </c>
      <c r="Y497" s="206">
        <f t="shared" si="52"/>
        <v>46</v>
      </c>
      <c r="Z497" s="138">
        <f t="shared" si="47"/>
        <v>46</v>
      </c>
    </row>
    <row r="498" spans="1:26" x14ac:dyDescent="0.25">
      <c r="A498" s="30" t="s">
        <v>1428</v>
      </c>
      <c r="B498" s="30" t="s">
        <v>79</v>
      </c>
      <c r="C498" s="30" t="s">
        <v>1467</v>
      </c>
      <c r="D498" s="30">
        <v>35541016</v>
      </c>
      <c r="E498" s="31" t="s">
        <v>1468</v>
      </c>
      <c r="F498" s="30">
        <v>161063</v>
      </c>
      <c r="G498" s="119" t="s">
        <v>1514</v>
      </c>
      <c r="H498" s="31" t="s">
        <v>1449</v>
      </c>
      <c r="I498" s="120" t="s">
        <v>1515</v>
      </c>
      <c r="J498" s="200">
        <v>1</v>
      </c>
      <c r="K498" s="201">
        <v>0</v>
      </c>
      <c r="L498" s="201">
        <v>1</v>
      </c>
      <c r="M498" s="201">
        <v>0</v>
      </c>
      <c r="N498" s="201">
        <v>0</v>
      </c>
      <c r="O498" s="201">
        <v>0</v>
      </c>
      <c r="P498" s="202">
        <v>0</v>
      </c>
      <c r="Q498" s="200">
        <v>0</v>
      </c>
      <c r="R498" s="201">
        <v>0</v>
      </c>
      <c r="S498" s="202">
        <v>1</v>
      </c>
      <c r="T498" s="203">
        <f t="shared" si="48"/>
        <v>33.5</v>
      </c>
      <c r="U498" s="204">
        <v>0</v>
      </c>
      <c r="V498" s="204">
        <f t="shared" si="49"/>
        <v>0</v>
      </c>
      <c r="W498" s="204">
        <f t="shared" si="50"/>
        <v>0</v>
      </c>
      <c r="X498" s="205">
        <f t="shared" si="51"/>
        <v>1.5</v>
      </c>
      <c r="Y498" s="206">
        <f t="shared" si="52"/>
        <v>35</v>
      </c>
      <c r="Z498" s="138">
        <f t="shared" si="47"/>
        <v>35</v>
      </c>
    </row>
    <row r="499" spans="1:26" x14ac:dyDescent="0.25">
      <c r="A499" s="30" t="s">
        <v>1428</v>
      </c>
      <c r="B499" s="30" t="s">
        <v>79</v>
      </c>
      <c r="C499" s="30" t="s">
        <v>1467</v>
      </c>
      <c r="D499" s="30">
        <v>35541016</v>
      </c>
      <c r="E499" s="31" t="s">
        <v>1468</v>
      </c>
      <c r="F499" s="30">
        <v>42096651</v>
      </c>
      <c r="G499" s="119" t="s">
        <v>154</v>
      </c>
      <c r="H499" s="31" t="s">
        <v>1449</v>
      </c>
      <c r="I499" s="120" t="s">
        <v>1517</v>
      </c>
      <c r="J499" s="200">
        <v>4</v>
      </c>
      <c r="K499" s="201">
        <v>0</v>
      </c>
      <c r="L499" s="201">
        <v>4</v>
      </c>
      <c r="M499" s="201">
        <v>0</v>
      </c>
      <c r="N499" s="201">
        <v>0</v>
      </c>
      <c r="O499" s="201">
        <v>0</v>
      </c>
      <c r="P499" s="202">
        <v>0</v>
      </c>
      <c r="Q499" s="200">
        <v>0</v>
      </c>
      <c r="R499" s="201">
        <v>5</v>
      </c>
      <c r="S499" s="202">
        <v>0</v>
      </c>
      <c r="T499" s="203">
        <f t="shared" si="48"/>
        <v>134</v>
      </c>
      <c r="U499" s="204">
        <v>58.7</v>
      </c>
      <c r="V499" s="204">
        <f t="shared" si="49"/>
        <v>0</v>
      </c>
      <c r="W499" s="204">
        <f t="shared" si="50"/>
        <v>10</v>
      </c>
      <c r="X499" s="205">
        <f t="shared" si="51"/>
        <v>0</v>
      </c>
      <c r="Y499" s="206">
        <f t="shared" si="52"/>
        <v>203</v>
      </c>
      <c r="Z499" s="138">
        <f t="shared" si="47"/>
        <v>203</v>
      </c>
    </row>
    <row r="500" spans="1:26" x14ac:dyDescent="0.25">
      <c r="A500" s="30" t="s">
        <v>1428</v>
      </c>
      <c r="B500" s="30" t="s">
        <v>79</v>
      </c>
      <c r="C500" s="30" t="s">
        <v>1467</v>
      </c>
      <c r="D500" s="30">
        <v>35541016</v>
      </c>
      <c r="E500" s="31" t="s">
        <v>1468</v>
      </c>
      <c r="F500" s="30">
        <v>606782</v>
      </c>
      <c r="G500" s="119" t="s">
        <v>117</v>
      </c>
      <c r="H500" s="31" t="s">
        <v>1449</v>
      </c>
      <c r="I500" s="120" t="s">
        <v>1518</v>
      </c>
      <c r="J500" s="200">
        <v>3</v>
      </c>
      <c r="K500" s="201">
        <v>0</v>
      </c>
      <c r="L500" s="201">
        <v>4</v>
      </c>
      <c r="M500" s="201">
        <v>0</v>
      </c>
      <c r="N500" s="201">
        <v>0</v>
      </c>
      <c r="O500" s="201">
        <v>0</v>
      </c>
      <c r="P500" s="202">
        <v>0</v>
      </c>
      <c r="Q500" s="200">
        <v>0</v>
      </c>
      <c r="R500" s="201">
        <v>6</v>
      </c>
      <c r="S500" s="202">
        <v>0</v>
      </c>
      <c r="T500" s="203">
        <f t="shared" si="48"/>
        <v>134</v>
      </c>
      <c r="U500" s="204">
        <v>169.54</v>
      </c>
      <c r="V500" s="204">
        <f t="shared" si="49"/>
        <v>0</v>
      </c>
      <c r="W500" s="204">
        <f t="shared" si="50"/>
        <v>12</v>
      </c>
      <c r="X500" s="205">
        <f t="shared" si="51"/>
        <v>0</v>
      </c>
      <c r="Y500" s="206">
        <f t="shared" si="52"/>
        <v>316</v>
      </c>
      <c r="Z500" s="138">
        <f t="shared" si="47"/>
        <v>316</v>
      </c>
    </row>
    <row r="501" spans="1:26" x14ac:dyDescent="0.25">
      <c r="A501" s="30" t="s">
        <v>1428</v>
      </c>
      <c r="B501" s="30" t="s">
        <v>79</v>
      </c>
      <c r="C501" s="30" t="s">
        <v>1467</v>
      </c>
      <c r="D501" s="30">
        <v>35541016</v>
      </c>
      <c r="E501" s="31" t="s">
        <v>1468</v>
      </c>
      <c r="F501" s="30">
        <v>42104980</v>
      </c>
      <c r="G501" s="119" t="s">
        <v>718</v>
      </c>
      <c r="H501" s="31" t="s">
        <v>1519</v>
      </c>
      <c r="I501" s="120" t="s">
        <v>1520</v>
      </c>
      <c r="J501" s="200">
        <v>2</v>
      </c>
      <c r="K501" s="201">
        <v>0</v>
      </c>
      <c r="L501" s="201">
        <v>2</v>
      </c>
      <c r="M501" s="201">
        <v>0</v>
      </c>
      <c r="N501" s="201">
        <v>0</v>
      </c>
      <c r="O501" s="201">
        <v>0</v>
      </c>
      <c r="P501" s="202">
        <v>0</v>
      </c>
      <c r="Q501" s="200">
        <v>0</v>
      </c>
      <c r="R501" s="201">
        <v>4</v>
      </c>
      <c r="S501" s="202">
        <v>0</v>
      </c>
      <c r="T501" s="203">
        <f t="shared" si="48"/>
        <v>67</v>
      </c>
      <c r="U501" s="204">
        <v>0</v>
      </c>
      <c r="V501" s="204">
        <f t="shared" si="49"/>
        <v>0</v>
      </c>
      <c r="W501" s="204">
        <f t="shared" si="50"/>
        <v>8</v>
      </c>
      <c r="X501" s="205">
        <f t="shared" si="51"/>
        <v>0</v>
      </c>
      <c r="Y501" s="206">
        <f t="shared" si="52"/>
        <v>75</v>
      </c>
      <c r="Z501" s="138">
        <f t="shared" si="47"/>
        <v>75</v>
      </c>
    </row>
    <row r="502" spans="1:26" x14ac:dyDescent="0.25">
      <c r="A502" s="30" t="s">
        <v>1428</v>
      </c>
      <c r="B502" s="30" t="s">
        <v>79</v>
      </c>
      <c r="C502" s="30" t="s">
        <v>1467</v>
      </c>
      <c r="D502" s="30">
        <v>35541016</v>
      </c>
      <c r="E502" s="31" t="s">
        <v>1468</v>
      </c>
      <c r="F502" s="30">
        <v>161250</v>
      </c>
      <c r="G502" s="119" t="s">
        <v>725</v>
      </c>
      <c r="H502" s="31" t="s">
        <v>1453</v>
      </c>
      <c r="I502" s="120" t="s">
        <v>1521</v>
      </c>
      <c r="J502" s="200">
        <v>4</v>
      </c>
      <c r="K502" s="201">
        <v>0</v>
      </c>
      <c r="L502" s="201">
        <v>5</v>
      </c>
      <c r="M502" s="201">
        <v>0</v>
      </c>
      <c r="N502" s="201">
        <v>0</v>
      </c>
      <c r="O502" s="201">
        <v>0</v>
      </c>
      <c r="P502" s="202">
        <v>0</v>
      </c>
      <c r="Q502" s="200">
        <v>1</v>
      </c>
      <c r="R502" s="201">
        <v>6</v>
      </c>
      <c r="S502" s="202">
        <v>1</v>
      </c>
      <c r="T502" s="203">
        <f t="shared" si="48"/>
        <v>167.5</v>
      </c>
      <c r="U502" s="204">
        <v>0</v>
      </c>
      <c r="V502" s="204">
        <f t="shared" si="49"/>
        <v>1.5</v>
      </c>
      <c r="W502" s="204">
        <f t="shared" si="50"/>
        <v>12</v>
      </c>
      <c r="X502" s="205">
        <f t="shared" si="51"/>
        <v>1.5</v>
      </c>
      <c r="Y502" s="206">
        <f t="shared" si="52"/>
        <v>183</v>
      </c>
      <c r="Z502" s="138">
        <f t="shared" si="47"/>
        <v>183</v>
      </c>
    </row>
    <row r="503" spans="1:26" ht="25.5" x14ac:dyDescent="0.25">
      <c r="A503" s="30" t="s">
        <v>1428</v>
      </c>
      <c r="B503" s="30" t="s">
        <v>79</v>
      </c>
      <c r="C503" s="30" t="s">
        <v>1467</v>
      </c>
      <c r="D503" s="30">
        <v>35541016</v>
      </c>
      <c r="E503" s="31" t="s">
        <v>1468</v>
      </c>
      <c r="F503" s="30">
        <v>17055393</v>
      </c>
      <c r="G503" s="119" t="s">
        <v>1522</v>
      </c>
      <c r="H503" s="31" t="s">
        <v>1453</v>
      </c>
      <c r="I503" s="120" t="s">
        <v>1523</v>
      </c>
      <c r="J503" s="200">
        <v>1</v>
      </c>
      <c r="K503" s="201">
        <v>0</v>
      </c>
      <c r="L503" s="201">
        <v>1</v>
      </c>
      <c r="M503" s="201">
        <v>0</v>
      </c>
      <c r="N503" s="201">
        <v>0</v>
      </c>
      <c r="O503" s="201">
        <v>0</v>
      </c>
      <c r="P503" s="202">
        <v>0</v>
      </c>
      <c r="Q503" s="200">
        <v>0</v>
      </c>
      <c r="R503" s="201">
        <v>8</v>
      </c>
      <c r="S503" s="202">
        <v>0</v>
      </c>
      <c r="T503" s="203">
        <f t="shared" si="48"/>
        <v>33.5</v>
      </c>
      <c r="U503" s="204">
        <v>0</v>
      </c>
      <c r="V503" s="204">
        <f t="shared" si="49"/>
        <v>0</v>
      </c>
      <c r="W503" s="204">
        <f t="shared" si="50"/>
        <v>16</v>
      </c>
      <c r="X503" s="205">
        <f t="shared" si="51"/>
        <v>0</v>
      </c>
      <c r="Y503" s="206">
        <f t="shared" si="52"/>
        <v>50</v>
      </c>
      <c r="Z503" s="138">
        <f t="shared" si="47"/>
        <v>50</v>
      </c>
    </row>
    <row r="504" spans="1:26" x14ac:dyDescent="0.25">
      <c r="A504" s="30" t="s">
        <v>1428</v>
      </c>
      <c r="B504" s="30" t="s">
        <v>79</v>
      </c>
      <c r="C504" s="30" t="s">
        <v>1467</v>
      </c>
      <c r="D504" s="30">
        <v>35541016</v>
      </c>
      <c r="E504" s="31" t="s">
        <v>1468</v>
      </c>
      <c r="F504" s="30">
        <v>53966864</v>
      </c>
      <c r="G504" s="119" t="s">
        <v>679</v>
      </c>
      <c r="H504" s="31" t="s">
        <v>1455</v>
      </c>
      <c r="I504" s="120" t="s">
        <v>1524</v>
      </c>
      <c r="J504" s="200">
        <v>3</v>
      </c>
      <c r="K504" s="201">
        <v>0</v>
      </c>
      <c r="L504" s="201">
        <v>5</v>
      </c>
      <c r="M504" s="201">
        <v>0</v>
      </c>
      <c r="N504" s="201">
        <v>0</v>
      </c>
      <c r="O504" s="201">
        <v>0</v>
      </c>
      <c r="P504" s="202">
        <v>0</v>
      </c>
      <c r="Q504" s="200">
        <v>0</v>
      </c>
      <c r="R504" s="201">
        <v>13</v>
      </c>
      <c r="S504" s="202">
        <v>6</v>
      </c>
      <c r="T504" s="203">
        <f t="shared" si="48"/>
        <v>167.5</v>
      </c>
      <c r="U504" s="204">
        <v>29.9</v>
      </c>
      <c r="V504" s="204">
        <f t="shared" si="49"/>
        <v>0</v>
      </c>
      <c r="W504" s="204">
        <f t="shared" si="50"/>
        <v>26</v>
      </c>
      <c r="X504" s="205">
        <f t="shared" si="51"/>
        <v>9</v>
      </c>
      <c r="Y504" s="206">
        <f t="shared" si="52"/>
        <v>232</v>
      </c>
      <c r="Z504" s="138">
        <f t="shared" si="47"/>
        <v>232</v>
      </c>
    </row>
    <row r="505" spans="1:26" ht="25.5" x14ac:dyDescent="0.25">
      <c r="A505" s="30" t="s">
        <v>1428</v>
      </c>
      <c r="B505" s="30" t="s">
        <v>79</v>
      </c>
      <c r="C505" s="30" t="s">
        <v>1467</v>
      </c>
      <c r="D505" s="30">
        <v>35541016</v>
      </c>
      <c r="E505" s="31" t="s">
        <v>1468</v>
      </c>
      <c r="F505" s="30">
        <v>161144</v>
      </c>
      <c r="G505" s="119" t="s">
        <v>1525</v>
      </c>
      <c r="H505" s="31" t="s">
        <v>1457</v>
      </c>
      <c r="I505" s="120" t="s">
        <v>1526</v>
      </c>
      <c r="J505" s="200">
        <v>1</v>
      </c>
      <c r="K505" s="201">
        <v>0</v>
      </c>
      <c r="L505" s="201">
        <v>1</v>
      </c>
      <c r="M505" s="201">
        <v>0</v>
      </c>
      <c r="N505" s="201">
        <v>0</v>
      </c>
      <c r="O505" s="201">
        <v>0</v>
      </c>
      <c r="P505" s="202">
        <v>0</v>
      </c>
      <c r="Q505" s="200">
        <v>0</v>
      </c>
      <c r="R505" s="201">
        <v>2</v>
      </c>
      <c r="S505" s="202">
        <v>0</v>
      </c>
      <c r="T505" s="203">
        <f t="shared" si="48"/>
        <v>33.5</v>
      </c>
      <c r="U505" s="204">
        <v>0</v>
      </c>
      <c r="V505" s="204">
        <f t="shared" si="49"/>
        <v>0</v>
      </c>
      <c r="W505" s="204">
        <f t="shared" si="50"/>
        <v>4</v>
      </c>
      <c r="X505" s="205">
        <f t="shared" si="51"/>
        <v>0</v>
      </c>
      <c r="Y505" s="206">
        <f t="shared" si="52"/>
        <v>38</v>
      </c>
      <c r="Z505" s="138">
        <f t="shared" si="47"/>
        <v>38</v>
      </c>
    </row>
    <row r="506" spans="1:26" x14ac:dyDescent="0.25">
      <c r="A506" s="30" t="s">
        <v>1428</v>
      </c>
      <c r="B506" s="30" t="s">
        <v>79</v>
      </c>
      <c r="C506" s="30" t="s">
        <v>1467</v>
      </c>
      <c r="D506" s="30">
        <v>35541016</v>
      </c>
      <c r="E506" s="31" t="s">
        <v>1468</v>
      </c>
      <c r="F506" s="30">
        <v>162205</v>
      </c>
      <c r="G506" s="119" t="s">
        <v>100</v>
      </c>
      <c r="H506" s="31" t="s">
        <v>1457</v>
      </c>
      <c r="I506" s="120" t="s">
        <v>1527</v>
      </c>
      <c r="J506" s="200">
        <v>2</v>
      </c>
      <c r="K506" s="201">
        <v>0</v>
      </c>
      <c r="L506" s="201">
        <v>3</v>
      </c>
      <c r="M506" s="201">
        <v>0</v>
      </c>
      <c r="N506" s="201">
        <v>0</v>
      </c>
      <c r="O506" s="201">
        <v>0</v>
      </c>
      <c r="P506" s="202">
        <v>0</v>
      </c>
      <c r="Q506" s="200">
        <v>0</v>
      </c>
      <c r="R506" s="201">
        <v>5</v>
      </c>
      <c r="S506" s="202">
        <v>4</v>
      </c>
      <c r="T506" s="203">
        <f t="shared" si="48"/>
        <v>100.5</v>
      </c>
      <c r="U506" s="204">
        <v>0</v>
      </c>
      <c r="V506" s="204">
        <f t="shared" si="49"/>
        <v>0</v>
      </c>
      <c r="W506" s="204">
        <f t="shared" si="50"/>
        <v>10</v>
      </c>
      <c r="X506" s="205">
        <f t="shared" si="51"/>
        <v>6</v>
      </c>
      <c r="Y506" s="206">
        <f t="shared" si="52"/>
        <v>117</v>
      </c>
      <c r="Z506" s="138">
        <f t="shared" si="47"/>
        <v>117</v>
      </c>
    </row>
    <row r="507" spans="1:26" x14ac:dyDescent="0.25">
      <c r="A507" s="30" t="s">
        <v>1428</v>
      </c>
      <c r="B507" s="30" t="s">
        <v>79</v>
      </c>
      <c r="C507" s="30" t="s">
        <v>1467</v>
      </c>
      <c r="D507" s="30">
        <v>35541016</v>
      </c>
      <c r="E507" s="31" t="s">
        <v>1468</v>
      </c>
      <c r="F507" s="30">
        <v>617652</v>
      </c>
      <c r="G507" s="119" t="s">
        <v>402</v>
      </c>
      <c r="H507" s="31" t="s">
        <v>1457</v>
      </c>
      <c r="I507" s="120" t="s">
        <v>1528</v>
      </c>
      <c r="J507" s="200">
        <v>1</v>
      </c>
      <c r="K507" s="201">
        <v>0</v>
      </c>
      <c r="L507" s="201">
        <v>2</v>
      </c>
      <c r="M507" s="201">
        <v>0</v>
      </c>
      <c r="N507" s="201">
        <v>0</v>
      </c>
      <c r="O507" s="201">
        <v>0</v>
      </c>
      <c r="P507" s="202">
        <v>0</v>
      </c>
      <c r="Q507" s="200">
        <v>0</v>
      </c>
      <c r="R507" s="201">
        <v>1</v>
      </c>
      <c r="S507" s="202">
        <v>1</v>
      </c>
      <c r="T507" s="203">
        <f t="shared" si="48"/>
        <v>67</v>
      </c>
      <c r="U507" s="204">
        <v>0</v>
      </c>
      <c r="V507" s="204">
        <f t="shared" si="49"/>
        <v>0</v>
      </c>
      <c r="W507" s="204">
        <f t="shared" si="50"/>
        <v>2</v>
      </c>
      <c r="X507" s="205">
        <f t="shared" si="51"/>
        <v>1.5</v>
      </c>
      <c r="Y507" s="206">
        <f t="shared" si="52"/>
        <v>71</v>
      </c>
      <c r="Z507" s="138">
        <f t="shared" si="47"/>
        <v>71</v>
      </c>
    </row>
    <row r="508" spans="1:26" x14ac:dyDescent="0.25">
      <c r="A508" s="30" t="s">
        <v>1428</v>
      </c>
      <c r="B508" s="30" t="s">
        <v>79</v>
      </c>
      <c r="C508" s="30" t="s">
        <v>1467</v>
      </c>
      <c r="D508" s="30">
        <v>35541016</v>
      </c>
      <c r="E508" s="31" t="s">
        <v>1468</v>
      </c>
      <c r="F508" s="30">
        <v>17050545</v>
      </c>
      <c r="G508" s="119" t="s">
        <v>154</v>
      </c>
      <c r="H508" s="31" t="s">
        <v>1457</v>
      </c>
      <c r="I508" s="120" t="s">
        <v>1529</v>
      </c>
      <c r="J508" s="200">
        <v>5</v>
      </c>
      <c r="K508" s="201">
        <v>0</v>
      </c>
      <c r="L508" s="201">
        <v>5</v>
      </c>
      <c r="M508" s="201">
        <v>0</v>
      </c>
      <c r="N508" s="201">
        <v>0</v>
      </c>
      <c r="O508" s="201">
        <v>0</v>
      </c>
      <c r="P508" s="202">
        <v>0</v>
      </c>
      <c r="Q508" s="200">
        <v>5</v>
      </c>
      <c r="R508" s="201">
        <v>7</v>
      </c>
      <c r="S508" s="202">
        <v>1</v>
      </c>
      <c r="T508" s="203">
        <f t="shared" si="48"/>
        <v>167.5</v>
      </c>
      <c r="U508" s="204">
        <v>5</v>
      </c>
      <c r="V508" s="204">
        <f t="shared" si="49"/>
        <v>7.5</v>
      </c>
      <c r="W508" s="204">
        <f t="shared" si="50"/>
        <v>14</v>
      </c>
      <c r="X508" s="205">
        <f t="shared" si="51"/>
        <v>1.5</v>
      </c>
      <c r="Y508" s="206">
        <f t="shared" si="52"/>
        <v>196</v>
      </c>
      <c r="Z508" s="138">
        <f t="shared" si="47"/>
        <v>196</v>
      </c>
    </row>
    <row r="509" spans="1:26" ht="25.5" x14ac:dyDescent="0.25">
      <c r="A509" s="30" t="s">
        <v>1428</v>
      </c>
      <c r="B509" s="30" t="s">
        <v>79</v>
      </c>
      <c r="C509" s="30" t="s">
        <v>1467</v>
      </c>
      <c r="D509" s="30">
        <v>35541016</v>
      </c>
      <c r="E509" s="31" t="s">
        <v>1468</v>
      </c>
      <c r="F509" s="30">
        <v>606812</v>
      </c>
      <c r="G509" s="119" t="s">
        <v>723</v>
      </c>
      <c r="H509" s="31" t="s">
        <v>1457</v>
      </c>
      <c r="I509" s="120" t="s">
        <v>1530</v>
      </c>
      <c r="J509" s="200">
        <v>2</v>
      </c>
      <c r="K509" s="201">
        <v>0</v>
      </c>
      <c r="L509" s="201">
        <v>3</v>
      </c>
      <c r="M509" s="201">
        <v>0</v>
      </c>
      <c r="N509" s="201">
        <v>0</v>
      </c>
      <c r="O509" s="201">
        <v>0</v>
      </c>
      <c r="P509" s="202">
        <v>0</v>
      </c>
      <c r="Q509" s="200">
        <v>0</v>
      </c>
      <c r="R509" s="201">
        <v>3</v>
      </c>
      <c r="S509" s="202">
        <v>2</v>
      </c>
      <c r="T509" s="203">
        <f t="shared" si="48"/>
        <v>100.5</v>
      </c>
      <c r="U509" s="204">
        <v>0</v>
      </c>
      <c r="V509" s="204">
        <f t="shared" si="49"/>
        <v>0</v>
      </c>
      <c r="W509" s="204">
        <f t="shared" si="50"/>
        <v>6</v>
      </c>
      <c r="X509" s="205">
        <f t="shared" si="51"/>
        <v>3</v>
      </c>
      <c r="Y509" s="206">
        <f t="shared" si="52"/>
        <v>110</v>
      </c>
      <c r="Z509" s="138">
        <f t="shared" si="47"/>
        <v>110</v>
      </c>
    </row>
    <row r="510" spans="1:26" x14ac:dyDescent="0.25">
      <c r="A510" s="30" t="s">
        <v>1428</v>
      </c>
      <c r="B510" s="30" t="s">
        <v>79</v>
      </c>
      <c r="C510" s="30" t="s">
        <v>1467</v>
      </c>
      <c r="D510" s="30">
        <v>35541016</v>
      </c>
      <c r="E510" s="31" t="s">
        <v>1468</v>
      </c>
      <c r="F510" s="30">
        <v>35568364</v>
      </c>
      <c r="G510" s="119" t="s">
        <v>402</v>
      </c>
      <c r="H510" s="31" t="s">
        <v>1531</v>
      </c>
      <c r="I510" s="120" t="s">
        <v>1533</v>
      </c>
      <c r="J510" s="200">
        <v>1</v>
      </c>
      <c r="K510" s="201">
        <v>0</v>
      </c>
      <c r="L510" s="201">
        <v>1</v>
      </c>
      <c r="M510" s="201">
        <v>0</v>
      </c>
      <c r="N510" s="201">
        <v>0</v>
      </c>
      <c r="O510" s="201">
        <v>0</v>
      </c>
      <c r="P510" s="202">
        <v>0</v>
      </c>
      <c r="Q510" s="200">
        <v>0</v>
      </c>
      <c r="R510" s="201">
        <v>0</v>
      </c>
      <c r="S510" s="202">
        <v>2</v>
      </c>
      <c r="T510" s="203">
        <f t="shared" si="48"/>
        <v>33.5</v>
      </c>
      <c r="U510" s="204">
        <v>11.9</v>
      </c>
      <c r="V510" s="204">
        <f t="shared" si="49"/>
        <v>0</v>
      </c>
      <c r="W510" s="204">
        <f t="shared" si="50"/>
        <v>0</v>
      </c>
      <c r="X510" s="205">
        <f t="shared" si="51"/>
        <v>3</v>
      </c>
      <c r="Y510" s="206">
        <f t="shared" si="52"/>
        <v>48</v>
      </c>
      <c r="Z510" s="138">
        <f t="shared" si="47"/>
        <v>48</v>
      </c>
    </row>
    <row r="511" spans="1:26" x14ac:dyDescent="0.25">
      <c r="A511" s="30" t="s">
        <v>1428</v>
      </c>
      <c r="B511" s="30" t="s">
        <v>79</v>
      </c>
      <c r="C511" s="30" t="s">
        <v>1467</v>
      </c>
      <c r="D511" s="30">
        <v>35541016</v>
      </c>
      <c r="E511" s="31" t="s">
        <v>1468</v>
      </c>
      <c r="F511" s="30">
        <v>161195</v>
      </c>
      <c r="G511" s="119" t="s">
        <v>49</v>
      </c>
      <c r="H511" s="31" t="s">
        <v>1376</v>
      </c>
      <c r="I511" s="120" t="s">
        <v>1031</v>
      </c>
      <c r="J511" s="200">
        <v>1</v>
      </c>
      <c r="K511" s="201">
        <v>0</v>
      </c>
      <c r="L511" s="201">
        <v>1</v>
      </c>
      <c r="M511" s="201">
        <v>0</v>
      </c>
      <c r="N511" s="201">
        <v>0</v>
      </c>
      <c r="O511" s="201">
        <v>0</v>
      </c>
      <c r="P511" s="202">
        <v>0</v>
      </c>
      <c r="Q511" s="200">
        <v>0</v>
      </c>
      <c r="R511" s="201">
        <v>3</v>
      </c>
      <c r="S511" s="202">
        <v>0</v>
      </c>
      <c r="T511" s="203">
        <f t="shared" si="48"/>
        <v>33.5</v>
      </c>
      <c r="U511" s="204">
        <v>1.7</v>
      </c>
      <c r="V511" s="204">
        <f t="shared" si="49"/>
        <v>0</v>
      </c>
      <c r="W511" s="204">
        <f t="shared" si="50"/>
        <v>6</v>
      </c>
      <c r="X511" s="205">
        <f t="shared" si="51"/>
        <v>0</v>
      </c>
      <c r="Y511" s="206">
        <f t="shared" si="52"/>
        <v>41</v>
      </c>
      <c r="Z511" s="138">
        <f t="shared" si="47"/>
        <v>41</v>
      </c>
    </row>
    <row r="512" spans="1:26" x14ac:dyDescent="0.25">
      <c r="A512" s="30" t="s">
        <v>1428</v>
      </c>
      <c r="B512" s="30" t="s">
        <v>79</v>
      </c>
      <c r="C512" s="30" t="s">
        <v>1467</v>
      </c>
      <c r="D512" s="30">
        <v>35541016</v>
      </c>
      <c r="E512" s="31" t="s">
        <v>1468</v>
      </c>
      <c r="F512" s="30">
        <v>17151589</v>
      </c>
      <c r="G512" s="119" t="s">
        <v>49</v>
      </c>
      <c r="H512" s="31" t="s">
        <v>1376</v>
      </c>
      <c r="I512" s="120" t="s">
        <v>1536</v>
      </c>
      <c r="J512" s="200">
        <v>1</v>
      </c>
      <c r="K512" s="201">
        <v>0</v>
      </c>
      <c r="L512" s="201">
        <v>1</v>
      </c>
      <c r="M512" s="201">
        <v>0</v>
      </c>
      <c r="N512" s="201">
        <v>0</v>
      </c>
      <c r="O512" s="201">
        <v>0</v>
      </c>
      <c r="P512" s="202">
        <v>0</v>
      </c>
      <c r="Q512" s="200">
        <v>0</v>
      </c>
      <c r="R512" s="201">
        <v>2</v>
      </c>
      <c r="S512" s="202">
        <v>0</v>
      </c>
      <c r="T512" s="203">
        <f t="shared" si="48"/>
        <v>33.5</v>
      </c>
      <c r="U512" s="204">
        <v>0</v>
      </c>
      <c r="V512" s="204">
        <f t="shared" si="49"/>
        <v>0</v>
      </c>
      <c r="W512" s="204">
        <f t="shared" si="50"/>
        <v>4</v>
      </c>
      <c r="X512" s="205">
        <f t="shared" si="51"/>
        <v>0</v>
      </c>
      <c r="Y512" s="206">
        <f t="shared" si="52"/>
        <v>38</v>
      </c>
      <c r="Z512" s="138">
        <f t="shared" si="47"/>
        <v>38</v>
      </c>
    </row>
    <row r="513" spans="1:26" x14ac:dyDescent="0.25">
      <c r="A513" s="30" t="s">
        <v>1428</v>
      </c>
      <c r="B513" s="30" t="s">
        <v>79</v>
      </c>
      <c r="C513" s="30" t="s">
        <v>1467</v>
      </c>
      <c r="D513" s="30">
        <v>35541016</v>
      </c>
      <c r="E513" s="31" t="s">
        <v>1468</v>
      </c>
      <c r="F513" s="30">
        <v>17078504</v>
      </c>
      <c r="G513" s="119" t="s">
        <v>121</v>
      </c>
      <c r="H513" s="31" t="s">
        <v>1376</v>
      </c>
      <c r="I513" s="120" t="s">
        <v>1537</v>
      </c>
      <c r="J513" s="200">
        <v>4</v>
      </c>
      <c r="K513" s="201">
        <v>0</v>
      </c>
      <c r="L513" s="201">
        <v>5</v>
      </c>
      <c r="M513" s="201">
        <v>0</v>
      </c>
      <c r="N513" s="201">
        <v>0</v>
      </c>
      <c r="O513" s="201">
        <v>0</v>
      </c>
      <c r="P513" s="202">
        <v>0</v>
      </c>
      <c r="Q513" s="200">
        <v>0</v>
      </c>
      <c r="R513" s="201">
        <v>5</v>
      </c>
      <c r="S513" s="202">
        <v>5</v>
      </c>
      <c r="T513" s="203">
        <f t="shared" si="48"/>
        <v>167.5</v>
      </c>
      <c r="U513" s="204">
        <v>0</v>
      </c>
      <c r="V513" s="204">
        <f t="shared" si="49"/>
        <v>0</v>
      </c>
      <c r="W513" s="204">
        <f t="shared" si="50"/>
        <v>10</v>
      </c>
      <c r="X513" s="205">
        <f t="shared" si="51"/>
        <v>7.5</v>
      </c>
      <c r="Y513" s="206">
        <f t="shared" si="52"/>
        <v>185</v>
      </c>
      <c r="Z513" s="138">
        <f t="shared" si="47"/>
        <v>185</v>
      </c>
    </row>
    <row r="514" spans="1:26" x14ac:dyDescent="0.25">
      <c r="A514" s="30" t="s">
        <v>1428</v>
      </c>
      <c r="B514" s="30" t="s">
        <v>79</v>
      </c>
      <c r="C514" s="30" t="s">
        <v>1467</v>
      </c>
      <c r="D514" s="30">
        <v>35541016</v>
      </c>
      <c r="E514" s="31" t="s">
        <v>1468</v>
      </c>
      <c r="F514" s="30">
        <v>42096642</v>
      </c>
      <c r="G514" s="119" t="s">
        <v>745</v>
      </c>
      <c r="H514" s="31" t="s">
        <v>1376</v>
      </c>
      <c r="I514" s="120" t="s">
        <v>1538</v>
      </c>
      <c r="J514" s="200">
        <v>4</v>
      </c>
      <c r="K514" s="201">
        <v>0</v>
      </c>
      <c r="L514" s="201">
        <v>6</v>
      </c>
      <c r="M514" s="201">
        <v>0</v>
      </c>
      <c r="N514" s="201">
        <v>0</v>
      </c>
      <c r="O514" s="201">
        <v>0</v>
      </c>
      <c r="P514" s="202">
        <v>0</v>
      </c>
      <c r="Q514" s="200">
        <v>0</v>
      </c>
      <c r="R514" s="201">
        <v>8</v>
      </c>
      <c r="S514" s="202">
        <v>4</v>
      </c>
      <c r="T514" s="203">
        <f t="shared" si="48"/>
        <v>201</v>
      </c>
      <c r="U514" s="204">
        <v>0</v>
      </c>
      <c r="V514" s="204">
        <f t="shared" si="49"/>
        <v>0</v>
      </c>
      <c r="W514" s="204">
        <f t="shared" si="50"/>
        <v>16</v>
      </c>
      <c r="X514" s="205">
        <f t="shared" si="51"/>
        <v>6</v>
      </c>
      <c r="Y514" s="206">
        <f t="shared" si="52"/>
        <v>223</v>
      </c>
      <c r="Z514" s="138">
        <f t="shared" si="47"/>
        <v>223</v>
      </c>
    </row>
    <row r="515" spans="1:26" x14ac:dyDescent="0.25">
      <c r="A515" s="30" t="s">
        <v>1428</v>
      </c>
      <c r="B515" s="30" t="s">
        <v>79</v>
      </c>
      <c r="C515" s="30" t="s">
        <v>1467</v>
      </c>
      <c r="D515" s="30">
        <v>35541016</v>
      </c>
      <c r="E515" s="31" t="s">
        <v>1468</v>
      </c>
      <c r="F515" s="30">
        <v>35568381</v>
      </c>
      <c r="G515" s="119" t="s">
        <v>1539</v>
      </c>
      <c r="H515" s="31" t="s">
        <v>1376</v>
      </c>
      <c r="I515" s="120" t="s">
        <v>1540</v>
      </c>
      <c r="J515" s="200">
        <v>4</v>
      </c>
      <c r="K515" s="201">
        <v>0</v>
      </c>
      <c r="L515" s="201">
        <v>4</v>
      </c>
      <c r="M515" s="201">
        <v>0</v>
      </c>
      <c r="N515" s="201">
        <v>0</v>
      </c>
      <c r="O515" s="201">
        <v>0</v>
      </c>
      <c r="P515" s="202">
        <v>0</v>
      </c>
      <c r="Q515" s="200">
        <v>0</v>
      </c>
      <c r="R515" s="201">
        <v>5</v>
      </c>
      <c r="S515" s="202">
        <v>2</v>
      </c>
      <c r="T515" s="203">
        <f t="shared" si="48"/>
        <v>134</v>
      </c>
      <c r="U515" s="204">
        <v>0</v>
      </c>
      <c r="V515" s="204">
        <f t="shared" si="49"/>
        <v>0</v>
      </c>
      <c r="W515" s="204">
        <f t="shared" si="50"/>
        <v>10</v>
      </c>
      <c r="X515" s="205">
        <f t="shared" si="51"/>
        <v>3</v>
      </c>
      <c r="Y515" s="206">
        <f t="shared" si="52"/>
        <v>147</v>
      </c>
      <c r="Z515" s="138">
        <f t="shared" si="47"/>
        <v>147</v>
      </c>
    </row>
    <row r="516" spans="1:26" x14ac:dyDescent="0.25">
      <c r="A516" s="30" t="s">
        <v>1428</v>
      </c>
      <c r="B516" s="30" t="s">
        <v>79</v>
      </c>
      <c r="C516" s="30" t="s">
        <v>1467</v>
      </c>
      <c r="D516" s="30">
        <v>35541016</v>
      </c>
      <c r="E516" s="31" t="s">
        <v>1468</v>
      </c>
      <c r="F516" s="30">
        <v>17078491</v>
      </c>
      <c r="G516" s="119" t="s">
        <v>679</v>
      </c>
      <c r="H516" s="31" t="s">
        <v>1376</v>
      </c>
      <c r="I516" s="120" t="s">
        <v>1541</v>
      </c>
      <c r="J516" s="200">
        <v>5</v>
      </c>
      <c r="K516" s="201">
        <v>0</v>
      </c>
      <c r="L516" s="201">
        <v>5</v>
      </c>
      <c r="M516" s="201">
        <v>0</v>
      </c>
      <c r="N516" s="201">
        <v>0</v>
      </c>
      <c r="O516" s="201">
        <v>0</v>
      </c>
      <c r="P516" s="202">
        <v>0</v>
      </c>
      <c r="Q516" s="200">
        <v>0</v>
      </c>
      <c r="R516" s="201">
        <v>8</v>
      </c>
      <c r="S516" s="202">
        <v>2</v>
      </c>
      <c r="T516" s="203">
        <f t="shared" si="48"/>
        <v>167.5</v>
      </c>
      <c r="U516" s="204">
        <v>12.2</v>
      </c>
      <c r="V516" s="204">
        <f t="shared" si="49"/>
        <v>0</v>
      </c>
      <c r="W516" s="204">
        <f t="shared" si="50"/>
        <v>16</v>
      </c>
      <c r="X516" s="205">
        <f t="shared" si="51"/>
        <v>3</v>
      </c>
      <c r="Y516" s="206">
        <f t="shared" si="52"/>
        <v>199</v>
      </c>
      <c r="Z516" s="138">
        <f t="shared" ref="Z516:Z532" si="53">ROUND(Y516,0)</f>
        <v>199</v>
      </c>
    </row>
    <row r="517" spans="1:26" x14ac:dyDescent="0.25">
      <c r="A517" s="30" t="s">
        <v>1428</v>
      </c>
      <c r="B517" s="30" t="s">
        <v>79</v>
      </c>
      <c r="C517" s="30" t="s">
        <v>1467</v>
      </c>
      <c r="D517" s="30">
        <v>35541016</v>
      </c>
      <c r="E517" s="31" t="s">
        <v>1468</v>
      </c>
      <c r="F517" s="30">
        <v>521663</v>
      </c>
      <c r="G517" s="119" t="s">
        <v>451</v>
      </c>
      <c r="H517" s="31" t="s">
        <v>1376</v>
      </c>
      <c r="I517" s="120" t="s">
        <v>1542</v>
      </c>
      <c r="J517" s="200">
        <v>4</v>
      </c>
      <c r="K517" s="201">
        <v>0</v>
      </c>
      <c r="L517" s="201">
        <v>4</v>
      </c>
      <c r="M517" s="201">
        <v>0</v>
      </c>
      <c r="N517" s="201">
        <v>0</v>
      </c>
      <c r="O517" s="201">
        <v>0</v>
      </c>
      <c r="P517" s="202">
        <v>0</v>
      </c>
      <c r="Q517" s="200">
        <v>0</v>
      </c>
      <c r="R517" s="201">
        <v>7</v>
      </c>
      <c r="S517" s="202">
        <v>0</v>
      </c>
      <c r="T517" s="203">
        <f t="shared" si="48"/>
        <v>134</v>
      </c>
      <c r="U517" s="204">
        <v>0</v>
      </c>
      <c r="V517" s="204">
        <f t="shared" si="49"/>
        <v>0</v>
      </c>
      <c r="W517" s="204">
        <f t="shared" si="50"/>
        <v>14</v>
      </c>
      <c r="X517" s="205">
        <f t="shared" si="51"/>
        <v>0</v>
      </c>
      <c r="Y517" s="206">
        <f t="shared" si="52"/>
        <v>148</v>
      </c>
      <c r="Z517" s="138">
        <f t="shared" si="53"/>
        <v>148</v>
      </c>
    </row>
    <row r="518" spans="1:26" x14ac:dyDescent="0.25">
      <c r="A518" s="30" t="s">
        <v>1428</v>
      </c>
      <c r="B518" s="30" t="s">
        <v>79</v>
      </c>
      <c r="C518" s="30" t="s">
        <v>1467</v>
      </c>
      <c r="D518" s="30">
        <v>35541016</v>
      </c>
      <c r="E518" s="31" t="s">
        <v>1468</v>
      </c>
      <c r="F518" s="30">
        <v>161012</v>
      </c>
      <c r="G518" s="119" t="s">
        <v>725</v>
      </c>
      <c r="H518" s="31" t="s">
        <v>1464</v>
      </c>
      <c r="I518" s="120" t="s">
        <v>1543</v>
      </c>
      <c r="J518" s="200">
        <v>6</v>
      </c>
      <c r="K518" s="201">
        <v>0</v>
      </c>
      <c r="L518" s="201">
        <v>7</v>
      </c>
      <c r="M518" s="201">
        <v>0</v>
      </c>
      <c r="N518" s="201">
        <v>0</v>
      </c>
      <c r="O518" s="201">
        <v>0</v>
      </c>
      <c r="P518" s="202">
        <v>0</v>
      </c>
      <c r="Q518" s="200">
        <v>10</v>
      </c>
      <c r="R518" s="201">
        <v>20</v>
      </c>
      <c r="S518" s="202">
        <v>8</v>
      </c>
      <c r="T518" s="203">
        <f t="shared" si="48"/>
        <v>234.5</v>
      </c>
      <c r="U518" s="204">
        <v>0</v>
      </c>
      <c r="V518" s="204">
        <f t="shared" si="49"/>
        <v>15</v>
      </c>
      <c r="W518" s="204">
        <f t="shared" si="50"/>
        <v>40</v>
      </c>
      <c r="X518" s="205">
        <f t="shared" si="51"/>
        <v>12</v>
      </c>
      <c r="Y518" s="206">
        <f t="shared" si="52"/>
        <v>302</v>
      </c>
      <c r="Z518" s="138">
        <f t="shared" si="53"/>
        <v>302</v>
      </c>
    </row>
    <row r="519" spans="1:26" ht="38.25" x14ac:dyDescent="0.25">
      <c r="A519" s="30" t="s">
        <v>1428</v>
      </c>
      <c r="B519" s="30" t="s">
        <v>79</v>
      </c>
      <c r="C519" s="30" t="s">
        <v>1467</v>
      </c>
      <c r="D519" s="30">
        <v>35541016</v>
      </c>
      <c r="E519" s="31" t="s">
        <v>1468</v>
      </c>
      <c r="F519" s="30">
        <v>35568330</v>
      </c>
      <c r="G519" s="119" t="s">
        <v>1544</v>
      </c>
      <c r="H519" s="31" t="s">
        <v>1464</v>
      </c>
      <c r="I519" s="120" t="s">
        <v>1545</v>
      </c>
      <c r="J519" s="200">
        <v>1</v>
      </c>
      <c r="K519" s="201">
        <v>0</v>
      </c>
      <c r="L519" s="201">
        <v>1</v>
      </c>
      <c r="M519" s="201">
        <v>0</v>
      </c>
      <c r="N519" s="201">
        <v>0</v>
      </c>
      <c r="O519" s="201">
        <v>0</v>
      </c>
      <c r="P519" s="202">
        <v>0</v>
      </c>
      <c r="Q519" s="200">
        <v>0</v>
      </c>
      <c r="R519" s="201">
        <v>1</v>
      </c>
      <c r="S519" s="202">
        <v>0</v>
      </c>
      <c r="T519" s="203">
        <f t="shared" si="48"/>
        <v>33.5</v>
      </c>
      <c r="U519" s="204">
        <v>0</v>
      </c>
      <c r="V519" s="204">
        <f t="shared" si="49"/>
        <v>0</v>
      </c>
      <c r="W519" s="204">
        <f t="shared" si="50"/>
        <v>2</v>
      </c>
      <c r="X519" s="205">
        <f t="shared" si="51"/>
        <v>0</v>
      </c>
      <c r="Y519" s="206">
        <f t="shared" si="52"/>
        <v>36</v>
      </c>
      <c r="Z519" s="138">
        <f t="shared" si="53"/>
        <v>36</v>
      </c>
    </row>
    <row r="520" spans="1:26" ht="38.25" x14ac:dyDescent="0.25">
      <c r="A520" s="30" t="s">
        <v>1428</v>
      </c>
      <c r="B520" s="30" t="s">
        <v>79</v>
      </c>
      <c r="C520" s="30" t="s">
        <v>1467</v>
      </c>
      <c r="D520" s="30">
        <v>35541016</v>
      </c>
      <c r="E520" s="31" t="s">
        <v>1468</v>
      </c>
      <c r="F520" s="30">
        <v>159557</v>
      </c>
      <c r="G520" s="119" t="s">
        <v>1546</v>
      </c>
      <c r="H520" s="31" t="s">
        <v>1547</v>
      </c>
      <c r="I520" s="120" t="s">
        <v>1548</v>
      </c>
      <c r="J520" s="200">
        <v>4</v>
      </c>
      <c r="K520" s="201">
        <v>0</v>
      </c>
      <c r="L520" s="201">
        <v>4</v>
      </c>
      <c r="M520" s="201">
        <v>0</v>
      </c>
      <c r="N520" s="201">
        <v>0</v>
      </c>
      <c r="O520" s="201">
        <v>2</v>
      </c>
      <c r="P520" s="202">
        <v>1</v>
      </c>
      <c r="Q520" s="200">
        <v>0</v>
      </c>
      <c r="R520" s="201">
        <v>3</v>
      </c>
      <c r="S520" s="202">
        <v>2</v>
      </c>
      <c r="T520" s="203">
        <f t="shared" si="48"/>
        <v>134</v>
      </c>
      <c r="U520" s="204">
        <v>0</v>
      </c>
      <c r="V520" s="204">
        <f t="shared" si="49"/>
        <v>0</v>
      </c>
      <c r="W520" s="204">
        <f t="shared" si="50"/>
        <v>33</v>
      </c>
      <c r="X520" s="205">
        <f t="shared" si="51"/>
        <v>30</v>
      </c>
      <c r="Y520" s="206">
        <f t="shared" si="52"/>
        <v>197</v>
      </c>
      <c r="Z520" s="138">
        <f t="shared" si="53"/>
        <v>197</v>
      </c>
    </row>
    <row r="521" spans="1:26" x14ac:dyDescent="0.25">
      <c r="A521" s="30" t="s">
        <v>1428</v>
      </c>
      <c r="B521" s="30" t="s">
        <v>79</v>
      </c>
      <c r="C521" s="30" t="s">
        <v>1467</v>
      </c>
      <c r="D521" s="30">
        <v>35541016</v>
      </c>
      <c r="E521" s="31" t="s">
        <v>1468</v>
      </c>
      <c r="F521" s="30">
        <v>35568356</v>
      </c>
      <c r="G521" s="119" t="s">
        <v>52</v>
      </c>
      <c r="H521" s="31" t="s">
        <v>1549</v>
      </c>
      <c r="I521" s="120" t="s">
        <v>1550</v>
      </c>
      <c r="J521" s="200">
        <v>2</v>
      </c>
      <c r="K521" s="201">
        <v>0</v>
      </c>
      <c r="L521" s="201">
        <v>2</v>
      </c>
      <c r="M521" s="201">
        <v>0</v>
      </c>
      <c r="N521" s="201">
        <v>0</v>
      </c>
      <c r="O521" s="201">
        <v>1</v>
      </c>
      <c r="P521" s="202">
        <v>0</v>
      </c>
      <c r="Q521" s="200">
        <v>0</v>
      </c>
      <c r="R521" s="201">
        <v>5</v>
      </c>
      <c r="S521" s="202">
        <v>0</v>
      </c>
      <c r="T521" s="203">
        <f t="shared" si="48"/>
        <v>67</v>
      </c>
      <c r="U521" s="204">
        <v>0</v>
      </c>
      <c r="V521" s="204">
        <f t="shared" si="49"/>
        <v>0</v>
      </c>
      <c r="W521" s="204">
        <f t="shared" si="50"/>
        <v>23.5</v>
      </c>
      <c r="X521" s="205">
        <f t="shared" si="51"/>
        <v>0</v>
      </c>
      <c r="Y521" s="206">
        <f t="shared" si="52"/>
        <v>91</v>
      </c>
      <c r="Z521" s="138">
        <f t="shared" si="53"/>
        <v>91</v>
      </c>
    </row>
    <row r="522" spans="1:26" x14ac:dyDescent="0.25">
      <c r="A522" s="127" t="s">
        <v>1428</v>
      </c>
      <c r="B522" s="127" t="s">
        <v>79</v>
      </c>
      <c r="C522" s="127" t="s">
        <v>1467</v>
      </c>
      <c r="D522" s="127">
        <v>35541016</v>
      </c>
      <c r="E522" s="31" t="s">
        <v>1468</v>
      </c>
      <c r="F522" s="127">
        <v>161241</v>
      </c>
      <c r="G522" s="119" t="s">
        <v>49</v>
      </c>
      <c r="H522" s="31" t="s">
        <v>1169</v>
      </c>
      <c r="I522" s="120" t="s">
        <v>1551</v>
      </c>
      <c r="J522" s="200">
        <v>1</v>
      </c>
      <c r="K522" s="201">
        <v>0</v>
      </c>
      <c r="L522" s="201">
        <v>1</v>
      </c>
      <c r="M522" s="201">
        <v>0</v>
      </c>
      <c r="N522" s="201">
        <v>0</v>
      </c>
      <c r="O522" s="201">
        <v>0</v>
      </c>
      <c r="P522" s="202">
        <v>0</v>
      </c>
      <c r="Q522" s="200">
        <v>0</v>
      </c>
      <c r="R522" s="201">
        <v>1</v>
      </c>
      <c r="S522" s="202">
        <v>0</v>
      </c>
      <c r="T522" s="203">
        <f t="shared" si="48"/>
        <v>33.5</v>
      </c>
      <c r="U522" s="204">
        <v>0</v>
      </c>
      <c r="V522" s="204">
        <f t="shared" si="49"/>
        <v>0</v>
      </c>
      <c r="W522" s="204">
        <f t="shared" si="50"/>
        <v>2</v>
      </c>
      <c r="X522" s="205">
        <f t="shared" si="51"/>
        <v>0</v>
      </c>
      <c r="Y522" s="206">
        <f t="shared" si="52"/>
        <v>36</v>
      </c>
      <c r="Z522" s="138">
        <f t="shared" si="53"/>
        <v>36</v>
      </c>
    </row>
    <row r="523" spans="1:26" x14ac:dyDescent="0.25">
      <c r="A523" s="30" t="s">
        <v>1428</v>
      </c>
      <c r="B523" s="30" t="s">
        <v>79</v>
      </c>
      <c r="C523" s="30" t="s">
        <v>1467</v>
      </c>
      <c r="D523" s="30">
        <v>35541016</v>
      </c>
      <c r="E523" s="31" t="s">
        <v>1468</v>
      </c>
      <c r="F523" s="30">
        <v>162213</v>
      </c>
      <c r="G523" s="119" t="s">
        <v>100</v>
      </c>
      <c r="H523" s="31" t="s">
        <v>1169</v>
      </c>
      <c r="I523" s="120" t="s">
        <v>1552</v>
      </c>
      <c r="J523" s="200">
        <v>3</v>
      </c>
      <c r="K523" s="201">
        <v>0</v>
      </c>
      <c r="L523" s="201">
        <v>4</v>
      </c>
      <c r="M523" s="201">
        <v>0</v>
      </c>
      <c r="N523" s="201">
        <v>0</v>
      </c>
      <c r="O523" s="201">
        <v>0</v>
      </c>
      <c r="P523" s="202">
        <v>0</v>
      </c>
      <c r="Q523" s="200">
        <v>0</v>
      </c>
      <c r="R523" s="201">
        <v>6</v>
      </c>
      <c r="S523" s="202">
        <v>15</v>
      </c>
      <c r="T523" s="203">
        <f t="shared" si="48"/>
        <v>134</v>
      </c>
      <c r="U523" s="204">
        <v>0</v>
      </c>
      <c r="V523" s="204">
        <f t="shared" si="49"/>
        <v>0</v>
      </c>
      <c r="W523" s="204">
        <f t="shared" si="50"/>
        <v>12</v>
      </c>
      <c r="X523" s="205">
        <f t="shared" si="51"/>
        <v>22.5</v>
      </c>
      <c r="Y523" s="206">
        <f t="shared" si="52"/>
        <v>169</v>
      </c>
      <c r="Z523" s="138">
        <f t="shared" si="53"/>
        <v>169</v>
      </c>
    </row>
    <row r="524" spans="1:26" x14ac:dyDescent="0.25">
      <c r="A524" s="30" t="s">
        <v>1428</v>
      </c>
      <c r="B524" s="30" t="s">
        <v>181</v>
      </c>
      <c r="C524" s="30" t="s">
        <v>1556</v>
      </c>
      <c r="D524" s="30">
        <v>179094</v>
      </c>
      <c r="E524" s="31" t="s">
        <v>1557</v>
      </c>
      <c r="F524" s="30">
        <v>37938045</v>
      </c>
      <c r="G524" s="119" t="s">
        <v>1342</v>
      </c>
      <c r="H524" s="31" t="s">
        <v>1151</v>
      </c>
      <c r="I524" s="120" t="s">
        <v>1559</v>
      </c>
      <c r="J524" s="42">
        <v>1</v>
      </c>
      <c r="K524" s="43">
        <v>0</v>
      </c>
      <c r="L524" s="43">
        <v>1</v>
      </c>
      <c r="M524" s="43">
        <v>0</v>
      </c>
      <c r="N524" s="43">
        <v>0</v>
      </c>
      <c r="O524" s="43">
        <v>0</v>
      </c>
      <c r="P524" s="44">
        <v>0</v>
      </c>
      <c r="Q524" s="42">
        <v>0</v>
      </c>
      <c r="R524" s="43">
        <v>1</v>
      </c>
      <c r="S524" s="44">
        <v>0</v>
      </c>
      <c r="T524" s="45">
        <f t="shared" ref="T524:T532" si="54">$T$1*L524</f>
        <v>33.5</v>
      </c>
      <c r="U524" s="46">
        <v>0</v>
      </c>
      <c r="V524" s="46">
        <f t="shared" ref="V524:V532" si="55">$U$1*N524+$V$1*Q524</f>
        <v>0</v>
      </c>
      <c r="W524" s="46">
        <f t="shared" ref="W524:W532" si="56">$U$1*O524+$W$1*R524</f>
        <v>2</v>
      </c>
      <c r="X524" s="121">
        <f t="shared" ref="X524:X532" si="57">$X$1*P524+$V$1*S524</f>
        <v>0</v>
      </c>
      <c r="Y524" s="122">
        <f t="shared" ref="Y524:Y532" si="58">T524+U524+V524+W524+X524</f>
        <v>35.5</v>
      </c>
      <c r="Z524" s="138">
        <f t="shared" si="53"/>
        <v>36</v>
      </c>
    </row>
    <row r="525" spans="1:26" ht="25.5" x14ac:dyDescent="0.25">
      <c r="A525" s="30" t="s">
        <v>1428</v>
      </c>
      <c r="B525" s="30" t="s">
        <v>181</v>
      </c>
      <c r="C525" s="30" t="s">
        <v>1556</v>
      </c>
      <c r="D525" s="30">
        <v>179094</v>
      </c>
      <c r="E525" s="31" t="s">
        <v>1557</v>
      </c>
      <c r="F525" s="30">
        <v>50295829</v>
      </c>
      <c r="G525" s="119" t="s">
        <v>1342</v>
      </c>
      <c r="H525" s="31" t="s">
        <v>1433</v>
      </c>
      <c r="I525" s="158" t="s">
        <v>1560</v>
      </c>
      <c r="J525" s="42">
        <v>2</v>
      </c>
      <c r="K525" s="43">
        <v>0</v>
      </c>
      <c r="L525" s="43">
        <v>3</v>
      </c>
      <c r="M525" s="43">
        <v>0</v>
      </c>
      <c r="N525" s="43">
        <v>0</v>
      </c>
      <c r="O525" s="43">
        <v>0</v>
      </c>
      <c r="P525" s="44">
        <v>0</v>
      </c>
      <c r="Q525" s="42">
        <v>1</v>
      </c>
      <c r="R525" s="43">
        <v>0</v>
      </c>
      <c r="S525" s="44">
        <v>3</v>
      </c>
      <c r="T525" s="45">
        <f t="shared" si="54"/>
        <v>100.5</v>
      </c>
      <c r="U525" s="46">
        <v>0</v>
      </c>
      <c r="V525" s="46">
        <f t="shared" si="55"/>
        <v>1.5</v>
      </c>
      <c r="W525" s="46">
        <f t="shared" si="56"/>
        <v>0</v>
      </c>
      <c r="X525" s="121">
        <f t="shared" si="57"/>
        <v>4.5</v>
      </c>
      <c r="Y525" s="122">
        <f t="shared" si="58"/>
        <v>106.5</v>
      </c>
      <c r="Z525" s="138">
        <f t="shared" si="53"/>
        <v>107</v>
      </c>
    </row>
    <row r="526" spans="1:26" x14ac:dyDescent="0.25">
      <c r="A526" s="30" t="s">
        <v>1428</v>
      </c>
      <c r="B526" s="30" t="s">
        <v>181</v>
      </c>
      <c r="C526" s="30" t="s">
        <v>1556</v>
      </c>
      <c r="D526" s="30">
        <v>179094</v>
      </c>
      <c r="E526" s="31" t="s">
        <v>1557</v>
      </c>
      <c r="F526" s="30">
        <v>35561548</v>
      </c>
      <c r="G526" s="119" t="s">
        <v>1567</v>
      </c>
      <c r="H526" s="31" t="s">
        <v>1568</v>
      </c>
      <c r="I526" s="120" t="s">
        <v>1569</v>
      </c>
      <c r="J526" s="42">
        <v>7</v>
      </c>
      <c r="K526" s="43">
        <v>0</v>
      </c>
      <c r="L526" s="43">
        <v>9</v>
      </c>
      <c r="M526" s="43">
        <v>0</v>
      </c>
      <c r="N526" s="43">
        <v>0</v>
      </c>
      <c r="O526" s="43">
        <v>0</v>
      </c>
      <c r="P526" s="44">
        <v>0</v>
      </c>
      <c r="Q526" s="42">
        <v>1</v>
      </c>
      <c r="R526" s="43">
        <v>12</v>
      </c>
      <c r="S526" s="44">
        <v>5</v>
      </c>
      <c r="T526" s="45">
        <f t="shared" si="54"/>
        <v>301.5</v>
      </c>
      <c r="U526" s="46">
        <v>71.7</v>
      </c>
      <c r="V526" s="46">
        <f t="shared" si="55"/>
        <v>1.5</v>
      </c>
      <c r="W526" s="46">
        <f t="shared" si="56"/>
        <v>24</v>
      </c>
      <c r="X526" s="121">
        <f t="shared" si="57"/>
        <v>7.5</v>
      </c>
      <c r="Y526" s="122">
        <f t="shared" si="58"/>
        <v>406.2</v>
      </c>
      <c r="Z526" s="138">
        <f t="shared" si="53"/>
        <v>406</v>
      </c>
    </row>
    <row r="527" spans="1:26" x14ac:dyDescent="0.25">
      <c r="A527" s="127" t="s">
        <v>1428</v>
      </c>
      <c r="B527" s="127" t="s">
        <v>181</v>
      </c>
      <c r="C527" s="127" t="s">
        <v>1556</v>
      </c>
      <c r="D527" s="127">
        <v>179094</v>
      </c>
      <c r="E527" s="31" t="s">
        <v>1557</v>
      </c>
      <c r="F527" s="127">
        <v>35560321</v>
      </c>
      <c r="G527" s="119" t="s">
        <v>1570</v>
      </c>
      <c r="H527" s="31" t="s">
        <v>1499</v>
      </c>
      <c r="I527" s="120" t="s">
        <v>1571</v>
      </c>
      <c r="J527" s="42">
        <v>5</v>
      </c>
      <c r="K527" s="43">
        <v>0</v>
      </c>
      <c r="L527" s="43">
        <v>5</v>
      </c>
      <c r="M527" s="43">
        <v>0</v>
      </c>
      <c r="N527" s="43">
        <v>0</v>
      </c>
      <c r="O527" s="43">
        <v>0</v>
      </c>
      <c r="P527" s="44">
        <v>0</v>
      </c>
      <c r="Q527" s="42">
        <v>0</v>
      </c>
      <c r="R527" s="43">
        <v>5</v>
      </c>
      <c r="S527" s="44">
        <v>1</v>
      </c>
      <c r="T527" s="45">
        <f t="shared" si="54"/>
        <v>167.5</v>
      </c>
      <c r="U527" s="46">
        <v>0</v>
      </c>
      <c r="V527" s="46">
        <f t="shared" si="55"/>
        <v>0</v>
      </c>
      <c r="W527" s="46">
        <f t="shared" si="56"/>
        <v>10</v>
      </c>
      <c r="X527" s="121">
        <f t="shared" si="57"/>
        <v>1.5</v>
      </c>
      <c r="Y527" s="122">
        <f t="shared" si="58"/>
        <v>179</v>
      </c>
      <c r="Z527" s="138">
        <f t="shared" si="53"/>
        <v>179</v>
      </c>
    </row>
    <row r="528" spans="1:26" ht="25.5" x14ac:dyDescent="0.25">
      <c r="A528" s="30" t="s">
        <v>1428</v>
      </c>
      <c r="B528" s="30" t="s">
        <v>181</v>
      </c>
      <c r="C528" s="30" t="s">
        <v>1572</v>
      </c>
      <c r="D528" s="30">
        <v>30305624</v>
      </c>
      <c r="E528" s="31" t="s">
        <v>1573</v>
      </c>
      <c r="F528" s="30">
        <v>35564024</v>
      </c>
      <c r="G528" s="119" t="s">
        <v>1574</v>
      </c>
      <c r="H528" s="31" t="s">
        <v>1445</v>
      </c>
      <c r="I528" s="120" t="s">
        <v>1575</v>
      </c>
      <c r="J528" s="42">
        <v>2</v>
      </c>
      <c r="K528" s="43">
        <v>0</v>
      </c>
      <c r="L528" s="43">
        <v>3</v>
      </c>
      <c r="M528" s="43">
        <v>0</v>
      </c>
      <c r="N528" s="43">
        <v>0</v>
      </c>
      <c r="O528" s="43">
        <v>2</v>
      </c>
      <c r="P528" s="44">
        <v>1</v>
      </c>
      <c r="Q528" s="42">
        <v>0</v>
      </c>
      <c r="R528" s="43">
        <v>4</v>
      </c>
      <c r="S528" s="44">
        <v>3</v>
      </c>
      <c r="T528" s="45">
        <f t="shared" si="54"/>
        <v>100.5</v>
      </c>
      <c r="U528" s="46">
        <v>0</v>
      </c>
      <c r="V528" s="46">
        <f t="shared" si="55"/>
        <v>0</v>
      </c>
      <c r="W528" s="46">
        <f t="shared" si="56"/>
        <v>35</v>
      </c>
      <c r="X528" s="121">
        <f t="shared" si="57"/>
        <v>31.5</v>
      </c>
      <c r="Y528" s="122">
        <f t="shared" si="58"/>
        <v>167</v>
      </c>
      <c r="Z528" s="138">
        <f t="shared" si="53"/>
        <v>167</v>
      </c>
    </row>
    <row r="529" spans="1:26" x14ac:dyDescent="0.25">
      <c r="A529" s="30" t="s">
        <v>1428</v>
      </c>
      <c r="B529" s="30" t="s">
        <v>181</v>
      </c>
      <c r="C529" s="30" t="s">
        <v>1576</v>
      </c>
      <c r="D529" s="30">
        <v>179175</v>
      </c>
      <c r="E529" s="31" t="s">
        <v>1577</v>
      </c>
      <c r="F529" s="30">
        <v>31942369</v>
      </c>
      <c r="G529" s="119" t="s">
        <v>1578</v>
      </c>
      <c r="H529" s="31" t="s">
        <v>1449</v>
      </c>
      <c r="I529" s="120" t="s">
        <v>1579</v>
      </c>
      <c r="J529" s="42">
        <v>0</v>
      </c>
      <c r="K529" s="43">
        <v>0</v>
      </c>
      <c r="L529" s="43">
        <v>1</v>
      </c>
      <c r="M529" s="43">
        <v>0</v>
      </c>
      <c r="N529" s="43">
        <v>0</v>
      </c>
      <c r="O529" s="43">
        <v>0</v>
      </c>
      <c r="P529" s="44">
        <v>0</v>
      </c>
      <c r="Q529" s="42">
        <v>0</v>
      </c>
      <c r="R529" s="43">
        <v>2</v>
      </c>
      <c r="S529" s="44">
        <v>0</v>
      </c>
      <c r="T529" s="45">
        <f t="shared" si="54"/>
        <v>33.5</v>
      </c>
      <c r="U529" s="46">
        <v>0</v>
      </c>
      <c r="V529" s="46">
        <f t="shared" si="55"/>
        <v>0</v>
      </c>
      <c r="W529" s="46">
        <f t="shared" si="56"/>
        <v>4</v>
      </c>
      <c r="X529" s="121">
        <f t="shared" si="57"/>
        <v>0</v>
      </c>
      <c r="Y529" s="122">
        <f t="shared" si="58"/>
        <v>37.5</v>
      </c>
      <c r="Z529" s="138">
        <f t="shared" si="53"/>
        <v>38</v>
      </c>
    </row>
    <row r="530" spans="1:26" x14ac:dyDescent="0.25">
      <c r="A530" s="30" t="s">
        <v>1428</v>
      </c>
      <c r="B530" s="30" t="s">
        <v>181</v>
      </c>
      <c r="C530" s="30" t="s">
        <v>1556</v>
      </c>
      <c r="D530" s="30">
        <v>179094</v>
      </c>
      <c r="E530" s="31" t="s">
        <v>1557</v>
      </c>
      <c r="F530" s="159">
        <v>17080151</v>
      </c>
      <c r="G530" s="160" t="s">
        <v>1582</v>
      </c>
      <c r="H530" s="182" t="s">
        <v>1223</v>
      </c>
      <c r="I530" s="184" t="s">
        <v>1583</v>
      </c>
      <c r="J530" s="60">
        <v>1</v>
      </c>
      <c r="K530" s="61">
        <v>0</v>
      </c>
      <c r="L530" s="61">
        <v>1</v>
      </c>
      <c r="M530" s="61">
        <v>0</v>
      </c>
      <c r="N530" s="61">
        <v>0</v>
      </c>
      <c r="O530" s="61">
        <v>0</v>
      </c>
      <c r="P530" s="63">
        <v>0</v>
      </c>
      <c r="Q530" s="60">
        <v>0</v>
      </c>
      <c r="R530" s="61">
        <v>0</v>
      </c>
      <c r="S530" s="63">
        <v>3</v>
      </c>
      <c r="T530" s="185">
        <f t="shared" si="54"/>
        <v>33.5</v>
      </c>
      <c r="U530" s="64">
        <v>0</v>
      </c>
      <c r="V530" s="64">
        <f t="shared" si="55"/>
        <v>0</v>
      </c>
      <c r="W530" s="64">
        <f t="shared" si="56"/>
        <v>0</v>
      </c>
      <c r="X530" s="186">
        <f t="shared" si="57"/>
        <v>4.5</v>
      </c>
      <c r="Y530" s="187">
        <f t="shared" si="58"/>
        <v>38</v>
      </c>
      <c r="Z530" s="188">
        <f t="shared" si="53"/>
        <v>38</v>
      </c>
    </row>
    <row r="531" spans="1:26" ht="25.5" x14ac:dyDescent="0.25">
      <c r="A531" s="30" t="s">
        <v>1428</v>
      </c>
      <c r="B531" s="30" t="s">
        <v>181</v>
      </c>
      <c r="C531" s="30" t="s">
        <v>1556</v>
      </c>
      <c r="D531" s="30">
        <v>179094</v>
      </c>
      <c r="E531" s="31" t="s">
        <v>1557</v>
      </c>
      <c r="F531" s="30">
        <v>618462</v>
      </c>
      <c r="G531" s="119" t="s">
        <v>1589</v>
      </c>
      <c r="H531" s="31" t="s">
        <v>1236</v>
      </c>
      <c r="I531" s="120" t="s">
        <v>1590</v>
      </c>
      <c r="J531" s="42">
        <v>1</v>
      </c>
      <c r="K531" s="43">
        <v>0</v>
      </c>
      <c r="L531" s="43">
        <v>1</v>
      </c>
      <c r="M531" s="43">
        <v>0</v>
      </c>
      <c r="N531" s="43">
        <v>0</v>
      </c>
      <c r="O531" s="43">
        <v>0</v>
      </c>
      <c r="P531" s="44">
        <v>0</v>
      </c>
      <c r="Q531" s="42">
        <v>0</v>
      </c>
      <c r="R531" s="43">
        <v>1</v>
      </c>
      <c r="S531" s="44">
        <v>1</v>
      </c>
      <c r="T531" s="45">
        <f t="shared" si="54"/>
        <v>33.5</v>
      </c>
      <c r="U531" s="46">
        <v>7.3</v>
      </c>
      <c r="V531" s="46">
        <f t="shared" si="55"/>
        <v>0</v>
      </c>
      <c r="W531" s="46">
        <f t="shared" si="56"/>
        <v>2</v>
      </c>
      <c r="X531" s="121">
        <f t="shared" si="57"/>
        <v>1.5</v>
      </c>
      <c r="Y531" s="122">
        <f t="shared" si="58"/>
        <v>44.3</v>
      </c>
      <c r="Z531" s="138">
        <f t="shared" si="53"/>
        <v>44</v>
      </c>
    </row>
    <row r="532" spans="1:26" ht="25.5" x14ac:dyDescent="0.25">
      <c r="A532" s="30" t="s">
        <v>1428</v>
      </c>
      <c r="B532" s="30" t="s">
        <v>181</v>
      </c>
      <c r="C532" s="30" t="s">
        <v>1572</v>
      </c>
      <c r="D532" s="30">
        <v>30305624</v>
      </c>
      <c r="E532" s="31" t="s">
        <v>1573</v>
      </c>
      <c r="F532" s="30">
        <v>35555912</v>
      </c>
      <c r="G532" s="119" t="s">
        <v>1593</v>
      </c>
      <c r="H532" s="31" t="s">
        <v>1169</v>
      </c>
      <c r="I532" s="120" t="s">
        <v>1594</v>
      </c>
      <c r="J532" s="42">
        <v>4</v>
      </c>
      <c r="K532" s="43">
        <v>0</v>
      </c>
      <c r="L532" s="43">
        <v>5</v>
      </c>
      <c r="M532" s="43">
        <v>0</v>
      </c>
      <c r="N532" s="43">
        <v>1</v>
      </c>
      <c r="O532" s="43">
        <v>1</v>
      </c>
      <c r="P532" s="44">
        <v>1</v>
      </c>
      <c r="Q532" s="42">
        <v>1</v>
      </c>
      <c r="R532" s="43">
        <v>3</v>
      </c>
      <c r="S532" s="44">
        <v>6</v>
      </c>
      <c r="T532" s="45">
        <f t="shared" si="54"/>
        <v>167.5</v>
      </c>
      <c r="U532" s="46">
        <v>0</v>
      </c>
      <c r="V532" s="46">
        <f t="shared" si="55"/>
        <v>15</v>
      </c>
      <c r="W532" s="46">
        <f t="shared" si="56"/>
        <v>19.5</v>
      </c>
      <c r="X532" s="121">
        <f t="shared" si="57"/>
        <v>36</v>
      </c>
      <c r="Y532" s="122">
        <f t="shared" si="58"/>
        <v>238</v>
      </c>
      <c r="Z532" s="138">
        <f t="shared" si="53"/>
        <v>238</v>
      </c>
    </row>
    <row r="533" spans="1:26" x14ac:dyDescent="0.25">
      <c r="A533" s="29" t="s">
        <v>1428</v>
      </c>
      <c r="B533" s="29" t="s">
        <v>181</v>
      </c>
      <c r="C533" s="29" t="s">
        <v>1556</v>
      </c>
      <c r="D533" s="29">
        <v>179094</v>
      </c>
      <c r="E533" s="207" t="s">
        <v>1557</v>
      </c>
      <c r="F533" s="208">
        <v>17080151</v>
      </c>
      <c r="G533" s="207" t="s">
        <v>1582</v>
      </c>
      <c r="H533" s="207" t="s">
        <v>1223</v>
      </c>
      <c r="I533" s="209" t="s">
        <v>1583</v>
      </c>
      <c r="J533" s="60">
        <v>1</v>
      </c>
      <c r="K533" s="61">
        <v>0</v>
      </c>
      <c r="L533" s="61">
        <v>2</v>
      </c>
      <c r="M533" s="61">
        <v>0</v>
      </c>
      <c r="N533" s="61">
        <v>0</v>
      </c>
      <c r="O533" s="61">
        <v>0</v>
      </c>
      <c r="P533" s="63">
        <v>1</v>
      </c>
      <c r="Q533" s="60">
        <v>0</v>
      </c>
      <c r="R533" s="61">
        <v>0</v>
      </c>
      <c r="S533" s="63">
        <v>27</v>
      </c>
      <c r="T533" s="185">
        <v>67</v>
      </c>
      <c r="U533" s="64">
        <v>0</v>
      </c>
      <c r="V533" s="64">
        <v>0</v>
      </c>
      <c r="W533" s="64">
        <v>0</v>
      </c>
      <c r="X533" s="186">
        <v>67.5</v>
      </c>
      <c r="Y533" s="187">
        <v>134.5</v>
      </c>
      <c r="Z533" s="188">
        <v>135</v>
      </c>
    </row>
    <row r="534" spans="1:26" ht="25.5" x14ac:dyDescent="0.25">
      <c r="A534" s="30" t="s">
        <v>1428</v>
      </c>
      <c r="B534" s="30" t="s">
        <v>226</v>
      </c>
      <c r="C534" s="30" t="s">
        <v>1596</v>
      </c>
      <c r="D534" s="30">
        <v>45739102</v>
      </c>
      <c r="E534" s="31" t="s">
        <v>1597</v>
      </c>
      <c r="F534" s="30">
        <v>35547031</v>
      </c>
      <c r="G534" s="119" t="s">
        <v>1598</v>
      </c>
      <c r="H534" s="31" t="s">
        <v>214</v>
      </c>
      <c r="I534" s="120" t="s">
        <v>1599</v>
      </c>
      <c r="J534" s="42">
        <v>1</v>
      </c>
      <c r="K534" s="43">
        <v>0</v>
      </c>
      <c r="L534" s="43">
        <v>1</v>
      </c>
      <c r="M534" s="43">
        <v>0</v>
      </c>
      <c r="N534" s="43">
        <v>0</v>
      </c>
      <c r="O534" s="43">
        <v>1</v>
      </c>
      <c r="P534" s="44">
        <v>0</v>
      </c>
      <c r="Q534" s="42">
        <v>0</v>
      </c>
      <c r="R534" s="43">
        <v>5</v>
      </c>
      <c r="S534" s="44">
        <v>0</v>
      </c>
      <c r="T534" s="45">
        <f t="shared" ref="T534:T541" si="59">$T$1*L534</f>
        <v>33.5</v>
      </c>
      <c r="U534" s="46">
        <v>0</v>
      </c>
      <c r="V534" s="46">
        <f t="shared" ref="V534:V541" si="60">$U$1*N534+$V$1*Q534</f>
        <v>0</v>
      </c>
      <c r="W534" s="46">
        <f t="shared" ref="W534:W541" si="61">$U$1*O534+$W$1*R534</f>
        <v>23.5</v>
      </c>
      <c r="X534" s="121">
        <f t="shared" ref="X534:X541" si="62">$X$1*P534+$V$1*S534</f>
        <v>0</v>
      </c>
      <c r="Y534" s="122">
        <f t="shared" ref="Y534:Y541" si="63">T534+U534+V534+W534+X534</f>
        <v>57</v>
      </c>
      <c r="Z534" s="138">
        <f t="shared" ref="Z534:Z541" si="64">ROUND(Y534,0)</f>
        <v>57</v>
      </c>
    </row>
    <row r="535" spans="1:26" ht="25.5" x14ac:dyDescent="0.25">
      <c r="A535" s="30" t="s">
        <v>1428</v>
      </c>
      <c r="B535" s="30" t="s">
        <v>226</v>
      </c>
      <c r="C535" s="30" t="s">
        <v>1618</v>
      </c>
      <c r="D535" s="30">
        <v>36670201</v>
      </c>
      <c r="E535" s="31" t="s">
        <v>1619</v>
      </c>
      <c r="F535" s="30">
        <v>31313833</v>
      </c>
      <c r="G535" s="119" t="s">
        <v>1620</v>
      </c>
      <c r="H535" s="31" t="s">
        <v>1499</v>
      </c>
      <c r="I535" s="120" t="s">
        <v>1621</v>
      </c>
      <c r="J535" s="42">
        <v>2</v>
      </c>
      <c r="K535" s="43">
        <v>0</v>
      </c>
      <c r="L535" s="43">
        <v>2</v>
      </c>
      <c r="M535" s="43">
        <v>0</v>
      </c>
      <c r="N535" s="43">
        <v>0</v>
      </c>
      <c r="O535" s="43">
        <v>0</v>
      </c>
      <c r="P535" s="44">
        <v>0</v>
      </c>
      <c r="Q535" s="42">
        <v>1</v>
      </c>
      <c r="R535" s="43">
        <v>2</v>
      </c>
      <c r="S535" s="44">
        <v>0</v>
      </c>
      <c r="T535" s="45">
        <f t="shared" si="59"/>
        <v>67</v>
      </c>
      <c r="U535" s="46">
        <v>0</v>
      </c>
      <c r="V535" s="46">
        <f t="shared" si="60"/>
        <v>1.5</v>
      </c>
      <c r="W535" s="46">
        <f t="shared" si="61"/>
        <v>4</v>
      </c>
      <c r="X535" s="121">
        <f t="shared" si="62"/>
        <v>0</v>
      </c>
      <c r="Y535" s="122">
        <f t="shared" si="63"/>
        <v>72.5</v>
      </c>
      <c r="Z535" s="138">
        <f t="shared" si="64"/>
        <v>73</v>
      </c>
    </row>
    <row r="536" spans="1:26" ht="25.5" x14ac:dyDescent="0.25">
      <c r="A536" s="30" t="s">
        <v>1428</v>
      </c>
      <c r="B536" s="30" t="s">
        <v>226</v>
      </c>
      <c r="C536" s="30" t="s">
        <v>1622</v>
      </c>
      <c r="D536" s="30">
        <v>35582006</v>
      </c>
      <c r="E536" s="31" t="s">
        <v>1623</v>
      </c>
      <c r="F536" s="30">
        <v>35565233</v>
      </c>
      <c r="G536" s="119" t="s">
        <v>266</v>
      </c>
      <c r="H536" s="31" t="s">
        <v>1445</v>
      </c>
      <c r="I536" s="120" t="s">
        <v>1624</v>
      </c>
      <c r="J536" s="42">
        <v>1</v>
      </c>
      <c r="K536" s="43">
        <v>0</v>
      </c>
      <c r="L536" s="43">
        <v>1</v>
      </c>
      <c r="M536" s="43">
        <v>0</v>
      </c>
      <c r="N536" s="43">
        <v>0</v>
      </c>
      <c r="O536" s="43">
        <v>1</v>
      </c>
      <c r="P536" s="44">
        <v>0</v>
      </c>
      <c r="Q536" s="42">
        <v>0</v>
      </c>
      <c r="R536" s="43">
        <v>1</v>
      </c>
      <c r="S536" s="44">
        <v>0</v>
      </c>
      <c r="T536" s="45">
        <f t="shared" si="59"/>
        <v>33.5</v>
      </c>
      <c r="U536" s="46">
        <v>0</v>
      </c>
      <c r="V536" s="46">
        <f t="shared" si="60"/>
        <v>0</v>
      </c>
      <c r="W536" s="46">
        <f t="shared" si="61"/>
        <v>15.5</v>
      </c>
      <c r="X536" s="121">
        <f t="shared" si="62"/>
        <v>0</v>
      </c>
      <c r="Y536" s="122">
        <f t="shared" si="63"/>
        <v>49</v>
      </c>
      <c r="Z536" s="138">
        <f t="shared" si="64"/>
        <v>49</v>
      </c>
    </row>
    <row r="537" spans="1:26" x14ac:dyDescent="0.25">
      <c r="A537" s="30" t="s">
        <v>1428</v>
      </c>
      <c r="B537" s="30" t="s">
        <v>226</v>
      </c>
      <c r="C537" s="30" t="s">
        <v>1622</v>
      </c>
      <c r="D537" s="30">
        <v>35582006</v>
      </c>
      <c r="E537" s="31" t="s">
        <v>1623</v>
      </c>
      <c r="F537" s="30">
        <v>42107148</v>
      </c>
      <c r="G537" s="119" t="s">
        <v>1631</v>
      </c>
      <c r="H537" s="31" t="s">
        <v>1445</v>
      </c>
      <c r="I537" s="120" t="s">
        <v>1624</v>
      </c>
      <c r="J537" s="42">
        <v>2</v>
      </c>
      <c r="K537" s="43">
        <v>0</v>
      </c>
      <c r="L537" s="43">
        <v>2</v>
      </c>
      <c r="M537" s="43">
        <v>0</v>
      </c>
      <c r="N537" s="43">
        <v>1</v>
      </c>
      <c r="O537" s="43">
        <v>0</v>
      </c>
      <c r="P537" s="44">
        <v>1</v>
      </c>
      <c r="Q537" s="42">
        <v>6</v>
      </c>
      <c r="R537" s="43">
        <v>0</v>
      </c>
      <c r="S537" s="44">
        <v>7</v>
      </c>
      <c r="T537" s="45">
        <f t="shared" si="59"/>
        <v>67</v>
      </c>
      <c r="U537" s="46">
        <v>0</v>
      </c>
      <c r="V537" s="46">
        <f t="shared" si="60"/>
        <v>22.5</v>
      </c>
      <c r="W537" s="46">
        <f t="shared" si="61"/>
        <v>0</v>
      </c>
      <c r="X537" s="121">
        <f t="shared" si="62"/>
        <v>37.5</v>
      </c>
      <c r="Y537" s="122">
        <f t="shared" si="63"/>
        <v>127</v>
      </c>
      <c r="Z537" s="138">
        <f t="shared" si="64"/>
        <v>127</v>
      </c>
    </row>
    <row r="538" spans="1:26" x14ac:dyDescent="0.25">
      <c r="A538" s="30" t="s">
        <v>1428</v>
      </c>
      <c r="B538" s="30" t="s">
        <v>226</v>
      </c>
      <c r="C538" s="30" t="s">
        <v>1632</v>
      </c>
      <c r="D538" s="30">
        <v>90000338</v>
      </c>
      <c r="E538" s="31" t="s">
        <v>1633</v>
      </c>
      <c r="F538" s="30">
        <v>31295657</v>
      </c>
      <c r="G538" s="119" t="s">
        <v>229</v>
      </c>
      <c r="H538" s="31" t="s">
        <v>1510</v>
      </c>
      <c r="I538" s="120" t="s">
        <v>1634</v>
      </c>
      <c r="J538" s="42">
        <v>2</v>
      </c>
      <c r="K538" s="43">
        <v>0</v>
      </c>
      <c r="L538" s="43">
        <v>2</v>
      </c>
      <c r="M538" s="43">
        <v>0</v>
      </c>
      <c r="N538" s="43">
        <v>0</v>
      </c>
      <c r="O538" s="43">
        <v>3</v>
      </c>
      <c r="P538" s="44">
        <v>0</v>
      </c>
      <c r="Q538" s="42">
        <v>0</v>
      </c>
      <c r="R538" s="43">
        <v>4</v>
      </c>
      <c r="S538" s="44">
        <v>0</v>
      </c>
      <c r="T538" s="45">
        <f t="shared" si="59"/>
        <v>67</v>
      </c>
      <c r="U538" s="46">
        <v>0</v>
      </c>
      <c r="V538" s="46">
        <f t="shared" si="60"/>
        <v>0</v>
      </c>
      <c r="W538" s="46">
        <f t="shared" si="61"/>
        <v>48.5</v>
      </c>
      <c r="X538" s="121">
        <f t="shared" si="62"/>
        <v>0</v>
      </c>
      <c r="Y538" s="122">
        <f t="shared" si="63"/>
        <v>115.5</v>
      </c>
      <c r="Z538" s="138">
        <f t="shared" si="64"/>
        <v>116</v>
      </c>
    </row>
    <row r="539" spans="1:26" x14ac:dyDescent="0.25">
      <c r="A539" s="30" t="s">
        <v>1428</v>
      </c>
      <c r="B539" s="30" t="s">
        <v>226</v>
      </c>
      <c r="C539" s="30" t="s">
        <v>1635</v>
      </c>
      <c r="D539" s="30">
        <v>31257267</v>
      </c>
      <c r="E539" s="31" t="s">
        <v>1636</v>
      </c>
      <c r="F539" s="30">
        <v>42249252</v>
      </c>
      <c r="G539" s="119" t="s">
        <v>229</v>
      </c>
      <c r="H539" s="31" t="s">
        <v>1510</v>
      </c>
      <c r="I539" s="120" t="s">
        <v>1637</v>
      </c>
      <c r="J539" s="42">
        <v>2</v>
      </c>
      <c r="K539" s="43">
        <v>0</v>
      </c>
      <c r="L539" s="43">
        <v>2</v>
      </c>
      <c r="M539" s="43">
        <v>0</v>
      </c>
      <c r="N539" s="43">
        <v>0</v>
      </c>
      <c r="O539" s="43">
        <v>2</v>
      </c>
      <c r="P539" s="44">
        <v>0</v>
      </c>
      <c r="Q539" s="42">
        <v>0</v>
      </c>
      <c r="R539" s="43">
        <v>3</v>
      </c>
      <c r="S539" s="44">
        <v>0</v>
      </c>
      <c r="T539" s="45">
        <f t="shared" si="59"/>
        <v>67</v>
      </c>
      <c r="U539" s="46">
        <v>0</v>
      </c>
      <c r="V539" s="46">
        <f t="shared" si="60"/>
        <v>0</v>
      </c>
      <c r="W539" s="46">
        <f t="shared" si="61"/>
        <v>33</v>
      </c>
      <c r="X539" s="121">
        <f t="shared" si="62"/>
        <v>0</v>
      </c>
      <c r="Y539" s="122">
        <f t="shared" si="63"/>
        <v>100</v>
      </c>
      <c r="Z539" s="138">
        <f t="shared" si="64"/>
        <v>100</v>
      </c>
    </row>
    <row r="540" spans="1:26" x14ac:dyDescent="0.25">
      <c r="A540" s="30" t="s">
        <v>1428</v>
      </c>
      <c r="B540" s="30" t="s">
        <v>226</v>
      </c>
      <c r="C540" s="30" t="s">
        <v>1622</v>
      </c>
      <c r="D540" s="30">
        <v>35582006</v>
      </c>
      <c r="E540" s="31" t="s">
        <v>1623</v>
      </c>
      <c r="F540" s="30">
        <v>42394732</v>
      </c>
      <c r="G540" s="119" t="s">
        <v>1631</v>
      </c>
      <c r="H540" s="31" t="s">
        <v>777</v>
      </c>
      <c r="I540" s="120" t="s">
        <v>1650</v>
      </c>
      <c r="J540" s="42">
        <v>1</v>
      </c>
      <c r="K540" s="43">
        <v>0</v>
      </c>
      <c r="L540" s="43">
        <v>1</v>
      </c>
      <c r="M540" s="43">
        <v>0</v>
      </c>
      <c r="N540" s="43">
        <v>0</v>
      </c>
      <c r="O540" s="43">
        <v>1</v>
      </c>
      <c r="P540" s="44">
        <v>0</v>
      </c>
      <c r="Q540" s="42">
        <v>0</v>
      </c>
      <c r="R540" s="43">
        <v>4</v>
      </c>
      <c r="S540" s="44">
        <v>0</v>
      </c>
      <c r="T540" s="45">
        <f t="shared" si="59"/>
        <v>33.5</v>
      </c>
      <c r="U540" s="46">
        <v>34.6</v>
      </c>
      <c r="V540" s="46">
        <f t="shared" si="60"/>
        <v>0</v>
      </c>
      <c r="W540" s="46">
        <f t="shared" si="61"/>
        <v>21.5</v>
      </c>
      <c r="X540" s="121">
        <f t="shared" si="62"/>
        <v>0</v>
      </c>
      <c r="Y540" s="122">
        <f t="shared" si="63"/>
        <v>89.6</v>
      </c>
      <c r="Z540" s="138">
        <f t="shared" si="64"/>
        <v>90</v>
      </c>
    </row>
    <row r="541" spans="1:26" ht="15.75" thickBot="1" x14ac:dyDescent="0.3">
      <c r="A541" s="127" t="s">
        <v>1428</v>
      </c>
      <c r="B541" s="127" t="s">
        <v>226</v>
      </c>
      <c r="C541" s="127" t="s">
        <v>1600</v>
      </c>
      <c r="D541" s="127">
        <v>35581450</v>
      </c>
      <c r="E541" s="31" t="s">
        <v>1601</v>
      </c>
      <c r="F541" s="127">
        <v>42152411</v>
      </c>
      <c r="G541" s="119" t="s">
        <v>1602</v>
      </c>
      <c r="H541" s="31" t="s">
        <v>556</v>
      </c>
      <c r="I541" s="120" t="s">
        <v>558</v>
      </c>
      <c r="J541" s="92">
        <v>2</v>
      </c>
      <c r="K541" s="93">
        <v>0</v>
      </c>
      <c r="L541" s="93">
        <v>2</v>
      </c>
      <c r="M541" s="93">
        <v>0</v>
      </c>
      <c r="N541" s="93">
        <v>0</v>
      </c>
      <c r="O541" s="93">
        <v>2</v>
      </c>
      <c r="P541" s="94">
        <v>0</v>
      </c>
      <c r="Q541" s="92">
        <v>0</v>
      </c>
      <c r="R541" s="93">
        <v>10</v>
      </c>
      <c r="S541" s="94">
        <v>0</v>
      </c>
      <c r="T541" s="95">
        <f t="shared" si="59"/>
        <v>67</v>
      </c>
      <c r="U541" s="96">
        <v>0</v>
      </c>
      <c r="V541" s="96">
        <f t="shared" si="60"/>
        <v>0</v>
      </c>
      <c r="W541" s="96">
        <f t="shared" si="61"/>
        <v>47</v>
      </c>
      <c r="X541" s="210">
        <f t="shared" si="62"/>
        <v>0</v>
      </c>
      <c r="Y541" s="211">
        <f t="shared" si="63"/>
        <v>114</v>
      </c>
      <c r="Z541" s="212">
        <f t="shared" si="64"/>
        <v>114</v>
      </c>
    </row>
    <row r="542" spans="1:26" ht="15.75" thickBot="1" x14ac:dyDescent="0.3">
      <c r="A542" s="213" t="s">
        <v>1658</v>
      </c>
      <c r="B542" s="214"/>
      <c r="C542" s="214"/>
      <c r="D542" s="214"/>
      <c r="E542" s="215"/>
      <c r="F542" s="214"/>
      <c r="G542" s="215"/>
      <c r="H542" s="214"/>
      <c r="I542" s="216"/>
      <c r="J542" s="109">
        <f t="shared" ref="J542:Z542" si="65">SUM(J4:J541)</f>
        <v>2060</v>
      </c>
      <c r="K542" s="109">
        <f t="shared" si="65"/>
        <v>55</v>
      </c>
      <c r="L542" s="109">
        <f t="shared" si="65"/>
        <v>4186.5</v>
      </c>
      <c r="M542" s="109">
        <f t="shared" si="65"/>
        <v>160</v>
      </c>
      <c r="N542" s="109">
        <f t="shared" si="65"/>
        <v>107</v>
      </c>
      <c r="O542" s="109">
        <f t="shared" si="65"/>
        <v>949</v>
      </c>
      <c r="P542" s="109">
        <f t="shared" si="65"/>
        <v>89</v>
      </c>
      <c r="Q542" s="109">
        <f t="shared" si="65"/>
        <v>1501</v>
      </c>
      <c r="R542" s="109">
        <f t="shared" si="65"/>
        <v>21688</v>
      </c>
      <c r="S542" s="109">
        <f t="shared" si="65"/>
        <v>7163</v>
      </c>
      <c r="T542" s="217">
        <f t="shared" si="65"/>
        <v>140247.75</v>
      </c>
      <c r="U542" s="217">
        <f t="shared" si="65"/>
        <v>21911.460000000003</v>
      </c>
      <c r="V542" s="217">
        <f t="shared" si="65"/>
        <v>3696</v>
      </c>
      <c r="W542" s="217">
        <f t="shared" si="65"/>
        <v>56187.5</v>
      </c>
      <c r="X542" s="217">
        <f t="shared" si="65"/>
        <v>13147.5</v>
      </c>
      <c r="Y542" s="217">
        <f t="shared" si="65"/>
        <v>235204.16999999998</v>
      </c>
      <c r="Z542" s="218">
        <f t="shared" si="65"/>
        <v>235294</v>
      </c>
    </row>
  </sheetData>
  <autoFilter ref="A3:Z542" xr:uid="{B4A927EA-19A8-4946-8D3E-221E44EFE08A}"/>
  <mergeCells count="1">
    <mergeCell ref="B1:C1"/>
  </mergeCells>
  <pageMargins left="0.7" right="0.7" top="0.75" bottom="0.75" header="0.3" footer="0.3"/>
  <pageSetup paperSize="9" scale="3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3C902-2CDF-40FD-B45A-3EF3C99A57E5}">
  <sheetPr>
    <pageSetUpPr fitToPage="1"/>
  </sheetPr>
  <dimension ref="A1:Z6"/>
  <sheetViews>
    <sheetView topLeftCell="F1" zoomScale="90" zoomScaleNormal="90" workbookViewId="0">
      <selection activeCell="I19" sqref="I19"/>
    </sheetView>
  </sheetViews>
  <sheetFormatPr defaultRowHeight="15" x14ac:dyDescent="0.25"/>
  <cols>
    <col min="1" max="1" width="6.5703125" customWidth="1"/>
    <col min="2" max="2" width="3.28515625" bestFit="1" customWidth="1"/>
    <col min="3" max="3" width="8.42578125" bestFit="1" customWidth="1"/>
    <col min="4" max="4" width="9" bestFit="1" customWidth="1"/>
    <col min="5" max="5" width="44.85546875" customWidth="1"/>
    <col min="6" max="6" width="10" bestFit="1" customWidth="1"/>
    <col min="7" max="7" width="44.42578125" customWidth="1"/>
    <col min="8" max="8" width="22.85546875" customWidth="1"/>
    <col min="9" max="9" width="24.42578125" customWidth="1"/>
  </cols>
  <sheetData>
    <row r="1" spans="1:26" ht="15.75" thickBot="1" x14ac:dyDescent="0.3">
      <c r="A1" s="1" t="s">
        <v>0</v>
      </c>
      <c r="B1" s="250" t="s">
        <v>1</v>
      </c>
      <c r="C1" s="250"/>
      <c r="E1" t="s">
        <v>1669</v>
      </c>
      <c r="T1" s="2">
        <v>33.5</v>
      </c>
      <c r="U1" s="2">
        <v>13.5</v>
      </c>
      <c r="V1" s="2">
        <v>1.5</v>
      </c>
      <c r="W1" s="2">
        <v>2</v>
      </c>
      <c r="X1" s="2">
        <v>27</v>
      </c>
    </row>
    <row r="2" spans="1:26" ht="209.25" x14ac:dyDescent="0.25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5" t="s">
        <v>8</v>
      </c>
      <c r="H2" s="4" t="s">
        <v>9</v>
      </c>
      <c r="I2" s="6" t="s">
        <v>10</v>
      </c>
      <c r="J2" s="7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9" t="s">
        <v>17</v>
      </c>
      <c r="Q2" s="7" t="s">
        <v>18</v>
      </c>
      <c r="R2" s="8" t="s">
        <v>19</v>
      </c>
      <c r="S2" s="10" t="s">
        <v>20</v>
      </c>
      <c r="T2" s="11" t="s">
        <v>21</v>
      </c>
      <c r="U2" s="12" t="s">
        <v>22</v>
      </c>
      <c r="V2" s="12" t="s">
        <v>23</v>
      </c>
      <c r="W2" s="12" t="s">
        <v>24</v>
      </c>
      <c r="X2" s="13" t="s">
        <v>25</v>
      </c>
      <c r="Y2" s="14" t="s">
        <v>26</v>
      </c>
      <c r="Z2" s="15" t="s">
        <v>27</v>
      </c>
    </row>
    <row r="3" spans="1:26" ht="27.75" thickBot="1" x14ac:dyDescent="0.3">
      <c r="A3" s="16" t="s">
        <v>28</v>
      </c>
      <c r="B3" s="17" t="s">
        <v>29</v>
      </c>
      <c r="C3" s="17" t="s">
        <v>30</v>
      </c>
      <c r="D3" s="17" t="s">
        <v>31</v>
      </c>
      <c r="E3" s="17" t="s">
        <v>32</v>
      </c>
      <c r="F3" s="17" t="s">
        <v>33</v>
      </c>
      <c r="G3" s="18" t="s">
        <v>34</v>
      </c>
      <c r="H3" s="18" t="s">
        <v>35</v>
      </c>
      <c r="I3" s="19" t="s">
        <v>36</v>
      </c>
      <c r="J3" s="20">
        <v>1</v>
      </c>
      <c r="K3" s="21">
        <v>2</v>
      </c>
      <c r="L3" s="21">
        <v>3</v>
      </c>
      <c r="M3" s="21">
        <v>4</v>
      </c>
      <c r="N3" s="21">
        <v>5</v>
      </c>
      <c r="O3" s="21">
        <v>6</v>
      </c>
      <c r="P3" s="22">
        <v>7</v>
      </c>
      <c r="Q3" s="20">
        <v>8</v>
      </c>
      <c r="R3" s="21">
        <v>9</v>
      </c>
      <c r="S3" s="23">
        <v>10</v>
      </c>
      <c r="T3" s="24" t="s">
        <v>37</v>
      </c>
      <c r="U3" s="21">
        <v>12</v>
      </c>
      <c r="V3" s="25" t="s">
        <v>38</v>
      </c>
      <c r="W3" s="25" t="s">
        <v>39</v>
      </c>
      <c r="X3" s="26" t="s">
        <v>40</v>
      </c>
      <c r="Y3" s="27" t="s">
        <v>41</v>
      </c>
      <c r="Z3" s="28">
        <v>17</v>
      </c>
    </row>
    <row r="4" spans="1:26" ht="15.75" thickTop="1" x14ac:dyDescent="0.25">
      <c r="A4" s="73" t="s">
        <v>42</v>
      </c>
      <c r="B4" s="73" t="s">
        <v>79</v>
      </c>
      <c r="C4" s="73" t="s">
        <v>80</v>
      </c>
      <c r="D4" s="74">
        <v>36063606</v>
      </c>
      <c r="E4" s="75" t="s">
        <v>81</v>
      </c>
      <c r="F4" s="73">
        <v>17337046</v>
      </c>
      <c r="G4" s="76" t="s">
        <v>84</v>
      </c>
      <c r="H4" s="76" t="s">
        <v>82</v>
      </c>
      <c r="I4" s="77" t="s">
        <v>85</v>
      </c>
      <c r="J4" s="42">
        <v>1</v>
      </c>
      <c r="K4" s="43">
        <v>0</v>
      </c>
      <c r="L4" s="43">
        <v>1</v>
      </c>
      <c r="M4" s="43">
        <v>0</v>
      </c>
      <c r="N4" s="43">
        <v>0</v>
      </c>
      <c r="O4" s="43">
        <v>0</v>
      </c>
      <c r="P4" s="52">
        <v>0</v>
      </c>
      <c r="Q4" s="42">
        <v>0</v>
      </c>
      <c r="R4" s="43">
        <v>34</v>
      </c>
      <c r="S4" s="44">
        <v>0</v>
      </c>
      <c r="T4" s="45">
        <f t="shared" ref="T4:T5" si="0">$T$1*L4</f>
        <v>33.5</v>
      </c>
      <c r="U4" s="46">
        <v>0</v>
      </c>
      <c r="V4" s="47">
        <f t="shared" ref="V4:V5" si="1">$U$1*N4+$V$1*Q4</f>
        <v>0</v>
      </c>
      <c r="W4" s="47">
        <f t="shared" ref="W4:W5" si="2">$U$1*O4+$W$1*R4</f>
        <v>68</v>
      </c>
      <c r="X4" s="48">
        <f t="shared" ref="X4:X5" si="3">$X$1*P4+$V$1*S4</f>
        <v>0</v>
      </c>
      <c r="Y4" s="49">
        <f t="shared" ref="Y4:Y5" si="4">T4+U4+V4+W4+X4</f>
        <v>101.5</v>
      </c>
      <c r="Z4" s="50">
        <f t="shared" ref="Z4:Z5" si="5">ROUND(Y4,0)</f>
        <v>102</v>
      </c>
    </row>
    <row r="5" spans="1:26" ht="15.75" thickBot="1" x14ac:dyDescent="0.3">
      <c r="A5" s="73" t="s">
        <v>42</v>
      </c>
      <c r="B5" s="73" t="s">
        <v>226</v>
      </c>
      <c r="C5" s="73" t="s">
        <v>279</v>
      </c>
      <c r="D5" s="73">
        <v>35839236</v>
      </c>
      <c r="E5" s="76" t="s">
        <v>280</v>
      </c>
      <c r="F5" s="73">
        <v>30792975</v>
      </c>
      <c r="G5" s="76" t="s">
        <v>281</v>
      </c>
      <c r="H5" s="76" t="s">
        <v>55</v>
      </c>
      <c r="I5" s="77" t="s">
        <v>282</v>
      </c>
      <c r="J5" s="42">
        <v>1</v>
      </c>
      <c r="K5" s="43">
        <v>0</v>
      </c>
      <c r="L5" s="43">
        <v>1</v>
      </c>
      <c r="M5" s="43">
        <v>0</v>
      </c>
      <c r="N5" s="43">
        <v>0</v>
      </c>
      <c r="O5" s="43">
        <v>0</v>
      </c>
      <c r="P5" s="52">
        <v>0</v>
      </c>
      <c r="Q5" s="42">
        <v>0</v>
      </c>
      <c r="R5" s="43">
        <v>22</v>
      </c>
      <c r="S5" s="44">
        <v>0</v>
      </c>
      <c r="T5" s="95">
        <f t="shared" si="0"/>
        <v>33.5</v>
      </c>
      <c r="U5" s="96">
        <v>0</v>
      </c>
      <c r="V5" s="97">
        <f t="shared" si="1"/>
        <v>0</v>
      </c>
      <c r="W5" s="97">
        <f t="shared" si="2"/>
        <v>44</v>
      </c>
      <c r="X5" s="48">
        <f t="shared" si="3"/>
        <v>0</v>
      </c>
      <c r="Y5" s="49">
        <f t="shared" si="4"/>
        <v>77.5</v>
      </c>
      <c r="Z5" s="50">
        <f t="shared" si="5"/>
        <v>78</v>
      </c>
    </row>
    <row r="6" spans="1:26" ht="15.75" thickBot="1" x14ac:dyDescent="0.3">
      <c r="A6" s="219" t="s">
        <v>1658</v>
      </c>
      <c r="B6" s="220"/>
      <c r="C6" s="220"/>
      <c r="D6" s="220"/>
      <c r="E6" s="220"/>
      <c r="F6" s="220"/>
      <c r="G6" s="220"/>
      <c r="H6" s="220"/>
      <c r="I6" s="221"/>
      <c r="J6" s="222">
        <f t="shared" ref="J6:Z6" si="6">SUM(J4:J5)</f>
        <v>2</v>
      </c>
      <c r="K6" s="223">
        <f t="shared" si="6"/>
        <v>0</v>
      </c>
      <c r="L6" s="223">
        <f t="shared" si="6"/>
        <v>2</v>
      </c>
      <c r="M6" s="223">
        <f t="shared" si="6"/>
        <v>0</v>
      </c>
      <c r="N6" s="223">
        <f t="shared" si="6"/>
        <v>0</v>
      </c>
      <c r="O6" s="223">
        <f t="shared" si="6"/>
        <v>0</v>
      </c>
      <c r="P6" s="223">
        <f t="shared" si="6"/>
        <v>0</v>
      </c>
      <c r="Q6" s="223">
        <f t="shared" si="6"/>
        <v>0</v>
      </c>
      <c r="R6" s="223">
        <f t="shared" si="6"/>
        <v>56</v>
      </c>
      <c r="S6" s="224">
        <f t="shared" si="6"/>
        <v>0</v>
      </c>
      <c r="T6" s="225">
        <f t="shared" si="6"/>
        <v>67</v>
      </c>
      <c r="U6" s="226">
        <f t="shared" si="6"/>
        <v>0</v>
      </c>
      <c r="V6" s="226">
        <f t="shared" si="6"/>
        <v>0</v>
      </c>
      <c r="W6" s="226">
        <f t="shared" si="6"/>
        <v>112</v>
      </c>
      <c r="X6" s="227">
        <f t="shared" si="6"/>
        <v>0</v>
      </c>
      <c r="Y6" s="225">
        <f t="shared" si="6"/>
        <v>179</v>
      </c>
      <c r="Z6" s="228">
        <f t="shared" si="6"/>
        <v>180</v>
      </c>
    </row>
  </sheetData>
  <autoFilter ref="A3:I6" xr:uid="{00000000-0009-0000-0000-000000000000}"/>
  <mergeCells count="1">
    <mergeCell ref="B1:C1"/>
  </mergeCells>
  <pageMargins left="0.25" right="0.25" top="0.75" bottom="0.75" header="0.3" footer="0.3"/>
  <pageSetup paperSize="8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53158-47F6-4757-AADA-2C52E29B22CC}">
  <sheetPr>
    <pageSetUpPr fitToPage="1"/>
  </sheetPr>
  <dimension ref="A1:G180"/>
  <sheetViews>
    <sheetView topLeftCell="A144" workbookViewId="0">
      <selection activeCell="I176" sqref="I176"/>
    </sheetView>
  </sheetViews>
  <sheetFormatPr defaultRowHeight="15" x14ac:dyDescent="0.25"/>
  <cols>
    <col min="1" max="1" width="15.42578125" customWidth="1"/>
    <col min="2" max="2" width="11.85546875" customWidth="1"/>
    <col min="3" max="4" width="12.28515625" customWidth="1"/>
    <col min="5" max="5" width="69.140625" customWidth="1"/>
    <col min="6" max="6" width="13.85546875" customWidth="1"/>
  </cols>
  <sheetData>
    <row r="1" spans="1:6" x14ac:dyDescent="0.25">
      <c r="B1" s="230"/>
      <c r="C1" s="230"/>
    </row>
    <row r="2" spans="1:6" x14ac:dyDescent="0.25">
      <c r="A2" s="1" t="s">
        <v>0</v>
      </c>
      <c r="B2" s="258" t="s">
        <v>1</v>
      </c>
      <c r="C2" s="258"/>
    </row>
    <row r="3" spans="1:6" ht="15.75" thickBot="1" x14ac:dyDescent="0.3"/>
    <row r="4" spans="1:6" ht="75.75" thickBot="1" x14ac:dyDescent="0.3">
      <c r="A4" s="231" t="s">
        <v>2</v>
      </c>
      <c r="B4" s="232" t="s">
        <v>3</v>
      </c>
      <c r="C4" s="232" t="s">
        <v>4</v>
      </c>
      <c r="D4" s="232" t="s">
        <v>5</v>
      </c>
      <c r="E4" s="233" t="s">
        <v>6</v>
      </c>
      <c r="F4" s="234" t="s">
        <v>1670</v>
      </c>
    </row>
    <row r="5" spans="1:6" x14ac:dyDescent="0.25">
      <c r="A5" s="235" t="s">
        <v>42</v>
      </c>
      <c r="B5" s="236" t="s">
        <v>43</v>
      </c>
      <c r="C5" s="236" t="s">
        <v>44</v>
      </c>
      <c r="D5" s="236">
        <v>54130395</v>
      </c>
      <c r="E5" s="237" t="s">
        <v>45</v>
      </c>
      <c r="F5" s="238">
        <v>26656</v>
      </c>
    </row>
    <row r="6" spans="1:6" x14ac:dyDescent="0.25">
      <c r="A6" s="239" t="s">
        <v>42</v>
      </c>
      <c r="B6" s="240" t="s">
        <v>79</v>
      </c>
      <c r="C6" s="240" t="s">
        <v>80</v>
      </c>
      <c r="D6" s="240">
        <v>36063606</v>
      </c>
      <c r="E6" s="241" t="s">
        <v>81</v>
      </c>
      <c r="F6" s="242">
        <v>118463</v>
      </c>
    </row>
    <row r="7" spans="1:6" x14ac:dyDescent="0.25">
      <c r="A7" s="239" t="s">
        <v>42</v>
      </c>
      <c r="B7" s="240" t="s">
        <v>177</v>
      </c>
      <c r="C7" s="240" t="s">
        <v>178</v>
      </c>
      <c r="D7" s="240">
        <v>603520</v>
      </c>
      <c r="E7" s="241" t="s">
        <v>179</v>
      </c>
      <c r="F7" s="242">
        <v>2713</v>
      </c>
    </row>
    <row r="8" spans="1:6" x14ac:dyDescent="0.25">
      <c r="A8" s="239" t="s">
        <v>42</v>
      </c>
      <c r="B8" s="240" t="s">
        <v>181</v>
      </c>
      <c r="C8" s="240" t="s">
        <v>211</v>
      </c>
      <c r="D8" s="240">
        <v>587141</v>
      </c>
      <c r="E8" s="241" t="s">
        <v>212</v>
      </c>
      <c r="F8" s="242">
        <v>1751</v>
      </c>
    </row>
    <row r="9" spans="1:6" x14ac:dyDescent="0.25">
      <c r="A9" s="239" t="s">
        <v>42</v>
      </c>
      <c r="B9" s="240" t="s">
        <v>181</v>
      </c>
      <c r="C9" s="240" t="s">
        <v>190</v>
      </c>
      <c r="D9" s="240">
        <v>586722</v>
      </c>
      <c r="E9" s="241" t="s">
        <v>191</v>
      </c>
      <c r="F9" s="242">
        <v>6310</v>
      </c>
    </row>
    <row r="10" spans="1:6" x14ac:dyDescent="0.25">
      <c r="A10" s="239" t="s">
        <v>42</v>
      </c>
      <c r="B10" s="240" t="s">
        <v>181</v>
      </c>
      <c r="C10" s="240" t="s">
        <v>186</v>
      </c>
      <c r="D10" s="240">
        <v>586358</v>
      </c>
      <c r="E10" s="241" t="s">
        <v>187</v>
      </c>
      <c r="F10" s="242">
        <v>2388</v>
      </c>
    </row>
    <row r="11" spans="1:6" x14ac:dyDescent="0.25">
      <c r="A11" s="239" t="s">
        <v>42</v>
      </c>
      <c r="B11" s="240" t="s">
        <v>181</v>
      </c>
      <c r="C11" s="240" t="s">
        <v>221</v>
      </c>
      <c r="D11" s="240">
        <v>586421</v>
      </c>
      <c r="E11" s="241" t="s">
        <v>222</v>
      </c>
      <c r="F11" s="242">
        <v>1470</v>
      </c>
    </row>
    <row r="12" spans="1:6" x14ac:dyDescent="0.25">
      <c r="A12" s="239" t="s">
        <v>42</v>
      </c>
      <c r="B12" s="240" t="s">
        <v>181</v>
      </c>
      <c r="C12" s="240" t="s">
        <v>196</v>
      </c>
      <c r="D12" s="240">
        <v>585661</v>
      </c>
      <c r="E12" s="241" t="s">
        <v>197</v>
      </c>
      <c r="F12" s="242">
        <v>678</v>
      </c>
    </row>
    <row r="13" spans="1:6" x14ac:dyDescent="0.25">
      <c r="A13" s="239" t="s">
        <v>42</v>
      </c>
      <c r="B13" s="240" t="s">
        <v>181</v>
      </c>
      <c r="C13" s="240" t="s">
        <v>182</v>
      </c>
      <c r="D13" s="240">
        <v>42131685</v>
      </c>
      <c r="E13" s="241" t="s">
        <v>183</v>
      </c>
      <c r="F13" s="242">
        <v>9138</v>
      </c>
    </row>
    <row r="14" spans="1:6" x14ac:dyDescent="0.25">
      <c r="A14" s="239" t="s">
        <v>42</v>
      </c>
      <c r="B14" s="240" t="s">
        <v>181</v>
      </c>
      <c r="C14" s="240" t="s">
        <v>202</v>
      </c>
      <c r="D14" s="240">
        <v>42365023</v>
      </c>
      <c r="E14" s="241" t="s">
        <v>203</v>
      </c>
      <c r="F14" s="242">
        <v>1668</v>
      </c>
    </row>
    <row r="15" spans="1:6" x14ac:dyDescent="0.25">
      <c r="A15" s="239" t="s">
        <v>42</v>
      </c>
      <c r="B15" s="240" t="s">
        <v>226</v>
      </c>
      <c r="C15" s="240" t="s">
        <v>248</v>
      </c>
      <c r="D15" s="240">
        <v>37333755</v>
      </c>
      <c r="E15" s="241" t="s">
        <v>249</v>
      </c>
      <c r="F15" s="242">
        <v>0</v>
      </c>
    </row>
    <row r="16" spans="1:6" x14ac:dyDescent="0.25">
      <c r="A16" s="239" t="s">
        <v>42</v>
      </c>
      <c r="B16" s="240" t="s">
        <v>226</v>
      </c>
      <c r="C16" s="240" t="s">
        <v>329</v>
      </c>
      <c r="D16" s="240">
        <v>90000036</v>
      </c>
      <c r="E16" s="241" t="s">
        <v>330</v>
      </c>
      <c r="F16" s="242">
        <v>2306</v>
      </c>
    </row>
    <row r="17" spans="1:6" x14ac:dyDescent="0.25">
      <c r="A17" s="239" t="s">
        <v>42</v>
      </c>
      <c r="B17" s="240" t="s">
        <v>226</v>
      </c>
      <c r="C17" s="240" t="s">
        <v>257</v>
      </c>
      <c r="D17" s="240">
        <v>17326192</v>
      </c>
      <c r="E17" s="241" t="s">
        <v>258</v>
      </c>
      <c r="F17" s="242">
        <v>2066</v>
      </c>
    </row>
    <row r="18" spans="1:6" x14ac:dyDescent="0.25">
      <c r="A18" s="239" t="s">
        <v>42</v>
      </c>
      <c r="B18" s="240" t="s">
        <v>226</v>
      </c>
      <c r="C18" s="240" t="s">
        <v>251</v>
      </c>
      <c r="D18" s="240">
        <v>31377491</v>
      </c>
      <c r="E18" s="241" t="s">
        <v>252</v>
      </c>
      <c r="F18" s="242">
        <v>775</v>
      </c>
    </row>
    <row r="19" spans="1:6" x14ac:dyDescent="0.25">
      <c r="A19" s="239" t="s">
        <v>42</v>
      </c>
      <c r="B19" s="240" t="s">
        <v>226</v>
      </c>
      <c r="C19" s="240" t="s">
        <v>232</v>
      </c>
      <c r="D19" s="240">
        <v>35807181</v>
      </c>
      <c r="E19" s="241" t="s">
        <v>233</v>
      </c>
      <c r="F19" s="242">
        <v>1227</v>
      </c>
    </row>
    <row r="20" spans="1:6" x14ac:dyDescent="0.25">
      <c r="A20" s="239" t="s">
        <v>42</v>
      </c>
      <c r="B20" s="240" t="s">
        <v>226</v>
      </c>
      <c r="C20" s="240" t="s">
        <v>299</v>
      </c>
      <c r="D20" s="240">
        <v>90000112</v>
      </c>
      <c r="E20" s="241" t="s">
        <v>300</v>
      </c>
      <c r="F20" s="242">
        <v>45</v>
      </c>
    </row>
    <row r="21" spans="1:6" x14ac:dyDescent="0.25">
      <c r="A21" s="239" t="s">
        <v>42</v>
      </c>
      <c r="B21" s="240" t="s">
        <v>226</v>
      </c>
      <c r="C21" s="240" t="s">
        <v>240</v>
      </c>
      <c r="D21" s="240">
        <v>31335225</v>
      </c>
      <c r="E21" s="241" t="s">
        <v>241</v>
      </c>
      <c r="F21" s="242">
        <v>0</v>
      </c>
    </row>
    <row r="22" spans="1:6" x14ac:dyDescent="0.25">
      <c r="A22" s="239" t="s">
        <v>42</v>
      </c>
      <c r="B22" s="240" t="s">
        <v>226</v>
      </c>
      <c r="C22" s="240" t="s">
        <v>333</v>
      </c>
      <c r="D22" s="240">
        <v>90000010</v>
      </c>
      <c r="E22" s="241" t="s">
        <v>334</v>
      </c>
      <c r="F22" s="242">
        <v>270</v>
      </c>
    </row>
    <row r="23" spans="1:6" x14ac:dyDescent="0.25">
      <c r="A23" s="239" t="s">
        <v>42</v>
      </c>
      <c r="B23" s="240" t="s">
        <v>226</v>
      </c>
      <c r="C23" s="240" t="s">
        <v>345</v>
      </c>
      <c r="D23" s="240">
        <v>35697547</v>
      </c>
      <c r="E23" s="241" t="s">
        <v>346</v>
      </c>
      <c r="F23" s="242">
        <v>1697</v>
      </c>
    </row>
    <row r="24" spans="1:6" x14ac:dyDescent="0.25">
      <c r="A24" s="239" t="s">
        <v>42</v>
      </c>
      <c r="B24" s="240" t="s">
        <v>226</v>
      </c>
      <c r="C24" s="240" t="s">
        <v>227</v>
      </c>
      <c r="D24" s="240">
        <v>168637</v>
      </c>
      <c r="E24" s="241" t="s">
        <v>228</v>
      </c>
      <c r="F24" s="242">
        <v>4657</v>
      </c>
    </row>
    <row r="25" spans="1:6" x14ac:dyDescent="0.25">
      <c r="A25" s="239" t="s">
        <v>42</v>
      </c>
      <c r="B25" s="240" t="s">
        <v>226</v>
      </c>
      <c r="C25" s="240" t="s">
        <v>271</v>
      </c>
      <c r="D25" s="240">
        <v>90000330</v>
      </c>
      <c r="E25" s="241" t="s">
        <v>272</v>
      </c>
      <c r="F25" s="242">
        <v>2038</v>
      </c>
    </row>
    <row r="26" spans="1:6" x14ac:dyDescent="0.25">
      <c r="A26" s="239" t="s">
        <v>42</v>
      </c>
      <c r="B26" s="240" t="s">
        <v>226</v>
      </c>
      <c r="C26" s="240" t="s">
        <v>279</v>
      </c>
      <c r="D26" s="240">
        <v>35839236</v>
      </c>
      <c r="E26" s="241" t="s">
        <v>280</v>
      </c>
      <c r="F26" s="242">
        <v>1420</v>
      </c>
    </row>
    <row r="27" spans="1:6" x14ac:dyDescent="0.25">
      <c r="A27" s="239" t="s">
        <v>42</v>
      </c>
      <c r="B27" s="240" t="s">
        <v>226</v>
      </c>
      <c r="C27" s="240" t="s">
        <v>322</v>
      </c>
      <c r="D27" s="240">
        <v>35872144</v>
      </c>
      <c r="E27" s="241" t="s">
        <v>323</v>
      </c>
      <c r="F27" s="242">
        <v>344</v>
      </c>
    </row>
    <row r="28" spans="1:6" x14ac:dyDescent="0.25">
      <c r="A28" s="239" t="s">
        <v>42</v>
      </c>
      <c r="B28" s="240" t="s">
        <v>226</v>
      </c>
      <c r="C28" s="240" t="s">
        <v>254</v>
      </c>
      <c r="D28" s="240">
        <v>35893991</v>
      </c>
      <c r="E28" s="241" t="s">
        <v>255</v>
      </c>
      <c r="F28" s="242">
        <v>1350</v>
      </c>
    </row>
    <row r="29" spans="1:6" x14ac:dyDescent="0.25">
      <c r="A29" s="239" t="s">
        <v>42</v>
      </c>
      <c r="B29" s="240" t="s">
        <v>226</v>
      </c>
      <c r="C29" s="240" t="s">
        <v>303</v>
      </c>
      <c r="D29" s="240">
        <v>30851581</v>
      </c>
      <c r="E29" s="241" t="s">
        <v>304</v>
      </c>
      <c r="F29" s="242">
        <v>1211</v>
      </c>
    </row>
    <row r="30" spans="1:6" x14ac:dyDescent="0.25">
      <c r="A30" s="239" t="s">
        <v>42</v>
      </c>
      <c r="B30" s="240" t="s">
        <v>226</v>
      </c>
      <c r="C30" s="240" t="s">
        <v>287</v>
      </c>
      <c r="D30" s="240">
        <v>35923890</v>
      </c>
      <c r="E30" s="241" t="s">
        <v>288</v>
      </c>
      <c r="F30" s="242">
        <v>2727</v>
      </c>
    </row>
    <row r="31" spans="1:6" x14ac:dyDescent="0.25">
      <c r="A31" s="239" t="s">
        <v>42</v>
      </c>
      <c r="B31" s="240" t="s">
        <v>226</v>
      </c>
      <c r="C31" s="240" t="s">
        <v>319</v>
      </c>
      <c r="D31" s="240">
        <v>35870494</v>
      </c>
      <c r="E31" s="241" t="s">
        <v>320</v>
      </c>
      <c r="F31" s="242">
        <v>2733</v>
      </c>
    </row>
    <row r="32" spans="1:6" x14ac:dyDescent="0.25">
      <c r="A32" s="239" t="s">
        <v>42</v>
      </c>
      <c r="B32" s="240" t="s">
        <v>226</v>
      </c>
      <c r="C32" s="240" t="s">
        <v>353</v>
      </c>
      <c r="D32" s="240">
        <v>31807429</v>
      </c>
      <c r="E32" s="241" t="s">
        <v>354</v>
      </c>
      <c r="F32" s="242">
        <v>0</v>
      </c>
    </row>
    <row r="33" spans="1:6" x14ac:dyDescent="0.25">
      <c r="A33" s="239" t="s">
        <v>42</v>
      </c>
      <c r="B33" s="240" t="s">
        <v>226</v>
      </c>
      <c r="C33" s="240" t="s">
        <v>261</v>
      </c>
      <c r="D33" s="240">
        <v>35972181</v>
      </c>
      <c r="E33" s="241" t="s">
        <v>262</v>
      </c>
      <c r="F33" s="242">
        <v>3111</v>
      </c>
    </row>
    <row r="34" spans="1:6" x14ac:dyDescent="0.25">
      <c r="A34" s="239" t="s">
        <v>42</v>
      </c>
      <c r="B34" s="240" t="s">
        <v>226</v>
      </c>
      <c r="C34" s="240" t="s">
        <v>307</v>
      </c>
      <c r="D34" s="240">
        <v>37924745</v>
      </c>
      <c r="E34" s="241" t="s">
        <v>308</v>
      </c>
      <c r="F34" s="242">
        <v>1729</v>
      </c>
    </row>
    <row r="35" spans="1:6" x14ac:dyDescent="0.25">
      <c r="A35" s="239" t="s">
        <v>42</v>
      </c>
      <c r="B35" s="240" t="s">
        <v>226</v>
      </c>
      <c r="C35" s="240" t="s">
        <v>341</v>
      </c>
      <c r="D35" s="240">
        <v>90000241</v>
      </c>
      <c r="E35" s="241" t="s">
        <v>342</v>
      </c>
      <c r="F35" s="242">
        <v>2135</v>
      </c>
    </row>
    <row r="36" spans="1:6" x14ac:dyDescent="0.25">
      <c r="A36" s="239" t="s">
        <v>42</v>
      </c>
      <c r="B36" s="240" t="s">
        <v>226</v>
      </c>
      <c r="C36" s="240" t="s">
        <v>236</v>
      </c>
      <c r="D36" s="240">
        <v>36076082</v>
      </c>
      <c r="E36" s="241" t="s">
        <v>237</v>
      </c>
      <c r="F36" s="242">
        <v>125</v>
      </c>
    </row>
    <row r="37" spans="1:6" x14ac:dyDescent="0.25">
      <c r="A37" s="239" t="s">
        <v>42</v>
      </c>
      <c r="B37" s="240" t="s">
        <v>226</v>
      </c>
      <c r="C37" s="240" t="s">
        <v>244</v>
      </c>
      <c r="D37" s="240">
        <v>46482601</v>
      </c>
      <c r="E37" s="241" t="s">
        <v>245</v>
      </c>
      <c r="F37" s="242">
        <v>1759</v>
      </c>
    </row>
    <row r="38" spans="1:6" x14ac:dyDescent="0.25">
      <c r="A38" s="239" t="s">
        <v>42</v>
      </c>
      <c r="B38" s="240" t="s">
        <v>226</v>
      </c>
      <c r="C38" s="240" t="s">
        <v>295</v>
      </c>
      <c r="D38" s="240">
        <v>13999745</v>
      </c>
      <c r="E38" s="241" t="s">
        <v>296</v>
      </c>
      <c r="F38" s="242">
        <v>1528</v>
      </c>
    </row>
    <row r="39" spans="1:6" x14ac:dyDescent="0.25">
      <c r="A39" s="239" t="s">
        <v>42</v>
      </c>
      <c r="B39" s="240" t="s">
        <v>226</v>
      </c>
      <c r="C39" s="240" t="s">
        <v>267</v>
      </c>
      <c r="D39" s="240">
        <v>46519335</v>
      </c>
      <c r="E39" s="241" t="s">
        <v>268</v>
      </c>
      <c r="F39" s="242">
        <v>0</v>
      </c>
    </row>
    <row r="40" spans="1:6" x14ac:dyDescent="0.25">
      <c r="A40" s="239" t="s">
        <v>42</v>
      </c>
      <c r="B40" s="240" t="s">
        <v>226</v>
      </c>
      <c r="C40" s="240" t="s">
        <v>315</v>
      </c>
      <c r="D40" s="240">
        <v>30846510</v>
      </c>
      <c r="E40" s="241" t="s">
        <v>316</v>
      </c>
      <c r="F40" s="242">
        <v>0</v>
      </c>
    </row>
    <row r="41" spans="1:6" x14ac:dyDescent="0.25">
      <c r="A41" s="239" t="s">
        <v>42</v>
      </c>
      <c r="B41" s="240" t="s">
        <v>226</v>
      </c>
      <c r="C41" s="240" t="s">
        <v>337</v>
      </c>
      <c r="D41" s="240">
        <v>42266513</v>
      </c>
      <c r="E41" s="241" t="s">
        <v>338</v>
      </c>
      <c r="F41" s="242">
        <v>0</v>
      </c>
    </row>
    <row r="42" spans="1:6" x14ac:dyDescent="0.25">
      <c r="A42" s="239" t="s">
        <v>42</v>
      </c>
      <c r="B42" s="240" t="s">
        <v>226</v>
      </c>
      <c r="C42" s="240" t="s">
        <v>264</v>
      </c>
      <c r="D42" s="240">
        <v>90000303</v>
      </c>
      <c r="E42" s="241" t="s">
        <v>265</v>
      </c>
      <c r="F42" s="242">
        <v>708</v>
      </c>
    </row>
    <row r="43" spans="1:6" x14ac:dyDescent="0.25">
      <c r="A43" s="239" t="s">
        <v>42</v>
      </c>
      <c r="B43" s="240" t="s">
        <v>226</v>
      </c>
      <c r="C43" s="240" t="s">
        <v>290</v>
      </c>
      <c r="D43" s="240">
        <v>50073893</v>
      </c>
      <c r="E43" s="241" t="s">
        <v>291</v>
      </c>
      <c r="F43" s="242">
        <v>1734</v>
      </c>
    </row>
    <row r="44" spans="1:6" x14ac:dyDescent="0.25">
      <c r="A44" s="239" t="s">
        <v>42</v>
      </c>
      <c r="B44" s="240" t="s">
        <v>226</v>
      </c>
      <c r="C44" s="240" t="s">
        <v>326</v>
      </c>
      <c r="D44" s="240">
        <v>50922718</v>
      </c>
      <c r="E44" s="241" t="s">
        <v>327</v>
      </c>
      <c r="F44" s="242">
        <v>514</v>
      </c>
    </row>
    <row r="45" spans="1:6" x14ac:dyDescent="0.25">
      <c r="A45" s="239" t="s">
        <v>42</v>
      </c>
      <c r="B45" s="240" t="s">
        <v>226</v>
      </c>
      <c r="C45" s="240" t="s">
        <v>311</v>
      </c>
      <c r="D45" s="240">
        <v>50638050</v>
      </c>
      <c r="E45" s="241" t="s">
        <v>312</v>
      </c>
      <c r="F45" s="242">
        <v>0</v>
      </c>
    </row>
    <row r="46" spans="1:6" x14ac:dyDescent="0.25">
      <c r="A46" s="239" t="s">
        <v>42</v>
      </c>
      <c r="B46" s="240" t="s">
        <v>226</v>
      </c>
      <c r="C46" s="240" t="s">
        <v>274</v>
      </c>
      <c r="D46" s="240">
        <v>90000324</v>
      </c>
      <c r="E46" s="241" t="s">
        <v>275</v>
      </c>
      <c r="F46" s="242">
        <v>1695</v>
      </c>
    </row>
    <row r="47" spans="1:6" x14ac:dyDescent="0.25">
      <c r="A47" s="239" t="s">
        <v>42</v>
      </c>
      <c r="B47" s="240" t="s">
        <v>226</v>
      </c>
      <c r="C47" s="240" t="s">
        <v>283</v>
      </c>
      <c r="D47" s="240">
        <v>52146073</v>
      </c>
      <c r="E47" s="241" t="s">
        <v>284</v>
      </c>
      <c r="F47" s="242">
        <v>328</v>
      </c>
    </row>
    <row r="48" spans="1:6" s="245" customFormat="1" x14ac:dyDescent="0.25">
      <c r="A48" s="243" t="s">
        <v>1671</v>
      </c>
      <c r="B48" s="251"/>
      <c r="C48" s="252"/>
      <c r="D48" s="252"/>
      <c r="E48" s="253"/>
      <c r="F48" s="244">
        <v>211467</v>
      </c>
    </row>
    <row r="49" spans="1:6" x14ac:dyDescent="0.25">
      <c r="A49" s="239" t="s">
        <v>357</v>
      </c>
      <c r="B49" s="240" t="s">
        <v>43</v>
      </c>
      <c r="C49" s="240" t="s">
        <v>358</v>
      </c>
      <c r="D49" s="240">
        <v>54130531</v>
      </c>
      <c r="E49" s="241" t="s">
        <v>359</v>
      </c>
      <c r="F49" s="242">
        <v>1574</v>
      </c>
    </row>
    <row r="50" spans="1:6" x14ac:dyDescent="0.25">
      <c r="A50" s="239" t="s">
        <v>357</v>
      </c>
      <c r="B50" s="240" t="s">
        <v>79</v>
      </c>
      <c r="C50" s="240" t="s">
        <v>380</v>
      </c>
      <c r="D50" s="240">
        <v>37836901</v>
      </c>
      <c r="E50" s="241" t="s">
        <v>381</v>
      </c>
      <c r="F50" s="242">
        <v>122089</v>
      </c>
    </row>
    <row r="51" spans="1:6" x14ac:dyDescent="0.25">
      <c r="A51" s="239" t="s">
        <v>357</v>
      </c>
      <c r="B51" s="240" t="s">
        <v>177</v>
      </c>
      <c r="C51" s="240" t="s">
        <v>527</v>
      </c>
      <c r="D51" s="240">
        <v>305383</v>
      </c>
      <c r="E51" s="241" t="s">
        <v>528</v>
      </c>
      <c r="F51" s="242">
        <v>372</v>
      </c>
    </row>
    <row r="52" spans="1:6" x14ac:dyDescent="0.25">
      <c r="A52" s="239" t="s">
        <v>357</v>
      </c>
      <c r="B52" s="240" t="s">
        <v>177</v>
      </c>
      <c r="C52" s="240" t="s">
        <v>523</v>
      </c>
      <c r="D52" s="240">
        <v>306177</v>
      </c>
      <c r="E52" s="241" t="s">
        <v>524</v>
      </c>
      <c r="F52" s="242">
        <v>521</v>
      </c>
    </row>
    <row r="53" spans="1:6" x14ac:dyDescent="0.25">
      <c r="A53" s="239" t="s">
        <v>357</v>
      </c>
      <c r="B53" s="240" t="s">
        <v>181</v>
      </c>
      <c r="C53" s="240" t="s">
        <v>454</v>
      </c>
      <c r="D53" s="240">
        <v>419702</v>
      </c>
      <c r="E53" s="241" t="s">
        <v>455</v>
      </c>
      <c r="F53" s="242">
        <v>2223</v>
      </c>
    </row>
    <row r="54" spans="1:6" x14ac:dyDescent="0.25">
      <c r="A54" s="239" t="s">
        <v>357</v>
      </c>
      <c r="B54" s="240" t="s">
        <v>181</v>
      </c>
      <c r="C54" s="240" t="s">
        <v>459</v>
      </c>
      <c r="D54" s="240">
        <v>587117</v>
      </c>
      <c r="E54" s="241" t="s">
        <v>460</v>
      </c>
      <c r="F54" s="242">
        <v>1071</v>
      </c>
    </row>
    <row r="55" spans="1:6" x14ac:dyDescent="0.25">
      <c r="A55" s="239" t="s">
        <v>357</v>
      </c>
      <c r="B55" s="240" t="s">
        <v>226</v>
      </c>
      <c r="C55" s="240" t="s">
        <v>491</v>
      </c>
      <c r="D55" s="240">
        <v>90000113</v>
      </c>
      <c r="E55" s="241" t="s">
        <v>492</v>
      </c>
      <c r="F55" s="242">
        <v>407</v>
      </c>
    </row>
    <row r="56" spans="1:6" x14ac:dyDescent="0.25">
      <c r="A56" s="239" t="s">
        <v>357</v>
      </c>
      <c r="B56" s="240" t="s">
        <v>226</v>
      </c>
      <c r="C56" s="240" t="s">
        <v>474</v>
      </c>
      <c r="D56" s="240">
        <v>36269298</v>
      </c>
      <c r="E56" s="241" t="s">
        <v>475</v>
      </c>
      <c r="F56" s="242">
        <v>3194</v>
      </c>
    </row>
    <row r="57" spans="1:6" x14ac:dyDescent="0.25">
      <c r="A57" s="239" t="s">
        <v>357</v>
      </c>
      <c r="B57" s="240" t="s">
        <v>226</v>
      </c>
      <c r="C57" s="240" t="s">
        <v>511</v>
      </c>
      <c r="D57" s="240">
        <v>36271390</v>
      </c>
      <c r="E57" s="241" t="s">
        <v>512</v>
      </c>
      <c r="F57" s="242">
        <v>4169</v>
      </c>
    </row>
    <row r="58" spans="1:6" x14ac:dyDescent="0.25">
      <c r="A58" s="239" t="s">
        <v>357</v>
      </c>
      <c r="B58" s="240" t="s">
        <v>226</v>
      </c>
      <c r="C58" s="240" t="s">
        <v>498</v>
      </c>
      <c r="D58" s="240">
        <v>31448135</v>
      </c>
      <c r="E58" s="241" t="s">
        <v>499</v>
      </c>
      <c r="F58" s="242">
        <v>0</v>
      </c>
    </row>
    <row r="59" spans="1:6" x14ac:dyDescent="0.25">
      <c r="A59" s="239" t="s">
        <v>357</v>
      </c>
      <c r="B59" s="240" t="s">
        <v>226</v>
      </c>
      <c r="C59" s="240" t="s">
        <v>478</v>
      </c>
      <c r="D59" s="240">
        <v>90000209</v>
      </c>
      <c r="E59" s="241" t="s">
        <v>479</v>
      </c>
      <c r="F59" s="242">
        <v>1254</v>
      </c>
    </row>
    <row r="60" spans="1:6" x14ac:dyDescent="0.25">
      <c r="A60" s="239" t="s">
        <v>357</v>
      </c>
      <c r="B60" s="240" t="s">
        <v>226</v>
      </c>
      <c r="C60" s="240" t="s">
        <v>519</v>
      </c>
      <c r="D60" s="240">
        <v>42159873</v>
      </c>
      <c r="E60" s="241" t="s">
        <v>520</v>
      </c>
      <c r="F60" s="242">
        <v>363</v>
      </c>
    </row>
    <row r="61" spans="1:6" x14ac:dyDescent="0.25">
      <c r="A61" s="239" t="s">
        <v>357</v>
      </c>
      <c r="B61" s="240" t="s">
        <v>226</v>
      </c>
      <c r="C61" s="240" t="s">
        <v>482</v>
      </c>
      <c r="D61" s="240">
        <v>31752896</v>
      </c>
      <c r="E61" s="241" t="s">
        <v>483</v>
      </c>
      <c r="F61" s="242">
        <v>0</v>
      </c>
    </row>
    <row r="62" spans="1:6" x14ac:dyDescent="0.25">
      <c r="A62" s="239" t="s">
        <v>357</v>
      </c>
      <c r="B62" s="240" t="s">
        <v>226</v>
      </c>
      <c r="C62" s="240" t="s">
        <v>503</v>
      </c>
      <c r="D62" s="240">
        <v>45732604</v>
      </c>
      <c r="E62" s="241" t="s">
        <v>504</v>
      </c>
      <c r="F62" s="242">
        <v>249</v>
      </c>
    </row>
    <row r="63" spans="1:6" x14ac:dyDescent="0.25">
      <c r="A63" s="239" t="s">
        <v>357</v>
      </c>
      <c r="B63" s="240" t="s">
        <v>226</v>
      </c>
      <c r="C63" s="240" t="s">
        <v>515</v>
      </c>
      <c r="D63" s="240">
        <v>44867379</v>
      </c>
      <c r="E63" s="241" t="s">
        <v>516</v>
      </c>
      <c r="F63" s="242">
        <v>346</v>
      </c>
    </row>
    <row r="64" spans="1:6" x14ac:dyDescent="0.25">
      <c r="A64" s="239" t="s">
        <v>357</v>
      </c>
      <c r="B64" s="240" t="s">
        <v>226</v>
      </c>
      <c r="C64" s="240" t="s">
        <v>507</v>
      </c>
      <c r="D64" s="240">
        <v>42156548</v>
      </c>
      <c r="E64" s="241" t="s">
        <v>508</v>
      </c>
      <c r="F64" s="242">
        <v>942</v>
      </c>
    </row>
    <row r="65" spans="1:6" x14ac:dyDescent="0.25">
      <c r="A65" s="239" t="s">
        <v>357</v>
      </c>
      <c r="B65" s="240" t="s">
        <v>226</v>
      </c>
      <c r="C65" s="240" t="s">
        <v>470</v>
      </c>
      <c r="D65" s="240">
        <v>50456458</v>
      </c>
      <c r="E65" s="241" t="s">
        <v>471</v>
      </c>
      <c r="F65" s="242">
        <v>0</v>
      </c>
    </row>
    <row r="66" spans="1:6" x14ac:dyDescent="0.25">
      <c r="A66" s="239" t="s">
        <v>357</v>
      </c>
      <c r="B66" s="240" t="s">
        <v>226</v>
      </c>
      <c r="C66" s="240" t="s">
        <v>486</v>
      </c>
      <c r="D66" s="240">
        <v>47138556</v>
      </c>
      <c r="E66" s="241" t="s">
        <v>487</v>
      </c>
      <c r="F66" s="242">
        <v>872</v>
      </c>
    </row>
    <row r="67" spans="1:6" x14ac:dyDescent="0.25">
      <c r="A67" s="243" t="s">
        <v>1672</v>
      </c>
      <c r="B67" s="251"/>
      <c r="C67" s="252"/>
      <c r="D67" s="252"/>
      <c r="E67" s="253"/>
      <c r="F67" s="244">
        <v>139646</v>
      </c>
    </row>
    <row r="68" spans="1:6" x14ac:dyDescent="0.25">
      <c r="A68" s="239" t="s">
        <v>531</v>
      </c>
      <c r="B68" s="240" t="s">
        <v>43</v>
      </c>
      <c r="C68" s="240" t="s">
        <v>532</v>
      </c>
      <c r="D68" s="240">
        <v>54130450</v>
      </c>
      <c r="E68" s="241" t="s">
        <v>533</v>
      </c>
      <c r="F68" s="242">
        <v>3861</v>
      </c>
    </row>
    <row r="69" spans="1:6" x14ac:dyDescent="0.25">
      <c r="A69" s="239" t="s">
        <v>531</v>
      </c>
      <c r="B69" s="240" t="s">
        <v>79</v>
      </c>
      <c r="C69" s="240" t="s">
        <v>565</v>
      </c>
      <c r="D69" s="240">
        <v>36126624</v>
      </c>
      <c r="E69" s="241" t="s">
        <v>566</v>
      </c>
      <c r="F69" s="242">
        <v>120866</v>
      </c>
    </row>
    <row r="70" spans="1:6" x14ac:dyDescent="0.25">
      <c r="A70" s="239" t="s">
        <v>531</v>
      </c>
      <c r="B70" s="240" t="s">
        <v>181</v>
      </c>
      <c r="C70" s="240" t="s">
        <v>620</v>
      </c>
      <c r="D70" s="240">
        <v>677574</v>
      </c>
      <c r="E70" s="241" t="s">
        <v>621</v>
      </c>
      <c r="F70" s="242">
        <v>1761</v>
      </c>
    </row>
    <row r="71" spans="1:6" x14ac:dyDescent="0.25">
      <c r="A71" s="239" t="s">
        <v>531</v>
      </c>
      <c r="B71" s="240" t="s">
        <v>226</v>
      </c>
      <c r="C71" s="240" t="s">
        <v>631</v>
      </c>
      <c r="D71" s="240">
        <v>47337915</v>
      </c>
      <c r="E71" s="241" t="s">
        <v>632</v>
      </c>
      <c r="F71" s="242">
        <v>0</v>
      </c>
    </row>
    <row r="72" spans="1:6" x14ac:dyDescent="0.25">
      <c r="A72" s="239" t="s">
        <v>531</v>
      </c>
      <c r="B72" s="240" t="s">
        <v>226</v>
      </c>
      <c r="C72" s="240" t="s">
        <v>624</v>
      </c>
      <c r="D72" s="240">
        <v>36323373</v>
      </c>
      <c r="E72" s="241" t="s">
        <v>625</v>
      </c>
      <c r="F72" s="242">
        <v>365</v>
      </c>
    </row>
    <row r="73" spans="1:6" x14ac:dyDescent="0.25">
      <c r="A73" s="239" t="s">
        <v>531</v>
      </c>
      <c r="B73" s="240" t="s">
        <v>226</v>
      </c>
      <c r="C73" s="240" t="s">
        <v>628</v>
      </c>
      <c r="D73" s="240">
        <v>37922688</v>
      </c>
      <c r="E73" s="241" t="s">
        <v>629</v>
      </c>
      <c r="F73" s="242">
        <v>0</v>
      </c>
    </row>
    <row r="74" spans="1:6" x14ac:dyDescent="0.25">
      <c r="A74" s="243" t="s">
        <v>1673</v>
      </c>
      <c r="B74" s="251"/>
      <c r="C74" s="259"/>
      <c r="D74" s="259"/>
      <c r="E74" s="260"/>
      <c r="F74" s="244">
        <v>126853</v>
      </c>
    </row>
    <row r="75" spans="1:6" x14ac:dyDescent="0.25">
      <c r="A75" s="239" t="s">
        <v>634</v>
      </c>
      <c r="B75" s="240" t="s">
        <v>43</v>
      </c>
      <c r="C75" s="240" t="s">
        <v>635</v>
      </c>
      <c r="D75" s="240">
        <v>54130590</v>
      </c>
      <c r="E75" s="241" t="s">
        <v>636</v>
      </c>
      <c r="F75" s="242">
        <v>3516</v>
      </c>
    </row>
    <row r="76" spans="1:6" x14ac:dyDescent="0.25">
      <c r="A76" s="239" t="s">
        <v>634</v>
      </c>
      <c r="B76" s="240" t="s">
        <v>79</v>
      </c>
      <c r="C76" s="240" t="s">
        <v>652</v>
      </c>
      <c r="D76" s="240">
        <v>37861298</v>
      </c>
      <c r="E76" s="241" t="s">
        <v>653</v>
      </c>
      <c r="F76" s="242">
        <v>140059</v>
      </c>
    </row>
    <row r="77" spans="1:6" x14ac:dyDescent="0.25">
      <c r="A77" s="239" t="s">
        <v>634</v>
      </c>
      <c r="B77" s="240" t="s">
        <v>177</v>
      </c>
      <c r="C77" s="240" t="s">
        <v>757</v>
      </c>
      <c r="D77" s="240">
        <v>308994</v>
      </c>
      <c r="E77" s="241" t="s">
        <v>758</v>
      </c>
      <c r="F77" s="242">
        <v>109</v>
      </c>
    </row>
    <row r="78" spans="1:6" x14ac:dyDescent="0.25">
      <c r="A78" s="239" t="s">
        <v>634</v>
      </c>
      <c r="B78" s="240" t="s">
        <v>181</v>
      </c>
      <c r="C78" s="240" t="s">
        <v>762</v>
      </c>
      <c r="D78" s="240">
        <v>35593008</v>
      </c>
      <c r="E78" s="241" t="s">
        <v>763</v>
      </c>
      <c r="F78" s="242">
        <v>7852</v>
      </c>
    </row>
    <row r="79" spans="1:6" x14ac:dyDescent="0.25">
      <c r="A79" s="239" t="s">
        <v>634</v>
      </c>
      <c r="B79" s="240" t="s">
        <v>181</v>
      </c>
      <c r="C79" s="240" t="s">
        <v>766</v>
      </c>
      <c r="D79" s="240">
        <v>586315</v>
      </c>
      <c r="E79" s="241" t="s">
        <v>767</v>
      </c>
      <c r="F79" s="242">
        <v>8916</v>
      </c>
    </row>
    <row r="80" spans="1:6" x14ac:dyDescent="0.25">
      <c r="A80" s="239" t="s">
        <v>634</v>
      </c>
      <c r="B80" s="240" t="s">
        <v>181</v>
      </c>
      <c r="C80" s="240" t="s">
        <v>774</v>
      </c>
      <c r="D80" s="240">
        <v>179191</v>
      </c>
      <c r="E80" s="241" t="s">
        <v>775</v>
      </c>
      <c r="F80" s="242">
        <v>590</v>
      </c>
    </row>
    <row r="81" spans="1:6" x14ac:dyDescent="0.25">
      <c r="A81" s="239" t="s">
        <v>634</v>
      </c>
      <c r="B81" s="240" t="s">
        <v>226</v>
      </c>
      <c r="C81" s="240" t="s">
        <v>794</v>
      </c>
      <c r="D81" s="240">
        <v>90000176</v>
      </c>
      <c r="E81" s="241" t="s">
        <v>795</v>
      </c>
      <c r="F81" s="242">
        <v>2893</v>
      </c>
    </row>
    <row r="82" spans="1:6" x14ac:dyDescent="0.25">
      <c r="A82" s="239" t="s">
        <v>634</v>
      </c>
      <c r="B82" s="240" t="s">
        <v>226</v>
      </c>
      <c r="C82" s="240" t="s">
        <v>800</v>
      </c>
      <c r="D82" s="240">
        <v>34104691</v>
      </c>
      <c r="E82" s="241" t="s">
        <v>801</v>
      </c>
      <c r="F82" s="242">
        <v>654</v>
      </c>
    </row>
    <row r="83" spans="1:6" x14ac:dyDescent="0.25">
      <c r="A83" s="239" t="s">
        <v>634</v>
      </c>
      <c r="B83" s="240" t="s">
        <v>226</v>
      </c>
      <c r="C83" s="240" t="s">
        <v>816</v>
      </c>
      <c r="D83" s="240">
        <v>90000195</v>
      </c>
      <c r="E83" s="241" t="s">
        <v>817</v>
      </c>
      <c r="F83" s="242">
        <v>972</v>
      </c>
    </row>
    <row r="84" spans="1:6" x14ac:dyDescent="0.25">
      <c r="A84" s="239" t="s">
        <v>634</v>
      </c>
      <c r="B84" s="240" t="s">
        <v>226</v>
      </c>
      <c r="C84" s="240" t="s">
        <v>790</v>
      </c>
      <c r="D84" s="240">
        <v>90000342</v>
      </c>
      <c r="E84" s="241" t="s">
        <v>791</v>
      </c>
      <c r="F84" s="242">
        <v>138</v>
      </c>
    </row>
    <row r="85" spans="1:6" x14ac:dyDescent="0.25">
      <c r="A85" s="239" t="s">
        <v>634</v>
      </c>
      <c r="B85" s="240" t="s">
        <v>226</v>
      </c>
      <c r="C85" s="240" t="s">
        <v>812</v>
      </c>
      <c r="D85" s="240">
        <v>35973820</v>
      </c>
      <c r="E85" s="241" t="s">
        <v>813</v>
      </c>
      <c r="F85" s="242">
        <v>1546</v>
      </c>
    </row>
    <row r="86" spans="1:6" x14ac:dyDescent="0.25">
      <c r="A86" s="239" t="s">
        <v>634</v>
      </c>
      <c r="B86" s="240" t="s">
        <v>226</v>
      </c>
      <c r="C86" s="240" t="s">
        <v>819</v>
      </c>
      <c r="D86" s="240">
        <v>45691908</v>
      </c>
      <c r="E86" s="241" t="s">
        <v>820</v>
      </c>
      <c r="F86" s="242">
        <v>1721</v>
      </c>
    </row>
    <row r="87" spans="1:6" x14ac:dyDescent="0.25">
      <c r="A87" s="239" t="s">
        <v>634</v>
      </c>
      <c r="B87" s="240" t="s">
        <v>226</v>
      </c>
      <c r="C87" s="240" t="s">
        <v>804</v>
      </c>
      <c r="D87" s="240">
        <v>50172891</v>
      </c>
      <c r="E87" s="241" t="s">
        <v>805</v>
      </c>
      <c r="F87" s="242">
        <v>605</v>
      </c>
    </row>
    <row r="88" spans="1:6" x14ac:dyDescent="0.25">
      <c r="A88" s="239" t="s">
        <v>634</v>
      </c>
      <c r="B88" s="240" t="s">
        <v>226</v>
      </c>
      <c r="C88" s="240" t="s">
        <v>808</v>
      </c>
      <c r="D88" s="240">
        <v>50320840</v>
      </c>
      <c r="E88" s="241" t="s">
        <v>809</v>
      </c>
      <c r="F88" s="242">
        <v>1610</v>
      </c>
    </row>
    <row r="89" spans="1:6" x14ac:dyDescent="0.25">
      <c r="A89" s="239" t="s">
        <v>634</v>
      </c>
      <c r="B89" s="240" t="s">
        <v>226</v>
      </c>
      <c r="C89" s="240" t="s">
        <v>785</v>
      </c>
      <c r="D89" s="240">
        <v>44364652</v>
      </c>
      <c r="E89" s="241" t="s">
        <v>786</v>
      </c>
      <c r="F89" s="242">
        <v>296</v>
      </c>
    </row>
    <row r="90" spans="1:6" x14ac:dyDescent="0.25">
      <c r="A90" s="243" t="s">
        <v>1674</v>
      </c>
      <c r="B90" s="251"/>
      <c r="C90" s="252"/>
      <c r="D90" s="252"/>
      <c r="E90" s="253"/>
      <c r="F90" s="244">
        <v>171477</v>
      </c>
    </row>
    <row r="91" spans="1:6" x14ac:dyDescent="0.25">
      <c r="A91" s="239" t="s">
        <v>822</v>
      </c>
      <c r="B91" s="240" t="s">
        <v>43</v>
      </c>
      <c r="C91" s="240" t="s">
        <v>823</v>
      </c>
      <c r="D91" s="240">
        <v>54132975</v>
      </c>
      <c r="E91" s="241" t="s">
        <v>824</v>
      </c>
      <c r="F91" s="242">
        <v>13066</v>
      </c>
    </row>
    <row r="92" spans="1:6" x14ac:dyDescent="0.25">
      <c r="A92" s="239" t="s">
        <v>822</v>
      </c>
      <c r="B92" s="240" t="s">
        <v>79</v>
      </c>
      <c r="C92" s="240" t="s">
        <v>850</v>
      </c>
      <c r="D92" s="240">
        <v>37808427</v>
      </c>
      <c r="E92" s="241" t="s">
        <v>851</v>
      </c>
      <c r="F92" s="242">
        <v>165000</v>
      </c>
    </row>
    <row r="93" spans="1:6" x14ac:dyDescent="0.25">
      <c r="A93" s="239" t="s">
        <v>822</v>
      </c>
      <c r="B93" s="240" t="s">
        <v>177</v>
      </c>
      <c r="C93" s="240" t="s">
        <v>932</v>
      </c>
      <c r="D93" s="240">
        <v>317004</v>
      </c>
      <c r="E93" s="241" t="s">
        <v>933</v>
      </c>
      <c r="F93" s="242">
        <v>1075</v>
      </c>
    </row>
    <row r="94" spans="1:6" x14ac:dyDescent="0.25">
      <c r="A94" s="239" t="s">
        <v>822</v>
      </c>
      <c r="B94" s="240" t="s">
        <v>177</v>
      </c>
      <c r="C94" s="240" t="s">
        <v>928</v>
      </c>
      <c r="D94" s="240">
        <v>647209</v>
      </c>
      <c r="E94" s="241" t="s">
        <v>929</v>
      </c>
      <c r="F94" s="242">
        <v>920</v>
      </c>
    </row>
    <row r="95" spans="1:6" x14ac:dyDescent="0.25">
      <c r="A95" s="239" t="s">
        <v>822</v>
      </c>
      <c r="B95" s="240" t="s">
        <v>181</v>
      </c>
      <c r="C95" s="240" t="s">
        <v>946</v>
      </c>
      <c r="D95" s="240">
        <v>586536</v>
      </c>
      <c r="E95" s="241" t="s">
        <v>947</v>
      </c>
      <c r="F95" s="242">
        <v>1148</v>
      </c>
    </row>
    <row r="96" spans="1:6" x14ac:dyDescent="0.25">
      <c r="A96" s="239" t="s">
        <v>822</v>
      </c>
      <c r="B96" s="240" t="s">
        <v>181</v>
      </c>
      <c r="C96" s="240" t="s">
        <v>940</v>
      </c>
      <c r="D96" s="240">
        <v>894125</v>
      </c>
      <c r="E96" s="241" t="s">
        <v>941</v>
      </c>
      <c r="F96" s="242">
        <v>0</v>
      </c>
    </row>
    <row r="97" spans="1:6" x14ac:dyDescent="0.25">
      <c r="A97" s="239" t="s">
        <v>822</v>
      </c>
      <c r="B97" s="240" t="s">
        <v>181</v>
      </c>
      <c r="C97" s="240" t="s">
        <v>935</v>
      </c>
      <c r="D97" s="240">
        <v>42063043</v>
      </c>
      <c r="E97" s="241" t="s">
        <v>936</v>
      </c>
      <c r="F97" s="242">
        <v>8159</v>
      </c>
    </row>
    <row r="98" spans="1:6" x14ac:dyDescent="0.25">
      <c r="A98" s="239" t="s">
        <v>822</v>
      </c>
      <c r="B98" s="240" t="s">
        <v>226</v>
      </c>
      <c r="C98" s="240" t="s">
        <v>960</v>
      </c>
      <c r="D98" s="240">
        <v>90000070</v>
      </c>
      <c r="E98" s="241" t="s">
        <v>961</v>
      </c>
      <c r="F98" s="242">
        <v>1744</v>
      </c>
    </row>
    <row r="99" spans="1:6" x14ac:dyDescent="0.25">
      <c r="A99" s="239" t="s">
        <v>822</v>
      </c>
      <c r="B99" s="240" t="s">
        <v>226</v>
      </c>
      <c r="C99" s="240" t="s">
        <v>971</v>
      </c>
      <c r="D99" s="240">
        <v>90000079</v>
      </c>
      <c r="E99" s="241" t="s">
        <v>972</v>
      </c>
      <c r="F99" s="242">
        <v>596</v>
      </c>
    </row>
    <row r="100" spans="1:6" x14ac:dyDescent="0.25">
      <c r="A100" s="239" t="s">
        <v>822</v>
      </c>
      <c r="B100" s="240" t="s">
        <v>226</v>
      </c>
      <c r="C100" s="240" t="s">
        <v>964</v>
      </c>
      <c r="D100" s="240">
        <v>36431524</v>
      </c>
      <c r="E100" s="241" t="s">
        <v>965</v>
      </c>
      <c r="F100" s="242">
        <v>779</v>
      </c>
    </row>
    <row r="101" spans="1:6" x14ac:dyDescent="0.25">
      <c r="A101" s="239" t="s">
        <v>822</v>
      </c>
      <c r="B101" s="240" t="s">
        <v>226</v>
      </c>
      <c r="C101" s="240" t="s">
        <v>978</v>
      </c>
      <c r="D101" s="240">
        <v>90000134</v>
      </c>
      <c r="E101" s="241" t="s">
        <v>979</v>
      </c>
      <c r="F101" s="242">
        <v>0</v>
      </c>
    </row>
    <row r="102" spans="1:6" x14ac:dyDescent="0.25">
      <c r="A102" s="239" t="s">
        <v>822</v>
      </c>
      <c r="B102" s="240" t="s">
        <v>226</v>
      </c>
      <c r="C102" s="240" t="s">
        <v>982</v>
      </c>
      <c r="D102" s="240">
        <v>90000133</v>
      </c>
      <c r="E102" s="241" t="s">
        <v>983</v>
      </c>
      <c r="F102" s="242">
        <v>521</v>
      </c>
    </row>
    <row r="103" spans="1:6" x14ac:dyDescent="0.25">
      <c r="A103" s="239" t="s">
        <v>822</v>
      </c>
      <c r="B103" s="240" t="s">
        <v>226</v>
      </c>
      <c r="C103" s="240" t="s">
        <v>974</v>
      </c>
      <c r="D103" s="240">
        <v>36441406</v>
      </c>
      <c r="E103" s="241" t="s">
        <v>975</v>
      </c>
      <c r="F103" s="242">
        <v>2141</v>
      </c>
    </row>
    <row r="104" spans="1:6" x14ac:dyDescent="0.25">
      <c r="A104" s="239" t="s">
        <v>822</v>
      </c>
      <c r="B104" s="240" t="s">
        <v>226</v>
      </c>
      <c r="C104" s="240" t="s">
        <v>988</v>
      </c>
      <c r="D104" s="240">
        <v>37983121</v>
      </c>
      <c r="E104" s="241" t="s">
        <v>989</v>
      </c>
      <c r="F104" s="242">
        <v>1221</v>
      </c>
    </row>
    <row r="105" spans="1:6" x14ac:dyDescent="0.25">
      <c r="A105" s="239" t="s">
        <v>822</v>
      </c>
      <c r="B105" s="240" t="s">
        <v>226</v>
      </c>
      <c r="C105" s="240" t="s">
        <v>967</v>
      </c>
      <c r="D105" s="240">
        <v>36433209</v>
      </c>
      <c r="E105" s="241" t="s">
        <v>968</v>
      </c>
      <c r="F105" s="242">
        <v>2436</v>
      </c>
    </row>
    <row r="106" spans="1:6" x14ac:dyDescent="0.25">
      <c r="A106" s="239" t="s">
        <v>822</v>
      </c>
      <c r="B106" s="240" t="s">
        <v>226</v>
      </c>
      <c r="C106" s="240" t="s">
        <v>954</v>
      </c>
      <c r="D106" s="240">
        <v>42144141</v>
      </c>
      <c r="E106" s="241" t="s">
        <v>955</v>
      </c>
      <c r="F106" s="242">
        <v>0</v>
      </c>
    </row>
    <row r="107" spans="1:6" x14ac:dyDescent="0.25">
      <c r="A107" s="239" t="s">
        <v>822</v>
      </c>
      <c r="B107" s="240" t="s">
        <v>226</v>
      </c>
      <c r="C107" s="240" t="s">
        <v>984</v>
      </c>
      <c r="D107" s="240">
        <v>42224187</v>
      </c>
      <c r="E107" s="241" t="s">
        <v>985</v>
      </c>
      <c r="F107" s="242">
        <v>924</v>
      </c>
    </row>
    <row r="108" spans="1:6" x14ac:dyDescent="0.25">
      <c r="A108" s="239" t="s">
        <v>822</v>
      </c>
      <c r="B108" s="240" t="s">
        <v>226</v>
      </c>
      <c r="C108" s="240" t="s">
        <v>957</v>
      </c>
      <c r="D108" s="240">
        <v>47365773</v>
      </c>
      <c r="E108" s="241" t="s">
        <v>958</v>
      </c>
      <c r="F108" s="242">
        <v>1021</v>
      </c>
    </row>
    <row r="109" spans="1:6" x14ac:dyDescent="0.25">
      <c r="A109" s="243" t="s">
        <v>1675</v>
      </c>
      <c r="B109" s="251"/>
      <c r="C109" s="252"/>
      <c r="D109" s="252"/>
      <c r="E109" s="253"/>
      <c r="F109" s="244">
        <v>200751</v>
      </c>
    </row>
    <row r="110" spans="1:6" x14ac:dyDescent="0.25">
      <c r="A110" s="239" t="s">
        <v>991</v>
      </c>
      <c r="B110" s="240" t="s">
        <v>43</v>
      </c>
      <c r="C110" s="240" t="s">
        <v>992</v>
      </c>
      <c r="D110" s="240">
        <v>54139937</v>
      </c>
      <c r="E110" s="241" t="s">
        <v>993</v>
      </c>
      <c r="F110" s="242">
        <v>9052</v>
      </c>
    </row>
    <row r="111" spans="1:6" x14ac:dyDescent="0.25">
      <c r="A111" s="239" t="s">
        <v>991</v>
      </c>
      <c r="B111" s="240" t="s">
        <v>79</v>
      </c>
      <c r="C111" s="240" t="s">
        <v>1024</v>
      </c>
      <c r="D111" s="240">
        <v>37828100</v>
      </c>
      <c r="E111" s="241" t="s">
        <v>1025</v>
      </c>
      <c r="F111" s="242">
        <v>136230</v>
      </c>
    </row>
    <row r="112" spans="1:6" x14ac:dyDescent="0.25">
      <c r="A112" s="239" t="s">
        <v>991</v>
      </c>
      <c r="B112" s="240" t="s">
        <v>181</v>
      </c>
      <c r="C112" s="240" t="s">
        <v>1116</v>
      </c>
      <c r="D112" s="240">
        <v>179086</v>
      </c>
      <c r="E112" s="241" t="s">
        <v>1117</v>
      </c>
      <c r="F112" s="242">
        <v>6042</v>
      </c>
    </row>
    <row r="113" spans="1:6" x14ac:dyDescent="0.25">
      <c r="A113" s="239" t="s">
        <v>991</v>
      </c>
      <c r="B113" s="240" t="s">
        <v>181</v>
      </c>
      <c r="C113" s="240" t="s">
        <v>1112</v>
      </c>
      <c r="D113" s="240">
        <v>31933475</v>
      </c>
      <c r="E113" s="241" t="s">
        <v>1113</v>
      </c>
      <c r="F113" s="242">
        <v>4164</v>
      </c>
    </row>
    <row r="114" spans="1:6" x14ac:dyDescent="0.25">
      <c r="A114" s="239" t="s">
        <v>991</v>
      </c>
      <c r="B114" s="240" t="s">
        <v>226</v>
      </c>
      <c r="C114" s="240" t="s">
        <v>1182</v>
      </c>
      <c r="D114" s="240">
        <v>90000103</v>
      </c>
      <c r="E114" s="241" t="s">
        <v>1183</v>
      </c>
      <c r="F114" s="242">
        <v>1681</v>
      </c>
    </row>
    <row r="115" spans="1:6" x14ac:dyDescent="0.25">
      <c r="A115" s="239" t="s">
        <v>991</v>
      </c>
      <c r="B115" s="240" t="s">
        <v>226</v>
      </c>
      <c r="C115" s="240" t="s">
        <v>1192</v>
      </c>
      <c r="D115" s="240">
        <v>621200</v>
      </c>
      <c r="E115" s="241" t="s">
        <v>1193</v>
      </c>
      <c r="F115" s="242">
        <v>61</v>
      </c>
    </row>
    <row r="116" spans="1:6" x14ac:dyDescent="0.25">
      <c r="A116" s="239" t="s">
        <v>991</v>
      </c>
      <c r="B116" s="240" t="s">
        <v>226</v>
      </c>
      <c r="C116" s="240" t="s">
        <v>1143</v>
      </c>
      <c r="D116" s="240">
        <v>31562141</v>
      </c>
      <c r="E116" s="241" t="s">
        <v>1144</v>
      </c>
      <c r="F116" s="242">
        <v>2503</v>
      </c>
    </row>
    <row r="117" spans="1:6" x14ac:dyDescent="0.25">
      <c r="A117" s="239" t="s">
        <v>991</v>
      </c>
      <c r="B117" s="240" t="s">
        <v>226</v>
      </c>
      <c r="C117" s="240" t="s">
        <v>1140</v>
      </c>
      <c r="D117" s="240">
        <v>37896695</v>
      </c>
      <c r="E117" s="241" t="s">
        <v>1141</v>
      </c>
      <c r="F117" s="242">
        <v>1389</v>
      </c>
    </row>
    <row r="118" spans="1:6" x14ac:dyDescent="0.25">
      <c r="A118" s="239" t="s">
        <v>991</v>
      </c>
      <c r="B118" s="240" t="s">
        <v>226</v>
      </c>
      <c r="C118" s="240" t="s">
        <v>1179</v>
      </c>
      <c r="D118" s="240">
        <v>90000151</v>
      </c>
      <c r="E118" s="241" t="s">
        <v>1180</v>
      </c>
      <c r="F118" s="242">
        <v>887</v>
      </c>
    </row>
    <row r="119" spans="1:6" x14ac:dyDescent="0.25">
      <c r="A119" s="239" t="s">
        <v>991</v>
      </c>
      <c r="B119" s="240" t="s">
        <v>226</v>
      </c>
      <c r="C119" s="240" t="s">
        <v>1129</v>
      </c>
      <c r="D119" s="240">
        <v>36648701</v>
      </c>
      <c r="E119" s="241" t="s">
        <v>1130</v>
      </c>
      <c r="F119" s="242">
        <v>239</v>
      </c>
    </row>
    <row r="120" spans="1:6" x14ac:dyDescent="0.25">
      <c r="A120" s="239" t="s">
        <v>991</v>
      </c>
      <c r="B120" s="240" t="s">
        <v>226</v>
      </c>
      <c r="C120" s="240" t="s">
        <v>1158</v>
      </c>
      <c r="D120" s="240">
        <v>36640425</v>
      </c>
      <c r="E120" s="241" t="s">
        <v>1159</v>
      </c>
      <c r="F120" s="242">
        <v>2495</v>
      </c>
    </row>
    <row r="121" spans="1:6" x14ac:dyDescent="0.25">
      <c r="A121" s="239" t="s">
        <v>991</v>
      </c>
      <c r="B121" s="240" t="s">
        <v>226</v>
      </c>
      <c r="C121" s="240" t="s">
        <v>1153</v>
      </c>
      <c r="D121" s="240">
        <v>44458878</v>
      </c>
      <c r="E121" s="241" t="s">
        <v>1154</v>
      </c>
      <c r="F121" s="242">
        <v>342</v>
      </c>
    </row>
    <row r="122" spans="1:6" x14ac:dyDescent="0.25">
      <c r="A122" s="239" t="s">
        <v>991</v>
      </c>
      <c r="B122" s="240" t="s">
        <v>226</v>
      </c>
      <c r="C122" s="240" t="s">
        <v>1197</v>
      </c>
      <c r="D122" s="240">
        <v>37899198</v>
      </c>
      <c r="E122" s="241" t="s">
        <v>1198</v>
      </c>
      <c r="F122" s="242">
        <v>1496</v>
      </c>
    </row>
    <row r="123" spans="1:6" x14ac:dyDescent="0.25">
      <c r="A123" s="239" t="s">
        <v>991</v>
      </c>
      <c r="B123" s="240" t="s">
        <v>226</v>
      </c>
      <c r="C123" s="240" t="s">
        <v>1176</v>
      </c>
      <c r="D123" s="240">
        <v>44040512</v>
      </c>
      <c r="E123" s="241" t="s">
        <v>1177</v>
      </c>
      <c r="F123" s="242">
        <v>417</v>
      </c>
    </row>
    <row r="124" spans="1:6" x14ac:dyDescent="0.25">
      <c r="A124" s="239" t="s">
        <v>991</v>
      </c>
      <c r="B124" s="240" t="s">
        <v>226</v>
      </c>
      <c r="C124" s="240" t="s">
        <v>1133</v>
      </c>
      <c r="D124" s="240">
        <v>90000233</v>
      </c>
      <c r="E124" s="241" t="s">
        <v>1134</v>
      </c>
      <c r="F124" s="242">
        <v>1057</v>
      </c>
    </row>
    <row r="125" spans="1:6" x14ac:dyDescent="0.25">
      <c r="A125" s="239" t="s">
        <v>991</v>
      </c>
      <c r="B125" s="240" t="s">
        <v>226</v>
      </c>
      <c r="C125" s="240" t="s">
        <v>1189</v>
      </c>
      <c r="D125" s="240">
        <v>46055509</v>
      </c>
      <c r="E125" s="241" t="s">
        <v>1190</v>
      </c>
      <c r="F125" s="242">
        <v>0</v>
      </c>
    </row>
    <row r="126" spans="1:6" x14ac:dyDescent="0.25">
      <c r="A126" s="239" t="s">
        <v>991</v>
      </c>
      <c r="B126" s="240" t="s">
        <v>226</v>
      </c>
      <c r="C126" s="240" t="s">
        <v>1171</v>
      </c>
      <c r="D126" s="240">
        <v>42189250</v>
      </c>
      <c r="E126" s="241" t="s">
        <v>1172</v>
      </c>
      <c r="F126" s="242">
        <v>0</v>
      </c>
    </row>
    <row r="127" spans="1:6" x14ac:dyDescent="0.25">
      <c r="A127" s="239" t="s">
        <v>991</v>
      </c>
      <c r="B127" s="240" t="s">
        <v>226</v>
      </c>
      <c r="C127" s="240" t="s">
        <v>1136</v>
      </c>
      <c r="D127" s="240">
        <v>47342242</v>
      </c>
      <c r="E127" s="241" t="s">
        <v>1137</v>
      </c>
      <c r="F127" s="242">
        <f>5527+3230</f>
        <v>8757</v>
      </c>
    </row>
    <row r="128" spans="1:6" x14ac:dyDescent="0.25">
      <c r="A128" s="239" t="s">
        <v>991</v>
      </c>
      <c r="B128" s="240" t="s">
        <v>226</v>
      </c>
      <c r="C128" s="240" t="s">
        <v>1161</v>
      </c>
      <c r="D128" s="240">
        <v>50743481</v>
      </c>
      <c r="E128" s="241" t="s">
        <v>1162</v>
      </c>
      <c r="F128" s="242">
        <v>1386</v>
      </c>
    </row>
    <row r="129" spans="1:6" x14ac:dyDescent="0.25">
      <c r="A129" s="239" t="s">
        <v>991</v>
      </c>
      <c r="B129" s="240" t="s">
        <v>226</v>
      </c>
      <c r="C129" s="240" t="s">
        <v>1148</v>
      </c>
      <c r="D129" s="240">
        <v>45018154</v>
      </c>
      <c r="E129" s="241" t="s">
        <v>1149</v>
      </c>
      <c r="F129" s="242">
        <v>0</v>
      </c>
    </row>
    <row r="130" spans="1:6" x14ac:dyDescent="0.25">
      <c r="A130" s="239" t="s">
        <v>991</v>
      </c>
      <c r="B130" s="240" t="s">
        <v>226</v>
      </c>
      <c r="C130" s="240" t="s">
        <v>1185</v>
      </c>
      <c r="D130" s="240">
        <v>52599493</v>
      </c>
      <c r="E130" s="241" t="s">
        <v>1186</v>
      </c>
      <c r="F130" s="242">
        <v>115</v>
      </c>
    </row>
    <row r="131" spans="1:6" x14ac:dyDescent="0.25">
      <c r="A131" s="243" t="s">
        <v>1676</v>
      </c>
      <c r="B131" s="251"/>
      <c r="C131" s="252"/>
      <c r="D131" s="252"/>
      <c r="E131" s="253"/>
      <c r="F131" s="244">
        <f>SUM(F110:F130)</f>
        <v>178313</v>
      </c>
    </row>
    <row r="132" spans="1:6" x14ac:dyDescent="0.25">
      <c r="A132" s="239" t="s">
        <v>1201</v>
      </c>
      <c r="B132" s="240" t="s">
        <v>43</v>
      </c>
      <c r="C132" s="240" t="s">
        <v>1202</v>
      </c>
      <c r="D132" s="240">
        <v>54131472</v>
      </c>
      <c r="E132" s="241" t="s">
        <v>1203</v>
      </c>
      <c r="F132" s="242">
        <v>6590</v>
      </c>
    </row>
    <row r="133" spans="1:6" x14ac:dyDescent="0.25">
      <c r="A133" s="239" t="s">
        <v>1201</v>
      </c>
      <c r="B133" s="240" t="s">
        <v>79</v>
      </c>
      <c r="C133" s="240" t="s">
        <v>1241</v>
      </c>
      <c r="D133" s="240">
        <v>37870475</v>
      </c>
      <c r="E133" s="241" t="s">
        <v>1242</v>
      </c>
      <c r="F133" s="242">
        <v>162145</v>
      </c>
    </row>
    <row r="134" spans="1:6" x14ac:dyDescent="0.25">
      <c r="A134" s="239" t="s">
        <v>1201</v>
      </c>
      <c r="B134" s="240" t="s">
        <v>177</v>
      </c>
      <c r="C134" s="240" t="s">
        <v>1336</v>
      </c>
      <c r="D134" s="240">
        <v>321982</v>
      </c>
      <c r="E134" s="241" t="s">
        <v>1337</v>
      </c>
      <c r="F134" s="242">
        <v>852</v>
      </c>
    </row>
    <row r="135" spans="1:6" x14ac:dyDescent="0.25">
      <c r="A135" s="239" t="s">
        <v>1201</v>
      </c>
      <c r="B135" s="240" t="s">
        <v>177</v>
      </c>
      <c r="C135" s="240" t="s">
        <v>1330</v>
      </c>
      <c r="D135" s="240">
        <v>326526</v>
      </c>
      <c r="E135" s="241" t="s">
        <v>1331</v>
      </c>
      <c r="F135" s="242">
        <v>1282</v>
      </c>
    </row>
    <row r="136" spans="1:6" x14ac:dyDescent="0.25">
      <c r="A136" s="239" t="s">
        <v>1201</v>
      </c>
      <c r="B136" s="240" t="s">
        <v>177</v>
      </c>
      <c r="C136" s="240" t="s">
        <v>1334</v>
      </c>
      <c r="D136" s="240">
        <v>331007</v>
      </c>
      <c r="E136" s="241" t="s">
        <v>1335</v>
      </c>
      <c r="F136" s="242">
        <v>191</v>
      </c>
    </row>
    <row r="137" spans="1:6" x14ac:dyDescent="0.25">
      <c r="A137" s="239" t="s">
        <v>1201</v>
      </c>
      <c r="B137" s="240" t="s">
        <v>181</v>
      </c>
      <c r="C137" s="240" t="s">
        <v>1340</v>
      </c>
      <c r="D137" s="240">
        <v>179124</v>
      </c>
      <c r="E137" s="241" t="s">
        <v>1341</v>
      </c>
      <c r="F137" s="242">
        <v>13628</v>
      </c>
    </row>
    <row r="138" spans="1:6" x14ac:dyDescent="0.25">
      <c r="A138" s="239" t="s">
        <v>1201</v>
      </c>
      <c r="B138" s="240" t="s">
        <v>181</v>
      </c>
      <c r="C138" s="240" t="s">
        <v>1344</v>
      </c>
      <c r="D138" s="240">
        <v>179205</v>
      </c>
      <c r="E138" s="241" t="s">
        <v>1345</v>
      </c>
      <c r="F138" s="242">
        <v>1991</v>
      </c>
    </row>
    <row r="139" spans="1:6" x14ac:dyDescent="0.25">
      <c r="A139" s="239" t="s">
        <v>1201</v>
      </c>
      <c r="B139" s="240" t="s">
        <v>181</v>
      </c>
      <c r="C139" s="240" t="s">
        <v>1348</v>
      </c>
      <c r="D139" s="240">
        <v>31997520</v>
      </c>
      <c r="E139" s="241" t="s">
        <v>1349</v>
      </c>
      <c r="F139" s="242">
        <v>10960</v>
      </c>
    </row>
    <row r="140" spans="1:6" x14ac:dyDescent="0.25">
      <c r="A140" s="239" t="s">
        <v>1201</v>
      </c>
      <c r="B140" s="240" t="s">
        <v>181</v>
      </c>
      <c r="C140" s="240" t="s">
        <v>1369</v>
      </c>
      <c r="D140" s="240">
        <v>586439</v>
      </c>
      <c r="E140" s="241" t="s">
        <v>1370</v>
      </c>
      <c r="F140" s="242">
        <v>3771</v>
      </c>
    </row>
    <row r="141" spans="1:6" x14ac:dyDescent="0.25">
      <c r="A141" s="239" t="s">
        <v>1201</v>
      </c>
      <c r="B141" s="240" t="s">
        <v>226</v>
      </c>
      <c r="C141" s="240" t="s">
        <v>1394</v>
      </c>
      <c r="D141" s="240">
        <v>30310873</v>
      </c>
      <c r="E141" s="241" t="s">
        <v>1395</v>
      </c>
      <c r="F141" s="242">
        <v>0</v>
      </c>
    </row>
    <row r="142" spans="1:6" x14ac:dyDescent="0.25">
      <c r="A142" s="239" t="s">
        <v>1201</v>
      </c>
      <c r="B142" s="240" t="s">
        <v>226</v>
      </c>
      <c r="C142" s="240" t="s">
        <v>1403</v>
      </c>
      <c r="D142" s="240">
        <v>37051890</v>
      </c>
      <c r="E142" s="241" t="s">
        <v>1404</v>
      </c>
      <c r="F142" s="242">
        <v>1074</v>
      </c>
    </row>
    <row r="143" spans="1:6" x14ac:dyDescent="0.25">
      <c r="A143" s="239" t="s">
        <v>1201</v>
      </c>
      <c r="B143" s="240" t="s">
        <v>226</v>
      </c>
      <c r="C143" s="240" t="s">
        <v>1412</v>
      </c>
      <c r="D143" s="240">
        <v>51785102</v>
      </c>
      <c r="E143" s="241" t="s">
        <v>1413</v>
      </c>
      <c r="F143" s="242">
        <v>1517</v>
      </c>
    </row>
    <row r="144" spans="1:6" x14ac:dyDescent="0.25">
      <c r="A144" s="239" t="s">
        <v>1201</v>
      </c>
      <c r="B144" s="240" t="s">
        <v>226</v>
      </c>
      <c r="C144" s="240" t="s">
        <v>1397</v>
      </c>
      <c r="D144" s="240">
        <v>90000177</v>
      </c>
      <c r="E144" s="241" t="s">
        <v>1398</v>
      </c>
      <c r="F144" s="242">
        <v>0</v>
      </c>
    </row>
    <row r="145" spans="1:6" x14ac:dyDescent="0.25">
      <c r="A145" s="239" t="s">
        <v>1201</v>
      </c>
      <c r="B145" s="240" t="s">
        <v>226</v>
      </c>
      <c r="C145" s="240" t="s">
        <v>1391</v>
      </c>
      <c r="D145" s="240">
        <v>37886223</v>
      </c>
      <c r="E145" s="241" t="s">
        <v>1392</v>
      </c>
      <c r="F145" s="242">
        <v>957</v>
      </c>
    </row>
    <row r="146" spans="1:6" x14ac:dyDescent="0.25">
      <c r="A146" s="239" t="s">
        <v>1201</v>
      </c>
      <c r="B146" s="240" t="s">
        <v>226</v>
      </c>
      <c r="C146" s="240" t="s">
        <v>1422</v>
      </c>
      <c r="D146" s="240">
        <v>36454079</v>
      </c>
      <c r="E146" s="241" t="s">
        <v>1423</v>
      </c>
      <c r="F146" s="242">
        <v>1808</v>
      </c>
    </row>
    <row r="147" spans="1:6" x14ac:dyDescent="0.25">
      <c r="A147" s="239" t="s">
        <v>1201</v>
      </c>
      <c r="B147" s="240" t="s">
        <v>226</v>
      </c>
      <c r="C147" s="240" t="s">
        <v>1388</v>
      </c>
      <c r="D147" s="240">
        <v>44405847</v>
      </c>
      <c r="E147" s="241" t="s">
        <v>1389</v>
      </c>
      <c r="F147" s="242">
        <v>1837</v>
      </c>
    </row>
    <row r="148" spans="1:6" x14ac:dyDescent="0.25">
      <c r="A148" s="239" t="s">
        <v>1201</v>
      </c>
      <c r="B148" s="240" t="s">
        <v>226</v>
      </c>
      <c r="C148" s="240" t="s">
        <v>1384</v>
      </c>
      <c r="D148" s="240">
        <v>42092167</v>
      </c>
      <c r="E148" s="241" t="s">
        <v>1385</v>
      </c>
      <c r="F148" s="242">
        <v>992</v>
      </c>
    </row>
    <row r="149" spans="1:6" x14ac:dyDescent="0.25">
      <c r="A149" s="239" t="s">
        <v>1201</v>
      </c>
      <c r="B149" s="240" t="s">
        <v>226</v>
      </c>
      <c r="C149" s="240" t="s">
        <v>1399</v>
      </c>
      <c r="D149" s="240">
        <v>45731047</v>
      </c>
      <c r="E149" s="241" t="s">
        <v>1400</v>
      </c>
      <c r="F149" s="242">
        <v>1004</v>
      </c>
    </row>
    <row r="150" spans="1:6" x14ac:dyDescent="0.25">
      <c r="A150" s="239" t="s">
        <v>1201</v>
      </c>
      <c r="B150" s="240" t="s">
        <v>226</v>
      </c>
      <c r="C150" s="240" t="s">
        <v>1407</v>
      </c>
      <c r="D150" s="240">
        <v>45732108</v>
      </c>
      <c r="E150" s="241" t="s">
        <v>1408</v>
      </c>
      <c r="F150" s="242">
        <v>1578</v>
      </c>
    </row>
    <row r="151" spans="1:6" x14ac:dyDescent="0.25">
      <c r="A151" s="239" t="s">
        <v>1201</v>
      </c>
      <c r="B151" s="240" t="s">
        <v>226</v>
      </c>
      <c r="C151" s="240" t="s">
        <v>1418</v>
      </c>
      <c r="D151" s="240">
        <v>90000236</v>
      </c>
      <c r="E151" s="241" t="s">
        <v>1419</v>
      </c>
      <c r="F151" s="242">
        <v>0</v>
      </c>
    </row>
    <row r="152" spans="1:6" x14ac:dyDescent="0.25">
      <c r="A152" s="239" t="s">
        <v>1201</v>
      </c>
      <c r="B152" s="240" t="s">
        <v>226</v>
      </c>
      <c r="C152" s="240" t="s">
        <v>1425</v>
      </c>
      <c r="D152" s="240">
        <v>90000327</v>
      </c>
      <c r="E152" s="241" t="s">
        <v>1426</v>
      </c>
      <c r="F152" s="242">
        <v>0</v>
      </c>
    </row>
    <row r="153" spans="1:6" x14ac:dyDescent="0.25">
      <c r="A153" s="243" t="s">
        <v>1677</v>
      </c>
      <c r="B153" s="251"/>
      <c r="C153" s="252"/>
      <c r="D153" s="252"/>
      <c r="E153" s="253"/>
      <c r="F153" s="244">
        <v>212177</v>
      </c>
    </row>
    <row r="154" spans="1:6" x14ac:dyDescent="0.25">
      <c r="A154" s="239" t="s">
        <v>1428</v>
      </c>
      <c r="B154" s="240" t="s">
        <v>43</v>
      </c>
      <c r="C154" s="240" t="s">
        <v>1429</v>
      </c>
      <c r="D154" s="240">
        <v>54131430</v>
      </c>
      <c r="E154" s="241" t="s">
        <v>1430</v>
      </c>
      <c r="F154" s="242">
        <v>8483</v>
      </c>
    </row>
    <row r="155" spans="1:6" x14ac:dyDescent="0.25">
      <c r="A155" s="239" t="s">
        <v>1428</v>
      </c>
      <c r="B155" s="240" t="s">
        <v>79</v>
      </c>
      <c r="C155" s="240" t="s">
        <v>1467</v>
      </c>
      <c r="D155" s="240">
        <v>35541016</v>
      </c>
      <c r="E155" s="241" t="s">
        <v>1468</v>
      </c>
      <c r="F155" s="242">
        <v>167877</v>
      </c>
    </row>
    <row r="156" spans="1:6" x14ac:dyDescent="0.25">
      <c r="A156" s="239" t="s">
        <v>1428</v>
      </c>
      <c r="B156" s="240" t="s">
        <v>177</v>
      </c>
      <c r="C156" s="240" t="s">
        <v>1553</v>
      </c>
      <c r="D156" s="240">
        <v>328758</v>
      </c>
      <c r="E156" s="241" t="s">
        <v>1554</v>
      </c>
      <c r="F156" s="242">
        <v>71</v>
      </c>
    </row>
    <row r="157" spans="1:6" x14ac:dyDescent="0.25">
      <c r="A157" s="239" t="s">
        <v>1428</v>
      </c>
      <c r="B157" s="240" t="s">
        <v>181</v>
      </c>
      <c r="C157" s="240" t="s">
        <v>1556</v>
      </c>
      <c r="D157" s="240">
        <v>179094</v>
      </c>
      <c r="E157" s="241" t="s">
        <v>1557</v>
      </c>
      <c r="F157" s="242">
        <v>18802</v>
      </c>
    </row>
    <row r="158" spans="1:6" x14ac:dyDescent="0.25">
      <c r="A158" s="239" t="s">
        <v>1428</v>
      </c>
      <c r="B158" s="240" t="s">
        <v>181</v>
      </c>
      <c r="C158" s="240" t="s">
        <v>1572</v>
      </c>
      <c r="D158" s="240">
        <v>30305624</v>
      </c>
      <c r="E158" s="241" t="s">
        <v>1573</v>
      </c>
      <c r="F158" s="242">
        <v>6191</v>
      </c>
    </row>
    <row r="159" spans="1:6" x14ac:dyDescent="0.25">
      <c r="A159" s="239" t="s">
        <v>1428</v>
      </c>
      <c r="B159" s="240" t="s">
        <v>181</v>
      </c>
      <c r="C159" s="240" t="s">
        <v>1585</v>
      </c>
      <c r="D159" s="240">
        <v>35514221</v>
      </c>
      <c r="E159" s="241" t="s">
        <v>1586</v>
      </c>
      <c r="F159" s="242">
        <v>0</v>
      </c>
    </row>
    <row r="160" spans="1:6" x14ac:dyDescent="0.25">
      <c r="A160" s="239" t="s">
        <v>1428</v>
      </c>
      <c r="B160" s="240" t="s">
        <v>181</v>
      </c>
      <c r="C160" s="240" t="s">
        <v>1576</v>
      </c>
      <c r="D160" s="240">
        <v>179175</v>
      </c>
      <c r="E160" s="241" t="s">
        <v>1577</v>
      </c>
      <c r="F160" s="242">
        <v>596</v>
      </c>
    </row>
    <row r="161" spans="1:6" x14ac:dyDescent="0.25">
      <c r="A161" s="239" t="s">
        <v>1428</v>
      </c>
      <c r="B161" s="240" t="s">
        <v>181</v>
      </c>
      <c r="C161" s="240" t="s">
        <v>1561</v>
      </c>
      <c r="D161" s="240">
        <v>587125</v>
      </c>
      <c r="E161" s="241" t="s">
        <v>1562</v>
      </c>
      <c r="F161" s="242">
        <v>1267</v>
      </c>
    </row>
    <row r="162" spans="1:6" x14ac:dyDescent="0.25">
      <c r="A162" s="239" t="s">
        <v>1428</v>
      </c>
      <c r="B162" s="240" t="s">
        <v>226</v>
      </c>
      <c r="C162" s="240" t="s">
        <v>1625</v>
      </c>
      <c r="D162" s="240">
        <v>31698964</v>
      </c>
      <c r="E162" s="241" t="s">
        <v>1626</v>
      </c>
      <c r="F162" s="242">
        <v>0</v>
      </c>
    </row>
    <row r="163" spans="1:6" x14ac:dyDescent="0.25">
      <c r="A163" s="239" t="s">
        <v>1428</v>
      </c>
      <c r="B163" s="240" t="s">
        <v>226</v>
      </c>
      <c r="C163" s="240" t="s">
        <v>1655</v>
      </c>
      <c r="D163" s="240">
        <v>90000337</v>
      </c>
      <c r="E163" s="241" t="s">
        <v>1656</v>
      </c>
      <c r="F163" s="242">
        <v>0</v>
      </c>
    </row>
    <row r="164" spans="1:6" x14ac:dyDescent="0.25">
      <c r="A164" s="239" t="s">
        <v>1428</v>
      </c>
      <c r="B164" s="240" t="s">
        <v>226</v>
      </c>
      <c r="C164" s="240" t="s">
        <v>1632</v>
      </c>
      <c r="D164" s="240">
        <v>90000338</v>
      </c>
      <c r="E164" s="241" t="s">
        <v>1633</v>
      </c>
      <c r="F164" s="242">
        <v>1532</v>
      </c>
    </row>
    <row r="165" spans="1:6" x14ac:dyDescent="0.25">
      <c r="A165" s="239" t="s">
        <v>1428</v>
      </c>
      <c r="B165" s="240" t="s">
        <v>226</v>
      </c>
      <c r="C165" s="240" t="s">
        <v>1611</v>
      </c>
      <c r="D165" s="240">
        <v>90000091</v>
      </c>
      <c r="E165" s="241" t="s">
        <v>1612</v>
      </c>
      <c r="F165" s="242">
        <v>373</v>
      </c>
    </row>
    <row r="166" spans="1:6" x14ac:dyDescent="0.25">
      <c r="A166" s="239" t="s">
        <v>1428</v>
      </c>
      <c r="B166" s="240" t="s">
        <v>226</v>
      </c>
      <c r="C166" s="240" t="s">
        <v>1635</v>
      </c>
      <c r="D166" s="240">
        <v>31257267</v>
      </c>
      <c r="E166" s="241" t="s">
        <v>1636</v>
      </c>
      <c r="F166" s="242">
        <v>982</v>
      </c>
    </row>
    <row r="167" spans="1:6" x14ac:dyDescent="0.25">
      <c r="A167" s="239" t="s">
        <v>1428</v>
      </c>
      <c r="B167" s="240" t="s">
        <v>226</v>
      </c>
      <c r="C167" s="240" t="s">
        <v>1604</v>
      </c>
      <c r="D167" s="240">
        <v>90000101</v>
      </c>
      <c r="E167" s="241" t="s">
        <v>1605</v>
      </c>
      <c r="F167" s="242">
        <v>472</v>
      </c>
    </row>
    <row r="168" spans="1:6" x14ac:dyDescent="0.25">
      <c r="A168" s="239" t="s">
        <v>1428</v>
      </c>
      <c r="B168" s="240" t="s">
        <v>226</v>
      </c>
      <c r="C168" s="240" t="s">
        <v>1628</v>
      </c>
      <c r="D168" s="240">
        <v>36614378</v>
      </c>
      <c r="E168" s="241" t="s">
        <v>1629</v>
      </c>
      <c r="F168" s="242">
        <v>469</v>
      </c>
    </row>
    <row r="169" spans="1:6" x14ac:dyDescent="0.25">
      <c r="A169" s="239" t="s">
        <v>1428</v>
      </c>
      <c r="B169" s="240" t="s">
        <v>226</v>
      </c>
      <c r="C169" s="240" t="s">
        <v>1647</v>
      </c>
      <c r="D169" s="240">
        <v>90000166</v>
      </c>
      <c r="E169" s="241" t="s">
        <v>1648</v>
      </c>
      <c r="F169" s="242">
        <v>0</v>
      </c>
    </row>
    <row r="170" spans="1:6" x14ac:dyDescent="0.25">
      <c r="A170" s="239" t="s">
        <v>1428</v>
      </c>
      <c r="B170" s="240" t="s">
        <v>226</v>
      </c>
      <c r="C170" s="240" t="s">
        <v>1618</v>
      </c>
      <c r="D170" s="240">
        <v>36670201</v>
      </c>
      <c r="E170" s="241" t="s">
        <v>1619</v>
      </c>
      <c r="F170" s="242">
        <v>434</v>
      </c>
    </row>
    <row r="171" spans="1:6" x14ac:dyDescent="0.25">
      <c r="A171" s="239" t="s">
        <v>1428</v>
      </c>
      <c r="B171" s="240" t="s">
        <v>226</v>
      </c>
      <c r="C171" s="240" t="s">
        <v>1600</v>
      </c>
      <c r="D171" s="240">
        <v>35581450</v>
      </c>
      <c r="E171" s="241" t="s">
        <v>1601</v>
      </c>
      <c r="F171" s="242">
        <v>2801</v>
      </c>
    </row>
    <row r="172" spans="1:6" x14ac:dyDescent="0.25">
      <c r="A172" s="239" t="s">
        <v>1428</v>
      </c>
      <c r="B172" s="240" t="s">
        <v>226</v>
      </c>
      <c r="C172" s="240" t="s">
        <v>1607</v>
      </c>
      <c r="D172" s="240">
        <v>90000202</v>
      </c>
      <c r="E172" s="241" t="s">
        <v>1608</v>
      </c>
      <c r="F172" s="242">
        <v>0</v>
      </c>
    </row>
    <row r="173" spans="1:6" x14ac:dyDescent="0.25">
      <c r="A173" s="239" t="s">
        <v>1428</v>
      </c>
      <c r="B173" s="240" t="s">
        <v>226</v>
      </c>
      <c r="C173" s="240" t="s">
        <v>1622</v>
      </c>
      <c r="D173" s="240">
        <v>35582006</v>
      </c>
      <c r="E173" s="241" t="s">
        <v>1623</v>
      </c>
      <c r="F173" s="242">
        <v>3510</v>
      </c>
    </row>
    <row r="174" spans="1:6" x14ac:dyDescent="0.25">
      <c r="A174" s="239" t="s">
        <v>1428</v>
      </c>
      <c r="B174" s="240" t="s">
        <v>226</v>
      </c>
      <c r="C174" s="240" t="s">
        <v>1615</v>
      </c>
      <c r="D174" s="240">
        <v>45866635</v>
      </c>
      <c r="E174" s="241" t="s">
        <v>1616</v>
      </c>
      <c r="F174" s="242">
        <v>132</v>
      </c>
    </row>
    <row r="175" spans="1:6" x14ac:dyDescent="0.25">
      <c r="A175" s="239" t="s">
        <v>1428</v>
      </c>
      <c r="B175" s="240" t="s">
        <v>226</v>
      </c>
      <c r="C175" s="240" t="s">
        <v>1596</v>
      </c>
      <c r="D175" s="240">
        <v>45739102</v>
      </c>
      <c r="E175" s="241" t="s">
        <v>1597</v>
      </c>
      <c r="F175" s="242">
        <v>833</v>
      </c>
    </row>
    <row r="176" spans="1:6" x14ac:dyDescent="0.25">
      <c r="A176" s="239" t="s">
        <v>1428</v>
      </c>
      <c r="B176" s="240" t="s">
        <v>226</v>
      </c>
      <c r="C176" s="240" t="s">
        <v>1642</v>
      </c>
      <c r="D176" s="240">
        <v>35548771</v>
      </c>
      <c r="E176" s="241" t="s">
        <v>1643</v>
      </c>
      <c r="F176" s="242">
        <v>0</v>
      </c>
    </row>
    <row r="177" spans="1:7" x14ac:dyDescent="0.25">
      <c r="A177" s="239" t="s">
        <v>1428</v>
      </c>
      <c r="B177" s="240" t="s">
        <v>226</v>
      </c>
      <c r="C177" s="240" t="s">
        <v>1638</v>
      </c>
      <c r="D177" s="240">
        <v>90000304</v>
      </c>
      <c r="E177" s="241" t="s">
        <v>1639</v>
      </c>
      <c r="F177" s="242">
        <v>0</v>
      </c>
    </row>
    <row r="178" spans="1:7" ht="15.75" thickBot="1" x14ac:dyDescent="0.3">
      <c r="A178" s="239" t="s">
        <v>1428</v>
      </c>
      <c r="B178" s="240" t="s">
        <v>226</v>
      </c>
      <c r="C178" s="240" t="s">
        <v>1651</v>
      </c>
      <c r="D178" s="240">
        <v>51728061</v>
      </c>
      <c r="E178" s="241" t="s">
        <v>1652</v>
      </c>
      <c r="F178" s="242">
        <v>1924</v>
      </c>
    </row>
    <row r="179" spans="1:7" ht="15.75" thickBot="1" x14ac:dyDescent="0.3">
      <c r="A179" s="246" t="s">
        <v>1678</v>
      </c>
      <c r="B179" s="254"/>
      <c r="C179" s="255"/>
      <c r="D179" s="255"/>
      <c r="E179" s="255"/>
      <c r="F179" s="247">
        <v>216749</v>
      </c>
    </row>
    <row r="180" spans="1:7" ht="15.75" thickBot="1" x14ac:dyDescent="0.3">
      <c r="A180" s="248" t="s">
        <v>1679</v>
      </c>
      <c r="B180" s="256"/>
      <c r="C180" s="257"/>
      <c r="D180" s="257"/>
      <c r="E180" s="257"/>
      <c r="F180" s="247">
        <f>F179+F153+F131+F109+F90+F74+F67+F48</f>
        <v>1457433</v>
      </c>
      <c r="G180" s="249"/>
    </row>
  </sheetData>
  <autoFilter ref="A4:E180" xr:uid="{0F75E72B-6061-41E2-B36C-C414B4AD3839}"/>
  <mergeCells count="10">
    <mergeCell ref="B131:E131"/>
    <mergeCell ref="B153:E153"/>
    <mergeCell ref="B179:E179"/>
    <mergeCell ref="B180:E180"/>
    <mergeCell ref="B2:C2"/>
    <mergeCell ref="B48:E48"/>
    <mergeCell ref="B67:E67"/>
    <mergeCell ref="B74:E74"/>
    <mergeCell ref="B90:E90"/>
    <mergeCell ref="B109:E109"/>
  </mergeCells>
  <conditionalFormatting sqref="C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4</vt:i4>
      </vt:variant>
    </vt:vector>
  </HeadingPairs>
  <TitlesOfParts>
    <vt:vector size="9" baseType="lpstr">
      <vt:lpstr>skoly_riad.sk.ob.2023</vt:lpstr>
      <vt:lpstr>NIVAM_skoly_riad.sk.ob.2023</vt:lpstr>
      <vt:lpstr>skoly_mimor.sk.2023</vt:lpstr>
      <vt:lpstr>NIVAM_skoly_mimoriad.sk.2023</vt:lpstr>
      <vt:lpstr>SUMÁR_zriad_2023</vt:lpstr>
      <vt:lpstr>SUMÁR_zriad_2023!Názvy_tlače</vt:lpstr>
      <vt:lpstr>NIVAM_skoly_mimoriad.sk.2023!Oblasť_tlače</vt:lpstr>
      <vt:lpstr>skoly_riad.sk.ob.2023!Oblasť_tlače</vt:lpstr>
      <vt:lpstr>SUMÁR_zriad_2023!Oblasť_tlače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Gejdošová Michaela</dc:creator>
  <cp:lastModifiedBy>Gejdošová Michaela</cp:lastModifiedBy>
  <dcterms:created xsi:type="dcterms:W3CDTF">2023-07-12T05:14:51Z</dcterms:created>
  <dcterms:modified xsi:type="dcterms:W3CDTF">2023-11-10T11:16:37Z</dcterms:modified>
</cp:coreProperties>
</file>